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y Documents\Repos\ICAOList\"/>
    </mc:Choice>
  </mc:AlternateContent>
  <xr:revisionPtr revIDLastSave="0" documentId="13_ncr:1_{5A3F07DF-5274-4F66-A96D-66C83DA89EAF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Master Type List" sheetId="1" r:id="rId1"/>
    <sheet name="Query Example" sheetId="2" r:id="rId2"/>
    <sheet name="Sheet2" sheetId="4" r:id="rId3"/>
    <sheet name="Sheet1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22" i="3" l="1"/>
  <c r="C2722" i="3"/>
  <c r="D2722" i="3"/>
  <c r="A2723" i="3"/>
  <c r="B2723" i="3"/>
  <c r="C2723" i="3"/>
  <c r="D2723" i="3"/>
  <c r="A2724" i="3"/>
  <c r="B2724" i="3"/>
  <c r="C2724" i="3"/>
  <c r="D2724" i="3"/>
  <c r="A2725" i="3"/>
  <c r="B2725" i="3"/>
  <c r="C2725" i="3"/>
  <c r="D2725" i="3"/>
  <c r="A2726" i="3"/>
  <c r="B2726" i="3"/>
  <c r="C2726" i="3"/>
  <c r="D2726" i="3"/>
  <c r="A2727" i="3"/>
  <c r="B2727" i="3"/>
  <c r="C2727" i="3"/>
  <c r="D2727" i="3"/>
  <c r="A2728" i="3"/>
  <c r="B2728" i="3"/>
  <c r="C2728" i="3"/>
  <c r="D2728" i="3"/>
  <c r="A2729" i="3"/>
  <c r="B2729" i="3"/>
  <c r="C2729" i="3"/>
  <c r="D2729" i="3"/>
  <c r="A2730" i="3"/>
  <c r="B2730" i="3"/>
  <c r="C2730" i="3"/>
  <c r="D2730" i="3"/>
  <c r="A2731" i="3"/>
  <c r="B2731" i="3"/>
  <c r="C2731" i="3"/>
  <c r="D2731" i="3"/>
  <c r="A2732" i="3"/>
  <c r="B2732" i="3"/>
  <c r="C2732" i="3"/>
  <c r="D2732" i="3"/>
  <c r="A2733" i="3"/>
  <c r="B2733" i="3"/>
  <c r="C2733" i="3"/>
  <c r="D2733" i="3"/>
  <c r="A2734" i="3"/>
  <c r="B2734" i="3"/>
  <c r="C2734" i="3"/>
  <c r="D2734" i="3"/>
  <c r="A2735" i="3"/>
  <c r="B2735" i="3"/>
  <c r="C2735" i="3"/>
  <c r="D2735" i="3"/>
  <c r="A2736" i="3"/>
  <c r="B2736" i="3"/>
  <c r="C2736" i="3"/>
  <c r="D273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C1495" i="3"/>
  <c r="D1495" i="3"/>
  <c r="C1496" i="3"/>
  <c r="D1496" i="3"/>
  <c r="C1497" i="3"/>
  <c r="D1497" i="3"/>
  <c r="C1498" i="3"/>
  <c r="D1498" i="3"/>
  <c r="C1499" i="3"/>
  <c r="D1499" i="3"/>
  <c r="C1500" i="3"/>
  <c r="D1500" i="3"/>
  <c r="C1501" i="3"/>
  <c r="D1501" i="3"/>
  <c r="C1502" i="3"/>
  <c r="D1502" i="3"/>
  <c r="C1503" i="3"/>
  <c r="D1503" i="3"/>
  <c r="C1504" i="3"/>
  <c r="D1504" i="3"/>
  <c r="C1505" i="3"/>
  <c r="D1505" i="3"/>
  <c r="C1506" i="3"/>
  <c r="D1506" i="3"/>
  <c r="C1507" i="3"/>
  <c r="D1507" i="3"/>
  <c r="C1508" i="3"/>
  <c r="D1508" i="3"/>
  <c r="C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D1517" i="3"/>
  <c r="C1518" i="3"/>
  <c r="D1518" i="3"/>
  <c r="C1519" i="3"/>
  <c r="D1519" i="3"/>
  <c r="C1520" i="3"/>
  <c r="D1520" i="3"/>
  <c r="C1521" i="3"/>
  <c r="D1521" i="3"/>
  <c r="C1522" i="3"/>
  <c r="D1522" i="3"/>
  <c r="C1523" i="3"/>
  <c r="D1523" i="3"/>
  <c r="C1524" i="3"/>
  <c r="D1524" i="3"/>
  <c r="C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D1533" i="3"/>
  <c r="C1534" i="3"/>
  <c r="D1534" i="3"/>
  <c r="C1535" i="3"/>
  <c r="D1535" i="3"/>
  <c r="C1536" i="3"/>
  <c r="D1536" i="3"/>
  <c r="C1537" i="3"/>
  <c r="D1537" i="3"/>
  <c r="C1538" i="3"/>
  <c r="D1538" i="3"/>
  <c r="C1539" i="3"/>
  <c r="D1539" i="3"/>
  <c r="C1540" i="3"/>
  <c r="D1540" i="3"/>
  <c r="C1541" i="3"/>
  <c r="D1541" i="3"/>
  <c r="C1542" i="3"/>
  <c r="D1542" i="3"/>
  <c r="C1543" i="3"/>
  <c r="D1543" i="3"/>
  <c r="C1544" i="3"/>
  <c r="D1544" i="3"/>
  <c r="C1545" i="3"/>
  <c r="D1545" i="3"/>
  <c r="C1546" i="3"/>
  <c r="D1546" i="3"/>
  <c r="C1547" i="3"/>
  <c r="D1547" i="3"/>
  <c r="C1548" i="3"/>
  <c r="D1548" i="3"/>
  <c r="C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D1557" i="3"/>
  <c r="C1558" i="3"/>
  <c r="D1558" i="3"/>
  <c r="C1559" i="3"/>
  <c r="D1559" i="3"/>
  <c r="C1560" i="3"/>
  <c r="D1560" i="3"/>
  <c r="C1561" i="3"/>
  <c r="D1561" i="3"/>
  <c r="C1562" i="3"/>
  <c r="D1562" i="3"/>
  <c r="C1563" i="3"/>
  <c r="D1563" i="3"/>
  <c r="C1564" i="3"/>
  <c r="D1564" i="3"/>
  <c r="C1565" i="3"/>
  <c r="D1565" i="3"/>
  <c r="C1566" i="3"/>
  <c r="D1566" i="3"/>
  <c r="C1567" i="3"/>
  <c r="D1567" i="3"/>
  <c r="C1568" i="3"/>
  <c r="D1568" i="3"/>
  <c r="C1569" i="3"/>
  <c r="D1569" i="3"/>
  <c r="C1570" i="3"/>
  <c r="D1570" i="3"/>
  <c r="C1571" i="3"/>
  <c r="D1571" i="3"/>
  <c r="C1572" i="3"/>
  <c r="D1572" i="3"/>
  <c r="C1573" i="3"/>
  <c r="D1573" i="3"/>
  <c r="C1574" i="3"/>
  <c r="D1574" i="3"/>
  <c r="C1575" i="3"/>
  <c r="D1575" i="3"/>
  <c r="C1576" i="3"/>
  <c r="D1576" i="3"/>
  <c r="C1577" i="3"/>
  <c r="D1577" i="3"/>
  <c r="C1578" i="3"/>
  <c r="D1578" i="3"/>
  <c r="C1579" i="3"/>
  <c r="D1579" i="3"/>
  <c r="C1580" i="3"/>
  <c r="D1580" i="3"/>
  <c r="C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D1589" i="3"/>
  <c r="C1590" i="3"/>
  <c r="D1590" i="3"/>
  <c r="C1591" i="3"/>
  <c r="D1591" i="3"/>
  <c r="C1592" i="3"/>
  <c r="D1592" i="3"/>
  <c r="C1593" i="3"/>
  <c r="D1593" i="3"/>
  <c r="C1594" i="3"/>
  <c r="D1594" i="3"/>
  <c r="C1595" i="3"/>
  <c r="D1595" i="3"/>
  <c r="C1596" i="3"/>
  <c r="D1596" i="3"/>
  <c r="C1597" i="3"/>
  <c r="D1597" i="3"/>
  <c r="C1598" i="3"/>
  <c r="D1598" i="3"/>
  <c r="C1599" i="3"/>
  <c r="D1599" i="3"/>
  <c r="C1600" i="3"/>
  <c r="D1600" i="3"/>
  <c r="C1601" i="3"/>
  <c r="D1601" i="3"/>
  <c r="C1602" i="3"/>
  <c r="D1602" i="3"/>
  <c r="C1603" i="3"/>
  <c r="D1603" i="3"/>
  <c r="C1604" i="3"/>
  <c r="D1604" i="3"/>
  <c r="C1605" i="3"/>
  <c r="D1605" i="3"/>
  <c r="C1606" i="3"/>
  <c r="D1606" i="3"/>
  <c r="C1607" i="3"/>
  <c r="D1607" i="3"/>
  <c r="C1608" i="3"/>
  <c r="D1608" i="3"/>
  <c r="C1609" i="3"/>
  <c r="D1609" i="3"/>
  <c r="C1610" i="3"/>
  <c r="D1610" i="3"/>
  <c r="C1611" i="3"/>
  <c r="D1611" i="3"/>
  <c r="C1612" i="3"/>
  <c r="D1612" i="3"/>
  <c r="C1613" i="3"/>
  <c r="D1613" i="3"/>
  <c r="C1614" i="3"/>
  <c r="D1614" i="3"/>
  <c r="C1615" i="3"/>
  <c r="D1615" i="3"/>
  <c r="C1616" i="3"/>
  <c r="D1616" i="3"/>
  <c r="C1617" i="3"/>
  <c r="D1617" i="3"/>
  <c r="C1618" i="3"/>
  <c r="D1618" i="3"/>
  <c r="C1619" i="3"/>
  <c r="D1619" i="3"/>
  <c r="C1620" i="3"/>
  <c r="D1620" i="3"/>
  <c r="C1621" i="3"/>
  <c r="D1621" i="3"/>
  <c r="C1622" i="3"/>
  <c r="D1622" i="3"/>
  <c r="C1623" i="3"/>
  <c r="D1623" i="3"/>
  <c r="C1624" i="3"/>
  <c r="D1624" i="3"/>
  <c r="C1625" i="3"/>
  <c r="D1625" i="3"/>
  <c r="C1626" i="3"/>
  <c r="D1626" i="3"/>
  <c r="C1627" i="3"/>
  <c r="D1627" i="3"/>
  <c r="C1628" i="3"/>
  <c r="D1628" i="3"/>
  <c r="C1629" i="3"/>
  <c r="D1629" i="3"/>
  <c r="C1630" i="3"/>
  <c r="D1630" i="3"/>
  <c r="C1631" i="3"/>
  <c r="D1631" i="3"/>
  <c r="C1632" i="3"/>
  <c r="D1632" i="3"/>
  <c r="C1633" i="3"/>
  <c r="D1633" i="3"/>
  <c r="C1634" i="3"/>
  <c r="D1634" i="3"/>
  <c r="C1635" i="3"/>
  <c r="D1635" i="3"/>
  <c r="C1636" i="3"/>
  <c r="D1636" i="3"/>
  <c r="C1637" i="3"/>
  <c r="D1637" i="3"/>
  <c r="C1638" i="3"/>
  <c r="D1638" i="3"/>
  <c r="C1639" i="3"/>
  <c r="D1639" i="3"/>
  <c r="C1640" i="3"/>
  <c r="D1640" i="3"/>
  <c r="C1641" i="3"/>
  <c r="D1641" i="3"/>
  <c r="C1642" i="3"/>
  <c r="D1642" i="3"/>
  <c r="C1643" i="3"/>
  <c r="D1643" i="3"/>
  <c r="C1644" i="3"/>
  <c r="D1644" i="3"/>
  <c r="C1645" i="3"/>
  <c r="D1645" i="3"/>
  <c r="C1646" i="3"/>
  <c r="D1646" i="3"/>
  <c r="C1647" i="3"/>
  <c r="D1647" i="3"/>
  <c r="C1648" i="3"/>
  <c r="D1648" i="3"/>
  <c r="C1649" i="3"/>
  <c r="D1649" i="3"/>
  <c r="C1650" i="3"/>
  <c r="D1650" i="3"/>
  <c r="C1651" i="3"/>
  <c r="D1651" i="3"/>
  <c r="C1652" i="3"/>
  <c r="D1652" i="3"/>
  <c r="C1653" i="3"/>
  <c r="D1653" i="3"/>
  <c r="C1654" i="3"/>
  <c r="D1654" i="3"/>
  <c r="C1655" i="3"/>
  <c r="D1655" i="3"/>
  <c r="C1656" i="3"/>
  <c r="D1656" i="3"/>
  <c r="C1657" i="3"/>
  <c r="D1657" i="3"/>
  <c r="C1658" i="3"/>
  <c r="D1658" i="3"/>
  <c r="C1659" i="3"/>
  <c r="D1659" i="3"/>
  <c r="C1660" i="3"/>
  <c r="D1660" i="3"/>
  <c r="C1661" i="3"/>
  <c r="D1661" i="3"/>
  <c r="C1662" i="3"/>
  <c r="D1662" i="3"/>
  <c r="C1663" i="3"/>
  <c r="D1663" i="3"/>
  <c r="C1664" i="3"/>
  <c r="D1664" i="3"/>
  <c r="C1665" i="3"/>
  <c r="D1665" i="3"/>
  <c r="C1666" i="3"/>
  <c r="D1666" i="3"/>
  <c r="C1667" i="3"/>
  <c r="D1667" i="3"/>
  <c r="C1668" i="3"/>
  <c r="D1668" i="3"/>
  <c r="C1669" i="3"/>
  <c r="D1669" i="3"/>
  <c r="C1670" i="3"/>
  <c r="D1670" i="3"/>
  <c r="C1671" i="3"/>
  <c r="D1671" i="3"/>
  <c r="C1672" i="3"/>
  <c r="D1672" i="3"/>
  <c r="C1673" i="3"/>
  <c r="D1673" i="3"/>
  <c r="C1674" i="3"/>
  <c r="D1674" i="3"/>
  <c r="C1675" i="3"/>
  <c r="D1675" i="3"/>
  <c r="C1676" i="3"/>
  <c r="D1676" i="3"/>
  <c r="C1677" i="3"/>
  <c r="D1677" i="3"/>
  <c r="C1678" i="3"/>
  <c r="D1678" i="3"/>
  <c r="C1679" i="3"/>
  <c r="D1679" i="3"/>
  <c r="C1680" i="3"/>
  <c r="D1680" i="3"/>
  <c r="C1681" i="3"/>
  <c r="D1681" i="3"/>
  <c r="C1682" i="3"/>
  <c r="D1682" i="3"/>
  <c r="C1683" i="3"/>
  <c r="D1683" i="3"/>
  <c r="C1684" i="3"/>
  <c r="D1684" i="3"/>
  <c r="C1685" i="3"/>
  <c r="D1685" i="3"/>
  <c r="C1686" i="3"/>
  <c r="D1686" i="3"/>
  <c r="C1687" i="3"/>
  <c r="D1687" i="3"/>
  <c r="C1688" i="3"/>
  <c r="D1688" i="3"/>
  <c r="C1689" i="3"/>
  <c r="D1689" i="3"/>
  <c r="C1690" i="3"/>
  <c r="D1690" i="3"/>
  <c r="C1691" i="3"/>
  <c r="D1691" i="3"/>
  <c r="C1692" i="3"/>
  <c r="D1692" i="3"/>
  <c r="C1693" i="3"/>
  <c r="D1693" i="3"/>
  <c r="C1694" i="3"/>
  <c r="D1694" i="3"/>
  <c r="C1695" i="3"/>
  <c r="D1695" i="3"/>
  <c r="C1696" i="3"/>
  <c r="D1696" i="3"/>
  <c r="C1697" i="3"/>
  <c r="D1697" i="3"/>
  <c r="C1698" i="3"/>
  <c r="D1698" i="3"/>
  <c r="C1699" i="3"/>
  <c r="D1699" i="3"/>
  <c r="C1700" i="3"/>
  <c r="D1700" i="3"/>
  <c r="C1701" i="3"/>
  <c r="D1701" i="3"/>
  <c r="C1702" i="3"/>
  <c r="D1702" i="3"/>
  <c r="C1703" i="3"/>
  <c r="D1703" i="3"/>
  <c r="C1704" i="3"/>
  <c r="D1704" i="3"/>
  <c r="C1705" i="3"/>
  <c r="D1705" i="3"/>
  <c r="C1706" i="3"/>
  <c r="D1706" i="3"/>
  <c r="C1707" i="3"/>
  <c r="D1707" i="3"/>
  <c r="C1708" i="3"/>
  <c r="D1708" i="3"/>
  <c r="C1709" i="3"/>
  <c r="D1709" i="3"/>
  <c r="C1710" i="3"/>
  <c r="D1710" i="3"/>
  <c r="C1711" i="3"/>
  <c r="D1711" i="3"/>
  <c r="C1712" i="3"/>
  <c r="D1712" i="3"/>
  <c r="C1713" i="3"/>
  <c r="D1713" i="3"/>
  <c r="C1714" i="3"/>
  <c r="D1714" i="3"/>
  <c r="C1715" i="3"/>
  <c r="D1715" i="3"/>
  <c r="C1716" i="3"/>
  <c r="D1716" i="3"/>
  <c r="C1717" i="3"/>
  <c r="D1717" i="3"/>
  <c r="C1718" i="3"/>
  <c r="D1718" i="3"/>
  <c r="C1719" i="3"/>
  <c r="D1719" i="3"/>
  <c r="C1720" i="3"/>
  <c r="D1720" i="3"/>
  <c r="C1721" i="3"/>
  <c r="D1721" i="3"/>
  <c r="C1722" i="3"/>
  <c r="D1722" i="3"/>
  <c r="C1723" i="3"/>
  <c r="D1723" i="3"/>
  <c r="C1724" i="3"/>
  <c r="D1724" i="3"/>
  <c r="C1725" i="3"/>
  <c r="D1725" i="3"/>
  <c r="C1726" i="3"/>
  <c r="D1726" i="3"/>
  <c r="C1727" i="3"/>
  <c r="D1727" i="3"/>
  <c r="C1728" i="3"/>
  <c r="D1728" i="3"/>
  <c r="C1729" i="3"/>
  <c r="D1729" i="3"/>
  <c r="C1730" i="3"/>
  <c r="D1730" i="3"/>
  <c r="C1731" i="3"/>
  <c r="D1731" i="3"/>
  <c r="C1732" i="3"/>
  <c r="D1732" i="3"/>
  <c r="C1733" i="3"/>
  <c r="D1733" i="3"/>
  <c r="C1734" i="3"/>
  <c r="D1734" i="3"/>
  <c r="C1735" i="3"/>
  <c r="D1735" i="3"/>
  <c r="C1736" i="3"/>
  <c r="D1736" i="3"/>
  <c r="C1737" i="3"/>
  <c r="D1737" i="3"/>
  <c r="C1738" i="3"/>
  <c r="D1738" i="3"/>
  <c r="C1739" i="3"/>
  <c r="D1739" i="3"/>
  <c r="C1740" i="3"/>
  <c r="D1740" i="3"/>
  <c r="C1741" i="3"/>
  <c r="D1741" i="3"/>
  <c r="C1742" i="3"/>
  <c r="D1742" i="3"/>
  <c r="C1743" i="3"/>
  <c r="D1743" i="3"/>
  <c r="C1744" i="3"/>
  <c r="D1744" i="3"/>
  <c r="C1745" i="3"/>
  <c r="D1745" i="3"/>
  <c r="C1746" i="3"/>
  <c r="D1746" i="3"/>
  <c r="C1747" i="3"/>
  <c r="D1747" i="3"/>
  <c r="C1748" i="3"/>
  <c r="D1748" i="3"/>
  <c r="C1749" i="3"/>
  <c r="D1749" i="3"/>
  <c r="C1750" i="3"/>
  <c r="D1750" i="3"/>
  <c r="C1751" i="3"/>
  <c r="D1751" i="3"/>
  <c r="C1752" i="3"/>
  <c r="D1752" i="3"/>
  <c r="C1753" i="3"/>
  <c r="D1753" i="3"/>
  <c r="C1754" i="3"/>
  <c r="D1754" i="3"/>
  <c r="C1755" i="3"/>
  <c r="D1755" i="3"/>
  <c r="C1756" i="3"/>
  <c r="D1756" i="3"/>
  <c r="C1757" i="3"/>
  <c r="D1757" i="3"/>
  <c r="C1758" i="3"/>
  <c r="D1758" i="3"/>
  <c r="C1759" i="3"/>
  <c r="D1759" i="3"/>
  <c r="C1760" i="3"/>
  <c r="D1760" i="3"/>
  <c r="C1761" i="3"/>
  <c r="D1761" i="3"/>
  <c r="C1762" i="3"/>
  <c r="D1762" i="3"/>
  <c r="C1763" i="3"/>
  <c r="D1763" i="3"/>
  <c r="C1764" i="3"/>
  <c r="D1764" i="3"/>
  <c r="C1765" i="3"/>
  <c r="D1765" i="3"/>
  <c r="C1766" i="3"/>
  <c r="D1766" i="3"/>
  <c r="C1767" i="3"/>
  <c r="D1767" i="3"/>
  <c r="C1768" i="3"/>
  <c r="D1768" i="3"/>
  <c r="C1769" i="3"/>
  <c r="D1769" i="3"/>
  <c r="C1770" i="3"/>
  <c r="D1770" i="3"/>
  <c r="C1771" i="3"/>
  <c r="D1771" i="3"/>
  <c r="C1772" i="3"/>
  <c r="D1772" i="3"/>
  <c r="C1773" i="3"/>
  <c r="D1773" i="3"/>
  <c r="C1774" i="3"/>
  <c r="D1774" i="3"/>
  <c r="C1775" i="3"/>
  <c r="D1775" i="3"/>
  <c r="C1776" i="3"/>
  <c r="D1776" i="3"/>
  <c r="C1777" i="3"/>
  <c r="D1777" i="3"/>
  <c r="C1778" i="3"/>
  <c r="D1778" i="3"/>
  <c r="C1779" i="3"/>
  <c r="D1779" i="3"/>
  <c r="C1780" i="3"/>
  <c r="D1780" i="3"/>
  <c r="C1781" i="3"/>
  <c r="D1781" i="3"/>
  <c r="C1782" i="3"/>
  <c r="D1782" i="3"/>
  <c r="C1783" i="3"/>
  <c r="D1783" i="3"/>
  <c r="C1784" i="3"/>
  <c r="D1784" i="3"/>
  <c r="C1785" i="3"/>
  <c r="D1785" i="3"/>
  <c r="C1786" i="3"/>
  <c r="D1786" i="3"/>
  <c r="C1787" i="3"/>
  <c r="D1787" i="3"/>
  <c r="C1788" i="3"/>
  <c r="D1788" i="3"/>
  <c r="C1789" i="3"/>
  <c r="D1789" i="3"/>
  <c r="C1790" i="3"/>
  <c r="D1790" i="3"/>
  <c r="C1791" i="3"/>
  <c r="D1791" i="3"/>
  <c r="C1792" i="3"/>
  <c r="D1792" i="3"/>
  <c r="C1793" i="3"/>
  <c r="D1793" i="3"/>
  <c r="C1794" i="3"/>
  <c r="D1794" i="3"/>
  <c r="C1795" i="3"/>
  <c r="D1795" i="3"/>
  <c r="C1796" i="3"/>
  <c r="D1796" i="3"/>
  <c r="C1797" i="3"/>
  <c r="D1797" i="3"/>
  <c r="C1798" i="3"/>
  <c r="D1798" i="3"/>
  <c r="C1799" i="3"/>
  <c r="D1799" i="3"/>
  <c r="C1800" i="3"/>
  <c r="D1800" i="3"/>
  <c r="C1801" i="3"/>
  <c r="D1801" i="3"/>
  <c r="C1802" i="3"/>
  <c r="D1802" i="3"/>
  <c r="C1803" i="3"/>
  <c r="D1803" i="3"/>
  <c r="C1804" i="3"/>
  <c r="D1804" i="3"/>
  <c r="C1805" i="3"/>
  <c r="D1805" i="3"/>
  <c r="C1806" i="3"/>
  <c r="D1806" i="3"/>
  <c r="C1807" i="3"/>
  <c r="D1807" i="3"/>
  <c r="C1808" i="3"/>
  <c r="D1808" i="3"/>
  <c r="C1809" i="3"/>
  <c r="D1809" i="3"/>
  <c r="C1810" i="3"/>
  <c r="D1810" i="3"/>
  <c r="C1811" i="3"/>
  <c r="D1811" i="3"/>
  <c r="C1812" i="3"/>
  <c r="D1812" i="3"/>
  <c r="C1813" i="3"/>
  <c r="D1813" i="3"/>
  <c r="C1814" i="3"/>
  <c r="D1814" i="3"/>
  <c r="C1815" i="3"/>
  <c r="D1815" i="3"/>
  <c r="C1816" i="3"/>
  <c r="D1816" i="3"/>
  <c r="C1817" i="3"/>
  <c r="D1817" i="3"/>
  <c r="C1818" i="3"/>
  <c r="D1818" i="3"/>
  <c r="C1819" i="3"/>
  <c r="D1819" i="3"/>
  <c r="C1820" i="3"/>
  <c r="D1820" i="3"/>
  <c r="C1821" i="3"/>
  <c r="D1821" i="3"/>
  <c r="C1822" i="3"/>
  <c r="D1822" i="3"/>
  <c r="C1823" i="3"/>
  <c r="D1823" i="3"/>
  <c r="C1824" i="3"/>
  <c r="D1824" i="3"/>
  <c r="C1825" i="3"/>
  <c r="D1825" i="3"/>
  <c r="C1826" i="3"/>
  <c r="D1826" i="3"/>
  <c r="C1827" i="3"/>
  <c r="D1827" i="3"/>
  <c r="C1828" i="3"/>
  <c r="D1828" i="3"/>
  <c r="C1829" i="3"/>
  <c r="D1829" i="3"/>
  <c r="C1830" i="3"/>
  <c r="D1830" i="3"/>
  <c r="C1831" i="3"/>
  <c r="D1831" i="3"/>
  <c r="C1832" i="3"/>
  <c r="D1832" i="3"/>
  <c r="C1833" i="3"/>
  <c r="D1833" i="3"/>
  <c r="C1834" i="3"/>
  <c r="D1834" i="3"/>
  <c r="C1835" i="3"/>
  <c r="D1835" i="3"/>
  <c r="C1836" i="3"/>
  <c r="D1836" i="3"/>
  <c r="C1837" i="3"/>
  <c r="D1837" i="3"/>
  <c r="C1838" i="3"/>
  <c r="D1838" i="3"/>
  <c r="C1839" i="3"/>
  <c r="D1839" i="3"/>
  <c r="C1840" i="3"/>
  <c r="D1840" i="3"/>
  <c r="C1841" i="3"/>
  <c r="D1841" i="3"/>
  <c r="C1842" i="3"/>
  <c r="D1842" i="3"/>
  <c r="C1843" i="3"/>
  <c r="D1843" i="3"/>
  <c r="C1844" i="3"/>
  <c r="D1844" i="3"/>
  <c r="C1845" i="3"/>
  <c r="D1845" i="3"/>
  <c r="C1846" i="3"/>
  <c r="D1846" i="3"/>
  <c r="C1847" i="3"/>
  <c r="D1847" i="3"/>
  <c r="C1848" i="3"/>
  <c r="D1848" i="3"/>
  <c r="C1849" i="3"/>
  <c r="D1849" i="3"/>
  <c r="C1850" i="3"/>
  <c r="D1850" i="3"/>
  <c r="C1851" i="3"/>
  <c r="D1851" i="3"/>
  <c r="C1852" i="3"/>
  <c r="D1852" i="3"/>
  <c r="C1853" i="3"/>
  <c r="D1853" i="3"/>
  <c r="C1854" i="3"/>
  <c r="D1854" i="3"/>
  <c r="C1855" i="3"/>
  <c r="D1855" i="3"/>
  <c r="C1856" i="3"/>
  <c r="D1856" i="3"/>
  <c r="C1857" i="3"/>
  <c r="D1857" i="3"/>
  <c r="C1858" i="3"/>
  <c r="D1858" i="3"/>
  <c r="C1859" i="3"/>
  <c r="D1859" i="3"/>
  <c r="C1860" i="3"/>
  <c r="D1860" i="3"/>
  <c r="C1861" i="3"/>
  <c r="D1861" i="3"/>
  <c r="C1862" i="3"/>
  <c r="D1862" i="3"/>
  <c r="C1863" i="3"/>
  <c r="D1863" i="3"/>
  <c r="C1864" i="3"/>
  <c r="D1864" i="3"/>
  <c r="C1865" i="3"/>
  <c r="D1865" i="3"/>
  <c r="C1866" i="3"/>
  <c r="D1866" i="3"/>
  <c r="C1867" i="3"/>
  <c r="D1867" i="3"/>
  <c r="C1868" i="3"/>
  <c r="D1868" i="3"/>
  <c r="C1869" i="3"/>
  <c r="D1869" i="3"/>
  <c r="C1870" i="3"/>
  <c r="D1870" i="3"/>
  <c r="C1871" i="3"/>
  <c r="D1871" i="3"/>
  <c r="C1872" i="3"/>
  <c r="D1872" i="3"/>
  <c r="C1873" i="3"/>
  <c r="D1873" i="3"/>
  <c r="C1874" i="3"/>
  <c r="D1874" i="3"/>
  <c r="C1875" i="3"/>
  <c r="D1875" i="3"/>
  <c r="C1876" i="3"/>
  <c r="D1876" i="3"/>
  <c r="C1877" i="3"/>
  <c r="D1877" i="3"/>
  <c r="C1878" i="3"/>
  <c r="D1878" i="3"/>
  <c r="C1879" i="3"/>
  <c r="D1879" i="3"/>
  <c r="C1880" i="3"/>
  <c r="D1880" i="3"/>
  <c r="C1881" i="3"/>
  <c r="D1881" i="3"/>
  <c r="C1882" i="3"/>
  <c r="D1882" i="3"/>
  <c r="C1883" i="3"/>
  <c r="D1883" i="3"/>
  <c r="C1884" i="3"/>
  <c r="D1884" i="3"/>
  <c r="C1885" i="3"/>
  <c r="D1885" i="3"/>
  <c r="C1886" i="3"/>
  <c r="D1886" i="3"/>
  <c r="C1887" i="3"/>
  <c r="D1887" i="3"/>
  <c r="C1888" i="3"/>
  <c r="D1888" i="3"/>
  <c r="C1889" i="3"/>
  <c r="D1889" i="3"/>
  <c r="C1890" i="3"/>
  <c r="D1890" i="3"/>
  <c r="C1891" i="3"/>
  <c r="D1891" i="3"/>
  <c r="C1892" i="3"/>
  <c r="D1892" i="3"/>
  <c r="C1893" i="3"/>
  <c r="D1893" i="3"/>
  <c r="C1894" i="3"/>
  <c r="D1894" i="3"/>
  <c r="C1895" i="3"/>
  <c r="D1895" i="3"/>
  <c r="C1896" i="3"/>
  <c r="D1896" i="3"/>
  <c r="C1897" i="3"/>
  <c r="D1897" i="3"/>
  <c r="C1898" i="3"/>
  <c r="D1898" i="3"/>
  <c r="C1899" i="3"/>
  <c r="D1899" i="3"/>
  <c r="C1900" i="3"/>
  <c r="D1900" i="3"/>
  <c r="C1901" i="3"/>
  <c r="D1901" i="3"/>
  <c r="C1902" i="3"/>
  <c r="D1902" i="3"/>
  <c r="C1903" i="3"/>
  <c r="D1903" i="3"/>
  <c r="C1904" i="3"/>
  <c r="D1904" i="3"/>
  <c r="C1905" i="3"/>
  <c r="D1905" i="3"/>
  <c r="C1906" i="3"/>
  <c r="D1906" i="3"/>
  <c r="C1907" i="3"/>
  <c r="D1907" i="3"/>
  <c r="C1908" i="3"/>
  <c r="D1908" i="3"/>
  <c r="C1909" i="3"/>
  <c r="D1909" i="3"/>
  <c r="C1910" i="3"/>
  <c r="D1910" i="3"/>
  <c r="C1911" i="3"/>
  <c r="D1911" i="3"/>
  <c r="C1912" i="3"/>
  <c r="D1912" i="3"/>
  <c r="C1913" i="3"/>
  <c r="D1913" i="3"/>
  <c r="C1914" i="3"/>
  <c r="D1914" i="3"/>
  <c r="C1915" i="3"/>
  <c r="D1915" i="3"/>
  <c r="C1916" i="3"/>
  <c r="D1916" i="3"/>
  <c r="C1917" i="3"/>
  <c r="D1917" i="3"/>
  <c r="C1918" i="3"/>
  <c r="D1918" i="3"/>
  <c r="C1919" i="3"/>
  <c r="D1919" i="3"/>
  <c r="C1920" i="3"/>
  <c r="D1920" i="3"/>
  <c r="C1921" i="3"/>
  <c r="D1921" i="3"/>
  <c r="C1922" i="3"/>
  <c r="D1922" i="3"/>
  <c r="C1923" i="3"/>
  <c r="D1923" i="3"/>
  <c r="C1924" i="3"/>
  <c r="D1924" i="3"/>
  <c r="C1925" i="3"/>
  <c r="D1925" i="3"/>
  <c r="C1926" i="3"/>
  <c r="D1926" i="3"/>
  <c r="C1927" i="3"/>
  <c r="D1927" i="3"/>
  <c r="C1928" i="3"/>
  <c r="D1928" i="3"/>
  <c r="C1929" i="3"/>
  <c r="D1929" i="3"/>
  <c r="C1930" i="3"/>
  <c r="D1930" i="3"/>
  <c r="C1931" i="3"/>
  <c r="D1931" i="3"/>
  <c r="C1932" i="3"/>
  <c r="D1932" i="3"/>
  <c r="C1933" i="3"/>
  <c r="D1933" i="3"/>
  <c r="C1934" i="3"/>
  <c r="D1934" i="3"/>
  <c r="C1935" i="3"/>
  <c r="D1935" i="3"/>
  <c r="C1936" i="3"/>
  <c r="D1936" i="3"/>
  <c r="C1937" i="3"/>
  <c r="D1937" i="3"/>
  <c r="C1938" i="3"/>
  <c r="D1938" i="3"/>
  <c r="C1939" i="3"/>
  <c r="D1939" i="3"/>
  <c r="C1940" i="3"/>
  <c r="D1940" i="3"/>
  <c r="C1941" i="3"/>
  <c r="D1941" i="3"/>
  <c r="C1942" i="3"/>
  <c r="D1942" i="3"/>
  <c r="C1943" i="3"/>
  <c r="D1943" i="3"/>
  <c r="C1944" i="3"/>
  <c r="D1944" i="3"/>
  <c r="C1945" i="3"/>
  <c r="D1945" i="3"/>
  <c r="C1946" i="3"/>
  <c r="D1946" i="3"/>
  <c r="C1947" i="3"/>
  <c r="D1947" i="3"/>
  <c r="C1948" i="3"/>
  <c r="D1948" i="3"/>
  <c r="C1949" i="3"/>
  <c r="D1949" i="3"/>
  <c r="C1950" i="3"/>
  <c r="D1950" i="3"/>
  <c r="C1951" i="3"/>
  <c r="D1951" i="3"/>
  <c r="C1952" i="3"/>
  <c r="D1952" i="3"/>
  <c r="C1953" i="3"/>
  <c r="D1953" i="3"/>
  <c r="C1954" i="3"/>
  <c r="D1954" i="3"/>
  <c r="C1955" i="3"/>
  <c r="D1955" i="3"/>
  <c r="C1956" i="3"/>
  <c r="D1956" i="3"/>
  <c r="C1957" i="3"/>
  <c r="D1957" i="3"/>
  <c r="C1958" i="3"/>
  <c r="D1958" i="3"/>
  <c r="C1959" i="3"/>
  <c r="D1959" i="3"/>
  <c r="C1960" i="3"/>
  <c r="D1960" i="3"/>
  <c r="C1961" i="3"/>
  <c r="D1961" i="3"/>
  <c r="C1962" i="3"/>
  <c r="D1962" i="3"/>
  <c r="C1963" i="3"/>
  <c r="D1963" i="3"/>
  <c r="C1964" i="3"/>
  <c r="D1964" i="3"/>
  <c r="C1965" i="3"/>
  <c r="D1965" i="3"/>
  <c r="C1966" i="3"/>
  <c r="D1966" i="3"/>
  <c r="C1967" i="3"/>
  <c r="D1967" i="3"/>
  <c r="C1968" i="3"/>
  <c r="D1968" i="3"/>
  <c r="C1969" i="3"/>
  <c r="D1969" i="3"/>
  <c r="C1970" i="3"/>
  <c r="D1970" i="3"/>
  <c r="C1971" i="3"/>
  <c r="D1971" i="3"/>
  <c r="C1972" i="3"/>
  <c r="D1972" i="3"/>
  <c r="C1973" i="3"/>
  <c r="D1973" i="3"/>
  <c r="C1974" i="3"/>
  <c r="D1974" i="3"/>
  <c r="C1975" i="3"/>
  <c r="D1975" i="3"/>
  <c r="C1976" i="3"/>
  <c r="D1976" i="3"/>
  <c r="C1977" i="3"/>
  <c r="D1977" i="3"/>
  <c r="C1978" i="3"/>
  <c r="D1978" i="3"/>
  <c r="C1979" i="3"/>
  <c r="D1979" i="3"/>
  <c r="C1980" i="3"/>
  <c r="D1980" i="3"/>
  <c r="C1981" i="3"/>
  <c r="D1981" i="3"/>
  <c r="C1982" i="3"/>
  <c r="D1982" i="3"/>
  <c r="C1983" i="3"/>
  <c r="D1983" i="3"/>
  <c r="C1984" i="3"/>
  <c r="D1984" i="3"/>
  <c r="C1985" i="3"/>
  <c r="D1985" i="3"/>
  <c r="C1986" i="3"/>
  <c r="D1986" i="3"/>
  <c r="C1987" i="3"/>
  <c r="D1987" i="3"/>
  <c r="C1988" i="3"/>
  <c r="D1988" i="3"/>
  <c r="C1989" i="3"/>
  <c r="D1989" i="3"/>
  <c r="C1990" i="3"/>
  <c r="D1990" i="3"/>
  <c r="C1991" i="3"/>
  <c r="D1991" i="3"/>
  <c r="C1992" i="3"/>
  <c r="D1992" i="3"/>
  <c r="C1993" i="3"/>
  <c r="D1993" i="3"/>
  <c r="C1994" i="3"/>
  <c r="D1994" i="3"/>
  <c r="C1995" i="3"/>
  <c r="D1995" i="3"/>
  <c r="C1996" i="3"/>
  <c r="D1996" i="3"/>
  <c r="C1997" i="3"/>
  <c r="D1997" i="3"/>
  <c r="C1998" i="3"/>
  <c r="D1998" i="3"/>
  <c r="C1999" i="3"/>
  <c r="D1999" i="3"/>
  <c r="C2000" i="3"/>
  <c r="D2000" i="3"/>
  <c r="C2001" i="3"/>
  <c r="D2001" i="3"/>
  <c r="C2002" i="3"/>
  <c r="D2002" i="3"/>
  <c r="C2003" i="3"/>
  <c r="D2003" i="3"/>
  <c r="C2004" i="3"/>
  <c r="D2004" i="3"/>
  <c r="C2005" i="3"/>
  <c r="D2005" i="3"/>
  <c r="C2006" i="3"/>
  <c r="D2006" i="3"/>
  <c r="C2007" i="3"/>
  <c r="D2007" i="3"/>
  <c r="C2008" i="3"/>
  <c r="D2008" i="3"/>
  <c r="C2009" i="3"/>
  <c r="D2009" i="3"/>
  <c r="C2010" i="3"/>
  <c r="D2010" i="3"/>
  <c r="C2011" i="3"/>
  <c r="D2011" i="3"/>
  <c r="C2012" i="3"/>
  <c r="D2012" i="3"/>
  <c r="C2013" i="3"/>
  <c r="D2013" i="3"/>
  <c r="C2014" i="3"/>
  <c r="D2014" i="3"/>
  <c r="C2015" i="3"/>
  <c r="D2015" i="3"/>
  <c r="C2016" i="3"/>
  <c r="D2016" i="3"/>
  <c r="C2017" i="3"/>
  <c r="D2017" i="3"/>
  <c r="C2018" i="3"/>
  <c r="D2018" i="3"/>
  <c r="C2019" i="3"/>
  <c r="D2019" i="3"/>
  <c r="C2020" i="3"/>
  <c r="D2020" i="3"/>
  <c r="C2021" i="3"/>
  <c r="D2021" i="3"/>
  <c r="C2022" i="3"/>
  <c r="D2022" i="3"/>
  <c r="C2023" i="3"/>
  <c r="D2023" i="3"/>
  <c r="C2024" i="3"/>
  <c r="D2024" i="3"/>
  <c r="C2025" i="3"/>
  <c r="D2025" i="3"/>
  <c r="C2026" i="3"/>
  <c r="D2026" i="3"/>
  <c r="C2027" i="3"/>
  <c r="D2027" i="3"/>
  <c r="C2028" i="3"/>
  <c r="D2028" i="3"/>
  <c r="C2029" i="3"/>
  <c r="D2029" i="3"/>
  <c r="C2030" i="3"/>
  <c r="D2030" i="3"/>
  <c r="C2031" i="3"/>
  <c r="D2031" i="3"/>
  <c r="C2032" i="3"/>
  <c r="D2032" i="3"/>
  <c r="C2033" i="3"/>
  <c r="D2033" i="3"/>
  <c r="C2034" i="3"/>
  <c r="D2034" i="3"/>
  <c r="C2035" i="3"/>
  <c r="D2035" i="3"/>
  <c r="C2036" i="3"/>
  <c r="D2036" i="3"/>
  <c r="C2037" i="3"/>
  <c r="D2037" i="3"/>
  <c r="C2038" i="3"/>
  <c r="D2038" i="3"/>
  <c r="C2039" i="3"/>
  <c r="D2039" i="3"/>
  <c r="C2040" i="3"/>
  <c r="D2040" i="3"/>
  <c r="C2041" i="3"/>
  <c r="D2041" i="3"/>
  <c r="C2042" i="3"/>
  <c r="D2042" i="3"/>
  <c r="C2043" i="3"/>
  <c r="D2043" i="3"/>
  <c r="C2044" i="3"/>
  <c r="D2044" i="3"/>
  <c r="C2045" i="3"/>
  <c r="D2045" i="3"/>
  <c r="C2046" i="3"/>
  <c r="D2046" i="3"/>
  <c r="C2047" i="3"/>
  <c r="D2047" i="3"/>
  <c r="C2048" i="3"/>
  <c r="D2048" i="3"/>
  <c r="C2049" i="3"/>
  <c r="D2049" i="3"/>
  <c r="C2050" i="3"/>
  <c r="D2050" i="3"/>
  <c r="C2051" i="3"/>
  <c r="D2051" i="3"/>
  <c r="C2052" i="3"/>
  <c r="D2052" i="3"/>
  <c r="C2053" i="3"/>
  <c r="D2053" i="3"/>
  <c r="C2054" i="3"/>
  <c r="D2054" i="3"/>
  <c r="C2055" i="3"/>
  <c r="D2055" i="3"/>
  <c r="C2056" i="3"/>
  <c r="D2056" i="3"/>
  <c r="C2057" i="3"/>
  <c r="D2057" i="3"/>
  <c r="C2058" i="3"/>
  <c r="D2058" i="3"/>
  <c r="C2059" i="3"/>
  <c r="D2059" i="3"/>
  <c r="C2060" i="3"/>
  <c r="D2060" i="3"/>
  <c r="C2061" i="3"/>
  <c r="D2061" i="3"/>
  <c r="C2062" i="3"/>
  <c r="D2062" i="3"/>
  <c r="C2063" i="3"/>
  <c r="D2063" i="3"/>
  <c r="C2064" i="3"/>
  <c r="D2064" i="3"/>
  <c r="C2065" i="3"/>
  <c r="D2065" i="3"/>
  <c r="C2066" i="3"/>
  <c r="D2066" i="3"/>
  <c r="C2067" i="3"/>
  <c r="D2067" i="3"/>
  <c r="C2068" i="3"/>
  <c r="D2068" i="3"/>
  <c r="C2069" i="3"/>
  <c r="D2069" i="3"/>
  <c r="C2070" i="3"/>
  <c r="D2070" i="3"/>
  <c r="C2071" i="3"/>
  <c r="D2071" i="3"/>
  <c r="C2072" i="3"/>
  <c r="D2072" i="3"/>
  <c r="C2073" i="3"/>
  <c r="D2073" i="3"/>
  <c r="C2074" i="3"/>
  <c r="D2074" i="3"/>
  <c r="C2075" i="3"/>
  <c r="D2075" i="3"/>
  <c r="C2076" i="3"/>
  <c r="D2076" i="3"/>
  <c r="C2077" i="3"/>
  <c r="D2077" i="3"/>
  <c r="C2078" i="3"/>
  <c r="D2078" i="3"/>
  <c r="C2079" i="3"/>
  <c r="D2079" i="3"/>
  <c r="C2080" i="3"/>
  <c r="D2080" i="3"/>
  <c r="C2081" i="3"/>
  <c r="D2081" i="3"/>
  <c r="C2082" i="3"/>
  <c r="D2082" i="3"/>
  <c r="C2083" i="3"/>
  <c r="D2083" i="3"/>
  <c r="C2084" i="3"/>
  <c r="D2084" i="3"/>
  <c r="C2085" i="3"/>
  <c r="D2085" i="3"/>
  <c r="C2086" i="3"/>
  <c r="D2086" i="3"/>
  <c r="C2087" i="3"/>
  <c r="D2087" i="3"/>
  <c r="C2088" i="3"/>
  <c r="D2088" i="3"/>
  <c r="C2089" i="3"/>
  <c r="D2089" i="3"/>
  <c r="C2090" i="3"/>
  <c r="D2090" i="3"/>
  <c r="C2091" i="3"/>
  <c r="D2091" i="3"/>
  <c r="C2092" i="3"/>
  <c r="D2092" i="3"/>
  <c r="C2093" i="3"/>
  <c r="D2093" i="3"/>
  <c r="C2094" i="3"/>
  <c r="D2094" i="3"/>
  <c r="C2095" i="3"/>
  <c r="D2095" i="3"/>
  <c r="C2096" i="3"/>
  <c r="D2096" i="3"/>
  <c r="C2097" i="3"/>
  <c r="D2097" i="3"/>
  <c r="C2098" i="3"/>
  <c r="D2098" i="3"/>
  <c r="C2099" i="3"/>
  <c r="D2099" i="3"/>
  <c r="C2100" i="3"/>
  <c r="D2100" i="3"/>
  <c r="C2101" i="3"/>
  <c r="D2101" i="3"/>
  <c r="C2102" i="3"/>
  <c r="D2102" i="3"/>
  <c r="C2103" i="3"/>
  <c r="D2103" i="3"/>
  <c r="C2104" i="3"/>
  <c r="D2104" i="3"/>
  <c r="C2105" i="3"/>
  <c r="D2105" i="3"/>
  <c r="C2106" i="3"/>
  <c r="D2106" i="3"/>
  <c r="C2107" i="3"/>
  <c r="D2107" i="3"/>
  <c r="C2108" i="3"/>
  <c r="D2108" i="3"/>
  <c r="C2109" i="3"/>
  <c r="D2109" i="3"/>
  <c r="C2110" i="3"/>
  <c r="D2110" i="3"/>
  <c r="C2111" i="3"/>
  <c r="D2111" i="3"/>
  <c r="C2112" i="3"/>
  <c r="D2112" i="3"/>
  <c r="C2113" i="3"/>
  <c r="D2113" i="3"/>
  <c r="C2114" i="3"/>
  <c r="D2114" i="3"/>
  <c r="C2115" i="3"/>
  <c r="D2115" i="3"/>
  <c r="C2116" i="3"/>
  <c r="D2116" i="3"/>
  <c r="C2117" i="3"/>
  <c r="D2117" i="3"/>
  <c r="C2118" i="3"/>
  <c r="D2118" i="3"/>
  <c r="C2119" i="3"/>
  <c r="D2119" i="3"/>
  <c r="C2120" i="3"/>
  <c r="D2120" i="3"/>
  <c r="C2121" i="3"/>
  <c r="D2121" i="3"/>
  <c r="C2122" i="3"/>
  <c r="D2122" i="3"/>
  <c r="C2123" i="3"/>
  <c r="D2123" i="3"/>
  <c r="C2124" i="3"/>
  <c r="D2124" i="3"/>
  <c r="C2125" i="3"/>
  <c r="D2125" i="3"/>
  <c r="C2126" i="3"/>
  <c r="D2126" i="3"/>
  <c r="C2127" i="3"/>
  <c r="D2127" i="3"/>
  <c r="C2128" i="3"/>
  <c r="D2128" i="3"/>
  <c r="C2129" i="3"/>
  <c r="D2129" i="3"/>
  <c r="C2130" i="3"/>
  <c r="D2130" i="3"/>
  <c r="C2131" i="3"/>
  <c r="D2131" i="3"/>
  <c r="C2132" i="3"/>
  <c r="D2132" i="3"/>
  <c r="C2133" i="3"/>
  <c r="D2133" i="3"/>
  <c r="C2134" i="3"/>
  <c r="D2134" i="3"/>
  <c r="C2135" i="3"/>
  <c r="D2135" i="3"/>
  <c r="C2136" i="3"/>
  <c r="D2136" i="3"/>
  <c r="C2137" i="3"/>
  <c r="D2137" i="3"/>
  <c r="C2138" i="3"/>
  <c r="D2138" i="3"/>
  <c r="C2139" i="3"/>
  <c r="D2139" i="3"/>
  <c r="C2140" i="3"/>
  <c r="D2140" i="3"/>
  <c r="C2141" i="3"/>
  <c r="D2141" i="3"/>
  <c r="C2142" i="3"/>
  <c r="D2142" i="3"/>
  <c r="C2143" i="3"/>
  <c r="D2143" i="3"/>
  <c r="C2144" i="3"/>
  <c r="D2144" i="3"/>
  <c r="C2145" i="3"/>
  <c r="D2145" i="3"/>
  <c r="C2146" i="3"/>
  <c r="D2146" i="3"/>
  <c r="C2147" i="3"/>
  <c r="D2147" i="3"/>
  <c r="C2148" i="3"/>
  <c r="D2148" i="3"/>
  <c r="C2149" i="3"/>
  <c r="D2149" i="3"/>
  <c r="C2150" i="3"/>
  <c r="D2150" i="3"/>
  <c r="C2151" i="3"/>
  <c r="D2151" i="3"/>
  <c r="C2152" i="3"/>
  <c r="D2152" i="3"/>
  <c r="C2153" i="3"/>
  <c r="D2153" i="3"/>
  <c r="C2154" i="3"/>
  <c r="D2154" i="3"/>
  <c r="C2155" i="3"/>
  <c r="D2155" i="3"/>
  <c r="C2156" i="3"/>
  <c r="D2156" i="3"/>
  <c r="C2157" i="3"/>
  <c r="D2157" i="3"/>
  <c r="C2158" i="3"/>
  <c r="D2158" i="3"/>
  <c r="C2159" i="3"/>
  <c r="D2159" i="3"/>
  <c r="C2160" i="3"/>
  <c r="D2160" i="3"/>
  <c r="C2161" i="3"/>
  <c r="D2161" i="3"/>
  <c r="C2162" i="3"/>
  <c r="D2162" i="3"/>
  <c r="C2163" i="3"/>
  <c r="D2163" i="3"/>
  <c r="C2164" i="3"/>
  <c r="D2164" i="3"/>
  <c r="C2165" i="3"/>
  <c r="D2165" i="3"/>
  <c r="C2166" i="3"/>
  <c r="D2166" i="3"/>
  <c r="C2167" i="3"/>
  <c r="D2167" i="3"/>
  <c r="C2168" i="3"/>
  <c r="D2168" i="3"/>
  <c r="C2169" i="3"/>
  <c r="D2169" i="3"/>
  <c r="C2170" i="3"/>
  <c r="D2170" i="3"/>
  <c r="C2171" i="3"/>
  <c r="D2171" i="3"/>
  <c r="C2172" i="3"/>
  <c r="D2172" i="3"/>
  <c r="C2173" i="3"/>
  <c r="D2173" i="3"/>
  <c r="C2174" i="3"/>
  <c r="D2174" i="3"/>
  <c r="C2175" i="3"/>
  <c r="D2175" i="3"/>
  <c r="C2176" i="3"/>
  <c r="D2176" i="3"/>
  <c r="C2177" i="3"/>
  <c r="D2177" i="3"/>
  <c r="C2178" i="3"/>
  <c r="D2178" i="3"/>
  <c r="C2179" i="3"/>
  <c r="D2179" i="3"/>
  <c r="C2180" i="3"/>
  <c r="D2180" i="3"/>
  <c r="C2181" i="3"/>
  <c r="D2181" i="3"/>
  <c r="C2182" i="3"/>
  <c r="D2182" i="3"/>
  <c r="C2183" i="3"/>
  <c r="D2183" i="3"/>
  <c r="C2184" i="3"/>
  <c r="D2184" i="3"/>
  <c r="C2185" i="3"/>
  <c r="D2185" i="3"/>
  <c r="C2186" i="3"/>
  <c r="D2186" i="3"/>
  <c r="C2187" i="3"/>
  <c r="D2187" i="3"/>
  <c r="C2188" i="3"/>
  <c r="D2188" i="3"/>
  <c r="C2189" i="3"/>
  <c r="D2189" i="3"/>
  <c r="C2190" i="3"/>
  <c r="D2190" i="3"/>
  <c r="C2191" i="3"/>
  <c r="D2191" i="3"/>
  <c r="C2192" i="3"/>
  <c r="D2192" i="3"/>
  <c r="C2193" i="3"/>
  <c r="D2193" i="3"/>
  <c r="C2194" i="3"/>
  <c r="D2194" i="3"/>
  <c r="C2195" i="3"/>
  <c r="D2195" i="3"/>
  <c r="C2196" i="3"/>
  <c r="D2196" i="3"/>
  <c r="C2197" i="3"/>
  <c r="D2197" i="3"/>
  <c r="C2198" i="3"/>
  <c r="D2198" i="3"/>
  <c r="C2199" i="3"/>
  <c r="D2199" i="3"/>
  <c r="C2200" i="3"/>
  <c r="D2200" i="3"/>
  <c r="C2201" i="3"/>
  <c r="D2201" i="3"/>
  <c r="C2202" i="3"/>
  <c r="D2202" i="3"/>
  <c r="C2203" i="3"/>
  <c r="D2203" i="3"/>
  <c r="C2204" i="3"/>
  <c r="D2204" i="3"/>
  <c r="C2205" i="3"/>
  <c r="D2205" i="3"/>
  <c r="C2206" i="3"/>
  <c r="D2206" i="3"/>
  <c r="C2207" i="3"/>
  <c r="D2207" i="3"/>
  <c r="C2208" i="3"/>
  <c r="D2208" i="3"/>
  <c r="C2209" i="3"/>
  <c r="D2209" i="3"/>
  <c r="C2210" i="3"/>
  <c r="D2210" i="3"/>
  <c r="C2211" i="3"/>
  <c r="D2211" i="3"/>
  <c r="C2212" i="3"/>
  <c r="D2212" i="3"/>
  <c r="C2213" i="3"/>
  <c r="D2213" i="3"/>
  <c r="C2214" i="3"/>
  <c r="D2214" i="3"/>
  <c r="C2215" i="3"/>
  <c r="D2215" i="3"/>
  <c r="C2216" i="3"/>
  <c r="D2216" i="3"/>
  <c r="C2217" i="3"/>
  <c r="D2217" i="3"/>
  <c r="C2218" i="3"/>
  <c r="D2218" i="3"/>
  <c r="C2219" i="3"/>
  <c r="D2219" i="3"/>
  <c r="C2220" i="3"/>
  <c r="D2220" i="3"/>
  <c r="C2221" i="3"/>
  <c r="D2221" i="3"/>
  <c r="C2222" i="3"/>
  <c r="D2222" i="3"/>
  <c r="C2223" i="3"/>
  <c r="D2223" i="3"/>
  <c r="C2224" i="3"/>
  <c r="D2224" i="3"/>
  <c r="C2225" i="3"/>
  <c r="D2225" i="3"/>
  <c r="C2226" i="3"/>
  <c r="D2226" i="3"/>
  <c r="C2227" i="3"/>
  <c r="D2227" i="3"/>
  <c r="C2228" i="3"/>
  <c r="D2228" i="3"/>
  <c r="C2229" i="3"/>
  <c r="D2229" i="3"/>
  <c r="C2230" i="3"/>
  <c r="D2230" i="3"/>
  <c r="C2231" i="3"/>
  <c r="D2231" i="3"/>
  <c r="C2232" i="3"/>
  <c r="D2232" i="3"/>
  <c r="C2233" i="3"/>
  <c r="D2233" i="3"/>
  <c r="C2234" i="3"/>
  <c r="D2234" i="3"/>
  <c r="C2235" i="3"/>
  <c r="D2235" i="3"/>
  <c r="C2236" i="3"/>
  <c r="D2236" i="3"/>
  <c r="C2237" i="3"/>
  <c r="D2237" i="3"/>
  <c r="C2238" i="3"/>
  <c r="D2238" i="3"/>
  <c r="C2239" i="3"/>
  <c r="D2239" i="3"/>
  <c r="C2240" i="3"/>
  <c r="D2240" i="3"/>
  <c r="C2241" i="3"/>
  <c r="D2241" i="3"/>
  <c r="C2242" i="3"/>
  <c r="D2242" i="3"/>
  <c r="C2243" i="3"/>
  <c r="D2243" i="3"/>
  <c r="C2244" i="3"/>
  <c r="D2244" i="3"/>
  <c r="C2245" i="3"/>
  <c r="D2245" i="3"/>
  <c r="C2246" i="3"/>
  <c r="D2246" i="3"/>
  <c r="C2247" i="3"/>
  <c r="D2247" i="3"/>
  <c r="C2248" i="3"/>
  <c r="D2248" i="3"/>
  <c r="C2249" i="3"/>
  <c r="D2249" i="3"/>
  <c r="C2250" i="3"/>
  <c r="D2250" i="3"/>
  <c r="C2251" i="3"/>
  <c r="D2251" i="3"/>
  <c r="C2252" i="3"/>
  <c r="D2252" i="3"/>
  <c r="C2253" i="3"/>
  <c r="D2253" i="3"/>
  <c r="C2254" i="3"/>
  <c r="D2254" i="3"/>
  <c r="C2255" i="3"/>
  <c r="D2255" i="3"/>
  <c r="C2256" i="3"/>
  <c r="D2256" i="3"/>
  <c r="C2257" i="3"/>
  <c r="D2257" i="3"/>
  <c r="C2258" i="3"/>
  <c r="D2258" i="3"/>
  <c r="C2259" i="3"/>
  <c r="D2259" i="3"/>
  <c r="C2260" i="3"/>
  <c r="D2260" i="3"/>
  <c r="C2261" i="3"/>
  <c r="D2261" i="3"/>
  <c r="C2262" i="3"/>
  <c r="D2262" i="3"/>
  <c r="C2263" i="3"/>
  <c r="D2263" i="3"/>
  <c r="C2264" i="3"/>
  <c r="D2264" i="3"/>
  <c r="C2265" i="3"/>
  <c r="D2265" i="3"/>
  <c r="C2266" i="3"/>
  <c r="D2266" i="3"/>
  <c r="C2267" i="3"/>
  <c r="D2267" i="3"/>
  <c r="C2268" i="3"/>
  <c r="D2268" i="3"/>
  <c r="C2269" i="3"/>
  <c r="D2269" i="3"/>
  <c r="C2270" i="3"/>
  <c r="D2270" i="3"/>
  <c r="C2271" i="3"/>
  <c r="D2271" i="3"/>
  <c r="C2272" i="3"/>
  <c r="D2272" i="3"/>
  <c r="C2273" i="3"/>
  <c r="D2273" i="3"/>
  <c r="C2274" i="3"/>
  <c r="D2274" i="3"/>
  <c r="C2275" i="3"/>
  <c r="D2275" i="3"/>
  <c r="C2276" i="3"/>
  <c r="D2276" i="3"/>
  <c r="C2277" i="3"/>
  <c r="D2277" i="3"/>
  <c r="C2278" i="3"/>
  <c r="D2278" i="3"/>
  <c r="C2279" i="3"/>
  <c r="D2279" i="3"/>
  <c r="C2280" i="3"/>
  <c r="D2280" i="3"/>
  <c r="C2281" i="3"/>
  <c r="D2281" i="3"/>
  <c r="C2282" i="3"/>
  <c r="D2282" i="3"/>
  <c r="C2283" i="3"/>
  <c r="D2283" i="3"/>
  <c r="C2284" i="3"/>
  <c r="D2284" i="3"/>
  <c r="C2285" i="3"/>
  <c r="D2285" i="3"/>
  <c r="C2286" i="3"/>
  <c r="D2286" i="3"/>
  <c r="C2287" i="3"/>
  <c r="D2287" i="3"/>
  <c r="C2288" i="3"/>
  <c r="D2288" i="3"/>
  <c r="C2289" i="3"/>
  <c r="D2289" i="3"/>
  <c r="C2290" i="3"/>
  <c r="D2290" i="3"/>
  <c r="C2291" i="3"/>
  <c r="D2291" i="3"/>
  <c r="C2292" i="3"/>
  <c r="D2292" i="3"/>
  <c r="C2293" i="3"/>
  <c r="D2293" i="3"/>
  <c r="C2294" i="3"/>
  <c r="D2294" i="3"/>
  <c r="C2295" i="3"/>
  <c r="D2295" i="3"/>
  <c r="C2296" i="3"/>
  <c r="D2296" i="3"/>
  <c r="C2297" i="3"/>
  <c r="D2297" i="3"/>
  <c r="C2298" i="3"/>
  <c r="D2298" i="3"/>
  <c r="C2299" i="3"/>
  <c r="D2299" i="3"/>
  <c r="C2300" i="3"/>
  <c r="D2300" i="3"/>
  <c r="C2301" i="3"/>
  <c r="D2301" i="3"/>
  <c r="C2302" i="3"/>
  <c r="D2302" i="3"/>
  <c r="C2303" i="3"/>
  <c r="D2303" i="3"/>
  <c r="C2304" i="3"/>
  <c r="D2304" i="3"/>
  <c r="C2305" i="3"/>
  <c r="D2305" i="3"/>
  <c r="C2306" i="3"/>
  <c r="D2306" i="3"/>
  <c r="C2307" i="3"/>
  <c r="D2307" i="3"/>
  <c r="C2308" i="3"/>
  <c r="D2308" i="3"/>
  <c r="C2309" i="3"/>
  <c r="D2309" i="3"/>
  <c r="C2310" i="3"/>
  <c r="D2310" i="3"/>
  <c r="C2311" i="3"/>
  <c r="D2311" i="3"/>
  <c r="C2312" i="3"/>
  <c r="D2312" i="3"/>
  <c r="C2313" i="3"/>
  <c r="D2313" i="3"/>
  <c r="C2314" i="3"/>
  <c r="D2314" i="3"/>
  <c r="C2315" i="3"/>
  <c r="D2315" i="3"/>
  <c r="C2316" i="3"/>
  <c r="D2316" i="3"/>
  <c r="C2317" i="3"/>
  <c r="D2317" i="3"/>
  <c r="C2318" i="3"/>
  <c r="D2318" i="3"/>
  <c r="C2319" i="3"/>
  <c r="D2319" i="3"/>
  <c r="C2320" i="3"/>
  <c r="D2320" i="3"/>
  <c r="C2321" i="3"/>
  <c r="D2321" i="3"/>
  <c r="C2322" i="3"/>
  <c r="D2322" i="3"/>
  <c r="C2323" i="3"/>
  <c r="D2323" i="3"/>
  <c r="C2324" i="3"/>
  <c r="D2324" i="3"/>
  <c r="C2325" i="3"/>
  <c r="D2325" i="3"/>
  <c r="C2326" i="3"/>
  <c r="D2326" i="3"/>
  <c r="C2327" i="3"/>
  <c r="D2327" i="3"/>
  <c r="C2328" i="3"/>
  <c r="D2328" i="3"/>
  <c r="C2329" i="3"/>
  <c r="D2329" i="3"/>
  <c r="C2330" i="3"/>
  <c r="D2330" i="3"/>
  <c r="C2331" i="3"/>
  <c r="D2331" i="3"/>
  <c r="C2332" i="3"/>
  <c r="D2332" i="3"/>
  <c r="C2333" i="3"/>
  <c r="D2333" i="3"/>
  <c r="C2334" i="3"/>
  <c r="D2334" i="3"/>
  <c r="C2335" i="3"/>
  <c r="D2335" i="3"/>
  <c r="C2336" i="3"/>
  <c r="D2336" i="3"/>
  <c r="C2337" i="3"/>
  <c r="D2337" i="3"/>
  <c r="C2338" i="3"/>
  <c r="D2338" i="3"/>
  <c r="C2339" i="3"/>
  <c r="D2339" i="3"/>
  <c r="C2340" i="3"/>
  <c r="D2340" i="3"/>
  <c r="C2341" i="3"/>
  <c r="D2341" i="3"/>
  <c r="C2342" i="3"/>
  <c r="D2342" i="3"/>
  <c r="C2343" i="3"/>
  <c r="D2343" i="3"/>
  <c r="C2344" i="3"/>
  <c r="D2344" i="3"/>
  <c r="C2345" i="3"/>
  <c r="D2345" i="3"/>
  <c r="C2346" i="3"/>
  <c r="D2346" i="3"/>
  <c r="C2347" i="3"/>
  <c r="D2347" i="3"/>
  <c r="C2348" i="3"/>
  <c r="D2348" i="3"/>
  <c r="C2349" i="3"/>
  <c r="D2349" i="3"/>
  <c r="C2350" i="3"/>
  <c r="D2350" i="3"/>
  <c r="C2351" i="3"/>
  <c r="D2351" i="3"/>
  <c r="C2352" i="3"/>
  <c r="D2352" i="3"/>
  <c r="C2353" i="3"/>
  <c r="D2353" i="3"/>
  <c r="C2354" i="3"/>
  <c r="D2354" i="3"/>
  <c r="C2355" i="3"/>
  <c r="D2355" i="3"/>
  <c r="C2356" i="3"/>
  <c r="D2356" i="3"/>
  <c r="C2357" i="3"/>
  <c r="D2357" i="3"/>
  <c r="C2358" i="3"/>
  <c r="D2358" i="3"/>
  <c r="C2359" i="3"/>
  <c r="D2359" i="3"/>
  <c r="C2360" i="3"/>
  <c r="D2360" i="3"/>
  <c r="C2361" i="3"/>
  <c r="D2361" i="3"/>
  <c r="C2362" i="3"/>
  <c r="D2362" i="3"/>
  <c r="C2363" i="3"/>
  <c r="D2363" i="3"/>
  <c r="C2364" i="3"/>
  <c r="D2364" i="3"/>
  <c r="C2365" i="3"/>
  <c r="D2365" i="3"/>
  <c r="C2366" i="3"/>
  <c r="D2366" i="3"/>
  <c r="C2367" i="3"/>
  <c r="D2367" i="3"/>
  <c r="C2368" i="3"/>
  <c r="D2368" i="3"/>
  <c r="C2369" i="3"/>
  <c r="D2369" i="3"/>
  <c r="C2370" i="3"/>
  <c r="D2370" i="3"/>
  <c r="C2371" i="3"/>
  <c r="D2371" i="3"/>
  <c r="C2372" i="3"/>
  <c r="D2372" i="3"/>
  <c r="C2373" i="3"/>
  <c r="D2373" i="3"/>
  <c r="C2374" i="3"/>
  <c r="D2374" i="3"/>
  <c r="C2375" i="3"/>
  <c r="D2375" i="3"/>
  <c r="C2376" i="3"/>
  <c r="D2376" i="3"/>
  <c r="C2377" i="3"/>
  <c r="D2377" i="3"/>
  <c r="C2378" i="3"/>
  <c r="D2378" i="3"/>
  <c r="C2379" i="3"/>
  <c r="D2379" i="3"/>
  <c r="C2380" i="3"/>
  <c r="D2380" i="3"/>
  <c r="C2381" i="3"/>
  <c r="D2381" i="3"/>
  <c r="C2382" i="3"/>
  <c r="D2382" i="3"/>
  <c r="C2383" i="3"/>
  <c r="D2383" i="3"/>
  <c r="C2384" i="3"/>
  <c r="D2384" i="3"/>
  <c r="C2385" i="3"/>
  <c r="D2385" i="3"/>
  <c r="C2386" i="3"/>
  <c r="D2386" i="3"/>
  <c r="C2387" i="3"/>
  <c r="D2387" i="3"/>
  <c r="C2388" i="3"/>
  <c r="D2388" i="3"/>
  <c r="C2389" i="3"/>
  <c r="D2389" i="3"/>
  <c r="C2390" i="3"/>
  <c r="D2390" i="3"/>
  <c r="C2391" i="3"/>
  <c r="D2391" i="3"/>
  <c r="C2392" i="3"/>
  <c r="D2392" i="3"/>
  <c r="C2393" i="3"/>
  <c r="D2393" i="3"/>
  <c r="C2394" i="3"/>
  <c r="D2394" i="3"/>
  <c r="C2395" i="3"/>
  <c r="D2395" i="3"/>
  <c r="C2396" i="3"/>
  <c r="D2396" i="3"/>
  <c r="C2397" i="3"/>
  <c r="D2397" i="3"/>
  <c r="C2398" i="3"/>
  <c r="D2398" i="3"/>
  <c r="C2399" i="3"/>
  <c r="D2399" i="3"/>
  <c r="C2400" i="3"/>
  <c r="D2400" i="3"/>
  <c r="C2401" i="3"/>
  <c r="D2401" i="3"/>
  <c r="C2402" i="3"/>
  <c r="D2402" i="3"/>
  <c r="C2403" i="3"/>
  <c r="D2403" i="3"/>
  <c r="C2404" i="3"/>
  <c r="D2404" i="3"/>
  <c r="C2405" i="3"/>
  <c r="D2405" i="3"/>
  <c r="C2406" i="3"/>
  <c r="D2406" i="3"/>
  <c r="C2407" i="3"/>
  <c r="D2407" i="3"/>
  <c r="C2408" i="3"/>
  <c r="D2408" i="3"/>
  <c r="C2409" i="3"/>
  <c r="D2409" i="3"/>
  <c r="C2410" i="3"/>
  <c r="D2410" i="3"/>
  <c r="C2411" i="3"/>
  <c r="D2411" i="3"/>
  <c r="C2412" i="3"/>
  <c r="D2412" i="3"/>
  <c r="C2413" i="3"/>
  <c r="D2413" i="3"/>
  <c r="C2414" i="3"/>
  <c r="D2414" i="3"/>
  <c r="C2415" i="3"/>
  <c r="D2415" i="3"/>
  <c r="C2416" i="3"/>
  <c r="D2416" i="3"/>
  <c r="C2417" i="3"/>
  <c r="D2417" i="3"/>
  <c r="C2418" i="3"/>
  <c r="D2418" i="3"/>
  <c r="C2419" i="3"/>
  <c r="D2419" i="3"/>
  <c r="C2420" i="3"/>
  <c r="D2420" i="3"/>
  <c r="C2421" i="3"/>
  <c r="D2421" i="3"/>
  <c r="C2422" i="3"/>
  <c r="D2422" i="3"/>
  <c r="C2423" i="3"/>
  <c r="D2423" i="3"/>
  <c r="C2424" i="3"/>
  <c r="D2424" i="3"/>
  <c r="C2425" i="3"/>
  <c r="D2425" i="3"/>
  <c r="C2426" i="3"/>
  <c r="D2426" i="3"/>
  <c r="C2427" i="3"/>
  <c r="D2427" i="3"/>
  <c r="C2428" i="3"/>
  <c r="D2428" i="3"/>
  <c r="C2429" i="3"/>
  <c r="D2429" i="3"/>
  <c r="C2430" i="3"/>
  <c r="D2430" i="3"/>
  <c r="C2431" i="3"/>
  <c r="D2431" i="3"/>
  <c r="C2432" i="3"/>
  <c r="D2432" i="3"/>
  <c r="C2433" i="3"/>
  <c r="D2433" i="3"/>
  <c r="C2434" i="3"/>
  <c r="D2434" i="3"/>
  <c r="C2435" i="3"/>
  <c r="D2435" i="3"/>
  <c r="C2436" i="3"/>
  <c r="D2436" i="3"/>
  <c r="C2437" i="3"/>
  <c r="D2437" i="3"/>
  <c r="C2438" i="3"/>
  <c r="D2438" i="3"/>
  <c r="C2439" i="3"/>
  <c r="D2439" i="3"/>
  <c r="C2440" i="3"/>
  <c r="D2440" i="3"/>
  <c r="C2441" i="3"/>
  <c r="D2441" i="3"/>
  <c r="C2442" i="3"/>
  <c r="D2442" i="3"/>
  <c r="C2443" i="3"/>
  <c r="D2443" i="3"/>
  <c r="C2444" i="3"/>
  <c r="D2444" i="3"/>
  <c r="C2445" i="3"/>
  <c r="D2445" i="3"/>
  <c r="C2446" i="3"/>
  <c r="D2446" i="3"/>
  <c r="C2447" i="3"/>
  <c r="D2447" i="3"/>
  <c r="C2448" i="3"/>
  <c r="D2448" i="3"/>
  <c r="C2449" i="3"/>
  <c r="D2449" i="3"/>
  <c r="C2450" i="3"/>
  <c r="D2450" i="3"/>
  <c r="C2451" i="3"/>
  <c r="D2451" i="3"/>
  <c r="C2452" i="3"/>
  <c r="D2452" i="3"/>
  <c r="C2453" i="3"/>
  <c r="D2453" i="3"/>
  <c r="C2454" i="3"/>
  <c r="D2454" i="3"/>
  <c r="C2455" i="3"/>
  <c r="D2455" i="3"/>
  <c r="C2456" i="3"/>
  <c r="D2456" i="3"/>
  <c r="C2457" i="3"/>
  <c r="D2457" i="3"/>
  <c r="C2458" i="3"/>
  <c r="D2458" i="3"/>
  <c r="C2459" i="3"/>
  <c r="D2459" i="3"/>
  <c r="C2460" i="3"/>
  <c r="D2460" i="3"/>
  <c r="C2461" i="3"/>
  <c r="D2461" i="3"/>
  <c r="C2462" i="3"/>
  <c r="D2462" i="3"/>
  <c r="C2463" i="3"/>
  <c r="D2463" i="3"/>
  <c r="C2464" i="3"/>
  <c r="D2464" i="3"/>
  <c r="C2465" i="3"/>
  <c r="D2465" i="3"/>
  <c r="C2466" i="3"/>
  <c r="D2466" i="3"/>
  <c r="C2467" i="3"/>
  <c r="D2467" i="3"/>
  <c r="C2468" i="3"/>
  <c r="D2468" i="3"/>
  <c r="C2469" i="3"/>
  <c r="D2469" i="3"/>
  <c r="C2470" i="3"/>
  <c r="D2470" i="3"/>
  <c r="C2471" i="3"/>
  <c r="D2471" i="3"/>
  <c r="C2472" i="3"/>
  <c r="D2472" i="3"/>
  <c r="C2473" i="3"/>
  <c r="D2473" i="3"/>
  <c r="C2474" i="3"/>
  <c r="D2474" i="3"/>
  <c r="C2475" i="3"/>
  <c r="D2475" i="3"/>
  <c r="C2476" i="3"/>
  <c r="D2476" i="3"/>
  <c r="C2477" i="3"/>
  <c r="D2477" i="3"/>
  <c r="C2478" i="3"/>
  <c r="D2478" i="3"/>
  <c r="C2479" i="3"/>
  <c r="D2479" i="3"/>
  <c r="C2480" i="3"/>
  <c r="D2480" i="3"/>
  <c r="C2481" i="3"/>
  <c r="D2481" i="3"/>
  <c r="C2482" i="3"/>
  <c r="D2482" i="3"/>
  <c r="C2483" i="3"/>
  <c r="D2483" i="3"/>
  <c r="C2484" i="3"/>
  <c r="D2484" i="3"/>
  <c r="C2485" i="3"/>
  <c r="D2485" i="3"/>
  <c r="C2486" i="3"/>
  <c r="D2486" i="3"/>
  <c r="C2487" i="3"/>
  <c r="D2487" i="3"/>
  <c r="C2488" i="3"/>
  <c r="D2488" i="3"/>
  <c r="C2489" i="3"/>
  <c r="D2489" i="3"/>
  <c r="C2490" i="3"/>
  <c r="D2490" i="3"/>
  <c r="C2491" i="3"/>
  <c r="D2491" i="3"/>
  <c r="C2492" i="3"/>
  <c r="D2492" i="3"/>
  <c r="C2493" i="3"/>
  <c r="D2493" i="3"/>
  <c r="C2494" i="3"/>
  <c r="D2494" i="3"/>
  <c r="C2495" i="3"/>
  <c r="D2495" i="3"/>
  <c r="C2496" i="3"/>
  <c r="D2496" i="3"/>
  <c r="C2497" i="3"/>
  <c r="D2497" i="3"/>
  <c r="C2498" i="3"/>
  <c r="D2498" i="3"/>
  <c r="C2499" i="3"/>
  <c r="D2499" i="3"/>
  <c r="C2500" i="3"/>
  <c r="D2500" i="3"/>
  <c r="C2501" i="3"/>
  <c r="D2501" i="3"/>
  <c r="C2502" i="3"/>
  <c r="D2502" i="3"/>
  <c r="C2503" i="3"/>
  <c r="D2503" i="3"/>
  <c r="C2504" i="3"/>
  <c r="D2504" i="3"/>
  <c r="C2505" i="3"/>
  <c r="D2505" i="3"/>
  <c r="C2506" i="3"/>
  <c r="D2506" i="3"/>
  <c r="C2507" i="3"/>
  <c r="D2507" i="3"/>
  <c r="C2508" i="3"/>
  <c r="D2508" i="3"/>
  <c r="C2509" i="3"/>
  <c r="D2509" i="3"/>
  <c r="C2510" i="3"/>
  <c r="D2510" i="3"/>
  <c r="C2511" i="3"/>
  <c r="D2511" i="3"/>
  <c r="C2512" i="3"/>
  <c r="D2512" i="3"/>
  <c r="C2513" i="3"/>
  <c r="D2513" i="3"/>
  <c r="C2514" i="3"/>
  <c r="D2514" i="3"/>
  <c r="C2515" i="3"/>
  <c r="D2515" i="3"/>
  <c r="C2516" i="3"/>
  <c r="D2516" i="3"/>
  <c r="C2517" i="3"/>
  <c r="D2517" i="3"/>
  <c r="C2518" i="3"/>
  <c r="D2518" i="3"/>
  <c r="C2519" i="3"/>
  <c r="D2519" i="3"/>
  <c r="C2520" i="3"/>
  <c r="D2520" i="3"/>
  <c r="C2521" i="3"/>
  <c r="D2521" i="3"/>
  <c r="C2522" i="3"/>
  <c r="D2522" i="3"/>
  <c r="C2523" i="3"/>
  <c r="D2523" i="3"/>
  <c r="C2524" i="3"/>
  <c r="D2524" i="3"/>
  <c r="C2525" i="3"/>
  <c r="D2525" i="3"/>
  <c r="C2526" i="3"/>
  <c r="D2526" i="3"/>
  <c r="C2527" i="3"/>
  <c r="D2527" i="3"/>
  <c r="C2528" i="3"/>
  <c r="D2528" i="3"/>
  <c r="C2529" i="3"/>
  <c r="D2529" i="3"/>
  <c r="C2530" i="3"/>
  <c r="D2530" i="3"/>
  <c r="C2531" i="3"/>
  <c r="D2531" i="3"/>
  <c r="C2532" i="3"/>
  <c r="D2532" i="3"/>
  <c r="C2533" i="3"/>
  <c r="D2533" i="3"/>
  <c r="C2534" i="3"/>
  <c r="D2534" i="3"/>
  <c r="C2535" i="3"/>
  <c r="D2535" i="3"/>
  <c r="C2536" i="3"/>
  <c r="D2536" i="3"/>
  <c r="C2537" i="3"/>
  <c r="D2537" i="3"/>
  <c r="C2538" i="3"/>
  <c r="D2538" i="3"/>
  <c r="C2539" i="3"/>
  <c r="D2539" i="3"/>
  <c r="C2540" i="3"/>
  <c r="D2540" i="3"/>
  <c r="C2541" i="3"/>
  <c r="D2541" i="3"/>
  <c r="C2542" i="3"/>
  <c r="D2542" i="3"/>
  <c r="C2543" i="3"/>
  <c r="D2543" i="3"/>
  <c r="C2544" i="3"/>
  <c r="D2544" i="3"/>
  <c r="C2545" i="3"/>
  <c r="D2545" i="3"/>
  <c r="C2546" i="3"/>
  <c r="D2546" i="3"/>
  <c r="C2547" i="3"/>
  <c r="D2547" i="3"/>
  <c r="C2548" i="3"/>
  <c r="D2548" i="3"/>
  <c r="C2549" i="3"/>
  <c r="D2549" i="3"/>
  <c r="C2550" i="3"/>
  <c r="D2550" i="3"/>
  <c r="C2551" i="3"/>
  <c r="D2551" i="3"/>
  <c r="C2552" i="3"/>
  <c r="D2552" i="3"/>
  <c r="C2553" i="3"/>
  <c r="D2553" i="3"/>
  <c r="C2554" i="3"/>
  <c r="D2554" i="3"/>
  <c r="C2555" i="3"/>
  <c r="D2555" i="3"/>
  <c r="C2556" i="3"/>
  <c r="D2556" i="3"/>
  <c r="C2557" i="3"/>
  <c r="D2557" i="3"/>
  <c r="C2558" i="3"/>
  <c r="D2558" i="3"/>
  <c r="C2559" i="3"/>
  <c r="D2559" i="3"/>
  <c r="C2560" i="3"/>
  <c r="D2560" i="3"/>
  <c r="C2561" i="3"/>
  <c r="D2561" i="3"/>
  <c r="C2562" i="3"/>
  <c r="D2562" i="3"/>
  <c r="C2563" i="3"/>
  <c r="D2563" i="3"/>
  <c r="C2564" i="3"/>
  <c r="D2564" i="3"/>
  <c r="C2565" i="3"/>
  <c r="D2565" i="3"/>
  <c r="C2566" i="3"/>
  <c r="D2566" i="3"/>
  <c r="C2567" i="3"/>
  <c r="D2567" i="3"/>
  <c r="C2568" i="3"/>
  <c r="D2568" i="3"/>
  <c r="C2569" i="3"/>
  <c r="D2569" i="3"/>
  <c r="C2570" i="3"/>
  <c r="D2570" i="3"/>
  <c r="C2571" i="3"/>
  <c r="D2571" i="3"/>
  <c r="C2572" i="3"/>
  <c r="D2572" i="3"/>
  <c r="C2573" i="3"/>
  <c r="D2573" i="3"/>
  <c r="C2574" i="3"/>
  <c r="D2574" i="3"/>
  <c r="C2575" i="3"/>
  <c r="D2575" i="3"/>
  <c r="C2576" i="3"/>
  <c r="D2576" i="3"/>
  <c r="C2577" i="3"/>
  <c r="D2577" i="3"/>
  <c r="C2578" i="3"/>
  <c r="D2578" i="3"/>
  <c r="C2579" i="3"/>
  <c r="D2579" i="3"/>
  <c r="C2580" i="3"/>
  <c r="D2580" i="3"/>
  <c r="C2581" i="3"/>
  <c r="D2581" i="3"/>
  <c r="C2582" i="3"/>
  <c r="D2582" i="3"/>
  <c r="C2583" i="3"/>
  <c r="D2583" i="3"/>
  <c r="C2584" i="3"/>
  <c r="D2584" i="3"/>
  <c r="C2585" i="3"/>
  <c r="D2585" i="3"/>
  <c r="C2586" i="3"/>
  <c r="D2586" i="3"/>
  <c r="C2587" i="3"/>
  <c r="D2587" i="3"/>
  <c r="C2588" i="3"/>
  <c r="D2588" i="3"/>
  <c r="C2589" i="3"/>
  <c r="D2589" i="3"/>
  <c r="C2590" i="3"/>
  <c r="D2590" i="3"/>
  <c r="C2591" i="3"/>
  <c r="D2591" i="3"/>
  <c r="C2592" i="3"/>
  <c r="D2592" i="3"/>
  <c r="C2593" i="3"/>
  <c r="D2593" i="3"/>
  <c r="C2594" i="3"/>
  <c r="D2594" i="3"/>
  <c r="C2595" i="3"/>
  <c r="D2595" i="3"/>
  <c r="C2596" i="3"/>
  <c r="D2596" i="3"/>
  <c r="C2597" i="3"/>
  <c r="D2597" i="3"/>
  <c r="C2598" i="3"/>
  <c r="D2598" i="3"/>
  <c r="C2599" i="3"/>
  <c r="D2599" i="3"/>
  <c r="C2600" i="3"/>
  <c r="D2600" i="3"/>
  <c r="C2601" i="3"/>
  <c r="D2601" i="3"/>
  <c r="C2602" i="3"/>
  <c r="D2602" i="3"/>
  <c r="C2603" i="3"/>
  <c r="D2603" i="3"/>
  <c r="C2604" i="3"/>
  <c r="D2604" i="3"/>
  <c r="C2605" i="3"/>
  <c r="D2605" i="3"/>
  <c r="C2606" i="3"/>
  <c r="D2606" i="3"/>
  <c r="C2607" i="3"/>
  <c r="D2607" i="3"/>
  <c r="C2608" i="3"/>
  <c r="D2608" i="3"/>
  <c r="C2609" i="3"/>
  <c r="D2609" i="3"/>
  <c r="C2610" i="3"/>
  <c r="D2610" i="3"/>
  <c r="C2611" i="3"/>
  <c r="D2611" i="3"/>
  <c r="C2612" i="3"/>
  <c r="D2612" i="3"/>
  <c r="C2613" i="3"/>
  <c r="D2613" i="3"/>
  <c r="C2614" i="3"/>
  <c r="D2614" i="3"/>
  <c r="C2615" i="3"/>
  <c r="D2615" i="3"/>
  <c r="C2616" i="3"/>
  <c r="D2616" i="3"/>
  <c r="C2617" i="3"/>
  <c r="D2617" i="3"/>
  <c r="C2618" i="3"/>
  <c r="D2618" i="3"/>
  <c r="C2619" i="3"/>
  <c r="D2619" i="3"/>
  <c r="C2620" i="3"/>
  <c r="D2620" i="3"/>
  <c r="C2621" i="3"/>
  <c r="D2621" i="3"/>
  <c r="C2622" i="3"/>
  <c r="D2622" i="3"/>
  <c r="C2623" i="3"/>
  <c r="D2623" i="3"/>
  <c r="C2624" i="3"/>
  <c r="D2624" i="3"/>
  <c r="C2625" i="3"/>
  <c r="D2625" i="3"/>
  <c r="C2626" i="3"/>
  <c r="D2626" i="3"/>
  <c r="C2627" i="3"/>
  <c r="D2627" i="3"/>
  <c r="C2628" i="3"/>
  <c r="D2628" i="3"/>
  <c r="C2629" i="3"/>
  <c r="D2629" i="3"/>
  <c r="C2630" i="3"/>
  <c r="D2630" i="3"/>
  <c r="C2631" i="3"/>
  <c r="D2631" i="3"/>
  <c r="C2632" i="3"/>
  <c r="D2632" i="3"/>
  <c r="C2633" i="3"/>
  <c r="D2633" i="3"/>
  <c r="C2634" i="3"/>
  <c r="D2634" i="3"/>
  <c r="C2635" i="3"/>
  <c r="D2635" i="3"/>
  <c r="C2636" i="3"/>
  <c r="D2636" i="3"/>
  <c r="C2637" i="3"/>
  <c r="D2637" i="3"/>
  <c r="C2638" i="3"/>
  <c r="D2638" i="3"/>
  <c r="C2639" i="3"/>
  <c r="D2639" i="3"/>
  <c r="C2640" i="3"/>
  <c r="D2640" i="3"/>
  <c r="C2641" i="3"/>
  <c r="D2641" i="3"/>
  <c r="C2642" i="3"/>
  <c r="D2642" i="3"/>
  <c r="C2643" i="3"/>
  <c r="D2643" i="3"/>
  <c r="C2644" i="3"/>
  <c r="D2644" i="3"/>
  <c r="C2645" i="3"/>
  <c r="D2645" i="3"/>
  <c r="C2646" i="3"/>
  <c r="D2646" i="3"/>
  <c r="C2647" i="3"/>
  <c r="D2647" i="3"/>
  <c r="C2648" i="3"/>
  <c r="D2648" i="3"/>
  <c r="C2649" i="3"/>
  <c r="D2649" i="3"/>
  <c r="C2650" i="3"/>
  <c r="D2650" i="3"/>
  <c r="C2651" i="3"/>
  <c r="D2651" i="3"/>
  <c r="C2652" i="3"/>
  <c r="D2652" i="3"/>
  <c r="C2653" i="3"/>
  <c r="D2653" i="3"/>
  <c r="C2654" i="3"/>
  <c r="D2654" i="3"/>
  <c r="C2655" i="3"/>
  <c r="D2655" i="3"/>
  <c r="C2656" i="3"/>
  <c r="D2656" i="3"/>
  <c r="C2657" i="3"/>
  <c r="D2657" i="3"/>
  <c r="C2658" i="3"/>
  <c r="D2658" i="3"/>
  <c r="C2659" i="3"/>
  <c r="D2659" i="3"/>
  <c r="C2660" i="3"/>
  <c r="D2660" i="3"/>
  <c r="C2661" i="3"/>
  <c r="D2661" i="3"/>
  <c r="C2662" i="3"/>
  <c r="D2662" i="3"/>
  <c r="C2663" i="3"/>
  <c r="D2663" i="3"/>
  <c r="C2664" i="3"/>
  <c r="D2664" i="3"/>
  <c r="C2665" i="3"/>
  <c r="D2665" i="3"/>
  <c r="C2666" i="3"/>
  <c r="D2666" i="3"/>
  <c r="C2667" i="3"/>
  <c r="D2667" i="3"/>
  <c r="C2668" i="3"/>
  <c r="D2668" i="3"/>
  <c r="C2669" i="3"/>
  <c r="D2669" i="3"/>
  <c r="C2670" i="3"/>
  <c r="D2670" i="3"/>
  <c r="C2671" i="3"/>
  <c r="D2671" i="3"/>
  <c r="C2672" i="3"/>
  <c r="D2672" i="3"/>
  <c r="C2673" i="3"/>
  <c r="D2673" i="3"/>
  <c r="C2674" i="3"/>
  <c r="D2674" i="3"/>
  <c r="C2675" i="3"/>
  <c r="D2675" i="3"/>
  <c r="C2676" i="3"/>
  <c r="D2676" i="3"/>
  <c r="C2677" i="3"/>
  <c r="D2677" i="3"/>
  <c r="C2678" i="3"/>
  <c r="D2678" i="3"/>
  <c r="C2679" i="3"/>
  <c r="D2679" i="3"/>
  <c r="C2680" i="3"/>
  <c r="D2680" i="3"/>
  <c r="C2681" i="3"/>
  <c r="D2681" i="3"/>
  <c r="C2682" i="3"/>
  <c r="D2682" i="3"/>
  <c r="C2683" i="3"/>
  <c r="D2683" i="3"/>
  <c r="C2684" i="3"/>
  <c r="D2684" i="3"/>
  <c r="C2685" i="3"/>
  <c r="D2685" i="3"/>
  <c r="C2686" i="3"/>
  <c r="D2686" i="3"/>
  <c r="C2687" i="3"/>
  <c r="D2687" i="3"/>
  <c r="C2688" i="3"/>
  <c r="D2688" i="3"/>
  <c r="C2689" i="3"/>
  <c r="D2689" i="3"/>
  <c r="C2690" i="3"/>
  <c r="D2690" i="3"/>
  <c r="C2691" i="3"/>
  <c r="D2691" i="3"/>
  <c r="C2692" i="3"/>
  <c r="D2692" i="3"/>
  <c r="C2693" i="3"/>
  <c r="D2693" i="3"/>
  <c r="C2694" i="3"/>
  <c r="D2694" i="3"/>
  <c r="C2695" i="3"/>
  <c r="D2695" i="3"/>
  <c r="C2696" i="3"/>
  <c r="D2696" i="3"/>
  <c r="C2697" i="3"/>
  <c r="D2697" i="3"/>
  <c r="C2698" i="3"/>
  <c r="D2698" i="3"/>
  <c r="C2699" i="3"/>
  <c r="D2699" i="3"/>
  <c r="C2700" i="3"/>
  <c r="D2700" i="3"/>
  <c r="C2701" i="3"/>
  <c r="D2701" i="3"/>
  <c r="C2702" i="3"/>
  <c r="D2702" i="3"/>
  <c r="C2703" i="3"/>
  <c r="D2703" i="3"/>
  <c r="C2704" i="3"/>
  <c r="D2704" i="3"/>
  <c r="C2705" i="3"/>
  <c r="D2705" i="3"/>
  <c r="C2706" i="3"/>
  <c r="D2706" i="3"/>
  <c r="C2707" i="3"/>
  <c r="D2707" i="3"/>
  <c r="C2708" i="3"/>
  <c r="D2708" i="3"/>
  <c r="C2709" i="3"/>
  <c r="D2709" i="3"/>
  <c r="C2710" i="3"/>
  <c r="D2710" i="3"/>
  <c r="C2711" i="3"/>
  <c r="D2711" i="3"/>
  <c r="C2712" i="3"/>
  <c r="D2712" i="3"/>
  <c r="C2713" i="3"/>
  <c r="D2713" i="3"/>
  <c r="C2714" i="3"/>
  <c r="D2714" i="3"/>
  <c r="C2715" i="3"/>
  <c r="D2715" i="3"/>
  <c r="C2716" i="3"/>
  <c r="D2716" i="3"/>
  <c r="C2717" i="3"/>
  <c r="D2717" i="3"/>
  <c r="C2718" i="3"/>
  <c r="D2718" i="3"/>
  <c r="C2719" i="3"/>
  <c r="D2719" i="3"/>
  <c r="C2720" i="3"/>
  <c r="D2720" i="3"/>
  <c r="C2721" i="3"/>
  <c r="D2721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B2924" i="3"/>
  <c r="C2924" i="3"/>
  <c r="D2924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A2984" i="3"/>
  <c r="B2984" i="3"/>
  <c r="C2984" i="3"/>
  <c r="D2984" i="3"/>
  <c r="A2985" i="3"/>
  <c r="B2985" i="3"/>
  <c r="C2985" i="3"/>
  <c r="D2985" i="3"/>
  <c r="A2986" i="3"/>
  <c r="B2986" i="3"/>
  <c r="C2986" i="3"/>
  <c r="D2986" i="3"/>
  <c r="A2987" i="3"/>
  <c r="B2987" i="3"/>
  <c r="C2987" i="3"/>
  <c r="D2987" i="3"/>
  <c r="A2988" i="3"/>
  <c r="B2988" i="3"/>
  <c r="C2988" i="3"/>
  <c r="D2988" i="3"/>
  <c r="A2989" i="3"/>
  <c r="B2989" i="3"/>
  <c r="C2989" i="3"/>
  <c r="D2989" i="3"/>
  <c r="A2990" i="3"/>
  <c r="B2990" i="3"/>
  <c r="C2990" i="3"/>
  <c r="D2990" i="3"/>
  <c r="A2991" i="3"/>
  <c r="B2991" i="3"/>
  <c r="C2991" i="3"/>
  <c r="D2991" i="3"/>
  <c r="A2992" i="3"/>
  <c r="B2992" i="3"/>
  <c r="C2992" i="3"/>
  <c r="D2992" i="3"/>
  <c r="A2993" i="3"/>
  <c r="B2993" i="3"/>
  <c r="C2993" i="3"/>
  <c r="D2993" i="3"/>
  <c r="A2994" i="3"/>
  <c r="B2994" i="3"/>
  <c r="C2994" i="3"/>
  <c r="D2994" i="3"/>
  <c r="A2995" i="3"/>
  <c r="B2995" i="3"/>
  <c r="C2995" i="3"/>
  <c r="D2995" i="3"/>
  <c r="A2996" i="3"/>
  <c r="B2996" i="3"/>
  <c r="C2996" i="3"/>
  <c r="D2996" i="3"/>
  <c r="A2997" i="3"/>
  <c r="B2997" i="3"/>
  <c r="C2997" i="3"/>
  <c r="D2997" i="3"/>
  <c r="A2998" i="3"/>
  <c r="B2998" i="3"/>
  <c r="C2998" i="3"/>
  <c r="D2998" i="3"/>
  <c r="A2999" i="3"/>
  <c r="B2999" i="3"/>
  <c r="C2999" i="3"/>
  <c r="D2999" i="3"/>
  <c r="A3000" i="3"/>
  <c r="B3000" i="3"/>
  <c r="C3000" i="3"/>
  <c r="D3000" i="3"/>
  <c r="A3001" i="3"/>
  <c r="B3001" i="3"/>
  <c r="C3001" i="3"/>
  <c r="D3001" i="3"/>
  <c r="A3002" i="3"/>
  <c r="B3002" i="3"/>
  <c r="C3002" i="3"/>
  <c r="D3002" i="3"/>
  <c r="A3003" i="3"/>
  <c r="B3003" i="3"/>
  <c r="C3003" i="3"/>
  <c r="D3003" i="3"/>
  <c r="A3004" i="3"/>
  <c r="B3004" i="3"/>
  <c r="C3004" i="3"/>
  <c r="D3004" i="3"/>
  <c r="A3005" i="3"/>
  <c r="B3005" i="3"/>
  <c r="C3005" i="3"/>
  <c r="D3005" i="3"/>
  <c r="A3006" i="3"/>
  <c r="B3006" i="3"/>
  <c r="C3006" i="3"/>
  <c r="D3006" i="3"/>
  <c r="A3007" i="3"/>
  <c r="B3007" i="3"/>
  <c r="C3007" i="3"/>
  <c r="D3007" i="3"/>
  <c r="A3008" i="3"/>
  <c r="B3008" i="3"/>
  <c r="C3008" i="3"/>
  <c r="D3008" i="3"/>
  <c r="A3009" i="3"/>
  <c r="B3009" i="3"/>
  <c r="C3009" i="3"/>
  <c r="D3009" i="3"/>
  <c r="A3010" i="3"/>
  <c r="B3010" i="3"/>
  <c r="C3010" i="3"/>
  <c r="D3010" i="3"/>
  <c r="A3011" i="3"/>
  <c r="B3011" i="3"/>
  <c r="C3011" i="3"/>
  <c r="D3011" i="3"/>
  <c r="A3012" i="3"/>
  <c r="B3012" i="3"/>
  <c r="C3012" i="3"/>
  <c r="D3012" i="3"/>
  <c r="A3013" i="3"/>
  <c r="B3013" i="3"/>
  <c r="C3013" i="3"/>
  <c r="D3013" i="3"/>
  <c r="A3014" i="3"/>
  <c r="B3014" i="3"/>
  <c r="C3014" i="3"/>
  <c r="D3014" i="3"/>
  <c r="A3015" i="3"/>
  <c r="B3015" i="3"/>
  <c r="C3015" i="3"/>
  <c r="D3015" i="3"/>
  <c r="A3016" i="3"/>
  <c r="B3016" i="3"/>
  <c r="C3016" i="3"/>
  <c r="D3016" i="3"/>
  <c r="A3017" i="3"/>
  <c r="B3017" i="3"/>
  <c r="C3017" i="3"/>
  <c r="D3017" i="3"/>
  <c r="A3018" i="3"/>
  <c r="B3018" i="3"/>
  <c r="C3018" i="3"/>
  <c r="D3018" i="3"/>
  <c r="A3019" i="3"/>
  <c r="B3019" i="3"/>
  <c r="C3019" i="3"/>
  <c r="D3019" i="3"/>
  <c r="A3020" i="3"/>
  <c r="B3020" i="3"/>
  <c r="C3020" i="3"/>
  <c r="D3020" i="3"/>
  <c r="A3021" i="3"/>
  <c r="B3021" i="3"/>
  <c r="C3021" i="3"/>
  <c r="D3021" i="3"/>
  <c r="A3022" i="3"/>
  <c r="B3022" i="3"/>
  <c r="C3022" i="3"/>
  <c r="D3022" i="3"/>
  <c r="A3023" i="3"/>
  <c r="B3023" i="3"/>
  <c r="C3023" i="3"/>
  <c r="D3023" i="3"/>
  <c r="A3024" i="3"/>
  <c r="B3024" i="3"/>
  <c r="C3024" i="3"/>
  <c r="D3024" i="3"/>
  <c r="A3025" i="3"/>
  <c r="B3025" i="3"/>
  <c r="C3025" i="3"/>
  <c r="D3025" i="3"/>
  <c r="A3026" i="3"/>
  <c r="B3026" i="3"/>
  <c r="C3026" i="3"/>
  <c r="D3026" i="3"/>
  <c r="A3027" i="3"/>
  <c r="B3027" i="3"/>
  <c r="C3027" i="3"/>
  <c r="D3027" i="3"/>
  <c r="A3028" i="3"/>
  <c r="B3028" i="3"/>
  <c r="C3028" i="3"/>
  <c r="D3028" i="3"/>
  <c r="A3029" i="3"/>
  <c r="B3029" i="3"/>
  <c r="C3029" i="3"/>
  <c r="D3029" i="3"/>
  <c r="A3030" i="3"/>
  <c r="B3030" i="3"/>
  <c r="C3030" i="3"/>
  <c r="D3030" i="3"/>
  <c r="A3031" i="3"/>
  <c r="B3031" i="3"/>
  <c r="C3031" i="3"/>
  <c r="D3031" i="3"/>
  <c r="A3032" i="3"/>
  <c r="B3032" i="3"/>
  <c r="C3032" i="3"/>
  <c r="D3032" i="3"/>
  <c r="A3033" i="3"/>
  <c r="B3033" i="3"/>
  <c r="C3033" i="3"/>
  <c r="D3033" i="3"/>
  <c r="A3034" i="3"/>
  <c r="B3034" i="3"/>
  <c r="C3034" i="3"/>
  <c r="D3034" i="3"/>
  <c r="A3035" i="3"/>
  <c r="B3035" i="3"/>
  <c r="C3035" i="3"/>
  <c r="D3035" i="3"/>
  <c r="A3036" i="3"/>
  <c r="B3036" i="3"/>
  <c r="C3036" i="3"/>
  <c r="D3036" i="3"/>
  <c r="A3037" i="3"/>
  <c r="B3037" i="3"/>
  <c r="C3037" i="3"/>
  <c r="D3037" i="3"/>
  <c r="A3038" i="3"/>
  <c r="B3038" i="3"/>
  <c r="C3038" i="3"/>
  <c r="D3038" i="3"/>
  <c r="A3039" i="3"/>
  <c r="B3039" i="3"/>
  <c r="C3039" i="3"/>
  <c r="D3039" i="3"/>
  <c r="A3040" i="3"/>
  <c r="B3040" i="3"/>
  <c r="C3040" i="3"/>
  <c r="D3040" i="3"/>
  <c r="A3041" i="3"/>
  <c r="B3041" i="3"/>
  <c r="C3041" i="3"/>
  <c r="D3041" i="3"/>
  <c r="A3042" i="3"/>
  <c r="B3042" i="3"/>
  <c r="C3042" i="3"/>
  <c r="D3042" i="3"/>
  <c r="A3043" i="3"/>
  <c r="B3043" i="3"/>
  <c r="C3043" i="3"/>
  <c r="D3043" i="3"/>
  <c r="A3044" i="3"/>
  <c r="B3044" i="3"/>
  <c r="C3044" i="3"/>
  <c r="D3044" i="3"/>
  <c r="A3045" i="3"/>
  <c r="B3045" i="3"/>
  <c r="C3045" i="3"/>
  <c r="D3045" i="3"/>
  <c r="A3046" i="3"/>
  <c r="B3046" i="3"/>
  <c r="C3046" i="3"/>
  <c r="D3046" i="3"/>
  <c r="A3047" i="3"/>
  <c r="B3047" i="3"/>
  <c r="C3047" i="3"/>
  <c r="D3047" i="3"/>
  <c r="A3048" i="3"/>
  <c r="B3048" i="3"/>
  <c r="C3048" i="3"/>
  <c r="D3048" i="3"/>
  <c r="A3049" i="3"/>
  <c r="B3049" i="3"/>
  <c r="C3049" i="3"/>
  <c r="D3049" i="3"/>
  <c r="A3050" i="3"/>
  <c r="B3050" i="3"/>
  <c r="C3050" i="3"/>
  <c r="D3050" i="3"/>
  <c r="A3051" i="3"/>
  <c r="B3051" i="3"/>
  <c r="C3051" i="3"/>
  <c r="D3051" i="3"/>
  <c r="A3052" i="3"/>
  <c r="B3052" i="3"/>
  <c r="C3052" i="3"/>
  <c r="D3052" i="3"/>
  <c r="A3053" i="3"/>
  <c r="B3053" i="3"/>
  <c r="C3053" i="3"/>
  <c r="D3053" i="3"/>
  <c r="A3054" i="3"/>
  <c r="B3054" i="3"/>
  <c r="C3054" i="3"/>
  <c r="D3054" i="3"/>
  <c r="A3055" i="3"/>
  <c r="B3055" i="3"/>
  <c r="C3055" i="3"/>
  <c r="D3055" i="3"/>
  <c r="A3056" i="3"/>
  <c r="B3056" i="3"/>
  <c r="C3056" i="3"/>
  <c r="D3056" i="3"/>
  <c r="A3057" i="3"/>
  <c r="B3057" i="3"/>
  <c r="C3057" i="3"/>
  <c r="D3057" i="3"/>
  <c r="A3058" i="3"/>
  <c r="B3058" i="3"/>
  <c r="C3058" i="3"/>
  <c r="D3058" i="3"/>
  <c r="A3059" i="3"/>
  <c r="B3059" i="3"/>
  <c r="C3059" i="3"/>
  <c r="D3059" i="3"/>
  <c r="A3060" i="3"/>
  <c r="B3060" i="3"/>
  <c r="C3060" i="3"/>
  <c r="D3060" i="3"/>
  <c r="A3061" i="3"/>
  <c r="B3061" i="3"/>
  <c r="C3061" i="3"/>
  <c r="D3061" i="3"/>
  <c r="A3062" i="3"/>
  <c r="B3062" i="3"/>
  <c r="C3062" i="3"/>
  <c r="D3062" i="3"/>
  <c r="A3063" i="3"/>
  <c r="B3063" i="3"/>
  <c r="C3063" i="3"/>
  <c r="D3063" i="3"/>
  <c r="A3064" i="3"/>
  <c r="B3064" i="3"/>
  <c r="C3064" i="3"/>
  <c r="D3064" i="3"/>
  <c r="A3065" i="3"/>
  <c r="B3065" i="3"/>
  <c r="C3065" i="3"/>
  <c r="D3065" i="3"/>
  <c r="A3066" i="3"/>
  <c r="B3066" i="3"/>
  <c r="C3066" i="3"/>
  <c r="D3066" i="3"/>
  <c r="A3067" i="3"/>
  <c r="B3067" i="3"/>
  <c r="C3067" i="3"/>
  <c r="D3067" i="3"/>
  <c r="A3068" i="3"/>
  <c r="B3068" i="3"/>
  <c r="C3068" i="3"/>
  <c r="D3068" i="3"/>
  <c r="A3069" i="3"/>
  <c r="B3069" i="3"/>
  <c r="C3069" i="3"/>
  <c r="D3069" i="3"/>
  <c r="D2" i="3"/>
  <c r="C2" i="3"/>
  <c r="A2369" i="2"/>
  <c r="B2369" i="2"/>
  <c r="C2369" i="2"/>
  <c r="D2369" i="2"/>
  <c r="E2369" i="2"/>
  <c r="F2369" i="2"/>
  <c r="A2224" i="2"/>
  <c r="B2224" i="2"/>
  <c r="C2224" i="2"/>
  <c r="D2224" i="2"/>
  <c r="E2224" i="2"/>
  <c r="F2224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1755" i="2"/>
  <c r="B1755" i="2"/>
  <c r="C1755" i="2"/>
  <c r="D1755" i="2"/>
  <c r="E1755" i="2"/>
  <c r="F1755" i="2"/>
  <c r="A1713" i="2"/>
  <c r="B1713" i="2"/>
  <c r="C1713" i="2"/>
  <c r="D1713" i="2"/>
  <c r="E1713" i="2"/>
  <c r="F1713" i="2"/>
  <c r="A1571" i="2"/>
  <c r="B1571" i="2"/>
  <c r="C1571" i="2"/>
  <c r="D1571" i="2"/>
  <c r="E1571" i="2"/>
  <c r="F1571" i="2"/>
  <c r="A1492" i="2"/>
  <c r="B1492" i="2"/>
  <c r="C1492" i="2"/>
  <c r="D1492" i="2"/>
  <c r="E1492" i="2"/>
  <c r="F1492" i="2"/>
  <c r="A1369" i="2"/>
  <c r="B1369" i="2"/>
  <c r="C1369" i="2"/>
  <c r="D1369" i="2"/>
  <c r="E1369" i="2"/>
  <c r="F1369" i="2"/>
  <c r="A1359" i="2"/>
  <c r="A1358" i="2"/>
  <c r="A1199" i="2"/>
  <c r="B1199" i="2"/>
  <c r="C1199" i="2"/>
  <c r="D1199" i="2"/>
  <c r="E1199" i="2"/>
  <c r="F1199" i="2"/>
  <c r="A1190" i="2"/>
  <c r="B1190" i="2"/>
  <c r="C1190" i="2"/>
  <c r="D1190" i="2"/>
  <c r="E1190" i="2"/>
  <c r="F1190" i="2"/>
  <c r="A858" i="2"/>
  <c r="B858" i="2"/>
  <c r="C858" i="2"/>
  <c r="D858" i="2"/>
  <c r="E858" i="2"/>
  <c r="F858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639" i="2"/>
  <c r="B639" i="2"/>
  <c r="C639" i="2"/>
  <c r="D639" i="2"/>
  <c r="E639" i="2"/>
  <c r="F639" i="2"/>
  <c r="C214" i="2"/>
  <c r="A119" i="2"/>
  <c r="A118" i="2"/>
  <c r="B118" i="2"/>
  <c r="C118" i="2"/>
  <c r="D118" i="2"/>
  <c r="B118" i="3" s="1"/>
  <c r="E118" i="2"/>
  <c r="F118" i="2"/>
  <c r="C113" i="2"/>
  <c r="A101" i="2"/>
  <c r="B101" i="2"/>
  <c r="C101" i="2"/>
  <c r="D101" i="2"/>
  <c r="B101" i="3" s="1"/>
  <c r="E101" i="2"/>
  <c r="F101" i="2"/>
  <c r="E2722" i="2"/>
  <c r="D2722" i="2"/>
  <c r="C2722" i="2"/>
  <c r="B2722" i="2"/>
  <c r="A2722" i="2"/>
  <c r="F2721" i="2"/>
  <c r="E2721" i="2"/>
  <c r="D2721" i="2"/>
  <c r="C2721" i="2"/>
  <c r="B2721" i="2"/>
  <c r="A2721" i="2"/>
  <c r="F2720" i="2"/>
  <c r="E2720" i="2"/>
  <c r="D2720" i="2"/>
  <c r="C2720" i="2"/>
  <c r="B2720" i="2"/>
  <c r="A2720" i="2"/>
  <c r="F2719" i="2"/>
  <c r="E2719" i="2"/>
  <c r="D2719" i="2"/>
  <c r="C2719" i="2"/>
  <c r="B2719" i="2"/>
  <c r="A2719" i="2"/>
  <c r="F2718" i="2"/>
  <c r="E2718" i="2"/>
  <c r="D2718" i="2"/>
  <c r="C2718" i="2"/>
  <c r="B2718" i="2"/>
  <c r="A2718" i="2"/>
  <c r="F2717" i="2"/>
  <c r="E2717" i="2"/>
  <c r="D2717" i="2"/>
  <c r="C2717" i="2"/>
  <c r="B2717" i="2"/>
  <c r="A2717" i="2"/>
  <c r="F2716" i="2"/>
  <c r="E2716" i="2"/>
  <c r="D2716" i="2"/>
  <c r="C2716" i="2"/>
  <c r="B2716" i="2"/>
  <c r="A2716" i="2"/>
  <c r="F2715" i="2"/>
  <c r="E2715" i="2"/>
  <c r="D2715" i="2"/>
  <c r="C2715" i="2"/>
  <c r="B2715" i="2"/>
  <c r="A2715" i="2"/>
  <c r="F2714" i="2"/>
  <c r="E2714" i="2"/>
  <c r="D2714" i="2"/>
  <c r="C2714" i="2"/>
  <c r="B2714" i="2"/>
  <c r="A2714" i="2"/>
  <c r="F2713" i="2"/>
  <c r="E2713" i="2"/>
  <c r="D2713" i="2"/>
  <c r="C2713" i="2"/>
  <c r="B2713" i="2"/>
  <c r="A2713" i="2"/>
  <c r="F2712" i="2"/>
  <c r="E2712" i="2"/>
  <c r="D2712" i="2"/>
  <c r="C2712" i="2"/>
  <c r="B2712" i="2"/>
  <c r="A2712" i="2"/>
  <c r="F2711" i="2"/>
  <c r="E2711" i="2"/>
  <c r="D2711" i="2"/>
  <c r="C2711" i="2"/>
  <c r="B2711" i="2"/>
  <c r="A2711" i="2"/>
  <c r="F2710" i="2"/>
  <c r="E2710" i="2"/>
  <c r="D2710" i="2"/>
  <c r="C2710" i="2"/>
  <c r="B2710" i="2"/>
  <c r="A2710" i="2"/>
  <c r="F2709" i="2"/>
  <c r="E2709" i="2"/>
  <c r="D2709" i="2"/>
  <c r="C2709" i="2"/>
  <c r="B2709" i="2"/>
  <c r="A2709" i="2"/>
  <c r="F2708" i="2"/>
  <c r="E2708" i="2"/>
  <c r="D2708" i="2"/>
  <c r="C2708" i="2"/>
  <c r="B2708" i="2"/>
  <c r="A2708" i="2"/>
  <c r="F2707" i="2"/>
  <c r="E2707" i="2"/>
  <c r="D2707" i="2"/>
  <c r="C2707" i="2"/>
  <c r="B2707" i="2"/>
  <c r="A2707" i="2"/>
  <c r="F2706" i="2"/>
  <c r="E2706" i="2"/>
  <c r="D2706" i="2"/>
  <c r="C2706" i="2"/>
  <c r="B2706" i="2"/>
  <c r="A2706" i="2"/>
  <c r="F2705" i="2"/>
  <c r="E2705" i="2"/>
  <c r="D2705" i="2"/>
  <c r="C2705" i="2"/>
  <c r="B2705" i="2"/>
  <c r="A2705" i="2"/>
  <c r="F2704" i="2"/>
  <c r="E2704" i="2"/>
  <c r="D2704" i="2"/>
  <c r="C2704" i="2"/>
  <c r="B2704" i="2"/>
  <c r="A2704" i="2"/>
  <c r="F2703" i="2"/>
  <c r="E2703" i="2"/>
  <c r="D2703" i="2"/>
  <c r="C2703" i="2"/>
  <c r="B2703" i="2"/>
  <c r="A2703" i="2"/>
  <c r="F2702" i="2"/>
  <c r="E2702" i="2"/>
  <c r="D2702" i="2"/>
  <c r="C2702" i="2"/>
  <c r="B2702" i="2"/>
  <c r="A2702" i="2"/>
  <c r="F2701" i="2"/>
  <c r="E2701" i="2"/>
  <c r="D2701" i="2"/>
  <c r="C2701" i="2"/>
  <c r="B2701" i="2"/>
  <c r="A2701" i="2"/>
  <c r="F2700" i="2"/>
  <c r="E2700" i="2"/>
  <c r="D2700" i="2"/>
  <c r="C2700" i="2"/>
  <c r="B2700" i="2"/>
  <c r="A2700" i="2"/>
  <c r="F2699" i="2"/>
  <c r="E2699" i="2"/>
  <c r="D2699" i="2"/>
  <c r="C2699" i="2"/>
  <c r="B2699" i="2"/>
  <c r="A2699" i="2"/>
  <c r="F2698" i="2"/>
  <c r="E2698" i="2"/>
  <c r="D2698" i="2"/>
  <c r="C2698" i="2"/>
  <c r="B2698" i="2"/>
  <c r="A2698" i="2"/>
  <c r="F2697" i="2"/>
  <c r="E2697" i="2"/>
  <c r="D2697" i="2"/>
  <c r="C2697" i="2"/>
  <c r="B2697" i="2"/>
  <c r="A2697" i="2"/>
  <c r="F2696" i="2"/>
  <c r="E2696" i="2"/>
  <c r="D2696" i="2"/>
  <c r="C2696" i="2"/>
  <c r="B2696" i="2"/>
  <c r="A2696" i="2"/>
  <c r="F2695" i="2"/>
  <c r="E2695" i="2"/>
  <c r="D2695" i="2"/>
  <c r="C2695" i="2"/>
  <c r="B2695" i="2"/>
  <c r="A2695" i="2"/>
  <c r="F2694" i="2"/>
  <c r="E2694" i="2"/>
  <c r="D2694" i="2"/>
  <c r="C2694" i="2"/>
  <c r="B2694" i="2"/>
  <c r="A2694" i="2"/>
  <c r="F2693" i="2"/>
  <c r="E2693" i="2"/>
  <c r="D2693" i="2"/>
  <c r="C2693" i="2"/>
  <c r="B2693" i="2"/>
  <c r="A2693" i="2"/>
  <c r="F2692" i="2"/>
  <c r="E2692" i="2"/>
  <c r="D2692" i="2"/>
  <c r="C2692" i="2"/>
  <c r="B2692" i="2"/>
  <c r="A2692" i="2"/>
  <c r="F2691" i="2"/>
  <c r="E2691" i="2"/>
  <c r="D2691" i="2"/>
  <c r="C2691" i="2"/>
  <c r="B2691" i="2"/>
  <c r="A2691" i="2"/>
  <c r="F2690" i="2"/>
  <c r="E2690" i="2"/>
  <c r="D2690" i="2"/>
  <c r="C2690" i="2"/>
  <c r="B2690" i="2"/>
  <c r="A2690" i="2"/>
  <c r="F2689" i="2"/>
  <c r="E2689" i="2"/>
  <c r="D2689" i="2"/>
  <c r="C2689" i="2"/>
  <c r="B2689" i="2"/>
  <c r="A2689" i="2"/>
  <c r="F2688" i="2"/>
  <c r="E2688" i="2"/>
  <c r="D2688" i="2"/>
  <c r="C2688" i="2"/>
  <c r="B2688" i="2"/>
  <c r="A2688" i="2"/>
  <c r="F2687" i="2"/>
  <c r="E2687" i="2"/>
  <c r="D2687" i="2"/>
  <c r="C2687" i="2"/>
  <c r="B2687" i="2"/>
  <c r="A2687" i="2"/>
  <c r="F2686" i="2"/>
  <c r="E2686" i="2"/>
  <c r="D2686" i="2"/>
  <c r="C2686" i="2"/>
  <c r="B2686" i="2"/>
  <c r="A2686" i="2"/>
  <c r="F2685" i="2"/>
  <c r="E2685" i="2"/>
  <c r="D2685" i="2"/>
  <c r="C2685" i="2"/>
  <c r="B2685" i="2"/>
  <c r="A2685" i="2"/>
  <c r="F2684" i="2"/>
  <c r="E2684" i="2"/>
  <c r="D2684" i="2"/>
  <c r="C2684" i="2"/>
  <c r="B2684" i="2"/>
  <c r="A2684" i="2"/>
  <c r="F2683" i="2"/>
  <c r="E2683" i="2"/>
  <c r="D2683" i="2"/>
  <c r="C2683" i="2"/>
  <c r="B2683" i="2"/>
  <c r="A2683" i="2"/>
  <c r="F2682" i="2"/>
  <c r="E2682" i="2"/>
  <c r="D2682" i="2"/>
  <c r="C2682" i="2"/>
  <c r="B2682" i="2"/>
  <c r="A2682" i="2"/>
  <c r="F2681" i="2"/>
  <c r="E2681" i="2"/>
  <c r="D2681" i="2"/>
  <c r="C2681" i="2"/>
  <c r="B2681" i="2"/>
  <c r="A2681" i="2"/>
  <c r="F2680" i="2"/>
  <c r="E2680" i="2"/>
  <c r="D2680" i="2"/>
  <c r="C2680" i="2"/>
  <c r="B2680" i="2"/>
  <c r="A2680" i="2"/>
  <c r="F2679" i="2"/>
  <c r="E2679" i="2"/>
  <c r="D2679" i="2"/>
  <c r="C2679" i="2"/>
  <c r="B2679" i="2"/>
  <c r="A2679" i="2"/>
  <c r="F2678" i="2"/>
  <c r="E2678" i="2"/>
  <c r="D2678" i="2"/>
  <c r="C2678" i="2"/>
  <c r="B2678" i="2"/>
  <c r="A2678" i="2"/>
  <c r="F2677" i="2"/>
  <c r="E2677" i="2"/>
  <c r="D2677" i="2"/>
  <c r="C2677" i="2"/>
  <c r="B2677" i="2"/>
  <c r="A2677" i="2"/>
  <c r="F2676" i="2"/>
  <c r="E2676" i="2"/>
  <c r="D2676" i="2"/>
  <c r="C2676" i="2"/>
  <c r="B2676" i="2"/>
  <c r="A2676" i="2"/>
  <c r="F2675" i="2"/>
  <c r="E2675" i="2"/>
  <c r="D2675" i="2"/>
  <c r="C2675" i="2"/>
  <c r="B2675" i="2"/>
  <c r="A2675" i="2"/>
  <c r="F2674" i="2"/>
  <c r="E2674" i="2"/>
  <c r="D2674" i="2"/>
  <c r="C2674" i="2"/>
  <c r="B2674" i="2"/>
  <c r="A2674" i="2"/>
  <c r="F2673" i="2"/>
  <c r="E2673" i="2"/>
  <c r="D2673" i="2"/>
  <c r="C2673" i="2"/>
  <c r="B2673" i="2"/>
  <c r="A2673" i="2"/>
  <c r="F2672" i="2"/>
  <c r="E2672" i="2"/>
  <c r="D2672" i="2"/>
  <c r="C2672" i="2"/>
  <c r="B2672" i="2"/>
  <c r="A2672" i="2"/>
  <c r="F2671" i="2"/>
  <c r="E2671" i="2"/>
  <c r="D2671" i="2"/>
  <c r="C2671" i="2"/>
  <c r="B2671" i="2"/>
  <c r="A2671" i="2"/>
  <c r="F2670" i="2"/>
  <c r="E2670" i="2"/>
  <c r="D2670" i="2"/>
  <c r="C2670" i="2"/>
  <c r="B2670" i="2"/>
  <c r="A2670" i="2"/>
  <c r="F2669" i="2"/>
  <c r="E2669" i="2"/>
  <c r="D2669" i="2"/>
  <c r="C2669" i="2"/>
  <c r="B2669" i="2"/>
  <c r="A2669" i="2"/>
  <c r="F2668" i="2"/>
  <c r="E2668" i="2"/>
  <c r="D2668" i="2"/>
  <c r="C2668" i="2"/>
  <c r="B2668" i="2"/>
  <c r="A2668" i="2"/>
  <c r="F2667" i="2"/>
  <c r="E2667" i="2"/>
  <c r="D2667" i="2"/>
  <c r="C2667" i="2"/>
  <c r="B2667" i="2"/>
  <c r="A2667" i="2"/>
  <c r="F2666" i="2"/>
  <c r="E2666" i="2"/>
  <c r="D2666" i="2"/>
  <c r="C2666" i="2"/>
  <c r="B2666" i="2"/>
  <c r="A2666" i="2"/>
  <c r="F2665" i="2"/>
  <c r="E2665" i="2"/>
  <c r="D2665" i="2"/>
  <c r="C2665" i="2"/>
  <c r="B2665" i="2"/>
  <c r="A2665" i="2"/>
  <c r="F2664" i="2"/>
  <c r="E2664" i="2"/>
  <c r="D2664" i="2"/>
  <c r="C2664" i="2"/>
  <c r="B2664" i="2"/>
  <c r="A2664" i="2"/>
  <c r="F2663" i="2"/>
  <c r="E2663" i="2"/>
  <c r="D2663" i="2"/>
  <c r="C2663" i="2"/>
  <c r="B2663" i="2"/>
  <c r="A2663" i="2"/>
  <c r="F2662" i="2"/>
  <c r="E2662" i="2"/>
  <c r="D2662" i="2"/>
  <c r="C2662" i="2"/>
  <c r="B2662" i="2"/>
  <c r="A2662" i="2"/>
  <c r="F2661" i="2"/>
  <c r="E2661" i="2"/>
  <c r="D2661" i="2"/>
  <c r="C2661" i="2"/>
  <c r="B2661" i="2"/>
  <c r="A2661" i="2"/>
  <c r="F2660" i="2"/>
  <c r="E2660" i="2"/>
  <c r="D2660" i="2"/>
  <c r="C2660" i="2"/>
  <c r="B2660" i="2"/>
  <c r="A2660" i="2"/>
  <c r="F2659" i="2"/>
  <c r="E2659" i="2"/>
  <c r="D2659" i="2"/>
  <c r="C2659" i="2"/>
  <c r="B2659" i="2"/>
  <c r="A2659" i="2"/>
  <c r="F2658" i="2"/>
  <c r="E2658" i="2"/>
  <c r="D2658" i="2"/>
  <c r="C2658" i="2"/>
  <c r="B2658" i="2"/>
  <c r="A2658" i="2"/>
  <c r="F2657" i="2"/>
  <c r="E2657" i="2"/>
  <c r="D2657" i="2"/>
  <c r="C2657" i="2"/>
  <c r="B2657" i="2"/>
  <c r="A2657" i="2"/>
  <c r="F2656" i="2"/>
  <c r="E2656" i="2"/>
  <c r="D2656" i="2"/>
  <c r="C2656" i="2"/>
  <c r="B2656" i="2"/>
  <c r="A2656" i="2"/>
  <c r="F2655" i="2"/>
  <c r="E2655" i="2"/>
  <c r="D2655" i="2"/>
  <c r="C2655" i="2"/>
  <c r="B2655" i="2"/>
  <c r="A2655" i="2"/>
  <c r="F2654" i="2"/>
  <c r="E2654" i="2"/>
  <c r="D2654" i="2"/>
  <c r="C2654" i="2"/>
  <c r="B2654" i="2"/>
  <c r="A2654" i="2"/>
  <c r="F2653" i="2"/>
  <c r="E2653" i="2"/>
  <c r="D2653" i="2"/>
  <c r="C2653" i="2"/>
  <c r="B2653" i="2"/>
  <c r="A2653" i="2"/>
  <c r="F2652" i="2"/>
  <c r="E2652" i="2"/>
  <c r="D2652" i="2"/>
  <c r="C2652" i="2"/>
  <c r="B2652" i="2"/>
  <c r="A2652" i="2"/>
  <c r="F2651" i="2"/>
  <c r="E2651" i="2"/>
  <c r="D2651" i="2"/>
  <c r="C2651" i="2"/>
  <c r="B2651" i="2"/>
  <c r="A2651" i="2"/>
  <c r="F2650" i="2"/>
  <c r="E2650" i="2"/>
  <c r="D2650" i="2"/>
  <c r="C2650" i="2"/>
  <c r="B2650" i="2"/>
  <c r="A2650" i="2"/>
  <c r="F2649" i="2"/>
  <c r="E2649" i="2"/>
  <c r="D2649" i="2"/>
  <c r="C2649" i="2"/>
  <c r="B2649" i="2"/>
  <c r="A2649" i="2"/>
  <c r="F2648" i="2"/>
  <c r="E2648" i="2"/>
  <c r="D2648" i="2"/>
  <c r="C2648" i="2"/>
  <c r="B2648" i="2"/>
  <c r="A2648" i="2"/>
  <c r="F2647" i="2"/>
  <c r="E2647" i="2"/>
  <c r="D2647" i="2"/>
  <c r="C2647" i="2"/>
  <c r="B2647" i="2"/>
  <c r="A2647" i="2"/>
  <c r="F2646" i="2"/>
  <c r="E2646" i="2"/>
  <c r="D2646" i="2"/>
  <c r="C2646" i="2"/>
  <c r="B2646" i="2"/>
  <c r="A2646" i="2"/>
  <c r="F2645" i="2"/>
  <c r="E2645" i="2"/>
  <c r="D2645" i="2"/>
  <c r="C2645" i="2"/>
  <c r="B2645" i="2"/>
  <c r="A2645" i="2"/>
  <c r="F2644" i="2"/>
  <c r="E2644" i="2"/>
  <c r="D2644" i="2"/>
  <c r="C2644" i="2"/>
  <c r="B2644" i="2"/>
  <c r="A2644" i="2"/>
  <c r="F2643" i="2"/>
  <c r="E2643" i="2"/>
  <c r="D2643" i="2"/>
  <c r="C2643" i="2"/>
  <c r="B2643" i="2"/>
  <c r="A2643" i="2"/>
  <c r="F2642" i="2"/>
  <c r="E2642" i="2"/>
  <c r="D2642" i="2"/>
  <c r="C2642" i="2"/>
  <c r="B2642" i="2"/>
  <c r="A2642" i="2"/>
  <c r="F2641" i="2"/>
  <c r="E2641" i="2"/>
  <c r="D2641" i="2"/>
  <c r="C2641" i="2"/>
  <c r="B2641" i="2"/>
  <c r="A2641" i="2"/>
  <c r="F2640" i="2"/>
  <c r="E2640" i="2"/>
  <c r="D2640" i="2"/>
  <c r="C2640" i="2"/>
  <c r="B2640" i="2"/>
  <c r="A2640" i="2"/>
  <c r="F2639" i="2"/>
  <c r="E2639" i="2"/>
  <c r="D2639" i="2"/>
  <c r="C2639" i="2"/>
  <c r="B2639" i="2"/>
  <c r="A2639" i="2"/>
  <c r="F2638" i="2"/>
  <c r="E2638" i="2"/>
  <c r="D2638" i="2"/>
  <c r="C2638" i="2"/>
  <c r="B2638" i="2"/>
  <c r="A2638" i="2"/>
  <c r="F2637" i="2"/>
  <c r="E2637" i="2"/>
  <c r="D2637" i="2"/>
  <c r="C2637" i="2"/>
  <c r="B2637" i="2"/>
  <c r="A2637" i="2"/>
  <c r="F2636" i="2"/>
  <c r="E2636" i="2"/>
  <c r="D2636" i="2"/>
  <c r="C2636" i="2"/>
  <c r="B2636" i="2"/>
  <c r="A2636" i="2"/>
  <c r="F2635" i="2"/>
  <c r="E2635" i="2"/>
  <c r="D2635" i="2"/>
  <c r="C2635" i="2"/>
  <c r="B2635" i="2"/>
  <c r="A2635" i="2"/>
  <c r="F2634" i="2"/>
  <c r="E2634" i="2"/>
  <c r="D2634" i="2"/>
  <c r="C2634" i="2"/>
  <c r="B2634" i="2"/>
  <c r="A2634" i="2"/>
  <c r="F2633" i="2"/>
  <c r="E2633" i="2"/>
  <c r="D2633" i="2"/>
  <c r="C2633" i="2"/>
  <c r="B2633" i="2"/>
  <c r="A2633" i="2"/>
  <c r="F2632" i="2"/>
  <c r="E2632" i="2"/>
  <c r="D2632" i="2"/>
  <c r="C2632" i="2"/>
  <c r="B2632" i="2"/>
  <c r="A2632" i="2"/>
  <c r="F2631" i="2"/>
  <c r="E2631" i="2"/>
  <c r="D2631" i="2"/>
  <c r="C2631" i="2"/>
  <c r="B2631" i="2"/>
  <c r="A2631" i="2"/>
  <c r="F2630" i="2"/>
  <c r="E2630" i="2"/>
  <c r="D2630" i="2"/>
  <c r="C2630" i="2"/>
  <c r="B2630" i="2"/>
  <c r="A2630" i="2"/>
  <c r="F2629" i="2"/>
  <c r="E2629" i="2"/>
  <c r="D2629" i="2"/>
  <c r="C2629" i="2"/>
  <c r="B2629" i="2"/>
  <c r="A2629" i="2"/>
  <c r="F2628" i="2"/>
  <c r="E2628" i="2"/>
  <c r="D2628" i="2"/>
  <c r="C2628" i="2"/>
  <c r="B2628" i="2"/>
  <c r="A2628" i="2"/>
  <c r="F2627" i="2"/>
  <c r="E2627" i="2"/>
  <c r="D2627" i="2"/>
  <c r="C2627" i="2"/>
  <c r="B2627" i="2"/>
  <c r="A2627" i="2"/>
  <c r="F2626" i="2"/>
  <c r="E2626" i="2"/>
  <c r="D2626" i="2"/>
  <c r="C2626" i="2"/>
  <c r="B2626" i="2"/>
  <c r="A2626" i="2"/>
  <c r="F2625" i="2"/>
  <c r="E2625" i="2"/>
  <c r="D2625" i="2"/>
  <c r="C2625" i="2"/>
  <c r="B2625" i="2"/>
  <c r="A2625" i="2"/>
  <c r="F2624" i="2"/>
  <c r="E2624" i="2"/>
  <c r="D2624" i="2"/>
  <c r="C2624" i="2"/>
  <c r="B2624" i="2"/>
  <c r="A2624" i="2"/>
  <c r="F2623" i="2"/>
  <c r="E2623" i="2"/>
  <c r="D2623" i="2"/>
  <c r="C2623" i="2"/>
  <c r="B2623" i="2"/>
  <c r="A2623" i="2"/>
  <c r="F2622" i="2"/>
  <c r="E2622" i="2"/>
  <c r="D2622" i="2"/>
  <c r="C2622" i="2"/>
  <c r="B2622" i="2"/>
  <c r="A2622" i="2"/>
  <c r="F2621" i="2"/>
  <c r="E2621" i="2"/>
  <c r="D2621" i="2"/>
  <c r="C2621" i="2"/>
  <c r="B2621" i="2"/>
  <c r="A2621" i="2"/>
  <c r="F2620" i="2"/>
  <c r="E2620" i="2"/>
  <c r="D2620" i="2"/>
  <c r="C2620" i="2"/>
  <c r="B2620" i="2"/>
  <c r="A2620" i="2"/>
  <c r="F2619" i="2"/>
  <c r="E2619" i="2"/>
  <c r="D2619" i="2"/>
  <c r="C2619" i="2"/>
  <c r="B2619" i="2"/>
  <c r="A2619" i="2"/>
  <c r="F2618" i="2"/>
  <c r="E2618" i="2"/>
  <c r="D2618" i="2"/>
  <c r="C2618" i="2"/>
  <c r="B2618" i="2"/>
  <c r="A2618" i="2"/>
  <c r="F2617" i="2"/>
  <c r="E2617" i="2"/>
  <c r="D2617" i="2"/>
  <c r="C2617" i="2"/>
  <c r="B2617" i="2"/>
  <c r="A2617" i="2"/>
  <c r="F2616" i="2"/>
  <c r="E2616" i="2"/>
  <c r="D2616" i="2"/>
  <c r="C2616" i="2"/>
  <c r="B2616" i="2"/>
  <c r="A2616" i="2"/>
  <c r="F2615" i="2"/>
  <c r="E2615" i="2"/>
  <c r="D2615" i="2"/>
  <c r="C2615" i="2"/>
  <c r="B2615" i="2"/>
  <c r="A2615" i="2"/>
  <c r="F2614" i="2"/>
  <c r="E2614" i="2"/>
  <c r="D2614" i="2"/>
  <c r="C2614" i="2"/>
  <c r="B2614" i="2"/>
  <c r="A2614" i="2"/>
  <c r="F2613" i="2"/>
  <c r="E2613" i="2"/>
  <c r="D2613" i="2"/>
  <c r="C2613" i="2"/>
  <c r="B2613" i="2"/>
  <c r="A2613" i="2"/>
  <c r="F2612" i="2"/>
  <c r="E2612" i="2"/>
  <c r="D2612" i="2"/>
  <c r="C2612" i="2"/>
  <c r="B2612" i="2"/>
  <c r="A2612" i="2"/>
  <c r="F2611" i="2"/>
  <c r="E2611" i="2"/>
  <c r="D2611" i="2"/>
  <c r="C2611" i="2"/>
  <c r="B2611" i="2"/>
  <c r="A2611" i="2"/>
  <c r="F2610" i="2"/>
  <c r="E2610" i="2"/>
  <c r="D2610" i="2"/>
  <c r="C2610" i="2"/>
  <c r="B2610" i="2"/>
  <c r="A2610" i="2"/>
  <c r="F2609" i="2"/>
  <c r="E2609" i="2"/>
  <c r="D2609" i="2"/>
  <c r="C2609" i="2"/>
  <c r="B2609" i="2"/>
  <c r="A2609" i="2"/>
  <c r="F2608" i="2"/>
  <c r="E2608" i="2"/>
  <c r="D2608" i="2"/>
  <c r="C2608" i="2"/>
  <c r="B2608" i="2"/>
  <c r="A2608" i="2"/>
  <c r="F2607" i="2"/>
  <c r="E2607" i="2"/>
  <c r="D2607" i="2"/>
  <c r="C2607" i="2"/>
  <c r="B2607" i="2"/>
  <c r="A2607" i="2"/>
  <c r="F2606" i="2"/>
  <c r="E2606" i="2"/>
  <c r="D2606" i="2"/>
  <c r="C2606" i="2"/>
  <c r="B2606" i="2"/>
  <c r="A2606" i="2"/>
  <c r="F2605" i="2"/>
  <c r="E2605" i="2"/>
  <c r="D2605" i="2"/>
  <c r="C2605" i="2"/>
  <c r="B2605" i="2"/>
  <c r="A2605" i="2"/>
  <c r="F2604" i="2"/>
  <c r="E2604" i="2"/>
  <c r="D2604" i="2"/>
  <c r="C2604" i="2"/>
  <c r="B2604" i="2"/>
  <c r="A2604" i="2"/>
  <c r="F2603" i="2"/>
  <c r="E2603" i="2"/>
  <c r="D2603" i="2"/>
  <c r="C2603" i="2"/>
  <c r="B2603" i="2"/>
  <c r="A2603" i="2"/>
  <c r="F2602" i="2"/>
  <c r="E2602" i="2"/>
  <c r="D2602" i="2"/>
  <c r="C2602" i="2"/>
  <c r="B2602" i="2"/>
  <c r="A2602" i="2"/>
  <c r="F2601" i="2"/>
  <c r="E2601" i="2"/>
  <c r="D2601" i="2"/>
  <c r="C2601" i="2"/>
  <c r="B2601" i="2"/>
  <c r="A2601" i="2"/>
  <c r="F2600" i="2"/>
  <c r="E2600" i="2"/>
  <c r="D2600" i="2"/>
  <c r="C2600" i="2"/>
  <c r="B2600" i="2"/>
  <c r="A2600" i="2"/>
  <c r="F2599" i="2"/>
  <c r="E2599" i="2"/>
  <c r="D2599" i="2"/>
  <c r="C2599" i="2"/>
  <c r="B2599" i="2"/>
  <c r="A2599" i="2"/>
  <c r="F2598" i="2"/>
  <c r="E2598" i="2"/>
  <c r="D2598" i="2"/>
  <c r="C2598" i="2"/>
  <c r="B2598" i="2"/>
  <c r="A2598" i="2"/>
  <c r="F2597" i="2"/>
  <c r="E2597" i="2"/>
  <c r="D2597" i="2"/>
  <c r="C2597" i="2"/>
  <c r="B2597" i="2"/>
  <c r="A2597" i="2"/>
  <c r="F2596" i="2"/>
  <c r="E2596" i="2"/>
  <c r="D2596" i="2"/>
  <c r="C2596" i="2"/>
  <c r="B2596" i="2"/>
  <c r="A2596" i="2"/>
  <c r="F2595" i="2"/>
  <c r="E2595" i="2"/>
  <c r="D2595" i="2"/>
  <c r="C2595" i="2"/>
  <c r="B2595" i="2"/>
  <c r="A2595" i="2"/>
  <c r="F2594" i="2"/>
  <c r="E2594" i="2"/>
  <c r="D2594" i="2"/>
  <c r="C2594" i="2"/>
  <c r="B2594" i="2"/>
  <c r="A2594" i="2"/>
  <c r="F2593" i="2"/>
  <c r="E2593" i="2"/>
  <c r="D2593" i="2"/>
  <c r="C2593" i="2"/>
  <c r="B2593" i="2"/>
  <c r="A2593" i="2"/>
  <c r="F2592" i="2"/>
  <c r="E2592" i="2"/>
  <c r="D2592" i="2"/>
  <c r="C2592" i="2"/>
  <c r="B2592" i="2"/>
  <c r="A2592" i="2"/>
  <c r="F2591" i="2"/>
  <c r="E2591" i="2"/>
  <c r="D2591" i="2"/>
  <c r="C2591" i="2"/>
  <c r="B2591" i="2"/>
  <c r="A2591" i="2"/>
  <c r="F2590" i="2"/>
  <c r="E2590" i="2"/>
  <c r="D2590" i="2"/>
  <c r="C2590" i="2"/>
  <c r="B2590" i="2"/>
  <c r="A2590" i="2"/>
  <c r="F2589" i="2"/>
  <c r="E2589" i="2"/>
  <c r="D2589" i="2"/>
  <c r="C2589" i="2"/>
  <c r="B2589" i="2"/>
  <c r="A2589" i="2"/>
  <c r="F2588" i="2"/>
  <c r="E2588" i="2"/>
  <c r="D2588" i="2"/>
  <c r="C2588" i="2"/>
  <c r="B2588" i="2"/>
  <c r="A2588" i="2"/>
  <c r="F2587" i="2"/>
  <c r="E2587" i="2"/>
  <c r="D2587" i="2"/>
  <c r="C2587" i="2"/>
  <c r="B2587" i="2"/>
  <c r="A2587" i="2"/>
  <c r="F2586" i="2"/>
  <c r="E2586" i="2"/>
  <c r="D2586" i="2"/>
  <c r="C2586" i="2"/>
  <c r="B2586" i="2"/>
  <c r="A2586" i="2"/>
  <c r="F2585" i="2"/>
  <c r="E2585" i="2"/>
  <c r="D2585" i="2"/>
  <c r="C2585" i="2"/>
  <c r="B2585" i="2"/>
  <c r="A2585" i="2"/>
  <c r="F2584" i="2"/>
  <c r="E2584" i="2"/>
  <c r="D2584" i="2"/>
  <c r="C2584" i="2"/>
  <c r="B2584" i="2"/>
  <c r="A2584" i="2"/>
  <c r="F2583" i="2"/>
  <c r="E2583" i="2"/>
  <c r="D2583" i="2"/>
  <c r="C2583" i="2"/>
  <c r="B2583" i="2"/>
  <c r="A2583" i="2"/>
  <c r="F2582" i="2"/>
  <c r="E2582" i="2"/>
  <c r="D2582" i="2"/>
  <c r="C2582" i="2"/>
  <c r="B2582" i="2"/>
  <c r="A2582" i="2"/>
  <c r="F2581" i="2"/>
  <c r="E2581" i="2"/>
  <c r="D2581" i="2"/>
  <c r="C2581" i="2"/>
  <c r="B2581" i="2"/>
  <c r="A2581" i="2"/>
  <c r="F2580" i="2"/>
  <c r="E2580" i="2"/>
  <c r="D2580" i="2"/>
  <c r="C2580" i="2"/>
  <c r="B2580" i="2"/>
  <c r="A2580" i="2"/>
  <c r="F2579" i="2"/>
  <c r="E2579" i="2"/>
  <c r="D2579" i="2"/>
  <c r="C2579" i="2"/>
  <c r="B2579" i="2"/>
  <c r="A2579" i="2"/>
  <c r="F2578" i="2"/>
  <c r="E2578" i="2"/>
  <c r="D2578" i="2"/>
  <c r="C2578" i="2"/>
  <c r="B2578" i="2"/>
  <c r="A2578" i="2"/>
  <c r="F2577" i="2"/>
  <c r="E2577" i="2"/>
  <c r="D2577" i="2"/>
  <c r="C2577" i="2"/>
  <c r="B2577" i="2"/>
  <c r="A2577" i="2"/>
  <c r="F2576" i="2"/>
  <c r="E2576" i="2"/>
  <c r="D2576" i="2"/>
  <c r="C2576" i="2"/>
  <c r="B2576" i="2"/>
  <c r="A2576" i="2"/>
  <c r="F2575" i="2"/>
  <c r="E2575" i="2"/>
  <c r="D2575" i="2"/>
  <c r="C2575" i="2"/>
  <c r="B2575" i="2"/>
  <c r="A2575" i="2"/>
  <c r="F2574" i="2"/>
  <c r="E2574" i="2"/>
  <c r="D2574" i="2"/>
  <c r="C2574" i="2"/>
  <c r="B2574" i="2"/>
  <c r="A2574" i="2"/>
  <c r="F2573" i="2"/>
  <c r="E2573" i="2"/>
  <c r="D2573" i="2"/>
  <c r="C2573" i="2"/>
  <c r="B2573" i="2"/>
  <c r="A2573" i="2"/>
  <c r="F2572" i="2"/>
  <c r="E2572" i="2"/>
  <c r="D2572" i="2"/>
  <c r="C2572" i="2"/>
  <c r="B2572" i="2"/>
  <c r="A2572" i="2"/>
  <c r="F2571" i="2"/>
  <c r="E2571" i="2"/>
  <c r="D2571" i="2"/>
  <c r="C2571" i="2"/>
  <c r="B2571" i="2"/>
  <c r="A2571" i="2"/>
  <c r="F2570" i="2"/>
  <c r="E2570" i="2"/>
  <c r="D2570" i="2"/>
  <c r="C2570" i="2"/>
  <c r="B2570" i="2"/>
  <c r="A2570" i="2"/>
  <c r="F2569" i="2"/>
  <c r="E2569" i="2"/>
  <c r="D2569" i="2"/>
  <c r="C2569" i="2"/>
  <c r="B2569" i="2"/>
  <c r="A2569" i="2"/>
  <c r="F2568" i="2"/>
  <c r="E2568" i="2"/>
  <c r="D2568" i="2"/>
  <c r="C2568" i="2"/>
  <c r="B2568" i="2"/>
  <c r="A2568" i="2"/>
  <c r="F2567" i="2"/>
  <c r="E2567" i="2"/>
  <c r="D2567" i="2"/>
  <c r="C2567" i="2"/>
  <c r="B2567" i="2"/>
  <c r="A2567" i="2"/>
  <c r="F2566" i="2"/>
  <c r="E2566" i="2"/>
  <c r="D2566" i="2"/>
  <c r="C2566" i="2"/>
  <c r="B2566" i="2"/>
  <c r="A2566" i="2"/>
  <c r="F2565" i="2"/>
  <c r="E2565" i="2"/>
  <c r="D2565" i="2"/>
  <c r="C2565" i="2"/>
  <c r="B2565" i="2"/>
  <c r="A2565" i="2"/>
  <c r="F2564" i="2"/>
  <c r="E2564" i="2"/>
  <c r="D2564" i="2"/>
  <c r="C2564" i="2"/>
  <c r="B2564" i="2"/>
  <c r="A2564" i="2"/>
  <c r="F2563" i="2"/>
  <c r="E2563" i="2"/>
  <c r="D2563" i="2"/>
  <c r="C2563" i="2"/>
  <c r="B2563" i="2"/>
  <c r="A2563" i="2"/>
  <c r="F2562" i="2"/>
  <c r="E2562" i="2"/>
  <c r="D2562" i="2"/>
  <c r="C2562" i="2"/>
  <c r="B2562" i="2"/>
  <c r="A2562" i="2"/>
  <c r="F2561" i="2"/>
  <c r="E2561" i="2"/>
  <c r="D2561" i="2"/>
  <c r="C2561" i="2"/>
  <c r="B2561" i="2"/>
  <c r="A2561" i="2"/>
  <c r="F2560" i="2"/>
  <c r="E2560" i="2"/>
  <c r="D2560" i="2"/>
  <c r="C2560" i="2"/>
  <c r="B2560" i="2"/>
  <c r="A2560" i="2"/>
  <c r="F2559" i="2"/>
  <c r="E2559" i="2"/>
  <c r="D2559" i="2"/>
  <c r="C2559" i="2"/>
  <c r="B2559" i="2"/>
  <c r="A2559" i="2"/>
  <c r="F2558" i="2"/>
  <c r="E2558" i="2"/>
  <c r="D2558" i="2"/>
  <c r="C2558" i="2"/>
  <c r="B2558" i="2"/>
  <c r="A2558" i="2"/>
  <c r="F2557" i="2"/>
  <c r="E2557" i="2"/>
  <c r="D2557" i="2"/>
  <c r="C2557" i="2"/>
  <c r="B2557" i="2"/>
  <c r="A2557" i="2"/>
  <c r="F2556" i="2"/>
  <c r="E2556" i="2"/>
  <c r="D2556" i="2"/>
  <c r="C2556" i="2"/>
  <c r="B2556" i="2"/>
  <c r="A2556" i="2"/>
  <c r="F2555" i="2"/>
  <c r="E2555" i="2"/>
  <c r="D2555" i="2"/>
  <c r="C2555" i="2"/>
  <c r="B2555" i="2"/>
  <c r="A2555" i="2"/>
  <c r="F2554" i="2"/>
  <c r="E2554" i="2"/>
  <c r="D2554" i="2"/>
  <c r="C2554" i="2"/>
  <c r="B2554" i="2"/>
  <c r="A2554" i="2"/>
  <c r="F2553" i="2"/>
  <c r="E2553" i="2"/>
  <c r="D2553" i="2"/>
  <c r="C2553" i="2"/>
  <c r="B2553" i="2"/>
  <c r="A2553" i="2"/>
  <c r="F2552" i="2"/>
  <c r="E2552" i="2"/>
  <c r="D2552" i="2"/>
  <c r="C2552" i="2"/>
  <c r="B2552" i="2"/>
  <c r="A2552" i="2"/>
  <c r="F2551" i="2"/>
  <c r="E2551" i="2"/>
  <c r="D2551" i="2"/>
  <c r="C2551" i="2"/>
  <c r="B2551" i="2"/>
  <c r="A2551" i="2"/>
  <c r="F2550" i="2"/>
  <c r="E2550" i="2"/>
  <c r="D2550" i="2"/>
  <c r="C2550" i="2"/>
  <c r="B2550" i="2"/>
  <c r="A2550" i="2"/>
  <c r="F2549" i="2"/>
  <c r="E2549" i="2"/>
  <c r="D2549" i="2"/>
  <c r="C2549" i="2"/>
  <c r="B2549" i="2"/>
  <c r="A2549" i="2"/>
  <c r="F2548" i="2"/>
  <c r="E2548" i="2"/>
  <c r="D2548" i="2"/>
  <c r="C2548" i="2"/>
  <c r="B2548" i="2"/>
  <c r="A2548" i="2"/>
  <c r="F2547" i="2"/>
  <c r="E2547" i="2"/>
  <c r="D2547" i="2"/>
  <c r="C2547" i="2"/>
  <c r="B2547" i="2"/>
  <c r="A2547" i="2"/>
  <c r="F2546" i="2"/>
  <c r="E2546" i="2"/>
  <c r="D2546" i="2"/>
  <c r="C2546" i="2"/>
  <c r="B2546" i="2"/>
  <c r="A2546" i="2"/>
  <c r="F2545" i="2"/>
  <c r="E2545" i="2"/>
  <c r="D2545" i="2"/>
  <c r="C2545" i="2"/>
  <c r="B2545" i="2"/>
  <c r="A2545" i="2"/>
  <c r="F2544" i="2"/>
  <c r="E2544" i="2"/>
  <c r="D2544" i="2"/>
  <c r="C2544" i="2"/>
  <c r="B2544" i="2"/>
  <c r="A2544" i="2"/>
  <c r="F2543" i="2"/>
  <c r="E2543" i="2"/>
  <c r="D2543" i="2"/>
  <c r="C2543" i="2"/>
  <c r="B2543" i="2"/>
  <c r="A2543" i="2"/>
  <c r="F2542" i="2"/>
  <c r="E2542" i="2"/>
  <c r="D2542" i="2"/>
  <c r="C2542" i="2"/>
  <c r="B2542" i="2"/>
  <c r="A2542" i="2"/>
  <c r="F2541" i="2"/>
  <c r="E2541" i="2"/>
  <c r="D2541" i="2"/>
  <c r="C2541" i="2"/>
  <c r="B2541" i="2"/>
  <c r="A2541" i="2"/>
  <c r="F2540" i="2"/>
  <c r="E2540" i="2"/>
  <c r="D2540" i="2"/>
  <c r="C2540" i="2"/>
  <c r="B2540" i="2"/>
  <c r="A2540" i="2"/>
  <c r="F2539" i="2"/>
  <c r="E2539" i="2"/>
  <c r="D2539" i="2"/>
  <c r="C2539" i="2"/>
  <c r="B2539" i="2"/>
  <c r="A2539" i="2"/>
  <c r="F2538" i="2"/>
  <c r="E2538" i="2"/>
  <c r="D2538" i="2"/>
  <c r="C2538" i="2"/>
  <c r="B2538" i="2"/>
  <c r="A2538" i="2"/>
  <c r="F2537" i="2"/>
  <c r="E2537" i="2"/>
  <c r="D2537" i="2"/>
  <c r="C2537" i="2"/>
  <c r="B2537" i="2"/>
  <c r="A2537" i="2"/>
  <c r="F2536" i="2"/>
  <c r="E2536" i="2"/>
  <c r="D2536" i="2"/>
  <c r="C2536" i="2"/>
  <c r="B2536" i="2"/>
  <c r="A2536" i="2"/>
  <c r="F2535" i="2"/>
  <c r="E2535" i="2"/>
  <c r="D2535" i="2"/>
  <c r="C2535" i="2"/>
  <c r="B2535" i="2"/>
  <c r="A2535" i="2"/>
  <c r="F2534" i="2"/>
  <c r="E2534" i="2"/>
  <c r="D2534" i="2"/>
  <c r="C2534" i="2"/>
  <c r="B2534" i="2"/>
  <c r="A2534" i="2"/>
  <c r="F2533" i="2"/>
  <c r="E2533" i="2"/>
  <c r="D2533" i="2"/>
  <c r="C2533" i="2"/>
  <c r="B2533" i="2"/>
  <c r="A2533" i="2"/>
  <c r="F2532" i="2"/>
  <c r="E2532" i="2"/>
  <c r="D2532" i="2"/>
  <c r="C2532" i="2"/>
  <c r="B2532" i="2"/>
  <c r="A2532" i="2"/>
  <c r="F2531" i="2"/>
  <c r="E2531" i="2"/>
  <c r="D2531" i="2"/>
  <c r="C2531" i="2"/>
  <c r="B2531" i="2"/>
  <c r="A2531" i="2"/>
  <c r="F2530" i="2"/>
  <c r="E2530" i="2"/>
  <c r="D2530" i="2"/>
  <c r="C2530" i="2"/>
  <c r="B2530" i="2"/>
  <c r="A2530" i="2"/>
  <c r="F2529" i="2"/>
  <c r="E2529" i="2"/>
  <c r="D2529" i="2"/>
  <c r="C2529" i="2"/>
  <c r="B2529" i="2"/>
  <c r="A2529" i="2"/>
  <c r="F2528" i="2"/>
  <c r="E2528" i="2"/>
  <c r="D2528" i="2"/>
  <c r="C2528" i="2"/>
  <c r="B2528" i="2"/>
  <c r="A2528" i="2"/>
  <c r="F2527" i="2"/>
  <c r="E2527" i="2"/>
  <c r="D2527" i="2"/>
  <c r="C2527" i="2"/>
  <c r="B2527" i="2"/>
  <c r="A2527" i="2"/>
  <c r="F2526" i="2"/>
  <c r="E2526" i="2"/>
  <c r="D2526" i="2"/>
  <c r="C2526" i="2"/>
  <c r="B2526" i="2"/>
  <c r="A2526" i="2"/>
  <c r="F2525" i="2"/>
  <c r="E2525" i="2"/>
  <c r="D2525" i="2"/>
  <c r="C2525" i="2"/>
  <c r="B2525" i="2"/>
  <c r="A2525" i="2"/>
  <c r="F2524" i="2"/>
  <c r="E2524" i="2"/>
  <c r="D2524" i="2"/>
  <c r="C2524" i="2"/>
  <c r="B2524" i="2"/>
  <c r="A2524" i="2"/>
  <c r="F2523" i="2"/>
  <c r="E2523" i="2"/>
  <c r="D2523" i="2"/>
  <c r="C2523" i="2"/>
  <c r="B2523" i="2"/>
  <c r="A2523" i="2"/>
  <c r="F2522" i="2"/>
  <c r="E2522" i="2"/>
  <c r="D2522" i="2"/>
  <c r="C2522" i="2"/>
  <c r="B2522" i="2"/>
  <c r="A2522" i="2"/>
  <c r="F2521" i="2"/>
  <c r="E2521" i="2"/>
  <c r="D2521" i="2"/>
  <c r="C2521" i="2"/>
  <c r="B2521" i="2"/>
  <c r="A2521" i="2"/>
  <c r="F2520" i="2"/>
  <c r="E2520" i="2"/>
  <c r="D2520" i="2"/>
  <c r="C2520" i="2"/>
  <c r="B2520" i="2"/>
  <c r="A2520" i="2"/>
  <c r="F2519" i="2"/>
  <c r="E2519" i="2"/>
  <c r="D2519" i="2"/>
  <c r="C2519" i="2"/>
  <c r="B2519" i="2"/>
  <c r="A2519" i="2"/>
  <c r="F2518" i="2"/>
  <c r="E2518" i="2"/>
  <c r="D2518" i="2"/>
  <c r="C2518" i="2"/>
  <c r="B2518" i="2"/>
  <c r="A2518" i="2"/>
  <c r="F2517" i="2"/>
  <c r="E2517" i="2"/>
  <c r="D2517" i="2"/>
  <c r="C2517" i="2"/>
  <c r="B2517" i="2"/>
  <c r="A2517" i="2"/>
  <c r="F2516" i="2"/>
  <c r="E2516" i="2"/>
  <c r="D2516" i="2"/>
  <c r="C2516" i="2"/>
  <c r="B2516" i="2"/>
  <c r="A2516" i="2"/>
  <c r="F2515" i="2"/>
  <c r="E2515" i="2"/>
  <c r="D2515" i="2"/>
  <c r="C2515" i="2"/>
  <c r="B2515" i="2"/>
  <c r="A2515" i="2"/>
  <c r="F2514" i="2"/>
  <c r="E2514" i="2"/>
  <c r="D2514" i="2"/>
  <c r="C2514" i="2"/>
  <c r="B2514" i="2"/>
  <c r="A2514" i="2"/>
  <c r="F2513" i="2"/>
  <c r="E2513" i="2"/>
  <c r="D2513" i="2"/>
  <c r="C2513" i="2"/>
  <c r="B2513" i="2"/>
  <c r="A2513" i="2"/>
  <c r="F2512" i="2"/>
  <c r="E2512" i="2"/>
  <c r="D2512" i="2"/>
  <c r="C2512" i="2"/>
  <c r="B2512" i="2"/>
  <c r="A2512" i="2"/>
  <c r="F2511" i="2"/>
  <c r="E2511" i="2"/>
  <c r="D2511" i="2"/>
  <c r="C2511" i="2"/>
  <c r="B2511" i="2"/>
  <c r="A2511" i="2"/>
  <c r="F2510" i="2"/>
  <c r="E2510" i="2"/>
  <c r="D2510" i="2"/>
  <c r="C2510" i="2"/>
  <c r="B2510" i="2"/>
  <c r="A2510" i="2"/>
  <c r="F2509" i="2"/>
  <c r="E2509" i="2"/>
  <c r="D2509" i="2"/>
  <c r="C2509" i="2"/>
  <c r="B2509" i="2"/>
  <c r="A2509" i="2"/>
  <c r="F2508" i="2"/>
  <c r="E2508" i="2"/>
  <c r="D2508" i="2"/>
  <c r="C2508" i="2"/>
  <c r="B2508" i="2"/>
  <c r="A2508" i="2"/>
  <c r="F2507" i="2"/>
  <c r="E2507" i="2"/>
  <c r="D2507" i="2"/>
  <c r="C2507" i="2"/>
  <c r="B2507" i="2"/>
  <c r="A2507" i="2"/>
  <c r="F2506" i="2"/>
  <c r="E2506" i="2"/>
  <c r="D2506" i="2"/>
  <c r="C2506" i="2"/>
  <c r="B2506" i="2"/>
  <c r="A2506" i="2"/>
  <c r="F2505" i="2"/>
  <c r="E2505" i="2"/>
  <c r="D2505" i="2"/>
  <c r="C2505" i="2"/>
  <c r="B2505" i="2"/>
  <c r="A2505" i="2"/>
  <c r="F2504" i="2"/>
  <c r="E2504" i="2"/>
  <c r="D2504" i="2"/>
  <c r="C2504" i="2"/>
  <c r="B2504" i="2"/>
  <c r="A2504" i="2"/>
  <c r="F2503" i="2"/>
  <c r="E2503" i="2"/>
  <c r="D2503" i="2"/>
  <c r="C2503" i="2"/>
  <c r="B2503" i="2"/>
  <c r="A2503" i="2"/>
  <c r="F2502" i="2"/>
  <c r="E2502" i="2"/>
  <c r="D2502" i="2"/>
  <c r="C2502" i="2"/>
  <c r="B2502" i="2"/>
  <c r="A2502" i="2"/>
  <c r="F2501" i="2"/>
  <c r="E2501" i="2"/>
  <c r="D2501" i="2"/>
  <c r="C2501" i="2"/>
  <c r="B2501" i="2"/>
  <c r="A2501" i="2"/>
  <c r="F2500" i="2"/>
  <c r="E2500" i="2"/>
  <c r="D2500" i="2"/>
  <c r="C2500" i="2"/>
  <c r="B2500" i="2"/>
  <c r="A2500" i="2"/>
  <c r="F2499" i="2"/>
  <c r="E2499" i="2"/>
  <c r="D2499" i="2"/>
  <c r="C2499" i="2"/>
  <c r="B2499" i="2"/>
  <c r="A2499" i="2"/>
  <c r="F2498" i="2"/>
  <c r="E2498" i="2"/>
  <c r="D2498" i="2"/>
  <c r="C2498" i="2"/>
  <c r="B2498" i="2"/>
  <c r="A2498" i="2"/>
  <c r="F2497" i="2"/>
  <c r="E2497" i="2"/>
  <c r="D2497" i="2"/>
  <c r="C2497" i="2"/>
  <c r="B2497" i="2"/>
  <c r="A2497" i="2"/>
  <c r="F2496" i="2"/>
  <c r="E2496" i="2"/>
  <c r="D2496" i="2"/>
  <c r="C2496" i="2"/>
  <c r="B2496" i="2"/>
  <c r="A2496" i="2"/>
  <c r="F2495" i="2"/>
  <c r="E2495" i="2"/>
  <c r="D2495" i="2"/>
  <c r="C2495" i="2"/>
  <c r="B2495" i="2"/>
  <c r="A2495" i="2"/>
  <c r="F2494" i="2"/>
  <c r="E2494" i="2"/>
  <c r="D2494" i="2"/>
  <c r="C2494" i="2"/>
  <c r="B2494" i="2"/>
  <c r="A2494" i="2"/>
  <c r="F2493" i="2"/>
  <c r="E2493" i="2"/>
  <c r="D2493" i="2"/>
  <c r="C2493" i="2"/>
  <c r="B2493" i="2"/>
  <c r="A2493" i="2"/>
  <c r="F2492" i="2"/>
  <c r="E2492" i="2"/>
  <c r="D2492" i="2"/>
  <c r="C2492" i="2"/>
  <c r="B2492" i="2"/>
  <c r="A2492" i="2"/>
  <c r="F2491" i="2"/>
  <c r="E2491" i="2"/>
  <c r="D2491" i="2"/>
  <c r="C2491" i="2"/>
  <c r="B2491" i="2"/>
  <c r="A2491" i="2"/>
  <c r="F2490" i="2"/>
  <c r="E2490" i="2"/>
  <c r="D2490" i="2"/>
  <c r="C2490" i="2"/>
  <c r="B2490" i="2"/>
  <c r="A2490" i="2"/>
  <c r="F2489" i="2"/>
  <c r="E2489" i="2"/>
  <c r="D2489" i="2"/>
  <c r="C2489" i="2"/>
  <c r="B2489" i="2"/>
  <c r="A2489" i="2"/>
  <c r="F2488" i="2"/>
  <c r="E2488" i="2"/>
  <c r="D2488" i="2"/>
  <c r="C2488" i="2"/>
  <c r="B2488" i="2"/>
  <c r="A2488" i="2"/>
  <c r="F2487" i="2"/>
  <c r="E2487" i="2"/>
  <c r="D2487" i="2"/>
  <c r="C2487" i="2"/>
  <c r="B2487" i="2"/>
  <c r="A2487" i="2"/>
  <c r="F2486" i="2"/>
  <c r="E2486" i="2"/>
  <c r="D2486" i="2"/>
  <c r="C2486" i="2"/>
  <c r="B2486" i="2"/>
  <c r="A2486" i="2"/>
  <c r="F2485" i="2"/>
  <c r="E2485" i="2"/>
  <c r="D2485" i="2"/>
  <c r="C2485" i="2"/>
  <c r="B2485" i="2"/>
  <c r="A2485" i="2"/>
  <c r="F2484" i="2"/>
  <c r="E2484" i="2"/>
  <c r="D2484" i="2"/>
  <c r="C2484" i="2"/>
  <c r="B2484" i="2"/>
  <c r="A2484" i="2"/>
  <c r="F2483" i="2"/>
  <c r="E2483" i="2"/>
  <c r="D2483" i="2"/>
  <c r="C2483" i="2"/>
  <c r="B2483" i="2"/>
  <c r="A2483" i="2"/>
  <c r="F2482" i="2"/>
  <c r="E2482" i="2"/>
  <c r="D2482" i="2"/>
  <c r="C2482" i="2"/>
  <c r="B2482" i="2"/>
  <c r="A2482" i="2"/>
  <c r="F2481" i="2"/>
  <c r="E2481" i="2"/>
  <c r="D2481" i="2"/>
  <c r="C2481" i="2"/>
  <c r="B2481" i="2"/>
  <c r="A2481" i="2"/>
  <c r="F2480" i="2"/>
  <c r="E2480" i="2"/>
  <c r="D2480" i="2"/>
  <c r="C2480" i="2"/>
  <c r="B2480" i="2"/>
  <c r="A2480" i="2"/>
  <c r="F2479" i="2"/>
  <c r="E2479" i="2"/>
  <c r="D2479" i="2"/>
  <c r="C2479" i="2"/>
  <c r="B2479" i="2"/>
  <c r="A2479" i="2"/>
  <c r="F2478" i="2"/>
  <c r="E2478" i="2"/>
  <c r="D2478" i="2"/>
  <c r="C2478" i="2"/>
  <c r="B2478" i="2"/>
  <c r="A2478" i="2"/>
  <c r="F2477" i="2"/>
  <c r="E2477" i="2"/>
  <c r="D2477" i="2"/>
  <c r="C2477" i="2"/>
  <c r="B2477" i="2"/>
  <c r="A2477" i="2"/>
  <c r="F2476" i="2"/>
  <c r="E2476" i="2"/>
  <c r="D2476" i="2"/>
  <c r="C2476" i="2"/>
  <c r="B2476" i="2"/>
  <c r="A2476" i="2"/>
  <c r="F2475" i="2"/>
  <c r="E2475" i="2"/>
  <c r="D2475" i="2"/>
  <c r="C2475" i="2"/>
  <c r="B2475" i="2"/>
  <c r="A2475" i="2"/>
  <c r="F2474" i="2"/>
  <c r="E2474" i="2"/>
  <c r="D2474" i="2"/>
  <c r="C2474" i="2"/>
  <c r="B2474" i="2"/>
  <c r="A2474" i="2"/>
  <c r="F2473" i="2"/>
  <c r="E2473" i="2"/>
  <c r="D2473" i="2"/>
  <c r="C2473" i="2"/>
  <c r="B2473" i="2"/>
  <c r="A2473" i="2"/>
  <c r="F2472" i="2"/>
  <c r="E2472" i="2"/>
  <c r="D2472" i="2"/>
  <c r="C2472" i="2"/>
  <c r="B2472" i="2"/>
  <c r="A2472" i="2"/>
  <c r="F2471" i="2"/>
  <c r="E2471" i="2"/>
  <c r="D2471" i="2"/>
  <c r="C2471" i="2"/>
  <c r="B2471" i="2"/>
  <c r="A2471" i="2"/>
  <c r="F2470" i="2"/>
  <c r="E2470" i="2"/>
  <c r="D2470" i="2"/>
  <c r="C2470" i="2"/>
  <c r="B2470" i="2"/>
  <c r="A2470" i="2"/>
  <c r="F2469" i="2"/>
  <c r="E2469" i="2"/>
  <c r="D2469" i="2"/>
  <c r="C2469" i="2"/>
  <c r="B2469" i="2"/>
  <c r="A2469" i="2"/>
  <c r="F2468" i="2"/>
  <c r="E2468" i="2"/>
  <c r="D2468" i="2"/>
  <c r="C2468" i="2"/>
  <c r="B2468" i="2"/>
  <c r="A2468" i="2"/>
  <c r="F2467" i="2"/>
  <c r="E2467" i="2"/>
  <c r="D2467" i="2"/>
  <c r="C2467" i="2"/>
  <c r="B2467" i="2"/>
  <c r="A2467" i="2"/>
  <c r="F2466" i="2"/>
  <c r="E2466" i="2"/>
  <c r="D2466" i="2"/>
  <c r="C2466" i="2"/>
  <c r="B2466" i="2"/>
  <c r="A2466" i="2"/>
  <c r="F2465" i="2"/>
  <c r="E2465" i="2"/>
  <c r="D2465" i="2"/>
  <c r="C2465" i="2"/>
  <c r="B2465" i="2"/>
  <c r="A2465" i="2"/>
  <c r="F2464" i="2"/>
  <c r="E2464" i="2"/>
  <c r="D2464" i="2"/>
  <c r="C2464" i="2"/>
  <c r="B2464" i="2"/>
  <c r="A2464" i="2"/>
  <c r="F2463" i="2"/>
  <c r="E2463" i="2"/>
  <c r="D2463" i="2"/>
  <c r="C2463" i="2"/>
  <c r="B2463" i="2"/>
  <c r="A2463" i="2"/>
  <c r="F2462" i="2"/>
  <c r="E2462" i="2"/>
  <c r="D2462" i="2"/>
  <c r="C2462" i="2"/>
  <c r="B2462" i="2"/>
  <c r="A2462" i="2"/>
  <c r="F2461" i="2"/>
  <c r="E2461" i="2"/>
  <c r="D2461" i="2"/>
  <c r="C2461" i="2"/>
  <c r="B2461" i="2"/>
  <c r="A2461" i="2"/>
  <c r="F2460" i="2"/>
  <c r="E2460" i="2"/>
  <c r="D2460" i="2"/>
  <c r="C2460" i="2"/>
  <c r="B2460" i="2"/>
  <c r="A2460" i="2"/>
  <c r="F2459" i="2"/>
  <c r="E2459" i="2"/>
  <c r="D2459" i="2"/>
  <c r="C2459" i="2"/>
  <c r="B2459" i="2"/>
  <c r="A2459" i="2"/>
  <c r="F2458" i="2"/>
  <c r="E2458" i="2"/>
  <c r="D2458" i="2"/>
  <c r="C2458" i="2"/>
  <c r="B2458" i="2"/>
  <c r="A2458" i="2"/>
  <c r="F2457" i="2"/>
  <c r="E2457" i="2"/>
  <c r="D2457" i="2"/>
  <c r="C2457" i="2"/>
  <c r="B2457" i="2"/>
  <c r="A2457" i="2"/>
  <c r="F2456" i="2"/>
  <c r="E2456" i="2"/>
  <c r="D2456" i="2"/>
  <c r="C2456" i="2"/>
  <c r="B2456" i="2"/>
  <c r="A2456" i="2"/>
  <c r="F2455" i="2"/>
  <c r="E2455" i="2"/>
  <c r="D2455" i="2"/>
  <c r="C2455" i="2"/>
  <c r="B2455" i="2"/>
  <c r="A2455" i="2"/>
  <c r="F2454" i="2"/>
  <c r="E2454" i="2"/>
  <c r="D2454" i="2"/>
  <c r="C2454" i="2"/>
  <c r="B2454" i="2"/>
  <c r="A2454" i="2"/>
  <c r="F2453" i="2"/>
  <c r="E2453" i="2"/>
  <c r="D2453" i="2"/>
  <c r="C2453" i="2"/>
  <c r="B2453" i="2"/>
  <c r="A2453" i="2"/>
  <c r="F2452" i="2"/>
  <c r="E2452" i="2"/>
  <c r="D2452" i="2"/>
  <c r="C2452" i="2"/>
  <c r="B2452" i="2"/>
  <c r="A2452" i="2"/>
  <c r="F2451" i="2"/>
  <c r="E2451" i="2"/>
  <c r="D2451" i="2"/>
  <c r="C2451" i="2"/>
  <c r="B2451" i="2"/>
  <c r="A2451" i="2"/>
  <c r="F2450" i="2"/>
  <c r="E2450" i="2"/>
  <c r="D2450" i="2"/>
  <c r="C2450" i="2"/>
  <c r="B2450" i="2"/>
  <c r="A2450" i="2"/>
  <c r="F2449" i="2"/>
  <c r="E2449" i="2"/>
  <c r="D2449" i="2"/>
  <c r="C2449" i="2"/>
  <c r="B2449" i="2"/>
  <c r="A2449" i="2"/>
  <c r="F2448" i="2"/>
  <c r="E2448" i="2"/>
  <c r="D2448" i="2"/>
  <c r="C2448" i="2"/>
  <c r="B2448" i="2"/>
  <c r="A2448" i="2"/>
  <c r="F2447" i="2"/>
  <c r="E2447" i="2"/>
  <c r="D2447" i="2"/>
  <c r="C2447" i="2"/>
  <c r="B2447" i="2"/>
  <c r="A2447" i="2"/>
  <c r="F2446" i="2"/>
  <c r="E2446" i="2"/>
  <c r="D2446" i="2"/>
  <c r="C2446" i="2"/>
  <c r="B2446" i="2"/>
  <c r="A2446" i="2"/>
  <c r="F2445" i="2"/>
  <c r="E2445" i="2"/>
  <c r="D2445" i="2"/>
  <c r="C2445" i="2"/>
  <c r="B2445" i="2"/>
  <c r="A2445" i="2"/>
  <c r="F2444" i="2"/>
  <c r="E2444" i="2"/>
  <c r="D2444" i="2"/>
  <c r="C2444" i="2"/>
  <c r="B2444" i="2"/>
  <c r="A2444" i="2"/>
  <c r="F2443" i="2"/>
  <c r="E2443" i="2"/>
  <c r="D2443" i="2"/>
  <c r="C2443" i="2"/>
  <c r="B2443" i="2"/>
  <c r="A2443" i="2"/>
  <c r="F2442" i="2"/>
  <c r="E2442" i="2"/>
  <c r="D2442" i="2"/>
  <c r="C2442" i="2"/>
  <c r="B2442" i="2"/>
  <c r="A2442" i="2"/>
  <c r="F2441" i="2"/>
  <c r="E2441" i="2"/>
  <c r="D2441" i="2"/>
  <c r="C2441" i="2"/>
  <c r="B2441" i="2"/>
  <c r="A2441" i="2"/>
  <c r="F2440" i="2"/>
  <c r="E2440" i="2"/>
  <c r="D2440" i="2"/>
  <c r="C2440" i="2"/>
  <c r="B2440" i="2"/>
  <c r="A2440" i="2"/>
  <c r="F2439" i="2"/>
  <c r="E2439" i="2"/>
  <c r="D2439" i="2"/>
  <c r="C2439" i="2"/>
  <c r="B2439" i="2"/>
  <c r="A2439" i="2"/>
  <c r="F2438" i="2"/>
  <c r="E2438" i="2"/>
  <c r="D2438" i="2"/>
  <c r="C2438" i="2"/>
  <c r="B2438" i="2"/>
  <c r="A2438" i="2"/>
  <c r="F2437" i="2"/>
  <c r="E2437" i="2"/>
  <c r="D2437" i="2"/>
  <c r="C2437" i="2"/>
  <c r="B2437" i="2"/>
  <c r="A2437" i="2"/>
  <c r="F2436" i="2"/>
  <c r="E2436" i="2"/>
  <c r="D2436" i="2"/>
  <c r="C2436" i="2"/>
  <c r="B2436" i="2"/>
  <c r="A2436" i="2"/>
  <c r="F2435" i="2"/>
  <c r="E2435" i="2"/>
  <c r="D2435" i="2"/>
  <c r="C2435" i="2"/>
  <c r="B2435" i="2"/>
  <c r="A2435" i="2"/>
  <c r="F2434" i="2"/>
  <c r="E2434" i="2"/>
  <c r="D2434" i="2"/>
  <c r="C2434" i="2"/>
  <c r="B2434" i="2"/>
  <c r="A2434" i="2"/>
  <c r="F2433" i="2"/>
  <c r="E2433" i="2"/>
  <c r="D2433" i="2"/>
  <c r="C2433" i="2"/>
  <c r="B2433" i="2"/>
  <c r="A2433" i="2"/>
  <c r="F2432" i="2"/>
  <c r="E2432" i="2"/>
  <c r="D2432" i="2"/>
  <c r="C2432" i="2"/>
  <c r="B2432" i="2"/>
  <c r="A2432" i="2"/>
  <c r="F2431" i="2"/>
  <c r="E2431" i="2"/>
  <c r="D2431" i="2"/>
  <c r="C2431" i="2"/>
  <c r="B2431" i="2"/>
  <c r="A2431" i="2"/>
  <c r="F2430" i="2"/>
  <c r="E2430" i="2"/>
  <c r="D2430" i="2"/>
  <c r="C2430" i="2"/>
  <c r="B2430" i="2"/>
  <c r="A2430" i="2"/>
  <c r="F2429" i="2"/>
  <c r="E2429" i="2"/>
  <c r="D2429" i="2"/>
  <c r="C2429" i="2"/>
  <c r="B2429" i="2"/>
  <c r="A2429" i="2"/>
  <c r="F2428" i="2"/>
  <c r="E2428" i="2"/>
  <c r="D2428" i="2"/>
  <c r="C2428" i="2"/>
  <c r="B2428" i="2"/>
  <c r="A2428" i="2"/>
  <c r="F2427" i="2"/>
  <c r="E2427" i="2"/>
  <c r="D2427" i="2"/>
  <c r="C2427" i="2"/>
  <c r="B2427" i="2"/>
  <c r="A2427" i="2"/>
  <c r="F2426" i="2"/>
  <c r="E2426" i="2"/>
  <c r="D2426" i="2"/>
  <c r="C2426" i="2"/>
  <c r="B2426" i="2"/>
  <c r="A2426" i="2"/>
  <c r="F2425" i="2"/>
  <c r="E2425" i="2"/>
  <c r="D2425" i="2"/>
  <c r="C2425" i="2"/>
  <c r="B2425" i="2"/>
  <c r="A2425" i="2"/>
  <c r="F2424" i="2"/>
  <c r="E2424" i="2"/>
  <c r="D2424" i="2"/>
  <c r="C2424" i="2"/>
  <c r="B2424" i="2"/>
  <c r="A2424" i="2"/>
  <c r="F2423" i="2"/>
  <c r="E2423" i="2"/>
  <c r="D2423" i="2"/>
  <c r="C2423" i="2"/>
  <c r="B2423" i="2"/>
  <c r="A2423" i="2"/>
  <c r="F2422" i="2"/>
  <c r="E2422" i="2"/>
  <c r="D2422" i="2"/>
  <c r="C2422" i="2"/>
  <c r="B2422" i="2"/>
  <c r="A2422" i="2"/>
  <c r="F2421" i="2"/>
  <c r="E2421" i="2"/>
  <c r="D2421" i="2"/>
  <c r="C2421" i="2"/>
  <c r="B2421" i="2"/>
  <c r="A2421" i="2"/>
  <c r="F2420" i="2"/>
  <c r="E2420" i="2"/>
  <c r="D2420" i="2"/>
  <c r="C2420" i="2"/>
  <c r="B2420" i="2"/>
  <c r="A2420" i="2"/>
  <c r="F2419" i="2"/>
  <c r="E2419" i="2"/>
  <c r="D2419" i="2"/>
  <c r="C2419" i="2"/>
  <c r="B2419" i="2"/>
  <c r="A2419" i="2"/>
  <c r="F2418" i="2"/>
  <c r="E2418" i="2"/>
  <c r="D2418" i="2"/>
  <c r="C2418" i="2"/>
  <c r="B2418" i="2"/>
  <c r="A2418" i="2"/>
  <c r="F2417" i="2"/>
  <c r="E2417" i="2"/>
  <c r="D2417" i="2"/>
  <c r="C2417" i="2"/>
  <c r="B2417" i="2"/>
  <c r="A2417" i="2"/>
  <c r="F2416" i="2"/>
  <c r="E2416" i="2"/>
  <c r="D2416" i="2"/>
  <c r="C2416" i="2"/>
  <c r="B2416" i="2"/>
  <c r="A2416" i="2"/>
  <c r="F2415" i="2"/>
  <c r="E2415" i="2"/>
  <c r="D2415" i="2"/>
  <c r="C2415" i="2"/>
  <c r="B2415" i="2"/>
  <c r="A2415" i="2"/>
  <c r="F2414" i="2"/>
  <c r="E2414" i="2"/>
  <c r="D2414" i="2"/>
  <c r="C2414" i="2"/>
  <c r="B2414" i="2"/>
  <c r="A2414" i="2"/>
  <c r="F2413" i="2"/>
  <c r="E2413" i="2"/>
  <c r="D2413" i="2"/>
  <c r="C2413" i="2"/>
  <c r="B2413" i="2"/>
  <c r="A2413" i="2"/>
  <c r="F2412" i="2"/>
  <c r="E2412" i="2"/>
  <c r="D2412" i="2"/>
  <c r="C2412" i="2"/>
  <c r="B2412" i="2"/>
  <c r="A2412" i="2"/>
  <c r="F2411" i="2"/>
  <c r="E2411" i="2"/>
  <c r="D2411" i="2"/>
  <c r="C2411" i="2"/>
  <c r="B2411" i="2"/>
  <c r="A2411" i="2"/>
  <c r="F2410" i="2"/>
  <c r="E2410" i="2"/>
  <c r="D2410" i="2"/>
  <c r="C2410" i="2"/>
  <c r="B2410" i="2"/>
  <c r="A2410" i="2"/>
  <c r="F2409" i="2"/>
  <c r="E2409" i="2"/>
  <c r="D2409" i="2"/>
  <c r="C2409" i="2"/>
  <c r="B2409" i="2"/>
  <c r="A2409" i="2"/>
  <c r="F2408" i="2"/>
  <c r="E2408" i="2"/>
  <c r="D2408" i="2"/>
  <c r="C2408" i="2"/>
  <c r="B2408" i="2"/>
  <c r="A2408" i="2"/>
  <c r="F2407" i="2"/>
  <c r="E2407" i="2"/>
  <c r="D2407" i="2"/>
  <c r="C2407" i="2"/>
  <c r="B2407" i="2"/>
  <c r="A2407" i="2"/>
  <c r="F2406" i="2"/>
  <c r="E2406" i="2"/>
  <c r="D2406" i="2"/>
  <c r="C2406" i="2"/>
  <c r="B2406" i="2"/>
  <c r="A2406" i="2"/>
  <c r="F2405" i="2"/>
  <c r="E2405" i="2"/>
  <c r="D2405" i="2"/>
  <c r="C2405" i="2"/>
  <c r="B2405" i="2"/>
  <c r="A2405" i="2"/>
  <c r="F2404" i="2"/>
  <c r="E2404" i="2"/>
  <c r="D2404" i="2"/>
  <c r="C2404" i="2"/>
  <c r="B2404" i="2"/>
  <c r="A2404" i="2"/>
  <c r="F2403" i="2"/>
  <c r="E2403" i="2"/>
  <c r="D2403" i="2"/>
  <c r="C2403" i="2"/>
  <c r="B2403" i="2"/>
  <c r="A2403" i="2"/>
  <c r="F2402" i="2"/>
  <c r="E2402" i="2"/>
  <c r="D2402" i="2"/>
  <c r="C2402" i="2"/>
  <c r="B2402" i="2"/>
  <c r="A2402" i="2"/>
  <c r="F2401" i="2"/>
  <c r="E2401" i="2"/>
  <c r="D2401" i="2"/>
  <c r="C2401" i="2"/>
  <c r="B2401" i="2"/>
  <c r="A2401" i="2"/>
  <c r="F2400" i="2"/>
  <c r="E2400" i="2"/>
  <c r="D2400" i="2"/>
  <c r="C2400" i="2"/>
  <c r="B2400" i="2"/>
  <c r="A2400" i="2"/>
  <c r="F2399" i="2"/>
  <c r="E2399" i="2"/>
  <c r="D2399" i="2"/>
  <c r="C2399" i="2"/>
  <c r="B2399" i="2"/>
  <c r="A2399" i="2"/>
  <c r="F2398" i="2"/>
  <c r="E2398" i="2"/>
  <c r="D2398" i="2"/>
  <c r="C2398" i="2"/>
  <c r="B2398" i="2"/>
  <c r="A2398" i="2"/>
  <c r="F2397" i="2"/>
  <c r="E2397" i="2"/>
  <c r="D2397" i="2"/>
  <c r="C2397" i="2"/>
  <c r="B2397" i="2"/>
  <c r="A2397" i="2"/>
  <c r="F2396" i="2"/>
  <c r="E2396" i="2"/>
  <c r="D2396" i="2"/>
  <c r="C2396" i="2"/>
  <c r="B2396" i="2"/>
  <c r="A2396" i="2"/>
  <c r="F2395" i="2"/>
  <c r="E2395" i="2"/>
  <c r="D2395" i="2"/>
  <c r="C2395" i="2"/>
  <c r="B2395" i="2"/>
  <c r="A2395" i="2"/>
  <c r="F2394" i="2"/>
  <c r="E2394" i="2"/>
  <c r="D2394" i="2"/>
  <c r="C2394" i="2"/>
  <c r="B2394" i="2"/>
  <c r="A2394" i="2"/>
  <c r="F2393" i="2"/>
  <c r="E2393" i="2"/>
  <c r="D2393" i="2"/>
  <c r="C2393" i="2"/>
  <c r="B2393" i="2"/>
  <c r="A2393" i="2"/>
  <c r="F2392" i="2"/>
  <c r="E2392" i="2"/>
  <c r="D2392" i="2"/>
  <c r="C2392" i="2"/>
  <c r="B2392" i="2"/>
  <c r="A2392" i="2"/>
  <c r="F2391" i="2"/>
  <c r="E2391" i="2"/>
  <c r="D2391" i="2"/>
  <c r="C2391" i="2"/>
  <c r="B2391" i="2"/>
  <c r="A2391" i="2"/>
  <c r="F2390" i="2"/>
  <c r="E2390" i="2"/>
  <c r="D2390" i="2"/>
  <c r="C2390" i="2"/>
  <c r="B2390" i="2"/>
  <c r="A2390" i="2"/>
  <c r="F2389" i="2"/>
  <c r="E2389" i="2"/>
  <c r="D2389" i="2"/>
  <c r="C2389" i="2"/>
  <c r="B2389" i="2"/>
  <c r="A2389" i="2"/>
  <c r="F2388" i="2"/>
  <c r="E2388" i="2"/>
  <c r="D2388" i="2"/>
  <c r="C2388" i="2"/>
  <c r="B2388" i="2"/>
  <c r="A2388" i="2"/>
  <c r="F2387" i="2"/>
  <c r="E2387" i="2"/>
  <c r="D2387" i="2"/>
  <c r="C2387" i="2"/>
  <c r="B2387" i="2"/>
  <c r="A2387" i="2"/>
  <c r="F2386" i="2"/>
  <c r="E2386" i="2"/>
  <c r="D2386" i="2"/>
  <c r="C2386" i="2"/>
  <c r="B2386" i="2"/>
  <c r="A2386" i="2"/>
  <c r="F2385" i="2"/>
  <c r="E2385" i="2"/>
  <c r="D2385" i="2"/>
  <c r="C2385" i="2"/>
  <c r="B2385" i="2"/>
  <c r="A2385" i="2"/>
  <c r="F2384" i="2"/>
  <c r="E2384" i="2"/>
  <c r="D2384" i="2"/>
  <c r="C2384" i="2"/>
  <c r="B2384" i="2"/>
  <c r="A2384" i="2"/>
  <c r="F2383" i="2"/>
  <c r="E2383" i="2"/>
  <c r="D2383" i="2"/>
  <c r="C2383" i="2"/>
  <c r="B2383" i="2"/>
  <c r="A2383" i="2"/>
  <c r="F2382" i="2"/>
  <c r="E2382" i="2"/>
  <c r="D2382" i="2"/>
  <c r="C2382" i="2"/>
  <c r="B2382" i="2"/>
  <c r="A2382" i="2"/>
  <c r="F2381" i="2"/>
  <c r="E2381" i="2"/>
  <c r="D2381" i="2"/>
  <c r="C2381" i="2"/>
  <c r="B2381" i="2"/>
  <c r="A2381" i="2"/>
  <c r="F2380" i="2"/>
  <c r="E2380" i="2"/>
  <c r="D2380" i="2"/>
  <c r="C2380" i="2"/>
  <c r="B2380" i="2"/>
  <c r="A2380" i="2"/>
  <c r="F2379" i="2"/>
  <c r="E2379" i="2"/>
  <c r="D2379" i="2"/>
  <c r="C2379" i="2"/>
  <c r="B2379" i="2"/>
  <c r="A2379" i="2"/>
  <c r="F2378" i="2"/>
  <c r="E2378" i="2"/>
  <c r="D2378" i="2"/>
  <c r="C2378" i="2"/>
  <c r="B2378" i="2"/>
  <c r="A2378" i="2"/>
  <c r="F2377" i="2"/>
  <c r="E2377" i="2"/>
  <c r="D2377" i="2"/>
  <c r="C2377" i="2"/>
  <c r="B2377" i="2"/>
  <c r="A2377" i="2"/>
  <c r="F2376" i="2"/>
  <c r="E2376" i="2"/>
  <c r="D2376" i="2"/>
  <c r="C2376" i="2"/>
  <c r="B2376" i="2"/>
  <c r="A2376" i="2"/>
  <c r="F2375" i="2"/>
  <c r="E2375" i="2"/>
  <c r="D2375" i="2"/>
  <c r="C2375" i="2"/>
  <c r="B2375" i="2"/>
  <c r="A2375" i="2"/>
  <c r="F2374" i="2"/>
  <c r="E2374" i="2"/>
  <c r="D2374" i="2"/>
  <c r="C2374" i="2"/>
  <c r="B2374" i="2"/>
  <c r="A2374" i="2"/>
  <c r="F2373" i="2"/>
  <c r="E2373" i="2"/>
  <c r="D2373" i="2"/>
  <c r="C2373" i="2"/>
  <c r="B2373" i="2"/>
  <c r="A2373" i="2"/>
  <c r="F2372" i="2"/>
  <c r="E2372" i="2"/>
  <c r="D2372" i="2"/>
  <c r="C2372" i="2"/>
  <c r="B2372" i="2"/>
  <c r="A2372" i="2"/>
  <c r="F2371" i="2"/>
  <c r="E2371" i="2"/>
  <c r="D2371" i="2"/>
  <c r="C2371" i="2"/>
  <c r="B2371" i="2"/>
  <c r="A2371" i="2"/>
  <c r="F2370" i="2"/>
  <c r="E2370" i="2"/>
  <c r="D2370" i="2"/>
  <c r="C2370" i="2"/>
  <c r="B2370" i="2"/>
  <c r="A2370" i="2"/>
  <c r="F2368" i="2"/>
  <c r="E2368" i="2"/>
  <c r="D2368" i="2"/>
  <c r="C2368" i="2"/>
  <c r="B2368" i="2"/>
  <c r="A2368" i="2"/>
  <c r="F2367" i="2"/>
  <c r="E2367" i="2"/>
  <c r="D2367" i="2"/>
  <c r="C2367" i="2"/>
  <c r="B2367" i="2"/>
  <c r="A2367" i="2"/>
  <c r="F2366" i="2"/>
  <c r="E2366" i="2"/>
  <c r="D2366" i="2"/>
  <c r="C2366" i="2"/>
  <c r="B2366" i="2"/>
  <c r="A2366" i="2"/>
  <c r="F2365" i="2"/>
  <c r="E2365" i="2"/>
  <c r="D2365" i="2"/>
  <c r="C2365" i="2"/>
  <c r="B2365" i="2"/>
  <c r="A2365" i="2"/>
  <c r="F2364" i="2"/>
  <c r="E2364" i="2"/>
  <c r="D2364" i="2"/>
  <c r="C2364" i="2"/>
  <c r="B2364" i="2"/>
  <c r="A2364" i="2"/>
  <c r="F2363" i="2"/>
  <c r="E2363" i="2"/>
  <c r="D2363" i="2"/>
  <c r="C2363" i="2"/>
  <c r="B2363" i="2"/>
  <c r="A2363" i="2"/>
  <c r="F2362" i="2"/>
  <c r="E2362" i="2"/>
  <c r="D2362" i="2"/>
  <c r="C2362" i="2"/>
  <c r="B2362" i="2"/>
  <c r="A2362" i="2"/>
  <c r="F2361" i="2"/>
  <c r="E2361" i="2"/>
  <c r="D2361" i="2"/>
  <c r="C2361" i="2"/>
  <c r="B2361" i="2"/>
  <c r="A2361" i="2"/>
  <c r="F2360" i="2"/>
  <c r="E2360" i="2"/>
  <c r="D2360" i="2"/>
  <c r="C2360" i="2"/>
  <c r="B2360" i="2"/>
  <c r="A2360" i="2"/>
  <c r="F2359" i="2"/>
  <c r="E2359" i="2"/>
  <c r="D2359" i="2"/>
  <c r="C2359" i="2"/>
  <c r="B2359" i="2"/>
  <c r="A2359" i="2"/>
  <c r="F2358" i="2"/>
  <c r="E2358" i="2"/>
  <c r="D2358" i="2"/>
  <c r="C2358" i="2"/>
  <c r="B2358" i="2"/>
  <c r="A2358" i="2"/>
  <c r="F2357" i="2"/>
  <c r="E2357" i="2"/>
  <c r="D2357" i="2"/>
  <c r="C2357" i="2"/>
  <c r="B2357" i="2"/>
  <c r="A2357" i="2"/>
  <c r="F2356" i="2"/>
  <c r="E2356" i="2"/>
  <c r="D2356" i="2"/>
  <c r="C2356" i="2"/>
  <c r="B2356" i="2"/>
  <c r="A2356" i="2"/>
  <c r="F2355" i="2"/>
  <c r="E2355" i="2"/>
  <c r="D2355" i="2"/>
  <c r="C2355" i="2"/>
  <c r="B2355" i="2"/>
  <c r="A2355" i="2"/>
  <c r="F2354" i="2"/>
  <c r="E2354" i="2"/>
  <c r="D2354" i="2"/>
  <c r="C2354" i="2"/>
  <c r="B2354" i="2"/>
  <c r="A2354" i="2"/>
  <c r="F2353" i="2"/>
  <c r="E2353" i="2"/>
  <c r="D2353" i="2"/>
  <c r="C2353" i="2"/>
  <c r="B2353" i="2"/>
  <c r="A2353" i="2"/>
  <c r="F2352" i="2"/>
  <c r="E2352" i="2"/>
  <c r="D2352" i="2"/>
  <c r="C2352" i="2"/>
  <c r="B2352" i="2"/>
  <c r="A2352" i="2"/>
  <c r="F2351" i="2"/>
  <c r="E2351" i="2"/>
  <c r="D2351" i="2"/>
  <c r="C2351" i="2"/>
  <c r="B2351" i="2"/>
  <c r="A2351" i="2"/>
  <c r="F2350" i="2"/>
  <c r="E2350" i="2"/>
  <c r="D2350" i="2"/>
  <c r="C2350" i="2"/>
  <c r="B2350" i="2"/>
  <c r="A2350" i="2"/>
  <c r="F2349" i="2"/>
  <c r="E2349" i="2"/>
  <c r="D2349" i="2"/>
  <c r="C2349" i="2"/>
  <c r="B2349" i="2"/>
  <c r="A2349" i="2"/>
  <c r="F2348" i="2"/>
  <c r="E2348" i="2"/>
  <c r="D2348" i="2"/>
  <c r="C2348" i="2"/>
  <c r="B2348" i="2"/>
  <c r="A2348" i="2"/>
  <c r="F2347" i="2"/>
  <c r="E2347" i="2"/>
  <c r="D2347" i="2"/>
  <c r="C2347" i="2"/>
  <c r="B2347" i="2"/>
  <c r="A2347" i="2"/>
  <c r="F2346" i="2"/>
  <c r="E2346" i="2"/>
  <c r="D2346" i="2"/>
  <c r="C2346" i="2"/>
  <c r="B2346" i="2"/>
  <c r="A2346" i="2"/>
  <c r="F2345" i="2"/>
  <c r="E2345" i="2"/>
  <c r="D2345" i="2"/>
  <c r="C2345" i="2"/>
  <c r="B2345" i="2"/>
  <c r="A2345" i="2"/>
  <c r="F2344" i="2"/>
  <c r="E2344" i="2"/>
  <c r="D2344" i="2"/>
  <c r="C2344" i="2"/>
  <c r="B2344" i="2"/>
  <c r="A2344" i="2"/>
  <c r="F2343" i="2"/>
  <c r="E2343" i="2"/>
  <c r="D2343" i="2"/>
  <c r="C2343" i="2"/>
  <c r="B2343" i="2"/>
  <c r="A2343" i="2"/>
  <c r="F2342" i="2"/>
  <c r="E2342" i="2"/>
  <c r="D2342" i="2"/>
  <c r="C2342" i="2"/>
  <c r="B2342" i="2"/>
  <c r="A2342" i="2"/>
  <c r="F2341" i="2"/>
  <c r="E2341" i="2"/>
  <c r="D2341" i="2"/>
  <c r="C2341" i="2"/>
  <c r="B2341" i="2"/>
  <c r="A2341" i="2"/>
  <c r="F2340" i="2"/>
  <c r="E2340" i="2"/>
  <c r="D2340" i="2"/>
  <c r="C2340" i="2"/>
  <c r="B2340" i="2"/>
  <c r="A2340" i="2"/>
  <c r="F2339" i="2"/>
  <c r="E2339" i="2"/>
  <c r="D2339" i="2"/>
  <c r="C2339" i="2"/>
  <c r="B2339" i="2"/>
  <c r="A2339" i="2"/>
  <c r="F2338" i="2"/>
  <c r="E2338" i="2"/>
  <c r="D2338" i="2"/>
  <c r="C2338" i="2"/>
  <c r="B2338" i="2"/>
  <c r="A2338" i="2"/>
  <c r="F2337" i="2"/>
  <c r="E2337" i="2"/>
  <c r="D2337" i="2"/>
  <c r="C2337" i="2"/>
  <c r="B2337" i="2"/>
  <c r="A2337" i="2"/>
  <c r="F2336" i="2"/>
  <c r="E2336" i="2"/>
  <c r="D2336" i="2"/>
  <c r="C2336" i="2"/>
  <c r="B2336" i="2"/>
  <c r="A2336" i="2"/>
  <c r="F2335" i="2"/>
  <c r="E2335" i="2"/>
  <c r="D2335" i="2"/>
  <c r="C2335" i="2"/>
  <c r="B2335" i="2"/>
  <c r="A2335" i="2"/>
  <c r="F2334" i="2"/>
  <c r="E2334" i="2"/>
  <c r="D2334" i="2"/>
  <c r="C2334" i="2"/>
  <c r="B2334" i="2"/>
  <c r="A2334" i="2"/>
  <c r="F2333" i="2"/>
  <c r="E2333" i="2"/>
  <c r="D2333" i="2"/>
  <c r="C2333" i="2"/>
  <c r="B2333" i="2"/>
  <c r="A2333" i="2"/>
  <c r="F2332" i="2"/>
  <c r="E2332" i="2"/>
  <c r="D2332" i="2"/>
  <c r="C2332" i="2"/>
  <c r="B2332" i="2"/>
  <c r="A2332" i="2"/>
  <c r="F2331" i="2"/>
  <c r="E2331" i="2"/>
  <c r="D2331" i="2"/>
  <c r="C2331" i="2"/>
  <c r="B2331" i="2"/>
  <c r="A2331" i="2"/>
  <c r="F2330" i="2"/>
  <c r="E2330" i="2"/>
  <c r="D2330" i="2"/>
  <c r="C2330" i="2"/>
  <c r="B2330" i="2"/>
  <c r="A2330" i="2"/>
  <c r="F2329" i="2"/>
  <c r="E2329" i="2"/>
  <c r="D2329" i="2"/>
  <c r="C2329" i="2"/>
  <c r="B2329" i="2"/>
  <c r="A2329" i="2"/>
  <c r="F2328" i="2"/>
  <c r="E2328" i="2"/>
  <c r="D2328" i="2"/>
  <c r="C2328" i="2"/>
  <c r="B2328" i="2"/>
  <c r="A2328" i="2"/>
  <c r="F2327" i="2"/>
  <c r="E2327" i="2"/>
  <c r="D2327" i="2"/>
  <c r="C2327" i="2"/>
  <c r="B2327" i="2"/>
  <c r="A2327" i="2"/>
  <c r="F2326" i="2"/>
  <c r="E2326" i="2"/>
  <c r="D2326" i="2"/>
  <c r="C2326" i="2"/>
  <c r="B2326" i="2"/>
  <c r="A2326" i="2"/>
  <c r="F2325" i="2"/>
  <c r="E2325" i="2"/>
  <c r="D2325" i="2"/>
  <c r="C2325" i="2"/>
  <c r="B2325" i="2"/>
  <c r="A2325" i="2"/>
  <c r="F2324" i="2"/>
  <c r="E2324" i="2"/>
  <c r="D2324" i="2"/>
  <c r="C2324" i="2"/>
  <c r="B2324" i="2"/>
  <c r="A2324" i="2"/>
  <c r="F2323" i="2"/>
  <c r="E2323" i="2"/>
  <c r="D2323" i="2"/>
  <c r="C2323" i="2"/>
  <c r="B2323" i="2"/>
  <c r="A2323" i="2"/>
  <c r="F2322" i="2"/>
  <c r="E2322" i="2"/>
  <c r="D2322" i="2"/>
  <c r="C2322" i="2"/>
  <c r="B2322" i="2"/>
  <c r="A2322" i="2"/>
  <c r="F2321" i="2"/>
  <c r="E2321" i="2"/>
  <c r="D2321" i="2"/>
  <c r="C2321" i="2"/>
  <c r="B2321" i="2"/>
  <c r="A2321" i="2"/>
  <c r="F2320" i="2"/>
  <c r="E2320" i="2"/>
  <c r="D2320" i="2"/>
  <c r="C2320" i="2"/>
  <c r="B2320" i="2"/>
  <c r="A2320" i="2"/>
  <c r="F2319" i="2"/>
  <c r="E2319" i="2"/>
  <c r="D2319" i="2"/>
  <c r="C2319" i="2"/>
  <c r="B2319" i="2"/>
  <c r="A2319" i="2"/>
  <c r="F2318" i="2"/>
  <c r="E2318" i="2"/>
  <c r="D2318" i="2"/>
  <c r="C2318" i="2"/>
  <c r="B2318" i="2"/>
  <c r="A2318" i="2"/>
  <c r="F2317" i="2"/>
  <c r="E2317" i="2"/>
  <c r="D2317" i="2"/>
  <c r="C2317" i="2"/>
  <c r="B2317" i="2"/>
  <c r="A2317" i="2"/>
  <c r="F2316" i="2"/>
  <c r="E2316" i="2"/>
  <c r="D2316" i="2"/>
  <c r="C2316" i="2"/>
  <c r="B2316" i="2"/>
  <c r="A2316" i="2"/>
  <c r="F2315" i="2"/>
  <c r="E2315" i="2"/>
  <c r="D2315" i="2"/>
  <c r="C2315" i="2"/>
  <c r="B2315" i="2"/>
  <c r="A2315" i="2"/>
  <c r="F2314" i="2"/>
  <c r="E2314" i="2"/>
  <c r="D2314" i="2"/>
  <c r="C2314" i="2"/>
  <c r="B2314" i="2"/>
  <c r="A2314" i="2"/>
  <c r="F2313" i="2"/>
  <c r="E2313" i="2"/>
  <c r="D2313" i="2"/>
  <c r="C2313" i="2"/>
  <c r="B2313" i="2"/>
  <c r="A2313" i="2"/>
  <c r="F2312" i="2"/>
  <c r="E2312" i="2"/>
  <c r="D2312" i="2"/>
  <c r="C2312" i="2"/>
  <c r="B2312" i="2"/>
  <c r="A2312" i="2"/>
  <c r="F2311" i="2"/>
  <c r="E2311" i="2"/>
  <c r="D2311" i="2"/>
  <c r="C2311" i="2"/>
  <c r="B2311" i="2"/>
  <c r="A2311" i="2"/>
  <c r="F2310" i="2"/>
  <c r="E2310" i="2"/>
  <c r="D2310" i="2"/>
  <c r="C2310" i="2"/>
  <c r="B2310" i="2"/>
  <c r="A2310" i="2"/>
  <c r="F2309" i="2"/>
  <c r="E2309" i="2"/>
  <c r="D2309" i="2"/>
  <c r="C2309" i="2"/>
  <c r="B2309" i="2"/>
  <c r="A2309" i="2"/>
  <c r="F2308" i="2"/>
  <c r="E2308" i="2"/>
  <c r="D2308" i="2"/>
  <c r="C2308" i="2"/>
  <c r="B2308" i="2"/>
  <c r="A2308" i="2"/>
  <c r="F2307" i="2"/>
  <c r="E2307" i="2"/>
  <c r="D2307" i="2"/>
  <c r="C2307" i="2"/>
  <c r="B2307" i="2"/>
  <c r="A2307" i="2"/>
  <c r="F2306" i="2"/>
  <c r="E2306" i="2"/>
  <c r="D2306" i="2"/>
  <c r="C2306" i="2"/>
  <c r="B2306" i="2"/>
  <c r="A2306" i="2"/>
  <c r="F2305" i="2"/>
  <c r="E2305" i="2"/>
  <c r="D2305" i="2"/>
  <c r="C2305" i="2"/>
  <c r="B2305" i="2"/>
  <c r="A2305" i="2"/>
  <c r="F2304" i="2"/>
  <c r="E2304" i="2"/>
  <c r="D2304" i="2"/>
  <c r="C2304" i="2"/>
  <c r="B2304" i="2"/>
  <c r="A2304" i="2"/>
  <c r="F2303" i="2"/>
  <c r="E2303" i="2"/>
  <c r="D2303" i="2"/>
  <c r="C2303" i="2"/>
  <c r="B2303" i="2"/>
  <c r="A2303" i="2"/>
  <c r="F2302" i="2"/>
  <c r="E2302" i="2"/>
  <c r="D2302" i="2"/>
  <c r="C2302" i="2"/>
  <c r="B2302" i="2"/>
  <c r="A2302" i="2"/>
  <c r="F2301" i="2"/>
  <c r="E2301" i="2"/>
  <c r="D2301" i="2"/>
  <c r="C2301" i="2"/>
  <c r="B2301" i="2"/>
  <c r="A2301" i="2"/>
  <c r="F2300" i="2"/>
  <c r="E2300" i="2"/>
  <c r="D2300" i="2"/>
  <c r="C2300" i="2"/>
  <c r="B2300" i="2"/>
  <c r="A2300" i="2"/>
  <c r="F2299" i="2"/>
  <c r="E2299" i="2"/>
  <c r="D2299" i="2"/>
  <c r="C2299" i="2"/>
  <c r="B2299" i="2"/>
  <c r="A2299" i="2"/>
  <c r="F2298" i="2"/>
  <c r="E2298" i="2"/>
  <c r="D2298" i="2"/>
  <c r="C2298" i="2"/>
  <c r="B2298" i="2"/>
  <c r="A2298" i="2"/>
  <c r="F2297" i="2"/>
  <c r="E2297" i="2"/>
  <c r="D2297" i="2"/>
  <c r="C2297" i="2"/>
  <c r="B2297" i="2"/>
  <c r="A2297" i="2"/>
  <c r="F2296" i="2"/>
  <c r="E2296" i="2"/>
  <c r="D2296" i="2"/>
  <c r="C2296" i="2"/>
  <c r="B2296" i="2"/>
  <c r="A2296" i="2"/>
  <c r="F2295" i="2"/>
  <c r="E2295" i="2"/>
  <c r="D2295" i="2"/>
  <c r="C2295" i="2"/>
  <c r="B2295" i="2"/>
  <c r="A2295" i="2"/>
  <c r="F2294" i="2"/>
  <c r="E2294" i="2"/>
  <c r="D2294" i="2"/>
  <c r="C2294" i="2"/>
  <c r="B2294" i="2"/>
  <c r="A2294" i="2"/>
  <c r="F2293" i="2"/>
  <c r="E2293" i="2"/>
  <c r="D2293" i="2"/>
  <c r="C2293" i="2"/>
  <c r="B2293" i="2"/>
  <c r="A2293" i="2"/>
  <c r="F2292" i="2"/>
  <c r="E2292" i="2"/>
  <c r="D2292" i="2"/>
  <c r="C2292" i="2"/>
  <c r="B2292" i="2"/>
  <c r="A2292" i="2"/>
  <c r="F2291" i="2"/>
  <c r="E2291" i="2"/>
  <c r="D2291" i="2"/>
  <c r="C2291" i="2"/>
  <c r="B2291" i="2"/>
  <c r="A2291" i="2"/>
  <c r="F2290" i="2"/>
  <c r="E2290" i="2"/>
  <c r="D2290" i="2"/>
  <c r="C2290" i="2"/>
  <c r="B2290" i="2"/>
  <c r="A2290" i="2"/>
  <c r="F2289" i="2"/>
  <c r="E2289" i="2"/>
  <c r="D2289" i="2"/>
  <c r="C2289" i="2"/>
  <c r="B2289" i="2"/>
  <c r="A2289" i="2"/>
  <c r="F2288" i="2"/>
  <c r="E2288" i="2"/>
  <c r="D2288" i="2"/>
  <c r="C2288" i="2"/>
  <c r="B2288" i="2"/>
  <c r="A2288" i="2"/>
  <c r="F2287" i="2"/>
  <c r="E2287" i="2"/>
  <c r="D2287" i="2"/>
  <c r="C2287" i="2"/>
  <c r="B2287" i="2"/>
  <c r="A2287" i="2"/>
  <c r="F2286" i="2"/>
  <c r="E2286" i="2"/>
  <c r="D2286" i="2"/>
  <c r="C2286" i="2"/>
  <c r="B2286" i="2"/>
  <c r="A2286" i="2"/>
  <c r="F2285" i="2"/>
  <c r="E2285" i="2"/>
  <c r="D2285" i="2"/>
  <c r="C2285" i="2"/>
  <c r="B2285" i="2"/>
  <c r="A2285" i="2"/>
  <c r="F2284" i="2"/>
  <c r="E2284" i="2"/>
  <c r="D2284" i="2"/>
  <c r="C2284" i="2"/>
  <c r="B2284" i="2"/>
  <c r="A2284" i="2"/>
  <c r="F2283" i="2"/>
  <c r="E2283" i="2"/>
  <c r="D2283" i="2"/>
  <c r="C2283" i="2"/>
  <c r="B2283" i="2"/>
  <c r="A2283" i="2"/>
  <c r="F2282" i="2"/>
  <c r="E2282" i="2"/>
  <c r="D2282" i="2"/>
  <c r="C2282" i="2"/>
  <c r="B2282" i="2"/>
  <c r="A2282" i="2"/>
  <c r="F2281" i="2"/>
  <c r="E2281" i="2"/>
  <c r="D2281" i="2"/>
  <c r="C2281" i="2"/>
  <c r="B2281" i="2"/>
  <c r="A2281" i="2"/>
  <c r="F2280" i="2"/>
  <c r="E2280" i="2"/>
  <c r="D2280" i="2"/>
  <c r="C2280" i="2"/>
  <c r="B2280" i="2"/>
  <c r="A2280" i="2"/>
  <c r="F2279" i="2"/>
  <c r="E2279" i="2"/>
  <c r="D2279" i="2"/>
  <c r="C2279" i="2"/>
  <c r="B2279" i="2"/>
  <c r="A2279" i="2"/>
  <c r="F2278" i="2"/>
  <c r="E2278" i="2"/>
  <c r="D2278" i="2"/>
  <c r="C2278" i="2"/>
  <c r="B2278" i="2"/>
  <c r="A2278" i="2"/>
  <c r="F2277" i="2"/>
  <c r="E2277" i="2"/>
  <c r="D2277" i="2"/>
  <c r="C2277" i="2"/>
  <c r="B2277" i="2"/>
  <c r="A2277" i="2"/>
  <c r="F2276" i="2"/>
  <c r="E2276" i="2"/>
  <c r="D2276" i="2"/>
  <c r="C2276" i="2"/>
  <c r="B2276" i="2"/>
  <c r="A2276" i="2"/>
  <c r="F2275" i="2"/>
  <c r="E2275" i="2"/>
  <c r="D2275" i="2"/>
  <c r="C2275" i="2"/>
  <c r="B2275" i="2"/>
  <c r="A2275" i="2"/>
  <c r="F2274" i="2"/>
  <c r="E2274" i="2"/>
  <c r="D2274" i="2"/>
  <c r="C2274" i="2"/>
  <c r="B2274" i="2"/>
  <c r="A2274" i="2"/>
  <c r="F2273" i="2"/>
  <c r="E2273" i="2"/>
  <c r="D2273" i="2"/>
  <c r="C2273" i="2"/>
  <c r="B2273" i="2"/>
  <c r="A2273" i="2"/>
  <c r="F2272" i="2"/>
  <c r="E2272" i="2"/>
  <c r="D2272" i="2"/>
  <c r="C2272" i="2"/>
  <c r="B2272" i="2"/>
  <c r="A2272" i="2"/>
  <c r="F2271" i="2"/>
  <c r="E2271" i="2"/>
  <c r="D2271" i="2"/>
  <c r="C2271" i="2"/>
  <c r="B2271" i="2"/>
  <c r="A2271" i="2"/>
  <c r="F2270" i="2"/>
  <c r="E2270" i="2"/>
  <c r="D2270" i="2"/>
  <c r="C2270" i="2"/>
  <c r="B2270" i="2"/>
  <c r="A2270" i="2"/>
  <c r="F2269" i="2"/>
  <c r="E2269" i="2"/>
  <c r="D2269" i="2"/>
  <c r="C2269" i="2"/>
  <c r="B2269" i="2"/>
  <c r="A2269" i="2"/>
  <c r="F2268" i="2"/>
  <c r="E2268" i="2"/>
  <c r="D2268" i="2"/>
  <c r="C2268" i="2"/>
  <c r="B2268" i="2"/>
  <c r="A2268" i="2"/>
  <c r="F2267" i="2"/>
  <c r="E2267" i="2"/>
  <c r="D2267" i="2"/>
  <c r="C2267" i="2"/>
  <c r="B2267" i="2"/>
  <c r="A2267" i="2"/>
  <c r="F2266" i="2"/>
  <c r="E2266" i="2"/>
  <c r="D2266" i="2"/>
  <c r="C2266" i="2"/>
  <c r="B2266" i="2"/>
  <c r="A2266" i="2"/>
  <c r="F2265" i="2"/>
  <c r="E2265" i="2"/>
  <c r="D2265" i="2"/>
  <c r="C2265" i="2"/>
  <c r="B2265" i="2"/>
  <c r="A2265" i="2"/>
  <c r="F2264" i="2"/>
  <c r="E2264" i="2"/>
  <c r="D2264" i="2"/>
  <c r="C2264" i="2"/>
  <c r="B2264" i="2"/>
  <c r="A2264" i="2"/>
  <c r="F2263" i="2"/>
  <c r="E2263" i="2"/>
  <c r="D2263" i="2"/>
  <c r="C2263" i="2"/>
  <c r="B2263" i="2"/>
  <c r="A2263" i="2"/>
  <c r="F2262" i="2"/>
  <c r="E2262" i="2"/>
  <c r="D2262" i="2"/>
  <c r="C2262" i="2"/>
  <c r="B2262" i="2"/>
  <c r="A2262" i="2"/>
  <c r="F2261" i="2"/>
  <c r="E2261" i="2"/>
  <c r="D2261" i="2"/>
  <c r="C2261" i="2"/>
  <c r="B2261" i="2"/>
  <c r="A2261" i="2"/>
  <c r="F2260" i="2"/>
  <c r="E2260" i="2"/>
  <c r="D2260" i="2"/>
  <c r="C2260" i="2"/>
  <c r="B2260" i="2"/>
  <c r="A2260" i="2"/>
  <c r="F2259" i="2"/>
  <c r="E2259" i="2"/>
  <c r="D2259" i="2"/>
  <c r="C2259" i="2"/>
  <c r="B2259" i="2"/>
  <c r="A2259" i="2"/>
  <c r="F2258" i="2"/>
  <c r="E2258" i="2"/>
  <c r="D2258" i="2"/>
  <c r="C2258" i="2"/>
  <c r="B2258" i="2"/>
  <c r="A2258" i="2"/>
  <c r="F2257" i="2"/>
  <c r="E2257" i="2"/>
  <c r="D2257" i="2"/>
  <c r="C2257" i="2"/>
  <c r="B2257" i="2"/>
  <c r="A2257" i="2"/>
  <c r="F2256" i="2"/>
  <c r="E2256" i="2"/>
  <c r="D2256" i="2"/>
  <c r="C2256" i="2"/>
  <c r="B2256" i="2"/>
  <c r="A2256" i="2"/>
  <c r="F2255" i="2"/>
  <c r="E2255" i="2"/>
  <c r="D2255" i="2"/>
  <c r="C2255" i="2"/>
  <c r="B2255" i="2"/>
  <c r="A2255" i="2"/>
  <c r="F2254" i="2"/>
  <c r="E2254" i="2"/>
  <c r="D2254" i="2"/>
  <c r="C2254" i="2"/>
  <c r="B2254" i="2"/>
  <c r="A2254" i="2"/>
  <c r="F2253" i="2"/>
  <c r="E2253" i="2"/>
  <c r="D2253" i="2"/>
  <c r="C2253" i="2"/>
  <c r="B2253" i="2"/>
  <c r="A2253" i="2"/>
  <c r="F2252" i="2"/>
  <c r="E2252" i="2"/>
  <c r="D2252" i="2"/>
  <c r="C2252" i="2"/>
  <c r="B2252" i="2"/>
  <c r="A2252" i="2"/>
  <c r="F2251" i="2"/>
  <c r="E2251" i="2"/>
  <c r="D2251" i="2"/>
  <c r="C2251" i="2"/>
  <c r="B2251" i="2"/>
  <c r="A2251" i="2"/>
  <c r="F2250" i="2"/>
  <c r="E2250" i="2"/>
  <c r="D2250" i="2"/>
  <c r="C2250" i="2"/>
  <c r="B2250" i="2"/>
  <c r="A2250" i="2"/>
  <c r="F2249" i="2"/>
  <c r="E2249" i="2"/>
  <c r="D2249" i="2"/>
  <c r="C2249" i="2"/>
  <c r="B2249" i="2"/>
  <c r="A2249" i="2"/>
  <c r="F2248" i="2"/>
  <c r="E2248" i="2"/>
  <c r="D2248" i="2"/>
  <c r="C2248" i="2"/>
  <c r="B2248" i="2"/>
  <c r="A2248" i="2"/>
  <c r="F2247" i="2"/>
  <c r="E2247" i="2"/>
  <c r="D2247" i="2"/>
  <c r="C2247" i="2"/>
  <c r="B2247" i="2"/>
  <c r="A2247" i="2"/>
  <c r="F2246" i="2"/>
  <c r="E2246" i="2"/>
  <c r="D2246" i="2"/>
  <c r="C2246" i="2"/>
  <c r="B2246" i="2"/>
  <c r="A2246" i="2"/>
  <c r="F2245" i="2"/>
  <c r="E2245" i="2"/>
  <c r="D2245" i="2"/>
  <c r="C2245" i="2"/>
  <c r="B2245" i="2"/>
  <c r="A2245" i="2"/>
  <c r="F2244" i="2"/>
  <c r="E2244" i="2"/>
  <c r="D2244" i="2"/>
  <c r="C2244" i="2"/>
  <c r="B2244" i="2"/>
  <c r="A2244" i="2"/>
  <c r="F2243" i="2"/>
  <c r="E2243" i="2"/>
  <c r="D2243" i="2"/>
  <c r="C2243" i="2"/>
  <c r="B2243" i="2"/>
  <c r="A2243" i="2"/>
  <c r="F2242" i="2"/>
  <c r="E2242" i="2"/>
  <c r="D2242" i="2"/>
  <c r="C2242" i="2"/>
  <c r="B2242" i="2"/>
  <c r="A2242" i="2"/>
  <c r="F2241" i="2"/>
  <c r="E2241" i="2"/>
  <c r="D2241" i="2"/>
  <c r="C2241" i="2"/>
  <c r="B2241" i="2"/>
  <c r="A2241" i="2"/>
  <c r="F2240" i="2"/>
  <c r="E2240" i="2"/>
  <c r="D2240" i="2"/>
  <c r="C2240" i="2"/>
  <c r="B2240" i="2"/>
  <c r="A2240" i="2"/>
  <c r="F2239" i="2"/>
  <c r="E2239" i="2"/>
  <c r="D2239" i="2"/>
  <c r="C2239" i="2"/>
  <c r="B2239" i="2"/>
  <c r="A2239" i="2"/>
  <c r="F2238" i="2"/>
  <c r="E2238" i="2"/>
  <c r="D2238" i="2"/>
  <c r="C2238" i="2"/>
  <c r="B2238" i="2"/>
  <c r="A2238" i="2"/>
  <c r="F2237" i="2"/>
  <c r="E2237" i="2"/>
  <c r="D2237" i="2"/>
  <c r="C2237" i="2"/>
  <c r="B2237" i="2"/>
  <c r="A2237" i="2"/>
  <c r="F2236" i="2"/>
  <c r="E2236" i="2"/>
  <c r="D2236" i="2"/>
  <c r="C2236" i="2"/>
  <c r="B2236" i="2"/>
  <c r="A2236" i="2"/>
  <c r="F2235" i="2"/>
  <c r="E2235" i="2"/>
  <c r="D2235" i="2"/>
  <c r="C2235" i="2"/>
  <c r="B2235" i="2"/>
  <c r="A2235" i="2"/>
  <c r="F2234" i="2"/>
  <c r="E2234" i="2"/>
  <c r="D2234" i="2"/>
  <c r="C2234" i="2"/>
  <c r="B2234" i="2"/>
  <c r="A2234" i="2"/>
  <c r="F2233" i="2"/>
  <c r="E2233" i="2"/>
  <c r="D2233" i="2"/>
  <c r="C2233" i="2"/>
  <c r="B2233" i="2"/>
  <c r="A2233" i="2"/>
  <c r="F2232" i="2"/>
  <c r="E2232" i="2"/>
  <c r="D2232" i="2"/>
  <c r="C2232" i="2"/>
  <c r="B2232" i="2"/>
  <c r="A2232" i="2"/>
  <c r="F2231" i="2"/>
  <c r="E2231" i="2"/>
  <c r="D2231" i="2"/>
  <c r="C2231" i="2"/>
  <c r="B2231" i="2"/>
  <c r="A2231" i="2"/>
  <c r="F2230" i="2"/>
  <c r="E2230" i="2"/>
  <c r="D2230" i="2"/>
  <c r="C2230" i="2"/>
  <c r="B2230" i="2"/>
  <c r="A2230" i="2"/>
  <c r="F2229" i="2"/>
  <c r="E2229" i="2"/>
  <c r="D2229" i="2"/>
  <c r="C2229" i="2"/>
  <c r="B2229" i="2"/>
  <c r="A2229" i="2"/>
  <c r="F2228" i="2"/>
  <c r="E2228" i="2"/>
  <c r="D2228" i="2"/>
  <c r="C2228" i="2"/>
  <c r="B2228" i="2"/>
  <c r="A2228" i="2"/>
  <c r="F2227" i="2"/>
  <c r="E2227" i="2"/>
  <c r="D2227" i="2"/>
  <c r="C2227" i="2"/>
  <c r="B2227" i="2"/>
  <c r="A2227" i="2"/>
  <c r="F2226" i="2"/>
  <c r="E2226" i="2"/>
  <c r="D2226" i="2"/>
  <c r="C2226" i="2"/>
  <c r="B2226" i="2"/>
  <c r="A2226" i="2"/>
  <c r="F2225" i="2"/>
  <c r="E2225" i="2"/>
  <c r="D2225" i="2"/>
  <c r="C2225" i="2"/>
  <c r="B2225" i="2"/>
  <c r="A2225" i="2"/>
  <c r="F2223" i="2"/>
  <c r="E2223" i="2"/>
  <c r="D2223" i="2"/>
  <c r="C2223" i="2"/>
  <c r="B2223" i="2"/>
  <c r="A2223" i="2"/>
  <c r="F2222" i="2"/>
  <c r="E2222" i="2"/>
  <c r="D2222" i="2"/>
  <c r="C2222" i="2"/>
  <c r="B2222" i="2"/>
  <c r="A2222" i="2"/>
  <c r="F2221" i="2"/>
  <c r="E2221" i="2"/>
  <c r="D2221" i="2"/>
  <c r="C2221" i="2"/>
  <c r="B2221" i="2"/>
  <c r="A2221" i="2"/>
  <c r="F2220" i="2"/>
  <c r="E2220" i="2"/>
  <c r="D2220" i="2"/>
  <c r="C2220" i="2"/>
  <c r="B2220" i="2"/>
  <c r="A2220" i="2"/>
  <c r="F2219" i="2"/>
  <c r="E2219" i="2"/>
  <c r="D2219" i="2"/>
  <c r="C2219" i="2"/>
  <c r="B2219" i="2"/>
  <c r="A2219" i="2"/>
  <c r="F2218" i="2"/>
  <c r="E2218" i="2"/>
  <c r="D2218" i="2"/>
  <c r="C2218" i="2"/>
  <c r="B2218" i="2"/>
  <c r="A2218" i="2"/>
  <c r="F2217" i="2"/>
  <c r="E2217" i="2"/>
  <c r="D2217" i="2"/>
  <c r="C2217" i="2"/>
  <c r="B2217" i="2"/>
  <c r="A2217" i="2"/>
  <c r="F2216" i="2"/>
  <c r="E2216" i="2"/>
  <c r="D2216" i="2"/>
  <c r="C2216" i="2"/>
  <c r="B2216" i="2"/>
  <c r="A2216" i="2"/>
  <c r="F2215" i="2"/>
  <c r="E2215" i="2"/>
  <c r="D2215" i="2"/>
  <c r="C2215" i="2"/>
  <c r="B2215" i="2"/>
  <c r="A2215" i="2"/>
  <c r="F2214" i="2"/>
  <c r="E2214" i="2"/>
  <c r="D2214" i="2"/>
  <c r="C2214" i="2"/>
  <c r="B2214" i="2"/>
  <c r="A2214" i="2"/>
  <c r="F2213" i="2"/>
  <c r="E2213" i="2"/>
  <c r="D2213" i="2"/>
  <c r="C2213" i="2"/>
  <c r="B2213" i="2"/>
  <c r="A2213" i="2"/>
  <c r="F2212" i="2"/>
  <c r="E2212" i="2"/>
  <c r="D2212" i="2"/>
  <c r="C2212" i="2"/>
  <c r="B2212" i="2"/>
  <c r="A2212" i="2"/>
  <c r="F2211" i="2"/>
  <c r="E2211" i="2"/>
  <c r="D2211" i="2"/>
  <c r="C2211" i="2"/>
  <c r="B2211" i="2"/>
  <c r="A2211" i="2"/>
  <c r="F2210" i="2"/>
  <c r="E2210" i="2"/>
  <c r="D2210" i="2"/>
  <c r="C2210" i="2"/>
  <c r="B2210" i="2"/>
  <c r="A2210" i="2"/>
  <c r="F2209" i="2"/>
  <c r="E2209" i="2"/>
  <c r="D2209" i="2"/>
  <c r="C2209" i="2"/>
  <c r="B2209" i="2"/>
  <c r="A2209" i="2"/>
  <c r="F2208" i="2"/>
  <c r="E2208" i="2"/>
  <c r="D2208" i="2"/>
  <c r="C2208" i="2"/>
  <c r="B2208" i="2"/>
  <c r="A2208" i="2"/>
  <c r="F2207" i="2"/>
  <c r="E2207" i="2"/>
  <c r="D2207" i="2"/>
  <c r="C2207" i="2"/>
  <c r="B2207" i="2"/>
  <c r="A2207" i="2"/>
  <c r="F2206" i="2"/>
  <c r="E2206" i="2"/>
  <c r="D2206" i="2"/>
  <c r="C2206" i="2"/>
  <c r="B2206" i="2"/>
  <c r="A2206" i="2"/>
  <c r="F2205" i="2"/>
  <c r="E2205" i="2"/>
  <c r="D2205" i="2"/>
  <c r="C2205" i="2"/>
  <c r="B2205" i="2"/>
  <c r="A2205" i="2"/>
  <c r="F2204" i="2"/>
  <c r="E2204" i="2"/>
  <c r="D2204" i="2"/>
  <c r="C2204" i="2"/>
  <c r="B2204" i="2"/>
  <c r="A2204" i="2"/>
  <c r="F2203" i="2"/>
  <c r="E2203" i="2"/>
  <c r="D2203" i="2"/>
  <c r="C2203" i="2"/>
  <c r="B2203" i="2"/>
  <c r="A2203" i="2"/>
  <c r="F2202" i="2"/>
  <c r="E2202" i="2"/>
  <c r="D2202" i="2"/>
  <c r="C2202" i="2"/>
  <c r="B2202" i="2"/>
  <c r="A2202" i="2"/>
  <c r="F2201" i="2"/>
  <c r="E2201" i="2"/>
  <c r="D2201" i="2"/>
  <c r="C2201" i="2"/>
  <c r="B2201" i="2"/>
  <c r="A2201" i="2"/>
  <c r="F2200" i="2"/>
  <c r="E2200" i="2"/>
  <c r="D2200" i="2"/>
  <c r="C2200" i="2"/>
  <c r="B2200" i="2"/>
  <c r="A2200" i="2"/>
  <c r="F2199" i="2"/>
  <c r="E2199" i="2"/>
  <c r="D2199" i="2"/>
  <c r="C2199" i="2"/>
  <c r="B2199" i="2"/>
  <c r="A2199" i="2"/>
  <c r="F2198" i="2"/>
  <c r="E2198" i="2"/>
  <c r="D2198" i="2"/>
  <c r="C2198" i="2"/>
  <c r="B2198" i="2"/>
  <c r="A2198" i="2"/>
  <c r="F2197" i="2"/>
  <c r="E2197" i="2"/>
  <c r="D2197" i="2"/>
  <c r="C2197" i="2"/>
  <c r="B2197" i="2"/>
  <c r="A2197" i="2"/>
  <c r="F2196" i="2"/>
  <c r="E2196" i="2"/>
  <c r="D2196" i="2"/>
  <c r="C2196" i="2"/>
  <c r="B2196" i="2"/>
  <c r="A2196" i="2"/>
  <c r="F2195" i="2"/>
  <c r="E2195" i="2"/>
  <c r="D2195" i="2"/>
  <c r="C2195" i="2"/>
  <c r="B2195" i="2"/>
  <c r="A2195" i="2"/>
  <c r="F2194" i="2"/>
  <c r="E2194" i="2"/>
  <c r="D2194" i="2"/>
  <c r="C2194" i="2"/>
  <c r="B2194" i="2"/>
  <c r="A2194" i="2"/>
  <c r="F2193" i="2"/>
  <c r="E2193" i="2"/>
  <c r="D2193" i="2"/>
  <c r="C2193" i="2"/>
  <c r="B2193" i="2"/>
  <c r="A2193" i="2"/>
  <c r="F2192" i="2"/>
  <c r="E2192" i="2"/>
  <c r="D2192" i="2"/>
  <c r="C2192" i="2"/>
  <c r="B2192" i="2"/>
  <c r="A2192" i="2"/>
  <c r="F2191" i="2"/>
  <c r="E2191" i="2"/>
  <c r="D2191" i="2"/>
  <c r="C2191" i="2"/>
  <c r="B2191" i="2"/>
  <c r="A2191" i="2"/>
  <c r="F2190" i="2"/>
  <c r="E2190" i="2"/>
  <c r="D2190" i="2"/>
  <c r="C2190" i="2"/>
  <c r="B2190" i="2"/>
  <c r="A2190" i="2"/>
  <c r="F2189" i="2"/>
  <c r="E2189" i="2"/>
  <c r="D2189" i="2"/>
  <c r="C2189" i="2"/>
  <c r="B2189" i="2"/>
  <c r="A2189" i="2"/>
  <c r="F2188" i="2"/>
  <c r="E2188" i="2"/>
  <c r="D2188" i="2"/>
  <c r="C2188" i="2"/>
  <c r="B2188" i="2"/>
  <c r="A2188" i="2"/>
  <c r="F2187" i="2"/>
  <c r="E2187" i="2"/>
  <c r="D2187" i="2"/>
  <c r="C2187" i="2"/>
  <c r="B2187" i="2"/>
  <c r="A2187" i="2"/>
  <c r="F2186" i="2"/>
  <c r="E2186" i="2"/>
  <c r="D2186" i="2"/>
  <c r="C2186" i="2"/>
  <c r="B2186" i="2"/>
  <c r="A2186" i="2"/>
  <c r="F2185" i="2"/>
  <c r="E2185" i="2"/>
  <c r="D2185" i="2"/>
  <c r="C2185" i="2"/>
  <c r="B2185" i="2"/>
  <c r="A2185" i="2"/>
  <c r="F2184" i="2"/>
  <c r="E2184" i="2"/>
  <c r="D2184" i="2"/>
  <c r="C2184" i="2"/>
  <c r="B2184" i="2"/>
  <c r="A2184" i="2"/>
  <c r="F2183" i="2"/>
  <c r="E2183" i="2"/>
  <c r="D2183" i="2"/>
  <c r="C2183" i="2"/>
  <c r="B2183" i="2"/>
  <c r="A2183" i="2"/>
  <c r="F2182" i="2"/>
  <c r="E2182" i="2"/>
  <c r="D2182" i="2"/>
  <c r="C2182" i="2"/>
  <c r="B2182" i="2"/>
  <c r="A2182" i="2"/>
  <c r="F2181" i="2"/>
  <c r="E2181" i="2"/>
  <c r="D2181" i="2"/>
  <c r="C2181" i="2"/>
  <c r="B2181" i="2"/>
  <c r="A2181" i="2"/>
  <c r="F2180" i="2"/>
  <c r="E2180" i="2"/>
  <c r="D2180" i="2"/>
  <c r="C2180" i="2"/>
  <c r="B2180" i="2"/>
  <c r="A2180" i="2"/>
  <c r="F2179" i="2"/>
  <c r="E2179" i="2"/>
  <c r="D2179" i="2"/>
  <c r="C2179" i="2"/>
  <c r="B2179" i="2"/>
  <c r="A2179" i="2"/>
  <c r="F2178" i="2"/>
  <c r="E2178" i="2"/>
  <c r="D2178" i="2"/>
  <c r="C2178" i="2"/>
  <c r="B2178" i="2"/>
  <c r="A2178" i="2"/>
  <c r="F2177" i="2"/>
  <c r="E2177" i="2"/>
  <c r="D2177" i="2"/>
  <c r="C2177" i="2"/>
  <c r="B2177" i="2"/>
  <c r="A2177" i="2"/>
  <c r="F2176" i="2"/>
  <c r="E2176" i="2"/>
  <c r="D2176" i="2"/>
  <c r="C2176" i="2"/>
  <c r="B2176" i="2"/>
  <c r="A2176" i="2"/>
  <c r="F2173" i="2"/>
  <c r="E2173" i="2"/>
  <c r="D2173" i="2"/>
  <c r="C2173" i="2"/>
  <c r="B2173" i="2"/>
  <c r="A2173" i="2"/>
  <c r="F2172" i="2"/>
  <c r="E2172" i="2"/>
  <c r="D2172" i="2"/>
  <c r="C2172" i="2"/>
  <c r="B2172" i="2"/>
  <c r="A2172" i="2"/>
  <c r="F2171" i="2"/>
  <c r="E2171" i="2"/>
  <c r="D2171" i="2"/>
  <c r="C2171" i="2"/>
  <c r="B2171" i="2"/>
  <c r="A2171" i="2"/>
  <c r="F2170" i="2"/>
  <c r="E2170" i="2"/>
  <c r="D2170" i="2"/>
  <c r="C2170" i="2"/>
  <c r="B2170" i="2"/>
  <c r="A2170" i="2"/>
  <c r="F2169" i="2"/>
  <c r="E2169" i="2"/>
  <c r="D2169" i="2"/>
  <c r="C2169" i="2"/>
  <c r="B2169" i="2"/>
  <c r="A2169" i="2"/>
  <c r="F2168" i="2"/>
  <c r="E2168" i="2"/>
  <c r="D2168" i="2"/>
  <c r="C2168" i="2"/>
  <c r="B2168" i="2"/>
  <c r="A2168" i="2"/>
  <c r="F2167" i="2"/>
  <c r="E2167" i="2"/>
  <c r="D2167" i="2"/>
  <c r="C2167" i="2"/>
  <c r="B2167" i="2"/>
  <c r="A2167" i="2"/>
  <c r="F2166" i="2"/>
  <c r="E2166" i="2"/>
  <c r="D2166" i="2"/>
  <c r="C2166" i="2"/>
  <c r="B2166" i="2"/>
  <c r="A2166" i="2"/>
  <c r="F2165" i="2"/>
  <c r="E2165" i="2"/>
  <c r="D2165" i="2"/>
  <c r="C2165" i="2"/>
  <c r="B2165" i="2"/>
  <c r="A2165" i="2"/>
  <c r="F2164" i="2"/>
  <c r="E2164" i="2"/>
  <c r="D2164" i="2"/>
  <c r="C2164" i="2"/>
  <c r="B2164" i="2"/>
  <c r="A2164" i="2"/>
  <c r="F2163" i="2"/>
  <c r="E2163" i="2"/>
  <c r="D2163" i="2"/>
  <c r="C2163" i="2"/>
  <c r="B2163" i="2"/>
  <c r="A2163" i="2"/>
  <c r="F2162" i="2"/>
  <c r="E2162" i="2"/>
  <c r="D2162" i="2"/>
  <c r="C2162" i="2"/>
  <c r="B2162" i="2"/>
  <c r="A2162" i="2"/>
  <c r="F2161" i="2"/>
  <c r="E2161" i="2"/>
  <c r="D2161" i="2"/>
  <c r="C2161" i="2"/>
  <c r="B2161" i="2"/>
  <c r="A2161" i="2"/>
  <c r="F2160" i="2"/>
  <c r="E2160" i="2"/>
  <c r="D2160" i="2"/>
  <c r="C2160" i="2"/>
  <c r="B2160" i="2"/>
  <c r="A2160" i="2"/>
  <c r="F2159" i="2"/>
  <c r="E2159" i="2"/>
  <c r="D2159" i="2"/>
  <c r="C2159" i="2"/>
  <c r="B2159" i="2"/>
  <c r="A2159" i="2"/>
  <c r="F2158" i="2"/>
  <c r="E2158" i="2"/>
  <c r="D2158" i="2"/>
  <c r="C2158" i="2"/>
  <c r="B2158" i="2"/>
  <c r="A2158" i="2"/>
  <c r="F2157" i="2"/>
  <c r="E2157" i="2"/>
  <c r="D2157" i="2"/>
  <c r="C2157" i="2"/>
  <c r="B2157" i="2"/>
  <c r="A2157" i="2"/>
  <c r="F2156" i="2"/>
  <c r="E2156" i="2"/>
  <c r="D2156" i="2"/>
  <c r="C2156" i="2"/>
  <c r="B2156" i="2"/>
  <c r="A2156" i="2"/>
  <c r="F2155" i="2"/>
  <c r="E2155" i="2"/>
  <c r="D2155" i="2"/>
  <c r="C2155" i="2"/>
  <c r="B2155" i="2"/>
  <c r="A2155" i="2"/>
  <c r="F2154" i="2"/>
  <c r="E2154" i="2"/>
  <c r="D2154" i="2"/>
  <c r="C2154" i="2"/>
  <c r="B2154" i="2"/>
  <c r="A2154" i="2"/>
  <c r="F2153" i="2"/>
  <c r="E2153" i="2"/>
  <c r="D2153" i="2"/>
  <c r="C2153" i="2"/>
  <c r="B2153" i="2"/>
  <c r="A2153" i="2"/>
  <c r="F2152" i="2"/>
  <c r="E2152" i="2"/>
  <c r="D2152" i="2"/>
  <c r="C2152" i="2"/>
  <c r="B2152" i="2"/>
  <c r="A2152" i="2"/>
  <c r="F2151" i="2"/>
  <c r="E2151" i="2"/>
  <c r="D2151" i="2"/>
  <c r="C2151" i="2"/>
  <c r="B2151" i="2"/>
  <c r="A2151" i="2"/>
  <c r="F2150" i="2"/>
  <c r="E2150" i="2"/>
  <c r="D2150" i="2"/>
  <c r="C2150" i="2"/>
  <c r="B2150" i="2"/>
  <c r="A2150" i="2"/>
  <c r="F2149" i="2"/>
  <c r="E2149" i="2"/>
  <c r="D2149" i="2"/>
  <c r="C2149" i="2"/>
  <c r="B2149" i="2"/>
  <c r="A2149" i="2"/>
  <c r="F2148" i="2"/>
  <c r="E2148" i="2"/>
  <c r="D2148" i="2"/>
  <c r="C2148" i="2"/>
  <c r="B2148" i="2"/>
  <c r="A2148" i="2"/>
  <c r="F2147" i="2"/>
  <c r="E2147" i="2"/>
  <c r="D2147" i="2"/>
  <c r="C2147" i="2"/>
  <c r="B2147" i="2"/>
  <c r="A2147" i="2"/>
  <c r="F2146" i="2"/>
  <c r="E2146" i="2"/>
  <c r="D2146" i="2"/>
  <c r="C2146" i="2"/>
  <c r="B2146" i="2"/>
  <c r="A2146" i="2"/>
  <c r="F2145" i="2"/>
  <c r="E2145" i="2"/>
  <c r="D2145" i="2"/>
  <c r="C2145" i="2"/>
  <c r="B2145" i="2"/>
  <c r="A2145" i="2"/>
  <c r="F2144" i="2"/>
  <c r="E2144" i="2"/>
  <c r="D2144" i="2"/>
  <c r="C2144" i="2"/>
  <c r="B2144" i="2"/>
  <c r="A2144" i="2"/>
  <c r="F2143" i="2"/>
  <c r="E2143" i="2"/>
  <c r="D2143" i="2"/>
  <c r="C2143" i="2"/>
  <c r="B2143" i="2"/>
  <c r="A2143" i="2"/>
  <c r="F2142" i="2"/>
  <c r="E2142" i="2"/>
  <c r="D2142" i="2"/>
  <c r="C2142" i="2"/>
  <c r="B2142" i="2"/>
  <c r="A2142" i="2"/>
  <c r="F2141" i="2"/>
  <c r="E2141" i="2"/>
  <c r="D2141" i="2"/>
  <c r="C2141" i="2"/>
  <c r="B2141" i="2"/>
  <c r="A2141" i="2"/>
  <c r="F2140" i="2"/>
  <c r="E2140" i="2"/>
  <c r="D2140" i="2"/>
  <c r="C2140" i="2"/>
  <c r="B2140" i="2"/>
  <c r="A2140" i="2"/>
  <c r="F2139" i="2"/>
  <c r="E2139" i="2"/>
  <c r="D2139" i="2"/>
  <c r="C2139" i="2"/>
  <c r="B2139" i="2"/>
  <c r="A2139" i="2"/>
  <c r="F2138" i="2"/>
  <c r="E2138" i="2"/>
  <c r="D2138" i="2"/>
  <c r="C2138" i="2"/>
  <c r="B2138" i="2"/>
  <c r="A2138" i="2"/>
  <c r="F2137" i="2"/>
  <c r="E2137" i="2"/>
  <c r="D2137" i="2"/>
  <c r="C2137" i="2"/>
  <c r="B2137" i="2"/>
  <c r="A2137" i="2"/>
  <c r="F2136" i="2"/>
  <c r="E2136" i="2"/>
  <c r="D2136" i="2"/>
  <c r="C2136" i="2"/>
  <c r="B2136" i="2"/>
  <c r="A2136" i="2"/>
  <c r="F2135" i="2"/>
  <c r="E2135" i="2"/>
  <c r="D2135" i="2"/>
  <c r="C2135" i="2"/>
  <c r="B2135" i="2"/>
  <c r="A2135" i="2"/>
  <c r="F2134" i="2"/>
  <c r="E2134" i="2"/>
  <c r="D2134" i="2"/>
  <c r="C2134" i="2"/>
  <c r="B2134" i="2"/>
  <c r="A2134" i="2"/>
  <c r="F2133" i="2"/>
  <c r="E2133" i="2"/>
  <c r="D2133" i="2"/>
  <c r="C2133" i="2"/>
  <c r="B2133" i="2"/>
  <c r="A2133" i="2"/>
  <c r="F2132" i="2"/>
  <c r="E2132" i="2"/>
  <c r="D2132" i="2"/>
  <c r="C2132" i="2"/>
  <c r="B2132" i="2"/>
  <c r="A2132" i="2"/>
  <c r="F2131" i="2"/>
  <c r="E2131" i="2"/>
  <c r="D2131" i="2"/>
  <c r="C2131" i="2"/>
  <c r="B2131" i="2"/>
  <c r="A2131" i="2"/>
  <c r="F2130" i="2"/>
  <c r="E2130" i="2"/>
  <c r="D2130" i="2"/>
  <c r="C2130" i="2"/>
  <c r="B2130" i="2"/>
  <c r="A2130" i="2"/>
  <c r="F2129" i="2"/>
  <c r="E2129" i="2"/>
  <c r="D2129" i="2"/>
  <c r="C2129" i="2"/>
  <c r="B2129" i="2"/>
  <c r="A2129" i="2"/>
  <c r="F2128" i="2"/>
  <c r="E2128" i="2"/>
  <c r="D2128" i="2"/>
  <c r="C2128" i="2"/>
  <c r="B2128" i="2"/>
  <c r="A2128" i="2"/>
  <c r="F2127" i="2"/>
  <c r="E2127" i="2"/>
  <c r="D2127" i="2"/>
  <c r="C2127" i="2"/>
  <c r="B2127" i="2"/>
  <c r="A2127" i="2"/>
  <c r="F2126" i="2"/>
  <c r="E2126" i="2"/>
  <c r="D2126" i="2"/>
  <c r="C2126" i="2"/>
  <c r="B2126" i="2"/>
  <c r="A2126" i="2"/>
  <c r="F2125" i="2"/>
  <c r="E2125" i="2"/>
  <c r="D2125" i="2"/>
  <c r="C2125" i="2"/>
  <c r="B2125" i="2"/>
  <c r="A2125" i="2"/>
  <c r="F2124" i="2"/>
  <c r="E2124" i="2"/>
  <c r="D2124" i="2"/>
  <c r="C2124" i="2"/>
  <c r="B2124" i="2"/>
  <c r="A2124" i="2"/>
  <c r="F2123" i="2"/>
  <c r="E2123" i="2"/>
  <c r="D2123" i="2"/>
  <c r="C2123" i="2"/>
  <c r="B2123" i="2"/>
  <c r="A2123" i="2"/>
  <c r="F2122" i="2"/>
  <c r="E2122" i="2"/>
  <c r="D2122" i="2"/>
  <c r="C2122" i="2"/>
  <c r="B2122" i="2"/>
  <c r="A2122" i="2"/>
  <c r="F2121" i="2"/>
  <c r="E2121" i="2"/>
  <c r="D2121" i="2"/>
  <c r="C2121" i="2"/>
  <c r="B2121" i="2"/>
  <c r="A2121" i="2"/>
  <c r="F2120" i="2"/>
  <c r="E2120" i="2"/>
  <c r="D2120" i="2"/>
  <c r="C2120" i="2"/>
  <c r="B2120" i="2"/>
  <c r="A2120" i="2"/>
  <c r="F2119" i="2"/>
  <c r="E2119" i="2"/>
  <c r="D2119" i="2"/>
  <c r="C2119" i="2"/>
  <c r="B2119" i="2"/>
  <c r="A2119" i="2"/>
  <c r="F2118" i="2"/>
  <c r="E2118" i="2"/>
  <c r="D2118" i="2"/>
  <c r="C2118" i="2"/>
  <c r="B2118" i="2"/>
  <c r="A2118" i="2"/>
  <c r="F2117" i="2"/>
  <c r="E2117" i="2"/>
  <c r="D2117" i="2"/>
  <c r="C2117" i="2"/>
  <c r="B2117" i="2"/>
  <c r="A2117" i="2"/>
  <c r="F2116" i="2"/>
  <c r="E2116" i="2"/>
  <c r="D2116" i="2"/>
  <c r="C2116" i="2"/>
  <c r="B2116" i="2"/>
  <c r="A2116" i="2"/>
  <c r="F2115" i="2"/>
  <c r="E2115" i="2"/>
  <c r="D2115" i="2"/>
  <c r="C2115" i="2"/>
  <c r="B2115" i="2"/>
  <c r="A2115" i="2"/>
  <c r="F2114" i="2"/>
  <c r="E2114" i="2"/>
  <c r="D2114" i="2"/>
  <c r="C2114" i="2"/>
  <c r="B2114" i="2"/>
  <c r="A2114" i="2"/>
  <c r="F2113" i="2"/>
  <c r="E2113" i="2"/>
  <c r="D2113" i="2"/>
  <c r="C2113" i="2"/>
  <c r="B2113" i="2"/>
  <c r="A2113" i="2"/>
  <c r="F2112" i="2"/>
  <c r="E2112" i="2"/>
  <c r="D2112" i="2"/>
  <c r="C2112" i="2"/>
  <c r="B2112" i="2"/>
  <c r="A2112" i="2"/>
  <c r="F2111" i="2"/>
  <c r="E2111" i="2"/>
  <c r="D2111" i="2"/>
  <c r="C2111" i="2"/>
  <c r="B2111" i="2"/>
  <c r="A2111" i="2"/>
  <c r="F2110" i="2"/>
  <c r="E2110" i="2"/>
  <c r="D2110" i="2"/>
  <c r="C2110" i="2"/>
  <c r="B2110" i="2"/>
  <c r="A2110" i="2"/>
  <c r="F2109" i="2"/>
  <c r="E2109" i="2"/>
  <c r="D2109" i="2"/>
  <c r="C2109" i="2"/>
  <c r="B2109" i="2"/>
  <c r="A2109" i="2"/>
  <c r="F2108" i="2"/>
  <c r="E2108" i="2"/>
  <c r="D2108" i="2"/>
  <c r="C2108" i="2"/>
  <c r="B2108" i="2"/>
  <c r="A2108" i="2"/>
  <c r="F2107" i="2"/>
  <c r="E2107" i="2"/>
  <c r="D2107" i="2"/>
  <c r="C2107" i="2"/>
  <c r="B2107" i="2"/>
  <c r="A2107" i="2"/>
  <c r="F2106" i="2"/>
  <c r="E2106" i="2"/>
  <c r="D2106" i="2"/>
  <c r="C2106" i="2"/>
  <c r="B2106" i="2"/>
  <c r="A2106" i="2"/>
  <c r="F2105" i="2"/>
  <c r="E2105" i="2"/>
  <c r="D2105" i="2"/>
  <c r="C2105" i="2"/>
  <c r="B2105" i="2"/>
  <c r="A2105" i="2"/>
  <c r="F2104" i="2"/>
  <c r="E2104" i="2"/>
  <c r="D2104" i="2"/>
  <c r="C2104" i="2"/>
  <c r="B2104" i="2"/>
  <c r="A2104" i="2"/>
  <c r="F2103" i="2"/>
  <c r="E2103" i="2"/>
  <c r="D2103" i="2"/>
  <c r="C2103" i="2"/>
  <c r="B2103" i="2"/>
  <c r="A2103" i="2"/>
  <c r="F2102" i="2"/>
  <c r="E2102" i="2"/>
  <c r="D2102" i="2"/>
  <c r="C2102" i="2"/>
  <c r="B2102" i="2"/>
  <c r="A2102" i="2"/>
  <c r="F2101" i="2"/>
  <c r="E2101" i="2"/>
  <c r="D2101" i="2"/>
  <c r="C2101" i="2"/>
  <c r="B2101" i="2"/>
  <c r="A2101" i="2"/>
  <c r="F2100" i="2"/>
  <c r="E2100" i="2"/>
  <c r="D2100" i="2"/>
  <c r="C2100" i="2"/>
  <c r="B2100" i="2"/>
  <c r="A2100" i="2"/>
  <c r="F2099" i="2"/>
  <c r="E2099" i="2"/>
  <c r="D2099" i="2"/>
  <c r="C2099" i="2"/>
  <c r="B2099" i="2"/>
  <c r="A2099" i="2"/>
  <c r="F2098" i="2"/>
  <c r="E2098" i="2"/>
  <c r="D2098" i="2"/>
  <c r="C2098" i="2"/>
  <c r="B2098" i="2"/>
  <c r="A2098" i="2"/>
  <c r="F2097" i="2"/>
  <c r="E2097" i="2"/>
  <c r="D2097" i="2"/>
  <c r="C2097" i="2"/>
  <c r="B2097" i="2"/>
  <c r="A2097" i="2"/>
  <c r="F2096" i="2"/>
  <c r="E2096" i="2"/>
  <c r="D2096" i="2"/>
  <c r="C2096" i="2"/>
  <c r="B2096" i="2"/>
  <c r="A2096" i="2"/>
  <c r="F2095" i="2"/>
  <c r="E2095" i="2"/>
  <c r="D2095" i="2"/>
  <c r="C2095" i="2"/>
  <c r="B2095" i="2"/>
  <c r="A2095" i="2"/>
  <c r="F2094" i="2"/>
  <c r="E2094" i="2"/>
  <c r="D2094" i="2"/>
  <c r="C2094" i="2"/>
  <c r="B2094" i="2"/>
  <c r="A2094" i="2"/>
  <c r="F2093" i="2"/>
  <c r="E2093" i="2"/>
  <c r="D2093" i="2"/>
  <c r="C2093" i="2"/>
  <c r="B2093" i="2"/>
  <c r="A2093" i="2"/>
  <c r="F2092" i="2"/>
  <c r="E2092" i="2"/>
  <c r="D2092" i="2"/>
  <c r="C2092" i="2"/>
  <c r="B2092" i="2"/>
  <c r="A2092" i="2"/>
  <c r="F2091" i="2"/>
  <c r="E2091" i="2"/>
  <c r="D2091" i="2"/>
  <c r="C2091" i="2"/>
  <c r="B2091" i="2"/>
  <c r="A2091" i="2"/>
  <c r="F2090" i="2"/>
  <c r="E2090" i="2"/>
  <c r="D2090" i="2"/>
  <c r="C2090" i="2"/>
  <c r="B2090" i="2"/>
  <c r="A2090" i="2"/>
  <c r="F2089" i="2"/>
  <c r="E2089" i="2"/>
  <c r="D2089" i="2"/>
  <c r="C2089" i="2"/>
  <c r="B2089" i="2"/>
  <c r="A2089" i="2"/>
  <c r="F2088" i="2"/>
  <c r="E2088" i="2"/>
  <c r="D2088" i="2"/>
  <c r="C2088" i="2"/>
  <c r="B2088" i="2"/>
  <c r="A2088" i="2"/>
  <c r="F2087" i="2"/>
  <c r="E2087" i="2"/>
  <c r="D2087" i="2"/>
  <c r="C2087" i="2"/>
  <c r="B2087" i="2"/>
  <c r="A2087" i="2"/>
  <c r="F2086" i="2"/>
  <c r="E2086" i="2"/>
  <c r="D2086" i="2"/>
  <c r="C2086" i="2"/>
  <c r="B2086" i="2"/>
  <c r="A2086" i="2"/>
  <c r="F2085" i="2"/>
  <c r="E2085" i="2"/>
  <c r="D2085" i="2"/>
  <c r="C2085" i="2"/>
  <c r="B2085" i="2"/>
  <c r="A2085" i="2"/>
  <c r="F2084" i="2"/>
  <c r="E2084" i="2"/>
  <c r="D2084" i="2"/>
  <c r="C2084" i="2"/>
  <c r="B2084" i="2"/>
  <c r="A2084" i="2"/>
  <c r="F2083" i="2"/>
  <c r="E2083" i="2"/>
  <c r="D2083" i="2"/>
  <c r="C2083" i="2"/>
  <c r="B2083" i="2"/>
  <c r="A2083" i="2"/>
  <c r="F2082" i="2"/>
  <c r="E2082" i="2"/>
  <c r="D2082" i="2"/>
  <c r="C2082" i="2"/>
  <c r="B2082" i="2"/>
  <c r="A2082" i="2"/>
  <c r="F2081" i="2"/>
  <c r="E2081" i="2"/>
  <c r="D2081" i="2"/>
  <c r="C2081" i="2"/>
  <c r="B2081" i="2"/>
  <c r="A2081" i="2"/>
  <c r="F2080" i="2"/>
  <c r="E2080" i="2"/>
  <c r="D2080" i="2"/>
  <c r="C2080" i="2"/>
  <c r="B2080" i="2"/>
  <c r="A2080" i="2"/>
  <c r="F2079" i="2"/>
  <c r="E2079" i="2"/>
  <c r="D2079" i="2"/>
  <c r="C2079" i="2"/>
  <c r="B2079" i="2"/>
  <c r="A2079" i="2"/>
  <c r="F2078" i="2"/>
  <c r="E2078" i="2"/>
  <c r="D2078" i="2"/>
  <c r="C2078" i="2"/>
  <c r="B2078" i="2"/>
  <c r="A2078" i="2"/>
  <c r="F2077" i="2"/>
  <c r="E2077" i="2"/>
  <c r="D2077" i="2"/>
  <c r="C2077" i="2"/>
  <c r="B2077" i="2"/>
  <c r="A2077" i="2"/>
  <c r="F2076" i="2"/>
  <c r="E2076" i="2"/>
  <c r="D2076" i="2"/>
  <c r="C2076" i="2"/>
  <c r="B2076" i="2"/>
  <c r="A2076" i="2"/>
  <c r="F2075" i="2"/>
  <c r="E2075" i="2"/>
  <c r="D2075" i="2"/>
  <c r="C2075" i="2"/>
  <c r="B2075" i="2"/>
  <c r="A2075" i="2"/>
  <c r="F2074" i="2"/>
  <c r="E2074" i="2"/>
  <c r="D2074" i="2"/>
  <c r="C2074" i="2"/>
  <c r="B2074" i="2"/>
  <c r="A2074" i="2"/>
  <c r="F2073" i="2"/>
  <c r="E2073" i="2"/>
  <c r="D2073" i="2"/>
  <c r="C2073" i="2"/>
  <c r="B2073" i="2"/>
  <c r="A2073" i="2"/>
  <c r="F2072" i="2"/>
  <c r="E2072" i="2"/>
  <c r="D2072" i="2"/>
  <c r="C2072" i="2"/>
  <c r="B2072" i="2"/>
  <c r="A2072" i="2"/>
  <c r="F2071" i="2"/>
  <c r="E2071" i="2"/>
  <c r="D2071" i="2"/>
  <c r="C2071" i="2"/>
  <c r="B2071" i="2"/>
  <c r="A2071" i="2"/>
  <c r="F2070" i="2"/>
  <c r="E2070" i="2"/>
  <c r="D2070" i="2"/>
  <c r="C2070" i="2"/>
  <c r="B2070" i="2"/>
  <c r="A2070" i="2"/>
  <c r="F2069" i="2"/>
  <c r="E2069" i="2"/>
  <c r="D2069" i="2"/>
  <c r="C2069" i="2"/>
  <c r="B2069" i="2"/>
  <c r="A2069" i="2"/>
  <c r="F2068" i="2"/>
  <c r="E2068" i="2"/>
  <c r="D2068" i="2"/>
  <c r="C2068" i="2"/>
  <c r="B2068" i="2"/>
  <c r="A2068" i="2"/>
  <c r="F2067" i="2"/>
  <c r="E2067" i="2"/>
  <c r="D2067" i="2"/>
  <c r="C2067" i="2"/>
  <c r="B2067" i="2"/>
  <c r="A2067" i="2"/>
  <c r="F2066" i="2"/>
  <c r="E2066" i="2"/>
  <c r="D2066" i="2"/>
  <c r="C2066" i="2"/>
  <c r="B2066" i="2"/>
  <c r="A2066" i="2"/>
  <c r="F2065" i="2"/>
  <c r="E2065" i="2"/>
  <c r="D2065" i="2"/>
  <c r="C2065" i="2"/>
  <c r="B2065" i="2"/>
  <c r="A2065" i="2"/>
  <c r="F2064" i="2"/>
  <c r="E2064" i="2"/>
  <c r="D2064" i="2"/>
  <c r="C2064" i="2"/>
  <c r="B2064" i="2"/>
  <c r="A2064" i="2"/>
  <c r="F2063" i="2"/>
  <c r="E2063" i="2"/>
  <c r="D2063" i="2"/>
  <c r="C2063" i="2"/>
  <c r="B2063" i="2"/>
  <c r="A2063" i="2"/>
  <c r="F2062" i="2"/>
  <c r="E2062" i="2"/>
  <c r="D2062" i="2"/>
  <c r="C2062" i="2"/>
  <c r="B2062" i="2"/>
  <c r="A2062" i="2"/>
  <c r="F2061" i="2"/>
  <c r="E2061" i="2"/>
  <c r="D2061" i="2"/>
  <c r="C2061" i="2"/>
  <c r="B2061" i="2"/>
  <c r="A2061" i="2"/>
  <c r="F2060" i="2"/>
  <c r="E2060" i="2"/>
  <c r="D2060" i="2"/>
  <c r="C2060" i="2"/>
  <c r="B2060" i="2"/>
  <c r="A2060" i="2"/>
  <c r="F2059" i="2"/>
  <c r="E2059" i="2"/>
  <c r="D2059" i="2"/>
  <c r="C2059" i="2"/>
  <c r="B2059" i="2"/>
  <c r="A2059" i="2"/>
  <c r="F2058" i="2"/>
  <c r="E2058" i="2"/>
  <c r="D2058" i="2"/>
  <c r="C2058" i="2"/>
  <c r="B2058" i="2"/>
  <c r="A2058" i="2"/>
  <c r="F2057" i="2"/>
  <c r="E2057" i="2"/>
  <c r="D2057" i="2"/>
  <c r="C2057" i="2"/>
  <c r="B2057" i="2"/>
  <c r="A2057" i="2"/>
  <c r="F2056" i="2"/>
  <c r="E2056" i="2"/>
  <c r="D2056" i="2"/>
  <c r="C2056" i="2"/>
  <c r="B2056" i="2"/>
  <c r="A2056" i="2"/>
  <c r="F2055" i="2"/>
  <c r="E2055" i="2"/>
  <c r="D2055" i="2"/>
  <c r="C2055" i="2"/>
  <c r="B2055" i="2"/>
  <c r="A2055" i="2"/>
  <c r="F2054" i="2"/>
  <c r="E2054" i="2"/>
  <c r="D2054" i="2"/>
  <c r="C2054" i="2"/>
  <c r="B2054" i="2"/>
  <c r="A2054" i="2"/>
  <c r="F2053" i="2"/>
  <c r="E2053" i="2"/>
  <c r="D2053" i="2"/>
  <c r="C2053" i="2"/>
  <c r="B2053" i="2"/>
  <c r="A2053" i="2"/>
  <c r="F2052" i="2"/>
  <c r="E2052" i="2"/>
  <c r="D2052" i="2"/>
  <c r="C2052" i="2"/>
  <c r="B2052" i="2"/>
  <c r="A2052" i="2"/>
  <c r="F2051" i="2"/>
  <c r="E2051" i="2"/>
  <c r="D2051" i="2"/>
  <c r="C2051" i="2"/>
  <c r="B2051" i="2"/>
  <c r="A2051" i="2"/>
  <c r="F2050" i="2"/>
  <c r="E2050" i="2"/>
  <c r="D2050" i="2"/>
  <c r="C2050" i="2"/>
  <c r="B2050" i="2"/>
  <c r="A2050" i="2"/>
  <c r="F2049" i="2"/>
  <c r="E2049" i="2"/>
  <c r="D2049" i="2"/>
  <c r="C2049" i="2"/>
  <c r="B2049" i="2"/>
  <c r="A2049" i="2"/>
  <c r="F2048" i="2"/>
  <c r="E2048" i="2"/>
  <c r="D2048" i="2"/>
  <c r="C2048" i="2"/>
  <c r="B2048" i="2"/>
  <c r="A2048" i="2"/>
  <c r="F2047" i="2"/>
  <c r="E2047" i="2"/>
  <c r="D2047" i="2"/>
  <c r="C2047" i="2"/>
  <c r="B2047" i="2"/>
  <c r="A2047" i="2"/>
  <c r="F2046" i="2"/>
  <c r="E2046" i="2"/>
  <c r="D2046" i="2"/>
  <c r="C2046" i="2"/>
  <c r="B2046" i="2"/>
  <c r="A2046" i="2"/>
  <c r="F2045" i="2"/>
  <c r="E2045" i="2"/>
  <c r="D2045" i="2"/>
  <c r="C2045" i="2"/>
  <c r="B2045" i="2"/>
  <c r="A2045" i="2"/>
  <c r="F2044" i="2"/>
  <c r="E2044" i="2"/>
  <c r="D2044" i="2"/>
  <c r="C2044" i="2"/>
  <c r="B2044" i="2"/>
  <c r="A2044" i="2"/>
  <c r="F2043" i="2"/>
  <c r="E2043" i="2"/>
  <c r="D2043" i="2"/>
  <c r="C2043" i="2"/>
  <c r="B2043" i="2"/>
  <c r="A2043" i="2"/>
  <c r="F2042" i="2"/>
  <c r="E2042" i="2"/>
  <c r="D2042" i="2"/>
  <c r="C2042" i="2"/>
  <c r="B2042" i="2"/>
  <c r="A2042" i="2"/>
  <c r="F2041" i="2"/>
  <c r="E2041" i="2"/>
  <c r="D2041" i="2"/>
  <c r="C2041" i="2"/>
  <c r="B2041" i="2"/>
  <c r="A2041" i="2"/>
  <c r="F2040" i="2"/>
  <c r="E2040" i="2"/>
  <c r="D2040" i="2"/>
  <c r="C2040" i="2"/>
  <c r="B2040" i="2"/>
  <c r="A2040" i="2"/>
  <c r="F2039" i="2"/>
  <c r="E2039" i="2"/>
  <c r="D2039" i="2"/>
  <c r="C2039" i="2"/>
  <c r="B2039" i="2"/>
  <c r="A2039" i="2"/>
  <c r="F2038" i="2"/>
  <c r="E2038" i="2"/>
  <c r="D2038" i="2"/>
  <c r="C2038" i="2"/>
  <c r="B2038" i="2"/>
  <c r="A2038" i="2"/>
  <c r="F2037" i="2"/>
  <c r="E2037" i="2"/>
  <c r="D2037" i="2"/>
  <c r="C2037" i="2"/>
  <c r="B2037" i="2"/>
  <c r="A2037" i="2"/>
  <c r="F2036" i="2"/>
  <c r="E2036" i="2"/>
  <c r="D2036" i="2"/>
  <c r="C2036" i="2"/>
  <c r="B2036" i="2"/>
  <c r="A2036" i="2"/>
  <c r="F2035" i="2"/>
  <c r="E2035" i="2"/>
  <c r="D2035" i="2"/>
  <c r="C2035" i="2"/>
  <c r="B2035" i="2"/>
  <c r="A2035" i="2"/>
  <c r="F2034" i="2"/>
  <c r="E2034" i="2"/>
  <c r="D2034" i="2"/>
  <c r="C2034" i="2"/>
  <c r="B2034" i="2"/>
  <c r="A2034" i="2"/>
  <c r="F2033" i="2"/>
  <c r="E2033" i="2"/>
  <c r="D2033" i="2"/>
  <c r="C2033" i="2"/>
  <c r="B2033" i="2"/>
  <c r="A2033" i="2"/>
  <c r="F2032" i="2"/>
  <c r="E2032" i="2"/>
  <c r="D2032" i="2"/>
  <c r="C2032" i="2"/>
  <c r="B2032" i="2"/>
  <c r="A2032" i="2"/>
  <c r="F2031" i="2"/>
  <c r="E2031" i="2"/>
  <c r="D2031" i="2"/>
  <c r="C2031" i="2"/>
  <c r="B2031" i="2"/>
  <c r="A2031" i="2"/>
  <c r="F2030" i="2"/>
  <c r="E2030" i="2"/>
  <c r="D2030" i="2"/>
  <c r="C2030" i="2"/>
  <c r="B2030" i="2"/>
  <c r="A2030" i="2"/>
  <c r="F2029" i="2"/>
  <c r="E2029" i="2"/>
  <c r="D2029" i="2"/>
  <c r="C2029" i="2"/>
  <c r="B2029" i="2"/>
  <c r="A2029" i="2"/>
  <c r="F2028" i="2"/>
  <c r="E2028" i="2"/>
  <c r="D2028" i="2"/>
  <c r="C2028" i="2"/>
  <c r="B2028" i="2"/>
  <c r="A2028" i="2"/>
  <c r="F2027" i="2"/>
  <c r="E2027" i="2"/>
  <c r="D2027" i="2"/>
  <c r="C2027" i="2"/>
  <c r="B2027" i="2"/>
  <c r="A2027" i="2"/>
  <c r="F2026" i="2"/>
  <c r="E2026" i="2"/>
  <c r="D2026" i="2"/>
  <c r="C2026" i="2"/>
  <c r="B2026" i="2"/>
  <c r="A2026" i="2"/>
  <c r="F2025" i="2"/>
  <c r="E2025" i="2"/>
  <c r="D2025" i="2"/>
  <c r="C2025" i="2"/>
  <c r="B2025" i="2"/>
  <c r="A2025" i="2"/>
  <c r="F2024" i="2"/>
  <c r="E2024" i="2"/>
  <c r="D2024" i="2"/>
  <c r="C2024" i="2"/>
  <c r="B2024" i="2"/>
  <c r="A2024" i="2"/>
  <c r="F2023" i="2"/>
  <c r="E2023" i="2"/>
  <c r="D2023" i="2"/>
  <c r="C2023" i="2"/>
  <c r="B2023" i="2"/>
  <c r="A2023" i="2"/>
  <c r="F2022" i="2"/>
  <c r="E2022" i="2"/>
  <c r="D2022" i="2"/>
  <c r="C2022" i="2"/>
  <c r="B2022" i="2"/>
  <c r="A2022" i="2"/>
  <c r="F2021" i="2"/>
  <c r="E2021" i="2"/>
  <c r="D2021" i="2"/>
  <c r="C2021" i="2"/>
  <c r="B2021" i="2"/>
  <c r="A2021" i="2"/>
  <c r="F2020" i="2"/>
  <c r="E2020" i="2"/>
  <c r="D2020" i="2"/>
  <c r="C2020" i="2"/>
  <c r="B2020" i="2"/>
  <c r="A2020" i="2"/>
  <c r="F2019" i="2"/>
  <c r="E2019" i="2"/>
  <c r="D2019" i="2"/>
  <c r="C2019" i="2"/>
  <c r="B2019" i="2"/>
  <c r="A2019" i="2"/>
  <c r="F2018" i="2"/>
  <c r="E2018" i="2"/>
  <c r="D2018" i="2"/>
  <c r="C2018" i="2"/>
  <c r="B2018" i="2"/>
  <c r="A2018" i="2"/>
  <c r="F2017" i="2"/>
  <c r="E2017" i="2"/>
  <c r="D2017" i="2"/>
  <c r="C2017" i="2"/>
  <c r="B2017" i="2"/>
  <c r="A2017" i="2"/>
  <c r="F2016" i="2"/>
  <c r="E2016" i="2"/>
  <c r="D2016" i="2"/>
  <c r="C2016" i="2"/>
  <c r="B2016" i="2"/>
  <c r="A2016" i="2"/>
  <c r="F2015" i="2"/>
  <c r="E2015" i="2"/>
  <c r="D2015" i="2"/>
  <c r="C2015" i="2"/>
  <c r="B2015" i="2"/>
  <c r="A2015" i="2"/>
  <c r="F2014" i="2"/>
  <c r="E2014" i="2"/>
  <c r="D2014" i="2"/>
  <c r="C2014" i="2"/>
  <c r="B2014" i="2"/>
  <c r="A2014" i="2"/>
  <c r="F2013" i="2"/>
  <c r="E2013" i="2"/>
  <c r="D2013" i="2"/>
  <c r="C2013" i="2"/>
  <c r="B2013" i="2"/>
  <c r="A2013" i="2"/>
  <c r="F2012" i="2"/>
  <c r="E2012" i="2"/>
  <c r="D2012" i="2"/>
  <c r="C2012" i="2"/>
  <c r="B2012" i="2"/>
  <c r="A2012" i="2"/>
  <c r="F2011" i="2"/>
  <c r="E2011" i="2"/>
  <c r="D2011" i="2"/>
  <c r="C2011" i="2"/>
  <c r="B2011" i="2"/>
  <c r="A2011" i="2"/>
  <c r="F2010" i="2"/>
  <c r="E2010" i="2"/>
  <c r="D2010" i="2"/>
  <c r="C2010" i="2"/>
  <c r="B2010" i="2"/>
  <c r="A2010" i="2"/>
  <c r="F2009" i="2"/>
  <c r="E2009" i="2"/>
  <c r="D2009" i="2"/>
  <c r="C2009" i="2"/>
  <c r="B2009" i="2"/>
  <c r="A2009" i="2"/>
  <c r="F2008" i="2"/>
  <c r="E2008" i="2"/>
  <c r="D2008" i="2"/>
  <c r="C2008" i="2"/>
  <c r="B2008" i="2"/>
  <c r="A2008" i="2"/>
  <c r="F2007" i="2"/>
  <c r="E2007" i="2"/>
  <c r="D2007" i="2"/>
  <c r="C2007" i="2"/>
  <c r="B2007" i="2"/>
  <c r="A2007" i="2"/>
  <c r="F2006" i="2"/>
  <c r="E2006" i="2"/>
  <c r="D2006" i="2"/>
  <c r="C2006" i="2"/>
  <c r="B2006" i="2"/>
  <c r="A2006" i="2"/>
  <c r="F2005" i="2"/>
  <c r="E2005" i="2"/>
  <c r="D2005" i="2"/>
  <c r="C2005" i="2"/>
  <c r="B2005" i="2"/>
  <c r="A2005" i="2"/>
  <c r="F2004" i="2"/>
  <c r="E2004" i="2"/>
  <c r="D2004" i="2"/>
  <c r="C2004" i="2"/>
  <c r="B2004" i="2"/>
  <c r="A2004" i="2"/>
  <c r="F2003" i="2"/>
  <c r="E2003" i="2"/>
  <c r="D2003" i="2"/>
  <c r="C2003" i="2"/>
  <c r="B2003" i="2"/>
  <c r="A2003" i="2"/>
  <c r="F2002" i="2"/>
  <c r="E2002" i="2"/>
  <c r="D2002" i="2"/>
  <c r="C2002" i="2"/>
  <c r="B2002" i="2"/>
  <c r="A2002" i="2"/>
  <c r="F2001" i="2"/>
  <c r="E2001" i="2"/>
  <c r="D2001" i="2"/>
  <c r="C2001" i="2"/>
  <c r="B2001" i="2"/>
  <c r="A2001" i="2"/>
  <c r="F2000" i="2"/>
  <c r="E2000" i="2"/>
  <c r="D2000" i="2"/>
  <c r="C2000" i="2"/>
  <c r="B2000" i="2"/>
  <c r="A2000" i="2"/>
  <c r="F1999" i="2"/>
  <c r="E1999" i="2"/>
  <c r="D1999" i="2"/>
  <c r="C1999" i="2"/>
  <c r="B1999" i="2"/>
  <c r="A1999" i="2"/>
  <c r="F1998" i="2"/>
  <c r="E1998" i="2"/>
  <c r="D1998" i="2"/>
  <c r="C1998" i="2"/>
  <c r="B1998" i="2"/>
  <c r="A1998" i="2"/>
  <c r="F1997" i="2"/>
  <c r="E1997" i="2"/>
  <c r="D1997" i="2"/>
  <c r="C1997" i="2"/>
  <c r="B1997" i="2"/>
  <c r="A1997" i="2"/>
  <c r="F1996" i="2"/>
  <c r="E1996" i="2"/>
  <c r="D1996" i="2"/>
  <c r="C1996" i="2"/>
  <c r="B1996" i="2"/>
  <c r="A1996" i="2"/>
  <c r="F1995" i="2"/>
  <c r="E1995" i="2"/>
  <c r="D1995" i="2"/>
  <c r="C1995" i="2"/>
  <c r="B1995" i="2"/>
  <c r="A1995" i="2"/>
  <c r="F1994" i="2"/>
  <c r="E1994" i="2"/>
  <c r="D1994" i="2"/>
  <c r="C1994" i="2"/>
  <c r="B1994" i="2"/>
  <c r="A1994" i="2"/>
  <c r="F1993" i="2"/>
  <c r="E1993" i="2"/>
  <c r="D1993" i="2"/>
  <c r="C1993" i="2"/>
  <c r="B1993" i="2"/>
  <c r="A1993" i="2"/>
  <c r="F1992" i="2"/>
  <c r="E1992" i="2"/>
  <c r="D1992" i="2"/>
  <c r="C1992" i="2"/>
  <c r="B1992" i="2"/>
  <c r="A1992" i="2"/>
  <c r="F1991" i="2"/>
  <c r="E1991" i="2"/>
  <c r="D1991" i="2"/>
  <c r="C1991" i="2"/>
  <c r="B1991" i="2"/>
  <c r="A1991" i="2"/>
  <c r="F1990" i="2"/>
  <c r="E1990" i="2"/>
  <c r="D1990" i="2"/>
  <c r="C1990" i="2"/>
  <c r="B1990" i="2"/>
  <c r="A1990" i="2"/>
  <c r="F1989" i="2"/>
  <c r="E1989" i="2"/>
  <c r="D1989" i="2"/>
  <c r="C1989" i="2"/>
  <c r="B1989" i="2"/>
  <c r="A1989" i="2"/>
  <c r="F1988" i="2"/>
  <c r="E1988" i="2"/>
  <c r="D1988" i="2"/>
  <c r="C1988" i="2"/>
  <c r="B1988" i="2"/>
  <c r="A1988" i="2"/>
  <c r="F1987" i="2"/>
  <c r="E1987" i="2"/>
  <c r="D1987" i="2"/>
  <c r="C1987" i="2"/>
  <c r="B1987" i="2"/>
  <c r="A1987" i="2"/>
  <c r="F1986" i="2"/>
  <c r="E1986" i="2"/>
  <c r="D1986" i="2"/>
  <c r="C1986" i="2"/>
  <c r="B1986" i="2"/>
  <c r="A1986" i="2"/>
  <c r="F1985" i="2"/>
  <c r="E1985" i="2"/>
  <c r="D1985" i="2"/>
  <c r="C1985" i="2"/>
  <c r="B1985" i="2"/>
  <c r="A1985" i="2"/>
  <c r="F1984" i="2"/>
  <c r="E1984" i="2"/>
  <c r="D1984" i="2"/>
  <c r="C1984" i="2"/>
  <c r="B1984" i="2"/>
  <c r="A1984" i="2"/>
  <c r="F1983" i="2"/>
  <c r="E1983" i="2"/>
  <c r="D1983" i="2"/>
  <c r="C1983" i="2"/>
  <c r="B1983" i="2"/>
  <c r="A1983" i="2"/>
  <c r="F1982" i="2"/>
  <c r="E1982" i="2"/>
  <c r="D1982" i="2"/>
  <c r="C1982" i="2"/>
  <c r="B1982" i="2"/>
  <c r="A1982" i="2"/>
  <c r="F1981" i="2"/>
  <c r="E1981" i="2"/>
  <c r="D1981" i="2"/>
  <c r="C1981" i="2"/>
  <c r="B1981" i="2"/>
  <c r="A1981" i="2"/>
  <c r="F1980" i="2"/>
  <c r="E1980" i="2"/>
  <c r="D1980" i="2"/>
  <c r="C1980" i="2"/>
  <c r="B1980" i="2"/>
  <c r="A1980" i="2"/>
  <c r="F1979" i="2"/>
  <c r="E1979" i="2"/>
  <c r="D1979" i="2"/>
  <c r="C1979" i="2"/>
  <c r="B1979" i="2"/>
  <c r="A1979" i="2"/>
  <c r="F1978" i="2"/>
  <c r="E1978" i="2"/>
  <c r="D1978" i="2"/>
  <c r="C1978" i="2"/>
  <c r="B1978" i="2"/>
  <c r="A1978" i="2"/>
  <c r="F1977" i="2"/>
  <c r="E1977" i="2"/>
  <c r="D1977" i="2"/>
  <c r="C1977" i="2"/>
  <c r="B1977" i="2"/>
  <c r="A1977" i="2"/>
  <c r="F1976" i="2"/>
  <c r="E1976" i="2"/>
  <c r="D1976" i="2"/>
  <c r="C1976" i="2"/>
  <c r="B1976" i="2"/>
  <c r="A1976" i="2"/>
  <c r="F1975" i="2"/>
  <c r="E1975" i="2"/>
  <c r="D1975" i="2"/>
  <c r="C1975" i="2"/>
  <c r="B1975" i="2"/>
  <c r="A1975" i="2"/>
  <c r="F1974" i="2"/>
  <c r="E1974" i="2"/>
  <c r="D1974" i="2"/>
  <c r="C1974" i="2"/>
  <c r="B1974" i="2"/>
  <c r="A1974" i="2"/>
  <c r="F1973" i="2"/>
  <c r="E1973" i="2"/>
  <c r="D1973" i="2"/>
  <c r="C1973" i="2"/>
  <c r="B1973" i="2"/>
  <c r="A1973" i="2"/>
  <c r="F1972" i="2"/>
  <c r="E1972" i="2"/>
  <c r="D1972" i="2"/>
  <c r="C1972" i="2"/>
  <c r="B1972" i="2"/>
  <c r="A1972" i="2"/>
  <c r="F1971" i="2"/>
  <c r="E1971" i="2"/>
  <c r="D1971" i="2"/>
  <c r="C1971" i="2"/>
  <c r="B1971" i="2"/>
  <c r="A1971" i="2"/>
  <c r="F1970" i="2"/>
  <c r="E1970" i="2"/>
  <c r="D1970" i="2"/>
  <c r="C1970" i="2"/>
  <c r="B1970" i="2"/>
  <c r="A1970" i="2"/>
  <c r="F1969" i="2"/>
  <c r="E1969" i="2"/>
  <c r="D1969" i="2"/>
  <c r="C1969" i="2"/>
  <c r="B1969" i="2"/>
  <c r="A1969" i="2"/>
  <c r="F1968" i="2"/>
  <c r="E1968" i="2"/>
  <c r="D1968" i="2"/>
  <c r="C1968" i="2"/>
  <c r="B1968" i="2"/>
  <c r="A1968" i="2"/>
  <c r="F1967" i="2"/>
  <c r="E1967" i="2"/>
  <c r="D1967" i="2"/>
  <c r="C1967" i="2"/>
  <c r="B1967" i="2"/>
  <c r="A1967" i="2"/>
  <c r="F1966" i="2"/>
  <c r="E1966" i="2"/>
  <c r="D1966" i="2"/>
  <c r="C1966" i="2"/>
  <c r="B1966" i="2"/>
  <c r="A1966" i="2"/>
  <c r="F1965" i="2"/>
  <c r="E1965" i="2"/>
  <c r="D1965" i="2"/>
  <c r="C1965" i="2"/>
  <c r="B1965" i="2"/>
  <c r="A1965" i="2"/>
  <c r="F1964" i="2"/>
  <c r="E1964" i="2"/>
  <c r="D1964" i="2"/>
  <c r="C1964" i="2"/>
  <c r="B1964" i="2"/>
  <c r="A1964" i="2"/>
  <c r="F1963" i="2"/>
  <c r="E1963" i="2"/>
  <c r="D1963" i="2"/>
  <c r="C1963" i="2"/>
  <c r="B1963" i="2"/>
  <c r="A1963" i="2"/>
  <c r="F1962" i="2"/>
  <c r="E1962" i="2"/>
  <c r="D1962" i="2"/>
  <c r="C1962" i="2"/>
  <c r="B1962" i="2"/>
  <c r="A1962" i="2"/>
  <c r="F1961" i="2"/>
  <c r="E1961" i="2"/>
  <c r="D1961" i="2"/>
  <c r="C1961" i="2"/>
  <c r="B1961" i="2"/>
  <c r="A1961" i="2"/>
  <c r="F1960" i="2"/>
  <c r="E1960" i="2"/>
  <c r="D1960" i="2"/>
  <c r="C1960" i="2"/>
  <c r="B1960" i="2"/>
  <c r="A1960" i="2"/>
  <c r="F1959" i="2"/>
  <c r="E1959" i="2"/>
  <c r="D1959" i="2"/>
  <c r="C1959" i="2"/>
  <c r="B1959" i="2"/>
  <c r="A1959" i="2"/>
  <c r="F1958" i="2"/>
  <c r="E1958" i="2"/>
  <c r="D1958" i="2"/>
  <c r="C1958" i="2"/>
  <c r="B1958" i="2"/>
  <c r="A1958" i="2"/>
  <c r="F1957" i="2"/>
  <c r="E1957" i="2"/>
  <c r="D1957" i="2"/>
  <c r="C1957" i="2"/>
  <c r="B1957" i="2"/>
  <c r="A1957" i="2"/>
  <c r="F1956" i="2"/>
  <c r="E1956" i="2"/>
  <c r="D1956" i="2"/>
  <c r="C1956" i="2"/>
  <c r="B1956" i="2"/>
  <c r="A1956" i="2"/>
  <c r="F1955" i="2"/>
  <c r="E1955" i="2"/>
  <c r="D1955" i="2"/>
  <c r="C1955" i="2"/>
  <c r="B1955" i="2"/>
  <c r="A1955" i="2"/>
  <c r="F1954" i="2"/>
  <c r="E1954" i="2"/>
  <c r="D1954" i="2"/>
  <c r="C1954" i="2"/>
  <c r="B1954" i="2"/>
  <c r="A1954" i="2"/>
  <c r="F1953" i="2"/>
  <c r="E1953" i="2"/>
  <c r="D1953" i="2"/>
  <c r="C1953" i="2"/>
  <c r="B1953" i="2"/>
  <c r="A1953" i="2"/>
  <c r="F1952" i="2"/>
  <c r="E1952" i="2"/>
  <c r="D1952" i="2"/>
  <c r="C1952" i="2"/>
  <c r="B1952" i="2"/>
  <c r="A1952" i="2"/>
  <c r="F1951" i="2"/>
  <c r="E1951" i="2"/>
  <c r="D1951" i="2"/>
  <c r="C1951" i="2"/>
  <c r="B1951" i="2"/>
  <c r="A1951" i="2"/>
  <c r="F1950" i="2"/>
  <c r="E1950" i="2"/>
  <c r="D1950" i="2"/>
  <c r="C1950" i="2"/>
  <c r="B1950" i="2"/>
  <c r="A1950" i="2"/>
  <c r="F1949" i="2"/>
  <c r="E1949" i="2"/>
  <c r="D1949" i="2"/>
  <c r="C1949" i="2"/>
  <c r="B1949" i="2"/>
  <c r="A1949" i="2"/>
  <c r="F1948" i="2"/>
  <c r="E1948" i="2"/>
  <c r="D1948" i="2"/>
  <c r="C1948" i="2"/>
  <c r="B1948" i="2"/>
  <c r="A1948" i="2"/>
  <c r="F1947" i="2"/>
  <c r="E1947" i="2"/>
  <c r="D1947" i="2"/>
  <c r="C1947" i="2"/>
  <c r="B1947" i="2"/>
  <c r="A1947" i="2"/>
  <c r="F1946" i="2"/>
  <c r="E1946" i="2"/>
  <c r="D1946" i="2"/>
  <c r="C1946" i="2"/>
  <c r="B1946" i="2"/>
  <c r="A1946" i="2"/>
  <c r="F1945" i="2"/>
  <c r="E1945" i="2"/>
  <c r="D1945" i="2"/>
  <c r="C1945" i="2"/>
  <c r="B1945" i="2"/>
  <c r="A1945" i="2"/>
  <c r="F1944" i="2"/>
  <c r="E1944" i="2"/>
  <c r="D1944" i="2"/>
  <c r="C1944" i="2"/>
  <c r="B1944" i="2"/>
  <c r="A1944" i="2"/>
  <c r="F1943" i="2"/>
  <c r="E1943" i="2"/>
  <c r="D1943" i="2"/>
  <c r="C1943" i="2"/>
  <c r="B1943" i="2"/>
  <c r="A1943" i="2"/>
  <c r="F1942" i="2"/>
  <c r="E1942" i="2"/>
  <c r="D1942" i="2"/>
  <c r="C1942" i="2"/>
  <c r="B1942" i="2"/>
  <c r="A1942" i="2"/>
  <c r="F1941" i="2"/>
  <c r="E1941" i="2"/>
  <c r="D1941" i="2"/>
  <c r="C1941" i="2"/>
  <c r="B1941" i="2"/>
  <c r="A1941" i="2"/>
  <c r="F1940" i="2"/>
  <c r="E1940" i="2"/>
  <c r="D1940" i="2"/>
  <c r="C1940" i="2"/>
  <c r="B1940" i="2"/>
  <c r="A1940" i="2"/>
  <c r="F1939" i="2"/>
  <c r="E1939" i="2"/>
  <c r="D1939" i="2"/>
  <c r="C1939" i="2"/>
  <c r="B1939" i="2"/>
  <c r="A1939" i="2"/>
  <c r="F1938" i="2"/>
  <c r="E1938" i="2"/>
  <c r="D1938" i="2"/>
  <c r="C1938" i="2"/>
  <c r="B1938" i="2"/>
  <c r="A1938" i="2"/>
  <c r="F1937" i="2"/>
  <c r="E1937" i="2"/>
  <c r="D1937" i="2"/>
  <c r="C1937" i="2"/>
  <c r="B1937" i="2"/>
  <c r="A1937" i="2"/>
  <c r="F1936" i="2"/>
  <c r="E1936" i="2"/>
  <c r="D1936" i="2"/>
  <c r="C1936" i="2"/>
  <c r="B1936" i="2"/>
  <c r="A1936" i="2"/>
  <c r="F1935" i="2"/>
  <c r="E1935" i="2"/>
  <c r="D1935" i="2"/>
  <c r="C1935" i="2"/>
  <c r="B1935" i="2"/>
  <c r="A1935" i="2"/>
  <c r="F1934" i="2"/>
  <c r="E1934" i="2"/>
  <c r="D1934" i="2"/>
  <c r="C1934" i="2"/>
  <c r="B1934" i="2"/>
  <c r="A1934" i="2"/>
  <c r="F1933" i="2"/>
  <c r="E1933" i="2"/>
  <c r="D1933" i="2"/>
  <c r="C1933" i="2"/>
  <c r="B1933" i="2"/>
  <c r="A1933" i="2"/>
  <c r="F1932" i="2"/>
  <c r="E1932" i="2"/>
  <c r="D1932" i="2"/>
  <c r="C1932" i="2"/>
  <c r="B1932" i="2"/>
  <c r="A1932" i="2"/>
  <c r="F1931" i="2"/>
  <c r="E1931" i="2"/>
  <c r="D1931" i="2"/>
  <c r="C1931" i="2"/>
  <c r="B1931" i="2"/>
  <c r="A1931" i="2"/>
  <c r="F1930" i="2"/>
  <c r="E1930" i="2"/>
  <c r="D1930" i="2"/>
  <c r="C1930" i="2"/>
  <c r="B1930" i="2"/>
  <c r="A1930" i="2"/>
  <c r="F1929" i="2"/>
  <c r="E1929" i="2"/>
  <c r="D1929" i="2"/>
  <c r="C1929" i="2"/>
  <c r="B1929" i="2"/>
  <c r="A1929" i="2"/>
  <c r="F1928" i="2"/>
  <c r="E1928" i="2"/>
  <c r="D1928" i="2"/>
  <c r="C1928" i="2"/>
  <c r="B1928" i="2"/>
  <c r="A1928" i="2"/>
  <c r="F1927" i="2"/>
  <c r="E1927" i="2"/>
  <c r="D1927" i="2"/>
  <c r="C1927" i="2"/>
  <c r="B1927" i="2"/>
  <c r="A1927" i="2"/>
  <c r="F1926" i="2"/>
  <c r="E1926" i="2"/>
  <c r="D1926" i="2"/>
  <c r="C1926" i="2"/>
  <c r="B1926" i="2"/>
  <c r="A1926" i="2"/>
  <c r="F1925" i="2"/>
  <c r="E1925" i="2"/>
  <c r="D1925" i="2"/>
  <c r="C1925" i="2"/>
  <c r="B1925" i="2"/>
  <c r="A1925" i="2"/>
  <c r="F1924" i="2"/>
  <c r="E1924" i="2"/>
  <c r="D1924" i="2"/>
  <c r="C1924" i="2"/>
  <c r="B1924" i="2"/>
  <c r="A1924" i="2"/>
  <c r="F1923" i="2"/>
  <c r="E1923" i="2"/>
  <c r="D1923" i="2"/>
  <c r="C1923" i="2"/>
  <c r="B1923" i="2"/>
  <c r="A1923" i="2"/>
  <c r="F1922" i="2"/>
  <c r="E1922" i="2"/>
  <c r="D1922" i="2"/>
  <c r="C1922" i="2"/>
  <c r="B1922" i="2"/>
  <c r="A1922" i="2"/>
  <c r="F1921" i="2"/>
  <c r="E1921" i="2"/>
  <c r="D1921" i="2"/>
  <c r="C1921" i="2"/>
  <c r="B1921" i="2"/>
  <c r="A1921" i="2"/>
  <c r="F1920" i="2"/>
  <c r="E1920" i="2"/>
  <c r="D1920" i="2"/>
  <c r="C1920" i="2"/>
  <c r="B1920" i="2"/>
  <c r="A1920" i="2"/>
  <c r="F1919" i="2"/>
  <c r="E1919" i="2"/>
  <c r="D1919" i="2"/>
  <c r="C1919" i="2"/>
  <c r="B1919" i="2"/>
  <c r="A1919" i="2"/>
  <c r="F1918" i="2"/>
  <c r="E1918" i="2"/>
  <c r="D1918" i="2"/>
  <c r="C1918" i="2"/>
  <c r="B1918" i="2"/>
  <c r="A1918" i="2"/>
  <c r="F1917" i="2"/>
  <c r="E1917" i="2"/>
  <c r="D1917" i="2"/>
  <c r="C1917" i="2"/>
  <c r="B1917" i="2"/>
  <c r="A1917" i="2"/>
  <c r="F1916" i="2"/>
  <c r="E1916" i="2"/>
  <c r="D1916" i="2"/>
  <c r="C1916" i="2"/>
  <c r="B1916" i="2"/>
  <c r="A1916" i="2"/>
  <c r="F1915" i="2"/>
  <c r="E1915" i="2"/>
  <c r="D1915" i="2"/>
  <c r="C1915" i="2"/>
  <c r="B1915" i="2"/>
  <c r="A1915" i="2"/>
  <c r="F1914" i="2"/>
  <c r="E1914" i="2"/>
  <c r="D1914" i="2"/>
  <c r="C1914" i="2"/>
  <c r="B1914" i="2"/>
  <c r="A1914" i="2"/>
  <c r="F1913" i="2"/>
  <c r="E1913" i="2"/>
  <c r="D1913" i="2"/>
  <c r="C1913" i="2"/>
  <c r="B1913" i="2"/>
  <c r="A1913" i="2"/>
  <c r="F1912" i="2"/>
  <c r="E1912" i="2"/>
  <c r="D1912" i="2"/>
  <c r="C1912" i="2"/>
  <c r="B1912" i="2"/>
  <c r="A1912" i="2"/>
  <c r="F1911" i="2"/>
  <c r="E1911" i="2"/>
  <c r="D1911" i="2"/>
  <c r="C1911" i="2"/>
  <c r="B1911" i="2"/>
  <c r="A1911" i="2"/>
  <c r="F1910" i="2"/>
  <c r="E1910" i="2"/>
  <c r="D1910" i="2"/>
  <c r="C1910" i="2"/>
  <c r="B1910" i="2"/>
  <c r="A1910" i="2"/>
  <c r="F1909" i="2"/>
  <c r="E1909" i="2"/>
  <c r="D1909" i="2"/>
  <c r="C1909" i="2"/>
  <c r="B1909" i="2"/>
  <c r="A1909" i="2"/>
  <c r="F1908" i="2"/>
  <c r="E1908" i="2"/>
  <c r="D1908" i="2"/>
  <c r="C1908" i="2"/>
  <c r="B1908" i="2"/>
  <c r="A1908" i="2"/>
  <c r="F1907" i="2"/>
  <c r="E1907" i="2"/>
  <c r="D1907" i="2"/>
  <c r="C1907" i="2"/>
  <c r="B1907" i="2"/>
  <c r="A1907" i="2"/>
  <c r="F1906" i="2"/>
  <c r="E1906" i="2"/>
  <c r="D1906" i="2"/>
  <c r="C1906" i="2"/>
  <c r="B1906" i="2"/>
  <c r="A1906" i="2"/>
  <c r="F1905" i="2"/>
  <c r="E1905" i="2"/>
  <c r="D1905" i="2"/>
  <c r="C1905" i="2"/>
  <c r="B1905" i="2"/>
  <c r="A1905" i="2"/>
  <c r="F1904" i="2"/>
  <c r="E1904" i="2"/>
  <c r="D1904" i="2"/>
  <c r="C1904" i="2"/>
  <c r="B1904" i="2"/>
  <c r="A1904" i="2"/>
  <c r="F1903" i="2"/>
  <c r="E1903" i="2"/>
  <c r="D1903" i="2"/>
  <c r="C1903" i="2"/>
  <c r="B1903" i="2"/>
  <c r="A1903" i="2"/>
  <c r="F1902" i="2"/>
  <c r="E1902" i="2"/>
  <c r="D1902" i="2"/>
  <c r="C1902" i="2"/>
  <c r="B1902" i="2"/>
  <c r="A1902" i="2"/>
  <c r="F1901" i="2"/>
  <c r="E1901" i="2"/>
  <c r="D1901" i="2"/>
  <c r="C1901" i="2"/>
  <c r="B1901" i="2"/>
  <c r="A1901" i="2"/>
  <c r="F1900" i="2"/>
  <c r="E1900" i="2"/>
  <c r="D1900" i="2"/>
  <c r="C1900" i="2"/>
  <c r="B1900" i="2"/>
  <c r="A1900" i="2"/>
  <c r="F1899" i="2"/>
  <c r="E1899" i="2"/>
  <c r="D1899" i="2"/>
  <c r="C1899" i="2"/>
  <c r="B1899" i="2"/>
  <c r="A1899" i="2"/>
  <c r="F1898" i="2"/>
  <c r="E1898" i="2"/>
  <c r="D1898" i="2"/>
  <c r="C1898" i="2"/>
  <c r="B1898" i="2"/>
  <c r="A1898" i="2"/>
  <c r="F1897" i="2"/>
  <c r="E1897" i="2"/>
  <c r="D1897" i="2"/>
  <c r="C1897" i="2"/>
  <c r="B1897" i="2"/>
  <c r="A1897" i="2"/>
  <c r="F1896" i="2"/>
  <c r="E1896" i="2"/>
  <c r="D1896" i="2"/>
  <c r="C1896" i="2"/>
  <c r="B1896" i="2"/>
  <c r="A1896" i="2"/>
  <c r="F1895" i="2"/>
  <c r="E1895" i="2"/>
  <c r="D1895" i="2"/>
  <c r="C1895" i="2"/>
  <c r="B1895" i="2"/>
  <c r="A1895" i="2"/>
  <c r="F1894" i="2"/>
  <c r="E1894" i="2"/>
  <c r="D1894" i="2"/>
  <c r="C1894" i="2"/>
  <c r="B1894" i="2"/>
  <c r="A1894" i="2"/>
  <c r="F1893" i="2"/>
  <c r="E1893" i="2"/>
  <c r="D1893" i="2"/>
  <c r="C1893" i="2"/>
  <c r="B1893" i="2"/>
  <c r="A1893" i="2"/>
  <c r="F1892" i="2"/>
  <c r="E1892" i="2"/>
  <c r="D1892" i="2"/>
  <c r="C1892" i="2"/>
  <c r="B1892" i="2"/>
  <c r="A1892" i="2"/>
  <c r="F1891" i="2"/>
  <c r="E1891" i="2"/>
  <c r="D1891" i="2"/>
  <c r="C1891" i="2"/>
  <c r="B1891" i="2"/>
  <c r="A1891" i="2"/>
  <c r="F1890" i="2"/>
  <c r="E1890" i="2"/>
  <c r="D1890" i="2"/>
  <c r="C1890" i="2"/>
  <c r="B1890" i="2"/>
  <c r="A1890" i="2"/>
  <c r="F1889" i="2"/>
  <c r="E1889" i="2"/>
  <c r="D1889" i="2"/>
  <c r="C1889" i="2"/>
  <c r="B1889" i="2"/>
  <c r="A1889" i="2"/>
  <c r="F1888" i="2"/>
  <c r="E1888" i="2"/>
  <c r="D1888" i="2"/>
  <c r="C1888" i="2"/>
  <c r="B1888" i="2"/>
  <c r="A1888" i="2"/>
  <c r="F1887" i="2"/>
  <c r="E1887" i="2"/>
  <c r="D1887" i="2"/>
  <c r="C1887" i="2"/>
  <c r="B1887" i="2"/>
  <c r="A1887" i="2"/>
  <c r="F1886" i="2"/>
  <c r="E1886" i="2"/>
  <c r="D1886" i="2"/>
  <c r="C1886" i="2"/>
  <c r="B1886" i="2"/>
  <c r="A1886" i="2"/>
  <c r="F1885" i="2"/>
  <c r="E1885" i="2"/>
  <c r="D1885" i="2"/>
  <c r="C1885" i="2"/>
  <c r="B1885" i="2"/>
  <c r="A1885" i="2"/>
  <c r="F1884" i="2"/>
  <c r="E1884" i="2"/>
  <c r="D1884" i="2"/>
  <c r="C1884" i="2"/>
  <c r="B1884" i="2"/>
  <c r="A1884" i="2"/>
  <c r="F1883" i="2"/>
  <c r="E1883" i="2"/>
  <c r="D1883" i="2"/>
  <c r="C1883" i="2"/>
  <c r="B1883" i="2"/>
  <c r="A1883" i="2"/>
  <c r="F1882" i="2"/>
  <c r="E1882" i="2"/>
  <c r="D1882" i="2"/>
  <c r="C1882" i="2"/>
  <c r="B1882" i="2"/>
  <c r="A1882" i="2"/>
  <c r="F1881" i="2"/>
  <c r="E1881" i="2"/>
  <c r="D1881" i="2"/>
  <c r="C1881" i="2"/>
  <c r="B1881" i="2"/>
  <c r="A1881" i="2"/>
  <c r="F1880" i="2"/>
  <c r="E1880" i="2"/>
  <c r="D1880" i="2"/>
  <c r="C1880" i="2"/>
  <c r="B1880" i="2"/>
  <c r="A1880" i="2"/>
  <c r="F1879" i="2"/>
  <c r="E1879" i="2"/>
  <c r="D1879" i="2"/>
  <c r="C1879" i="2"/>
  <c r="B1879" i="2"/>
  <c r="A1879" i="2"/>
  <c r="F1878" i="2"/>
  <c r="E1878" i="2"/>
  <c r="D1878" i="2"/>
  <c r="C1878" i="2"/>
  <c r="B1878" i="2"/>
  <c r="A1878" i="2"/>
  <c r="F1877" i="2"/>
  <c r="E1877" i="2"/>
  <c r="D1877" i="2"/>
  <c r="C1877" i="2"/>
  <c r="B1877" i="2"/>
  <c r="A1877" i="2"/>
  <c r="F1876" i="2"/>
  <c r="E1876" i="2"/>
  <c r="D1876" i="2"/>
  <c r="C1876" i="2"/>
  <c r="B1876" i="2"/>
  <c r="A1876" i="2"/>
  <c r="F1875" i="2"/>
  <c r="E1875" i="2"/>
  <c r="D1875" i="2"/>
  <c r="C1875" i="2"/>
  <c r="B1875" i="2"/>
  <c r="A1875" i="2"/>
  <c r="F1874" i="2"/>
  <c r="E1874" i="2"/>
  <c r="D1874" i="2"/>
  <c r="C1874" i="2"/>
  <c r="B1874" i="2"/>
  <c r="A1874" i="2"/>
  <c r="F1873" i="2"/>
  <c r="E1873" i="2"/>
  <c r="D1873" i="2"/>
  <c r="C1873" i="2"/>
  <c r="B1873" i="2"/>
  <c r="A1873" i="2"/>
  <c r="F1872" i="2"/>
  <c r="E1872" i="2"/>
  <c r="D1872" i="2"/>
  <c r="C1872" i="2"/>
  <c r="B1872" i="2"/>
  <c r="A1872" i="2"/>
  <c r="F1871" i="2"/>
  <c r="E1871" i="2"/>
  <c r="D1871" i="2"/>
  <c r="C1871" i="2"/>
  <c r="B1871" i="2"/>
  <c r="A1871" i="2"/>
  <c r="F1870" i="2"/>
  <c r="E1870" i="2"/>
  <c r="D1870" i="2"/>
  <c r="C1870" i="2"/>
  <c r="B1870" i="2"/>
  <c r="A1870" i="2"/>
  <c r="F1869" i="2"/>
  <c r="E1869" i="2"/>
  <c r="D1869" i="2"/>
  <c r="C1869" i="2"/>
  <c r="B1869" i="2"/>
  <c r="A1869" i="2"/>
  <c r="F1868" i="2"/>
  <c r="E1868" i="2"/>
  <c r="D1868" i="2"/>
  <c r="C1868" i="2"/>
  <c r="B1868" i="2"/>
  <c r="A1868" i="2"/>
  <c r="F1867" i="2"/>
  <c r="E1867" i="2"/>
  <c r="D1867" i="2"/>
  <c r="C1867" i="2"/>
  <c r="B1867" i="2"/>
  <c r="A1867" i="2"/>
  <c r="F1866" i="2"/>
  <c r="E1866" i="2"/>
  <c r="D1866" i="2"/>
  <c r="C1866" i="2"/>
  <c r="B1866" i="2"/>
  <c r="A1866" i="2"/>
  <c r="F1865" i="2"/>
  <c r="E1865" i="2"/>
  <c r="D1865" i="2"/>
  <c r="C1865" i="2"/>
  <c r="B1865" i="2"/>
  <c r="A1865" i="2"/>
  <c r="F1864" i="2"/>
  <c r="E1864" i="2"/>
  <c r="D1864" i="2"/>
  <c r="C1864" i="2"/>
  <c r="B1864" i="2"/>
  <c r="A1864" i="2"/>
  <c r="F1863" i="2"/>
  <c r="E1863" i="2"/>
  <c r="D1863" i="2"/>
  <c r="C1863" i="2"/>
  <c r="B1863" i="2"/>
  <c r="A1863" i="2"/>
  <c r="F1862" i="2"/>
  <c r="E1862" i="2"/>
  <c r="D1862" i="2"/>
  <c r="C1862" i="2"/>
  <c r="B1862" i="2"/>
  <c r="A1862" i="2"/>
  <c r="F1861" i="2"/>
  <c r="E1861" i="2"/>
  <c r="D1861" i="2"/>
  <c r="C1861" i="2"/>
  <c r="B1861" i="2"/>
  <c r="A1861" i="2"/>
  <c r="F1860" i="2"/>
  <c r="E1860" i="2"/>
  <c r="D1860" i="2"/>
  <c r="C1860" i="2"/>
  <c r="B1860" i="2"/>
  <c r="A1860" i="2"/>
  <c r="F1859" i="2"/>
  <c r="E1859" i="2"/>
  <c r="D1859" i="2"/>
  <c r="C1859" i="2"/>
  <c r="B1859" i="2"/>
  <c r="A1859" i="2"/>
  <c r="F1858" i="2"/>
  <c r="E1858" i="2"/>
  <c r="D1858" i="2"/>
  <c r="C1858" i="2"/>
  <c r="B1858" i="2"/>
  <c r="A1858" i="2"/>
  <c r="F1857" i="2"/>
  <c r="E1857" i="2"/>
  <c r="D1857" i="2"/>
  <c r="C1857" i="2"/>
  <c r="B1857" i="2"/>
  <c r="A1857" i="2"/>
  <c r="F1856" i="2"/>
  <c r="E1856" i="2"/>
  <c r="D1856" i="2"/>
  <c r="C1856" i="2"/>
  <c r="B1856" i="2"/>
  <c r="A1856" i="2"/>
  <c r="F1855" i="2"/>
  <c r="E1855" i="2"/>
  <c r="D1855" i="2"/>
  <c r="C1855" i="2"/>
  <c r="B1855" i="2"/>
  <c r="A1855" i="2"/>
  <c r="F1854" i="2"/>
  <c r="E1854" i="2"/>
  <c r="D1854" i="2"/>
  <c r="C1854" i="2"/>
  <c r="B1854" i="2"/>
  <c r="A1854" i="2"/>
  <c r="F1853" i="2"/>
  <c r="E1853" i="2"/>
  <c r="D1853" i="2"/>
  <c r="C1853" i="2"/>
  <c r="B1853" i="2"/>
  <c r="A1853" i="2"/>
  <c r="F1852" i="2"/>
  <c r="E1852" i="2"/>
  <c r="D1852" i="2"/>
  <c r="C1852" i="2"/>
  <c r="B1852" i="2"/>
  <c r="A1852" i="2"/>
  <c r="F1851" i="2"/>
  <c r="E1851" i="2"/>
  <c r="D1851" i="2"/>
  <c r="C1851" i="2"/>
  <c r="B1851" i="2"/>
  <c r="A1851" i="2"/>
  <c r="F1850" i="2"/>
  <c r="E1850" i="2"/>
  <c r="D1850" i="2"/>
  <c r="C1850" i="2"/>
  <c r="B1850" i="2"/>
  <c r="A1850" i="2"/>
  <c r="F1849" i="2"/>
  <c r="E1849" i="2"/>
  <c r="D1849" i="2"/>
  <c r="C1849" i="2"/>
  <c r="B1849" i="2"/>
  <c r="A1849" i="2"/>
  <c r="F1848" i="2"/>
  <c r="E1848" i="2"/>
  <c r="D1848" i="2"/>
  <c r="C1848" i="2"/>
  <c r="B1848" i="2"/>
  <c r="A1848" i="2"/>
  <c r="F1847" i="2"/>
  <c r="E1847" i="2"/>
  <c r="D1847" i="2"/>
  <c r="C1847" i="2"/>
  <c r="B1847" i="2"/>
  <c r="A1847" i="2"/>
  <c r="F1846" i="2"/>
  <c r="E1846" i="2"/>
  <c r="D1846" i="2"/>
  <c r="C1846" i="2"/>
  <c r="B1846" i="2"/>
  <c r="A1846" i="2"/>
  <c r="F1845" i="2"/>
  <c r="E1845" i="2"/>
  <c r="D1845" i="2"/>
  <c r="C1845" i="2"/>
  <c r="B1845" i="2"/>
  <c r="A1845" i="2"/>
  <c r="F1844" i="2"/>
  <c r="E1844" i="2"/>
  <c r="D1844" i="2"/>
  <c r="C1844" i="2"/>
  <c r="B1844" i="2"/>
  <c r="A1844" i="2"/>
  <c r="F1843" i="2"/>
  <c r="E1843" i="2"/>
  <c r="D1843" i="2"/>
  <c r="C1843" i="2"/>
  <c r="B1843" i="2"/>
  <c r="A1843" i="2"/>
  <c r="F1842" i="2"/>
  <c r="E1842" i="2"/>
  <c r="D1842" i="2"/>
  <c r="C1842" i="2"/>
  <c r="B1842" i="2"/>
  <c r="A1842" i="2"/>
  <c r="F1841" i="2"/>
  <c r="E1841" i="2"/>
  <c r="D1841" i="2"/>
  <c r="C1841" i="2"/>
  <c r="B1841" i="2"/>
  <c r="A1841" i="2"/>
  <c r="F1840" i="2"/>
  <c r="E1840" i="2"/>
  <c r="D1840" i="2"/>
  <c r="C1840" i="2"/>
  <c r="B1840" i="2"/>
  <c r="A1840" i="2"/>
  <c r="F1839" i="2"/>
  <c r="E1839" i="2"/>
  <c r="D1839" i="2"/>
  <c r="C1839" i="2"/>
  <c r="B1839" i="2"/>
  <c r="A1839" i="2"/>
  <c r="F1838" i="2"/>
  <c r="E1838" i="2"/>
  <c r="D1838" i="2"/>
  <c r="C1838" i="2"/>
  <c r="B1838" i="2"/>
  <c r="A1838" i="2"/>
  <c r="F1837" i="2"/>
  <c r="E1837" i="2"/>
  <c r="D1837" i="2"/>
  <c r="C1837" i="2"/>
  <c r="B1837" i="2"/>
  <c r="A1837" i="2"/>
  <c r="F1836" i="2"/>
  <c r="E1836" i="2"/>
  <c r="D1836" i="2"/>
  <c r="C1836" i="2"/>
  <c r="B1836" i="2"/>
  <c r="A1836" i="2"/>
  <c r="F1835" i="2"/>
  <c r="E1835" i="2"/>
  <c r="D1835" i="2"/>
  <c r="C1835" i="2"/>
  <c r="B1835" i="2"/>
  <c r="A1835" i="2"/>
  <c r="F1834" i="2"/>
  <c r="E1834" i="2"/>
  <c r="D1834" i="2"/>
  <c r="C1834" i="2"/>
  <c r="B1834" i="2"/>
  <c r="A1834" i="2"/>
  <c r="F1833" i="2"/>
  <c r="E1833" i="2"/>
  <c r="D1833" i="2"/>
  <c r="C1833" i="2"/>
  <c r="B1833" i="2"/>
  <c r="A1833" i="2"/>
  <c r="F1832" i="2"/>
  <c r="E1832" i="2"/>
  <c r="D1832" i="2"/>
  <c r="C1832" i="2"/>
  <c r="B1832" i="2"/>
  <c r="A1832" i="2"/>
  <c r="F1831" i="2"/>
  <c r="E1831" i="2"/>
  <c r="D1831" i="2"/>
  <c r="C1831" i="2"/>
  <c r="B1831" i="2"/>
  <c r="A1831" i="2"/>
  <c r="F1830" i="2"/>
  <c r="E1830" i="2"/>
  <c r="D1830" i="2"/>
  <c r="C1830" i="2"/>
  <c r="B1830" i="2"/>
  <c r="A1830" i="2"/>
  <c r="F1829" i="2"/>
  <c r="E1829" i="2"/>
  <c r="D1829" i="2"/>
  <c r="C1829" i="2"/>
  <c r="B1829" i="2"/>
  <c r="A1829" i="2"/>
  <c r="F1828" i="2"/>
  <c r="E1828" i="2"/>
  <c r="D1828" i="2"/>
  <c r="C1828" i="2"/>
  <c r="B1828" i="2"/>
  <c r="A1828" i="2"/>
  <c r="F1827" i="2"/>
  <c r="E1827" i="2"/>
  <c r="D1827" i="2"/>
  <c r="C1827" i="2"/>
  <c r="B1827" i="2"/>
  <c r="A1827" i="2"/>
  <c r="F1826" i="2"/>
  <c r="E1826" i="2"/>
  <c r="D1826" i="2"/>
  <c r="C1826" i="2"/>
  <c r="B1826" i="2"/>
  <c r="A1826" i="2"/>
  <c r="F1825" i="2"/>
  <c r="E1825" i="2"/>
  <c r="D1825" i="2"/>
  <c r="C1825" i="2"/>
  <c r="B1825" i="2"/>
  <c r="A1825" i="2"/>
  <c r="F1824" i="2"/>
  <c r="E1824" i="2"/>
  <c r="D1824" i="2"/>
  <c r="C1824" i="2"/>
  <c r="B1824" i="2"/>
  <c r="A1824" i="2"/>
  <c r="F1823" i="2"/>
  <c r="E1823" i="2"/>
  <c r="D1823" i="2"/>
  <c r="C1823" i="2"/>
  <c r="B1823" i="2"/>
  <c r="A1823" i="2"/>
  <c r="F1822" i="2"/>
  <c r="E1822" i="2"/>
  <c r="D1822" i="2"/>
  <c r="C1822" i="2"/>
  <c r="B1822" i="2"/>
  <c r="A1822" i="2"/>
  <c r="F1821" i="2"/>
  <c r="E1821" i="2"/>
  <c r="D1821" i="2"/>
  <c r="C1821" i="2"/>
  <c r="B1821" i="2"/>
  <c r="A1821" i="2"/>
  <c r="F1820" i="2"/>
  <c r="E1820" i="2"/>
  <c r="D1820" i="2"/>
  <c r="C1820" i="2"/>
  <c r="B1820" i="2"/>
  <c r="A1820" i="2"/>
  <c r="F1819" i="2"/>
  <c r="E1819" i="2"/>
  <c r="D1819" i="2"/>
  <c r="C1819" i="2"/>
  <c r="B1819" i="2"/>
  <c r="A1819" i="2"/>
  <c r="F1818" i="2"/>
  <c r="E1818" i="2"/>
  <c r="D1818" i="2"/>
  <c r="C1818" i="2"/>
  <c r="B1818" i="2"/>
  <c r="A1818" i="2"/>
  <c r="F1817" i="2"/>
  <c r="E1817" i="2"/>
  <c r="D1817" i="2"/>
  <c r="C1817" i="2"/>
  <c r="B1817" i="2"/>
  <c r="A1817" i="2"/>
  <c r="F1816" i="2"/>
  <c r="E1816" i="2"/>
  <c r="D1816" i="2"/>
  <c r="C1816" i="2"/>
  <c r="B1816" i="2"/>
  <c r="A1816" i="2"/>
  <c r="F1815" i="2"/>
  <c r="E1815" i="2"/>
  <c r="D1815" i="2"/>
  <c r="C1815" i="2"/>
  <c r="B1815" i="2"/>
  <c r="A1815" i="2"/>
  <c r="F1814" i="2"/>
  <c r="E1814" i="2"/>
  <c r="D1814" i="2"/>
  <c r="C1814" i="2"/>
  <c r="B1814" i="2"/>
  <c r="A1814" i="2"/>
  <c r="F1813" i="2"/>
  <c r="E1813" i="2"/>
  <c r="D1813" i="2"/>
  <c r="C1813" i="2"/>
  <c r="B1813" i="2"/>
  <c r="A1813" i="2"/>
  <c r="F1812" i="2"/>
  <c r="E1812" i="2"/>
  <c r="D1812" i="2"/>
  <c r="C1812" i="2"/>
  <c r="B1812" i="2"/>
  <c r="A1812" i="2"/>
  <c r="F1811" i="2"/>
  <c r="E1811" i="2"/>
  <c r="D1811" i="2"/>
  <c r="C1811" i="2"/>
  <c r="B1811" i="2"/>
  <c r="A1811" i="2"/>
  <c r="F1810" i="2"/>
  <c r="E1810" i="2"/>
  <c r="D1810" i="2"/>
  <c r="C1810" i="2"/>
  <c r="B1810" i="2"/>
  <c r="A1810" i="2"/>
  <c r="F1809" i="2"/>
  <c r="E1809" i="2"/>
  <c r="D1809" i="2"/>
  <c r="C1809" i="2"/>
  <c r="B1809" i="2"/>
  <c r="A1809" i="2"/>
  <c r="F1808" i="2"/>
  <c r="E1808" i="2"/>
  <c r="D1808" i="2"/>
  <c r="C1808" i="2"/>
  <c r="B1808" i="2"/>
  <c r="A1808" i="2"/>
  <c r="F1807" i="2"/>
  <c r="E1807" i="2"/>
  <c r="D1807" i="2"/>
  <c r="C1807" i="2"/>
  <c r="B1807" i="2"/>
  <c r="A1807" i="2"/>
  <c r="F1806" i="2"/>
  <c r="E1806" i="2"/>
  <c r="D1806" i="2"/>
  <c r="C1806" i="2"/>
  <c r="B1806" i="2"/>
  <c r="A1806" i="2"/>
  <c r="F1805" i="2"/>
  <c r="E1805" i="2"/>
  <c r="D1805" i="2"/>
  <c r="C1805" i="2"/>
  <c r="B1805" i="2"/>
  <c r="A1805" i="2"/>
  <c r="F1804" i="2"/>
  <c r="E1804" i="2"/>
  <c r="D1804" i="2"/>
  <c r="C1804" i="2"/>
  <c r="B1804" i="2"/>
  <c r="A1804" i="2"/>
  <c r="F1803" i="2"/>
  <c r="E1803" i="2"/>
  <c r="D1803" i="2"/>
  <c r="C1803" i="2"/>
  <c r="B1803" i="2"/>
  <c r="A1803" i="2"/>
  <c r="F1802" i="2"/>
  <c r="E1802" i="2"/>
  <c r="D1802" i="2"/>
  <c r="C1802" i="2"/>
  <c r="B1802" i="2"/>
  <c r="A1802" i="2"/>
  <c r="F1801" i="2"/>
  <c r="E1801" i="2"/>
  <c r="D1801" i="2"/>
  <c r="C1801" i="2"/>
  <c r="B1801" i="2"/>
  <c r="A1801" i="2"/>
  <c r="F1800" i="2"/>
  <c r="E1800" i="2"/>
  <c r="D1800" i="2"/>
  <c r="C1800" i="2"/>
  <c r="B1800" i="2"/>
  <c r="A1800" i="2"/>
  <c r="F1799" i="2"/>
  <c r="E1799" i="2"/>
  <c r="D1799" i="2"/>
  <c r="C1799" i="2"/>
  <c r="B1799" i="2"/>
  <c r="A1799" i="2"/>
  <c r="F1798" i="2"/>
  <c r="E1798" i="2"/>
  <c r="D1798" i="2"/>
  <c r="C1798" i="2"/>
  <c r="B1798" i="2"/>
  <c r="A1798" i="2"/>
  <c r="F1797" i="2"/>
  <c r="E1797" i="2"/>
  <c r="D1797" i="2"/>
  <c r="C1797" i="2"/>
  <c r="B1797" i="2"/>
  <c r="A1797" i="2"/>
  <c r="F1796" i="2"/>
  <c r="E1796" i="2"/>
  <c r="D1796" i="2"/>
  <c r="C1796" i="2"/>
  <c r="B1796" i="2"/>
  <c r="A1796" i="2"/>
  <c r="F1795" i="2"/>
  <c r="E1795" i="2"/>
  <c r="D1795" i="2"/>
  <c r="C1795" i="2"/>
  <c r="B1795" i="2"/>
  <c r="A1795" i="2"/>
  <c r="F1794" i="2"/>
  <c r="E1794" i="2"/>
  <c r="D1794" i="2"/>
  <c r="C1794" i="2"/>
  <c r="B1794" i="2"/>
  <c r="A1794" i="2"/>
  <c r="F1793" i="2"/>
  <c r="E1793" i="2"/>
  <c r="D1793" i="2"/>
  <c r="C1793" i="2"/>
  <c r="B1793" i="2"/>
  <c r="A1793" i="2"/>
  <c r="F1792" i="2"/>
  <c r="E1792" i="2"/>
  <c r="D1792" i="2"/>
  <c r="C1792" i="2"/>
  <c r="B1792" i="2"/>
  <c r="A1792" i="2"/>
  <c r="F1791" i="2"/>
  <c r="E1791" i="2"/>
  <c r="D1791" i="2"/>
  <c r="C1791" i="2"/>
  <c r="B1791" i="2"/>
  <c r="A1791" i="2"/>
  <c r="F1790" i="2"/>
  <c r="E1790" i="2"/>
  <c r="D1790" i="2"/>
  <c r="C1790" i="2"/>
  <c r="B1790" i="2"/>
  <c r="A1790" i="2"/>
  <c r="F1789" i="2"/>
  <c r="E1789" i="2"/>
  <c r="D1789" i="2"/>
  <c r="C1789" i="2"/>
  <c r="B1789" i="2"/>
  <c r="A1789" i="2"/>
  <c r="F1788" i="2"/>
  <c r="E1788" i="2"/>
  <c r="D1788" i="2"/>
  <c r="C1788" i="2"/>
  <c r="B1788" i="2"/>
  <c r="A1788" i="2"/>
  <c r="F1787" i="2"/>
  <c r="E1787" i="2"/>
  <c r="D1787" i="2"/>
  <c r="C1787" i="2"/>
  <c r="B1787" i="2"/>
  <c r="A1787" i="2"/>
  <c r="F1786" i="2"/>
  <c r="E1786" i="2"/>
  <c r="D1786" i="2"/>
  <c r="C1786" i="2"/>
  <c r="B1786" i="2"/>
  <c r="A1786" i="2"/>
  <c r="F1785" i="2"/>
  <c r="E1785" i="2"/>
  <c r="D1785" i="2"/>
  <c r="C1785" i="2"/>
  <c r="B1785" i="2"/>
  <c r="A1785" i="2"/>
  <c r="F1784" i="2"/>
  <c r="E1784" i="2"/>
  <c r="D1784" i="2"/>
  <c r="C1784" i="2"/>
  <c r="B1784" i="2"/>
  <c r="A1784" i="2"/>
  <c r="F1783" i="2"/>
  <c r="E1783" i="2"/>
  <c r="D1783" i="2"/>
  <c r="C1783" i="2"/>
  <c r="B1783" i="2"/>
  <c r="A1783" i="2"/>
  <c r="F1782" i="2"/>
  <c r="E1782" i="2"/>
  <c r="D1782" i="2"/>
  <c r="C1782" i="2"/>
  <c r="B1782" i="2"/>
  <c r="A1782" i="2"/>
  <c r="F1781" i="2"/>
  <c r="E1781" i="2"/>
  <c r="D1781" i="2"/>
  <c r="C1781" i="2"/>
  <c r="B1781" i="2"/>
  <c r="A1781" i="2"/>
  <c r="F1780" i="2"/>
  <c r="E1780" i="2"/>
  <c r="D1780" i="2"/>
  <c r="C1780" i="2"/>
  <c r="B1780" i="2"/>
  <c r="A1780" i="2"/>
  <c r="F1779" i="2"/>
  <c r="E1779" i="2"/>
  <c r="D1779" i="2"/>
  <c r="C1779" i="2"/>
  <c r="B1779" i="2"/>
  <c r="A1779" i="2"/>
  <c r="F1778" i="2"/>
  <c r="E1778" i="2"/>
  <c r="D1778" i="2"/>
  <c r="C1778" i="2"/>
  <c r="B1778" i="2"/>
  <c r="A1778" i="2"/>
  <c r="F1777" i="2"/>
  <c r="E1777" i="2"/>
  <c r="D1777" i="2"/>
  <c r="C1777" i="2"/>
  <c r="B1777" i="2"/>
  <c r="A1777" i="2"/>
  <c r="F1776" i="2"/>
  <c r="E1776" i="2"/>
  <c r="D1776" i="2"/>
  <c r="C1776" i="2"/>
  <c r="B1776" i="2"/>
  <c r="A1776" i="2"/>
  <c r="F1775" i="2"/>
  <c r="E1775" i="2"/>
  <c r="D1775" i="2"/>
  <c r="C1775" i="2"/>
  <c r="B1775" i="2"/>
  <c r="A1775" i="2"/>
  <c r="F1774" i="2"/>
  <c r="E1774" i="2"/>
  <c r="D1774" i="2"/>
  <c r="C1774" i="2"/>
  <c r="B1774" i="2"/>
  <c r="A1774" i="2"/>
  <c r="F1773" i="2"/>
  <c r="E1773" i="2"/>
  <c r="D1773" i="2"/>
  <c r="C1773" i="2"/>
  <c r="B1773" i="2"/>
  <c r="A1773" i="2"/>
  <c r="F1772" i="2"/>
  <c r="E1772" i="2"/>
  <c r="D1772" i="2"/>
  <c r="C1772" i="2"/>
  <c r="B1772" i="2"/>
  <c r="A1772" i="2"/>
  <c r="F1771" i="2"/>
  <c r="E1771" i="2"/>
  <c r="D1771" i="2"/>
  <c r="C1771" i="2"/>
  <c r="B1771" i="2"/>
  <c r="A1771" i="2"/>
  <c r="F1770" i="2"/>
  <c r="E1770" i="2"/>
  <c r="D1770" i="2"/>
  <c r="C1770" i="2"/>
  <c r="B1770" i="2"/>
  <c r="A1770" i="2"/>
  <c r="F1769" i="2"/>
  <c r="E1769" i="2"/>
  <c r="D1769" i="2"/>
  <c r="C1769" i="2"/>
  <c r="B1769" i="2"/>
  <c r="A1769" i="2"/>
  <c r="F1768" i="2"/>
  <c r="E1768" i="2"/>
  <c r="D1768" i="2"/>
  <c r="C1768" i="2"/>
  <c r="B1768" i="2"/>
  <c r="A1768" i="2"/>
  <c r="F1767" i="2"/>
  <c r="E1767" i="2"/>
  <c r="D1767" i="2"/>
  <c r="C1767" i="2"/>
  <c r="B1767" i="2"/>
  <c r="A1767" i="2"/>
  <c r="F1766" i="2"/>
  <c r="E1766" i="2"/>
  <c r="D1766" i="2"/>
  <c r="C1766" i="2"/>
  <c r="B1766" i="2"/>
  <c r="A1766" i="2"/>
  <c r="F1765" i="2"/>
  <c r="E1765" i="2"/>
  <c r="D1765" i="2"/>
  <c r="C1765" i="2"/>
  <c r="B1765" i="2"/>
  <c r="A1765" i="2"/>
  <c r="F1764" i="2"/>
  <c r="E1764" i="2"/>
  <c r="D1764" i="2"/>
  <c r="C1764" i="2"/>
  <c r="B1764" i="2"/>
  <c r="A1764" i="2"/>
  <c r="F1763" i="2"/>
  <c r="E1763" i="2"/>
  <c r="D1763" i="2"/>
  <c r="C1763" i="2"/>
  <c r="B1763" i="2"/>
  <c r="A1763" i="2"/>
  <c r="F1762" i="2"/>
  <c r="E1762" i="2"/>
  <c r="D1762" i="2"/>
  <c r="C1762" i="2"/>
  <c r="B1762" i="2"/>
  <c r="A1762" i="2"/>
  <c r="F1761" i="2"/>
  <c r="E1761" i="2"/>
  <c r="D1761" i="2"/>
  <c r="C1761" i="2"/>
  <c r="B1761" i="2"/>
  <c r="A1761" i="2"/>
  <c r="F1760" i="2"/>
  <c r="E1760" i="2"/>
  <c r="D1760" i="2"/>
  <c r="C1760" i="2"/>
  <c r="B1760" i="2"/>
  <c r="A1760" i="2"/>
  <c r="F1759" i="2"/>
  <c r="E1759" i="2"/>
  <c r="D1759" i="2"/>
  <c r="C1759" i="2"/>
  <c r="B1759" i="2"/>
  <c r="A1759" i="2"/>
  <c r="F1758" i="2"/>
  <c r="E1758" i="2"/>
  <c r="D1758" i="2"/>
  <c r="C1758" i="2"/>
  <c r="B1758" i="2"/>
  <c r="A1758" i="2"/>
  <c r="F1757" i="2"/>
  <c r="E1757" i="2"/>
  <c r="D1757" i="2"/>
  <c r="C1757" i="2"/>
  <c r="B1757" i="2"/>
  <c r="A1757" i="2"/>
  <c r="F1756" i="2"/>
  <c r="E1756" i="2"/>
  <c r="D1756" i="2"/>
  <c r="C1756" i="2"/>
  <c r="B1756" i="2"/>
  <c r="A1756" i="2"/>
  <c r="F1754" i="2"/>
  <c r="E1754" i="2"/>
  <c r="D1754" i="2"/>
  <c r="C1754" i="2"/>
  <c r="B1754" i="2"/>
  <c r="A1754" i="2"/>
  <c r="F1753" i="2"/>
  <c r="E1753" i="2"/>
  <c r="D1753" i="2"/>
  <c r="C1753" i="2"/>
  <c r="B1753" i="2"/>
  <c r="A1753" i="2"/>
  <c r="F1752" i="2"/>
  <c r="E1752" i="2"/>
  <c r="D1752" i="2"/>
  <c r="C1752" i="2"/>
  <c r="B1752" i="2"/>
  <c r="A1752" i="2"/>
  <c r="F1751" i="2"/>
  <c r="E1751" i="2"/>
  <c r="D1751" i="2"/>
  <c r="C1751" i="2"/>
  <c r="B1751" i="2"/>
  <c r="A1751" i="2"/>
  <c r="F1750" i="2"/>
  <c r="E1750" i="2"/>
  <c r="D1750" i="2"/>
  <c r="C1750" i="2"/>
  <c r="B1750" i="2"/>
  <c r="A1750" i="2"/>
  <c r="F1749" i="2"/>
  <c r="E1749" i="2"/>
  <c r="D1749" i="2"/>
  <c r="C1749" i="2"/>
  <c r="B1749" i="2"/>
  <c r="A1749" i="2"/>
  <c r="F1748" i="2"/>
  <c r="E1748" i="2"/>
  <c r="D1748" i="2"/>
  <c r="C1748" i="2"/>
  <c r="B1748" i="2"/>
  <c r="A1748" i="2"/>
  <c r="F1747" i="2"/>
  <c r="E1747" i="2"/>
  <c r="D1747" i="2"/>
  <c r="C1747" i="2"/>
  <c r="B1747" i="2"/>
  <c r="A1747" i="2"/>
  <c r="F1746" i="2"/>
  <c r="E1746" i="2"/>
  <c r="D1746" i="2"/>
  <c r="C1746" i="2"/>
  <c r="B1746" i="2"/>
  <c r="A1746" i="2"/>
  <c r="F1745" i="2"/>
  <c r="E1745" i="2"/>
  <c r="D1745" i="2"/>
  <c r="C1745" i="2"/>
  <c r="B1745" i="2"/>
  <c r="A1745" i="2"/>
  <c r="F1744" i="2"/>
  <c r="E1744" i="2"/>
  <c r="D1744" i="2"/>
  <c r="C1744" i="2"/>
  <c r="B1744" i="2"/>
  <c r="A1744" i="2"/>
  <c r="F1743" i="2"/>
  <c r="E1743" i="2"/>
  <c r="D1743" i="2"/>
  <c r="C1743" i="2"/>
  <c r="B1743" i="2"/>
  <c r="A1743" i="2"/>
  <c r="F1742" i="2"/>
  <c r="E1742" i="2"/>
  <c r="D1742" i="2"/>
  <c r="C1742" i="2"/>
  <c r="B1742" i="2"/>
  <c r="A1742" i="2"/>
  <c r="F1741" i="2"/>
  <c r="E1741" i="2"/>
  <c r="D1741" i="2"/>
  <c r="C1741" i="2"/>
  <c r="B1741" i="2"/>
  <c r="A1741" i="2"/>
  <c r="F1740" i="2"/>
  <c r="E1740" i="2"/>
  <c r="D1740" i="2"/>
  <c r="C1740" i="2"/>
  <c r="B1740" i="2"/>
  <c r="A1740" i="2"/>
  <c r="F1739" i="2"/>
  <c r="E1739" i="2"/>
  <c r="D1739" i="2"/>
  <c r="C1739" i="2"/>
  <c r="B1739" i="2"/>
  <c r="A1739" i="2"/>
  <c r="F1738" i="2"/>
  <c r="E1738" i="2"/>
  <c r="D1738" i="2"/>
  <c r="C1738" i="2"/>
  <c r="B1738" i="2"/>
  <c r="A1738" i="2"/>
  <c r="F1737" i="2"/>
  <c r="E1737" i="2"/>
  <c r="D1737" i="2"/>
  <c r="C1737" i="2"/>
  <c r="B1737" i="2"/>
  <c r="A1737" i="2"/>
  <c r="F1736" i="2"/>
  <c r="E1736" i="2"/>
  <c r="D1736" i="2"/>
  <c r="C1736" i="2"/>
  <c r="B1736" i="2"/>
  <c r="A1736" i="2"/>
  <c r="F1735" i="2"/>
  <c r="E1735" i="2"/>
  <c r="D1735" i="2"/>
  <c r="C1735" i="2"/>
  <c r="B1735" i="2"/>
  <c r="A1735" i="2"/>
  <c r="F1734" i="2"/>
  <c r="E1734" i="2"/>
  <c r="D1734" i="2"/>
  <c r="C1734" i="2"/>
  <c r="B1734" i="2"/>
  <c r="A1734" i="2"/>
  <c r="F1733" i="2"/>
  <c r="E1733" i="2"/>
  <c r="D1733" i="2"/>
  <c r="C1733" i="2"/>
  <c r="B1733" i="2"/>
  <c r="A1733" i="2"/>
  <c r="F1732" i="2"/>
  <c r="E1732" i="2"/>
  <c r="D1732" i="2"/>
  <c r="C1732" i="2"/>
  <c r="B1732" i="2"/>
  <c r="A1732" i="2"/>
  <c r="F1731" i="2"/>
  <c r="E1731" i="2"/>
  <c r="D1731" i="2"/>
  <c r="C1731" i="2"/>
  <c r="B1731" i="2"/>
  <c r="A1731" i="2"/>
  <c r="F1730" i="2"/>
  <c r="E1730" i="2"/>
  <c r="D1730" i="2"/>
  <c r="C1730" i="2"/>
  <c r="B1730" i="2"/>
  <c r="A1730" i="2"/>
  <c r="F1729" i="2"/>
  <c r="E1729" i="2"/>
  <c r="D1729" i="2"/>
  <c r="C1729" i="2"/>
  <c r="B1729" i="2"/>
  <c r="A1729" i="2"/>
  <c r="F1728" i="2"/>
  <c r="E1728" i="2"/>
  <c r="D1728" i="2"/>
  <c r="C1728" i="2"/>
  <c r="B1728" i="2"/>
  <c r="A1728" i="2"/>
  <c r="F1727" i="2"/>
  <c r="E1727" i="2"/>
  <c r="D1727" i="2"/>
  <c r="C1727" i="2"/>
  <c r="B1727" i="2"/>
  <c r="A1727" i="2"/>
  <c r="F1726" i="2"/>
  <c r="E1726" i="2"/>
  <c r="D1726" i="2"/>
  <c r="C1726" i="2"/>
  <c r="B1726" i="2"/>
  <c r="A1726" i="2"/>
  <c r="F1725" i="2"/>
  <c r="E1725" i="2"/>
  <c r="D1725" i="2"/>
  <c r="C1725" i="2"/>
  <c r="B1725" i="2"/>
  <c r="A1725" i="2"/>
  <c r="F1724" i="2"/>
  <c r="E1724" i="2"/>
  <c r="D1724" i="2"/>
  <c r="C1724" i="2"/>
  <c r="B1724" i="2"/>
  <c r="A1724" i="2"/>
  <c r="F1723" i="2"/>
  <c r="E1723" i="2"/>
  <c r="D1723" i="2"/>
  <c r="C1723" i="2"/>
  <c r="B1723" i="2"/>
  <c r="A1723" i="2"/>
  <c r="F1722" i="2"/>
  <c r="E1722" i="2"/>
  <c r="D1722" i="2"/>
  <c r="C1722" i="2"/>
  <c r="B1722" i="2"/>
  <c r="A1722" i="2"/>
  <c r="F1721" i="2"/>
  <c r="E1721" i="2"/>
  <c r="D1721" i="2"/>
  <c r="C1721" i="2"/>
  <c r="B1721" i="2"/>
  <c r="A1721" i="2"/>
  <c r="F1720" i="2"/>
  <c r="E1720" i="2"/>
  <c r="D1720" i="2"/>
  <c r="C1720" i="2"/>
  <c r="B1720" i="2"/>
  <c r="A1720" i="2"/>
  <c r="F1719" i="2"/>
  <c r="E1719" i="2"/>
  <c r="D1719" i="2"/>
  <c r="C1719" i="2"/>
  <c r="B1719" i="2"/>
  <c r="A1719" i="2"/>
  <c r="F1718" i="2"/>
  <c r="E1718" i="2"/>
  <c r="D1718" i="2"/>
  <c r="C1718" i="2"/>
  <c r="B1718" i="2"/>
  <c r="A1718" i="2"/>
  <c r="F1717" i="2"/>
  <c r="E1717" i="2"/>
  <c r="D1717" i="2"/>
  <c r="C1717" i="2"/>
  <c r="B1717" i="2"/>
  <c r="A1717" i="2"/>
  <c r="F1716" i="2"/>
  <c r="E1716" i="2"/>
  <c r="D1716" i="2"/>
  <c r="C1716" i="2"/>
  <c r="B1716" i="2"/>
  <c r="A1716" i="2"/>
  <c r="F1715" i="2"/>
  <c r="E1715" i="2"/>
  <c r="D1715" i="2"/>
  <c r="C1715" i="2"/>
  <c r="B1715" i="2"/>
  <c r="A1715" i="2"/>
  <c r="F1714" i="2"/>
  <c r="E1714" i="2"/>
  <c r="D1714" i="2"/>
  <c r="C1714" i="2"/>
  <c r="B1714" i="2"/>
  <c r="A1714" i="2"/>
  <c r="F1712" i="2"/>
  <c r="E1712" i="2"/>
  <c r="D1712" i="2"/>
  <c r="C1712" i="2"/>
  <c r="B1712" i="2"/>
  <c r="A1712" i="2"/>
  <c r="F1711" i="2"/>
  <c r="E1711" i="2"/>
  <c r="D1711" i="2"/>
  <c r="C1711" i="2"/>
  <c r="B1711" i="2"/>
  <c r="A1711" i="2"/>
  <c r="F1710" i="2"/>
  <c r="E1710" i="2"/>
  <c r="D1710" i="2"/>
  <c r="C1710" i="2"/>
  <c r="B1710" i="2"/>
  <c r="A1710" i="2"/>
  <c r="F1709" i="2"/>
  <c r="E1709" i="2"/>
  <c r="D1709" i="2"/>
  <c r="C1709" i="2"/>
  <c r="B1709" i="2"/>
  <c r="A1709" i="2"/>
  <c r="F1708" i="2"/>
  <c r="E1708" i="2"/>
  <c r="D1708" i="2"/>
  <c r="C1708" i="2"/>
  <c r="B1708" i="2"/>
  <c r="A1708" i="2"/>
  <c r="F1707" i="2"/>
  <c r="E1707" i="2"/>
  <c r="D1707" i="2"/>
  <c r="C1707" i="2"/>
  <c r="B1707" i="2"/>
  <c r="A1707" i="2"/>
  <c r="F1706" i="2"/>
  <c r="E1706" i="2"/>
  <c r="D1706" i="2"/>
  <c r="C1706" i="2"/>
  <c r="B1706" i="2"/>
  <c r="A1706" i="2"/>
  <c r="F1705" i="2"/>
  <c r="E1705" i="2"/>
  <c r="D1705" i="2"/>
  <c r="C1705" i="2"/>
  <c r="B1705" i="2"/>
  <c r="A1705" i="2"/>
  <c r="F1704" i="2"/>
  <c r="E1704" i="2"/>
  <c r="D1704" i="2"/>
  <c r="C1704" i="2"/>
  <c r="B1704" i="2"/>
  <c r="A1704" i="2"/>
  <c r="F1703" i="2"/>
  <c r="E1703" i="2"/>
  <c r="D1703" i="2"/>
  <c r="C1703" i="2"/>
  <c r="B1703" i="2"/>
  <c r="A1703" i="2"/>
  <c r="F1702" i="2"/>
  <c r="E1702" i="2"/>
  <c r="D1702" i="2"/>
  <c r="C1702" i="2"/>
  <c r="B1702" i="2"/>
  <c r="A1702" i="2"/>
  <c r="F1701" i="2"/>
  <c r="E1701" i="2"/>
  <c r="D1701" i="2"/>
  <c r="C1701" i="2"/>
  <c r="B1701" i="2"/>
  <c r="A1701" i="2"/>
  <c r="F1700" i="2"/>
  <c r="E1700" i="2"/>
  <c r="D1700" i="2"/>
  <c r="C1700" i="2"/>
  <c r="B1700" i="2"/>
  <c r="A1700" i="2"/>
  <c r="F1699" i="2"/>
  <c r="E1699" i="2"/>
  <c r="D1699" i="2"/>
  <c r="C1699" i="2"/>
  <c r="B1699" i="2"/>
  <c r="A1699" i="2"/>
  <c r="F1698" i="2"/>
  <c r="E1698" i="2"/>
  <c r="D1698" i="2"/>
  <c r="C1698" i="2"/>
  <c r="B1698" i="2"/>
  <c r="A1698" i="2"/>
  <c r="F1697" i="2"/>
  <c r="E1697" i="2"/>
  <c r="D1697" i="2"/>
  <c r="C1697" i="2"/>
  <c r="B1697" i="2"/>
  <c r="A1697" i="2"/>
  <c r="F1696" i="2"/>
  <c r="E1696" i="2"/>
  <c r="D1696" i="2"/>
  <c r="C1696" i="2"/>
  <c r="B1696" i="2"/>
  <c r="A1696" i="2"/>
  <c r="F1695" i="2"/>
  <c r="E1695" i="2"/>
  <c r="D1695" i="2"/>
  <c r="C1695" i="2"/>
  <c r="B1695" i="2"/>
  <c r="A1695" i="2"/>
  <c r="F1694" i="2"/>
  <c r="E1694" i="2"/>
  <c r="D1694" i="2"/>
  <c r="C1694" i="2"/>
  <c r="B1694" i="2"/>
  <c r="A1694" i="2"/>
  <c r="F1693" i="2"/>
  <c r="E1693" i="2"/>
  <c r="D1693" i="2"/>
  <c r="C1693" i="2"/>
  <c r="B1693" i="2"/>
  <c r="A1693" i="2"/>
  <c r="F1692" i="2"/>
  <c r="E1692" i="2"/>
  <c r="D1692" i="2"/>
  <c r="C1692" i="2"/>
  <c r="B1692" i="2"/>
  <c r="A1692" i="2"/>
  <c r="F1691" i="2"/>
  <c r="E1691" i="2"/>
  <c r="D1691" i="2"/>
  <c r="C1691" i="2"/>
  <c r="B1691" i="2"/>
  <c r="A1691" i="2"/>
  <c r="F1690" i="2"/>
  <c r="E1690" i="2"/>
  <c r="D1690" i="2"/>
  <c r="C1690" i="2"/>
  <c r="B1690" i="2"/>
  <c r="A1690" i="2"/>
  <c r="F1689" i="2"/>
  <c r="E1689" i="2"/>
  <c r="D1689" i="2"/>
  <c r="C1689" i="2"/>
  <c r="B1689" i="2"/>
  <c r="A1689" i="2"/>
  <c r="F1688" i="2"/>
  <c r="E1688" i="2"/>
  <c r="D1688" i="2"/>
  <c r="C1688" i="2"/>
  <c r="B1688" i="2"/>
  <c r="A1688" i="2"/>
  <c r="F1687" i="2"/>
  <c r="E1687" i="2"/>
  <c r="D1687" i="2"/>
  <c r="C1687" i="2"/>
  <c r="B1687" i="2"/>
  <c r="A1687" i="2"/>
  <c r="F1686" i="2"/>
  <c r="E1686" i="2"/>
  <c r="D1686" i="2"/>
  <c r="C1686" i="2"/>
  <c r="B1686" i="2"/>
  <c r="A1686" i="2"/>
  <c r="F1685" i="2"/>
  <c r="E1685" i="2"/>
  <c r="D1685" i="2"/>
  <c r="C1685" i="2"/>
  <c r="B1685" i="2"/>
  <c r="A1685" i="2"/>
  <c r="F1684" i="2"/>
  <c r="E1684" i="2"/>
  <c r="D1684" i="2"/>
  <c r="C1684" i="2"/>
  <c r="B1684" i="2"/>
  <c r="A1684" i="2"/>
  <c r="F1683" i="2"/>
  <c r="E1683" i="2"/>
  <c r="D1683" i="2"/>
  <c r="C1683" i="2"/>
  <c r="B1683" i="2"/>
  <c r="A1683" i="2"/>
  <c r="F1682" i="2"/>
  <c r="E1682" i="2"/>
  <c r="D1682" i="2"/>
  <c r="C1682" i="2"/>
  <c r="B1682" i="2"/>
  <c r="A1682" i="2"/>
  <c r="F1681" i="2"/>
  <c r="E1681" i="2"/>
  <c r="D1681" i="2"/>
  <c r="C1681" i="2"/>
  <c r="B1681" i="2"/>
  <c r="A1681" i="2"/>
  <c r="F1680" i="2"/>
  <c r="E1680" i="2"/>
  <c r="D1680" i="2"/>
  <c r="C1680" i="2"/>
  <c r="B1680" i="2"/>
  <c r="A1680" i="2"/>
  <c r="F1679" i="2"/>
  <c r="E1679" i="2"/>
  <c r="D1679" i="2"/>
  <c r="C1679" i="2"/>
  <c r="B1679" i="2"/>
  <c r="A1679" i="2"/>
  <c r="F1678" i="2"/>
  <c r="E1678" i="2"/>
  <c r="D1678" i="2"/>
  <c r="C1678" i="2"/>
  <c r="B1678" i="2"/>
  <c r="A1678" i="2"/>
  <c r="F1677" i="2"/>
  <c r="E1677" i="2"/>
  <c r="D1677" i="2"/>
  <c r="C1677" i="2"/>
  <c r="B1677" i="2"/>
  <c r="A1677" i="2"/>
  <c r="F1676" i="2"/>
  <c r="E1676" i="2"/>
  <c r="D1676" i="2"/>
  <c r="C1676" i="2"/>
  <c r="B1676" i="2"/>
  <c r="A1676" i="2"/>
  <c r="F1675" i="2"/>
  <c r="E1675" i="2"/>
  <c r="D1675" i="2"/>
  <c r="C1675" i="2"/>
  <c r="B1675" i="2"/>
  <c r="A1675" i="2"/>
  <c r="F1674" i="2"/>
  <c r="E1674" i="2"/>
  <c r="D1674" i="2"/>
  <c r="C1674" i="2"/>
  <c r="B1674" i="2"/>
  <c r="A1674" i="2"/>
  <c r="F1673" i="2"/>
  <c r="E1673" i="2"/>
  <c r="D1673" i="2"/>
  <c r="C1673" i="2"/>
  <c r="B1673" i="2"/>
  <c r="A1673" i="2"/>
  <c r="F1672" i="2"/>
  <c r="E1672" i="2"/>
  <c r="D1672" i="2"/>
  <c r="C1672" i="2"/>
  <c r="B1672" i="2"/>
  <c r="A1672" i="2"/>
  <c r="F1671" i="2"/>
  <c r="E1671" i="2"/>
  <c r="D1671" i="2"/>
  <c r="C1671" i="2"/>
  <c r="B1671" i="2"/>
  <c r="A1671" i="2"/>
  <c r="F1670" i="2"/>
  <c r="E1670" i="2"/>
  <c r="D1670" i="2"/>
  <c r="C1670" i="2"/>
  <c r="B1670" i="2"/>
  <c r="A1670" i="2"/>
  <c r="F1669" i="2"/>
  <c r="E1669" i="2"/>
  <c r="D1669" i="2"/>
  <c r="C1669" i="2"/>
  <c r="B1669" i="2"/>
  <c r="A1669" i="2"/>
  <c r="F1668" i="2"/>
  <c r="E1668" i="2"/>
  <c r="D1668" i="2"/>
  <c r="C1668" i="2"/>
  <c r="B1668" i="2"/>
  <c r="A1668" i="2"/>
  <c r="F1667" i="2"/>
  <c r="E1667" i="2"/>
  <c r="D1667" i="2"/>
  <c r="C1667" i="2"/>
  <c r="B1667" i="2"/>
  <c r="A1667" i="2"/>
  <c r="F1666" i="2"/>
  <c r="E1666" i="2"/>
  <c r="D1666" i="2"/>
  <c r="C1666" i="2"/>
  <c r="B1666" i="2"/>
  <c r="A1666" i="2"/>
  <c r="F1665" i="2"/>
  <c r="E1665" i="2"/>
  <c r="D1665" i="2"/>
  <c r="C1665" i="2"/>
  <c r="B1665" i="2"/>
  <c r="A1665" i="2"/>
  <c r="F1664" i="2"/>
  <c r="E1664" i="2"/>
  <c r="D1664" i="2"/>
  <c r="C1664" i="2"/>
  <c r="B1664" i="2"/>
  <c r="A1664" i="2"/>
  <c r="F1663" i="2"/>
  <c r="E1663" i="2"/>
  <c r="D1663" i="2"/>
  <c r="C1663" i="2"/>
  <c r="B1663" i="2"/>
  <c r="A1663" i="2"/>
  <c r="F1662" i="2"/>
  <c r="E1662" i="2"/>
  <c r="D1662" i="2"/>
  <c r="C1662" i="2"/>
  <c r="B1662" i="2"/>
  <c r="A1662" i="2"/>
  <c r="F1661" i="2"/>
  <c r="E1661" i="2"/>
  <c r="D1661" i="2"/>
  <c r="C1661" i="2"/>
  <c r="B1661" i="2"/>
  <c r="A1661" i="2"/>
  <c r="F1660" i="2"/>
  <c r="E1660" i="2"/>
  <c r="D1660" i="2"/>
  <c r="C1660" i="2"/>
  <c r="B1660" i="2"/>
  <c r="A1660" i="2"/>
  <c r="F1659" i="2"/>
  <c r="E1659" i="2"/>
  <c r="D1659" i="2"/>
  <c r="C1659" i="2"/>
  <c r="B1659" i="2"/>
  <c r="A1659" i="2"/>
  <c r="F1658" i="2"/>
  <c r="E1658" i="2"/>
  <c r="D1658" i="2"/>
  <c r="C1658" i="2"/>
  <c r="B1658" i="2"/>
  <c r="A1658" i="2"/>
  <c r="F1657" i="2"/>
  <c r="E1657" i="2"/>
  <c r="D1657" i="2"/>
  <c r="C1657" i="2"/>
  <c r="B1657" i="2"/>
  <c r="A1657" i="2"/>
  <c r="F1656" i="2"/>
  <c r="E1656" i="2"/>
  <c r="D1656" i="2"/>
  <c r="C1656" i="2"/>
  <c r="B1656" i="2"/>
  <c r="A1656" i="2"/>
  <c r="F1655" i="2"/>
  <c r="E1655" i="2"/>
  <c r="D1655" i="2"/>
  <c r="C1655" i="2"/>
  <c r="B1655" i="2"/>
  <c r="A1655" i="2"/>
  <c r="F1654" i="2"/>
  <c r="E1654" i="2"/>
  <c r="D1654" i="2"/>
  <c r="C1654" i="2"/>
  <c r="B1654" i="2"/>
  <c r="A1654" i="2"/>
  <c r="F1653" i="2"/>
  <c r="E1653" i="2"/>
  <c r="D1653" i="2"/>
  <c r="C1653" i="2"/>
  <c r="B1653" i="2"/>
  <c r="A1653" i="2"/>
  <c r="F1652" i="2"/>
  <c r="E1652" i="2"/>
  <c r="D1652" i="2"/>
  <c r="C1652" i="2"/>
  <c r="B1652" i="2"/>
  <c r="A1652" i="2"/>
  <c r="F1651" i="2"/>
  <c r="E1651" i="2"/>
  <c r="D1651" i="2"/>
  <c r="C1651" i="2"/>
  <c r="B1651" i="2"/>
  <c r="A1651" i="2"/>
  <c r="F1650" i="2"/>
  <c r="E1650" i="2"/>
  <c r="D1650" i="2"/>
  <c r="C1650" i="2"/>
  <c r="B1650" i="2"/>
  <c r="A1650" i="2"/>
  <c r="F1649" i="2"/>
  <c r="E1649" i="2"/>
  <c r="D1649" i="2"/>
  <c r="C1649" i="2"/>
  <c r="B1649" i="2"/>
  <c r="A1649" i="2"/>
  <c r="F1648" i="2"/>
  <c r="E1648" i="2"/>
  <c r="D1648" i="2"/>
  <c r="C1648" i="2"/>
  <c r="B1648" i="2"/>
  <c r="A1648" i="2"/>
  <c r="F1647" i="2"/>
  <c r="E1647" i="2"/>
  <c r="D1647" i="2"/>
  <c r="C1647" i="2"/>
  <c r="B1647" i="2"/>
  <c r="A1647" i="2"/>
  <c r="F1646" i="2"/>
  <c r="E1646" i="2"/>
  <c r="D1646" i="2"/>
  <c r="C1646" i="2"/>
  <c r="B1646" i="2"/>
  <c r="A1646" i="2"/>
  <c r="F1645" i="2"/>
  <c r="E1645" i="2"/>
  <c r="D1645" i="2"/>
  <c r="C1645" i="2"/>
  <c r="B1645" i="2"/>
  <c r="A1645" i="2"/>
  <c r="F1644" i="2"/>
  <c r="E1644" i="2"/>
  <c r="D1644" i="2"/>
  <c r="C1644" i="2"/>
  <c r="B1644" i="2"/>
  <c r="A1644" i="2"/>
  <c r="F1643" i="2"/>
  <c r="E1643" i="2"/>
  <c r="D1643" i="2"/>
  <c r="C1643" i="2"/>
  <c r="B1643" i="2"/>
  <c r="A1643" i="2"/>
  <c r="F1642" i="2"/>
  <c r="E1642" i="2"/>
  <c r="D1642" i="2"/>
  <c r="C1642" i="2"/>
  <c r="B1642" i="2"/>
  <c r="A1642" i="2"/>
  <c r="F1641" i="2"/>
  <c r="E1641" i="2"/>
  <c r="D1641" i="2"/>
  <c r="C1641" i="2"/>
  <c r="B1641" i="2"/>
  <c r="A1641" i="2"/>
  <c r="F1640" i="2"/>
  <c r="E1640" i="2"/>
  <c r="D1640" i="2"/>
  <c r="C1640" i="2"/>
  <c r="B1640" i="2"/>
  <c r="A1640" i="2"/>
  <c r="F1639" i="2"/>
  <c r="E1639" i="2"/>
  <c r="D1639" i="2"/>
  <c r="C1639" i="2"/>
  <c r="B1639" i="2"/>
  <c r="A1639" i="2"/>
  <c r="F1638" i="2"/>
  <c r="E1638" i="2"/>
  <c r="D1638" i="2"/>
  <c r="C1638" i="2"/>
  <c r="B1638" i="2"/>
  <c r="A1638" i="2"/>
  <c r="F1637" i="2"/>
  <c r="E1637" i="2"/>
  <c r="D1637" i="2"/>
  <c r="C1637" i="2"/>
  <c r="B1637" i="2"/>
  <c r="A1637" i="2"/>
  <c r="F1636" i="2"/>
  <c r="E1636" i="2"/>
  <c r="D1636" i="2"/>
  <c r="C1636" i="2"/>
  <c r="B1636" i="2"/>
  <c r="A1636" i="2"/>
  <c r="F1635" i="2"/>
  <c r="E1635" i="2"/>
  <c r="D1635" i="2"/>
  <c r="C1635" i="2"/>
  <c r="B1635" i="2"/>
  <c r="A1635" i="2"/>
  <c r="F1634" i="2"/>
  <c r="E1634" i="2"/>
  <c r="D1634" i="2"/>
  <c r="C1634" i="2"/>
  <c r="B1634" i="2"/>
  <c r="A1634" i="2"/>
  <c r="F1633" i="2"/>
  <c r="E1633" i="2"/>
  <c r="D1633" i="2"/>
  <c r="C1633" i="2"/>
  <c r="B1633" i="2"/>
  <c r="A1633" i="2"/>
  <c r="F1632" i="2"/>
  <c r="E1632" i="2"/>
  <c r="D1632" i="2"/>
  <c r="C1632" i="2"/>
  <c r="B1632" i="2"/>
  <c r="A1632" i="2"/>
  <c r="F1631" i="2"/>
  <c r="E1631" i="2"/>
  <c r="D1631" i="2"/>
  <c r="C1631" i="2"/>
  <c r="B1631" i="2"/>
  <c r="A1631" i="2"/>
  <c r="F1630" i="2"/>
  <c r="E1630" i="2"/>
  <c r="D1630" i="2"/>
  <c r="C1630" i="2"/>
  <c r="B1630" i="2"/>
  <c r="A1630" i="2"/>
  <c r="F1629" i="2"/>
  <c r="E1629" i="2"/>
  <c r="D1629" i="2"/>
  <c r="C1629" i="2"/>
  <c r="B1629" i="2"/>
  <c r="A1629" i="2"/>
  <c r="F1628" i="2"/>
  <c r="E1628" i="2"/>
  <c r="D1628" i="2"/>
  <c r="C1628" i="2"/>
  <c r="B1628" i="2"/>
  <c r="A1628" i="2"/>
  <c r="F1627" i="2"/>
  <c r="E1627" i="2"/>
  <c r="D1627" i="2"/>
  <c r="C1627" i="2"/>
  <c r="B1627" i="2"/>
  <c r="A1627" i="2"/>
  <c r="F1626" i="2"/>
  <c r="E1626" i="2"/>
  <c r="D1626" i="2"/>
  <c r="C1626" i="2"/>
  <c r="B1626" i="2"/>
  <c r="A1626" i="2"/>
  <c r="F1625" i="2"/>
  <c r="E1625" i="2"/>
  <c r="D1625" i="2"/>
  <c r="C1625" i="2"/>
  <c r="B1625" i="2"/>
  <c r="A1625" i="2"/>
  <c r="F1624" i="2"/>
  <c r="E1624" i="2"/>
  <c r="D1624" i="2"/>
  <c r="C1624" i="2"/>
  <c r="B1624" i="2"/>
  <c r="A1624" i="2"/>
  <c r="F1623" i="2"/>
  <c r="E1623" i="2"/>
  <c r="D1623" i="2"/>
  <c r="C1623" i="2"/>
  <c r="B1623" i="2"/>
  <c r="A1623" i="2"/>
  <c r="F1622" i="2"/>
  <c r="E1622" i="2"/>
  <c r="D1622" i="2"/>
  <c r="C1622" i="2"/>
  <c r="B1622" i="2"/>
  <c r="A1622" i="2"/>
  <c r="F1621" i="2"/>
  <c r="E1621" i="2"/>
  <c r="D1621" i="2"/>
  <c r="C1621" i="2"/>
  <c r="B1621" i="2"/>
  <c r="A1621" i="2"/>
  <c r="F1620" i="2"/>
  <c r="E1620" i="2"/>
  <c r="D1620" i="2"/>
  <c r="C1620" i="2"/>
  <c r="B1620" i="2"/>
  <c r="A1620" i="2"/>
  <c r="F1619" i="2"/>
  <c r="E1619" i="2"/>
  <c r="D1619" i="2"/>
  <c r="C1619" i="2"/>
  <c r="B1619" i="2"/>
  <c r="A1619" i="2"/>
  <c r="F1618" i="2"/>
  <c r="E1618" i="2"/>
  <c r="D1618" i="2"/>
  <c r="C1618" i="2"/>
  <c r="B1618" i="2"/>
  <c r="A1618" i="2"/>
  <c r="F1617" i="2"/>
  <c r="E1617" i="2"/>
  <c r="D1617" i="2"/>
  <c r="C1617" i="2"/>
  <c r="B1617" i="2"/>
  <c r="A1617" i="2"/>
  <c r="F1616" i="2"/>
  <c r="E1616" i="2"/>
  <c r="D1616" i="2"/>
  <c r="C1616" i="2"/>
  <c r="B1616" i="2"/>
  <c r="A1616" i="2"/>
  <c r="F1615" i="2"/>
  <c r="E1615" i="2"/>
  <c r="D1615" i="2"/>
  <c r="C1615" i="2"/>
  <c r="B1615" i="2"/>
  <c r="A1615" i="2"/>
  <c r="F1614" i="2"/>
  <c r="E1614" i="2"/>
  <c r="D1614" i="2"/>
  <c r="C1614" i="2"/>
  <c r="B1614" i="2"/>
  <c r="A1614" i="2"/>
  <c r="F1613" i="2"/>
  <c r="E1613" i="2"/>
  <c r="D1613" i="2"/>
  <c r="C1613" i="2"/>
  <c r="B1613" i="2"/>
  <c r="A1613" i="2"/>
  <c r="F1612" i="2"/>
  <c r="E1612" i="2"/>
  <c r="D1612" i="2"/>
  <c r="C1612" i="2"/>
  <c r="B1612" i="2"/>
  <c r="A1612" i="2"/>
  <c r="F1611" i="2"/>
  <c r="E1611" i="2"/>
  <c r="D1611" i="2"/>
  <c r="C1611" i="2"/>
  <c r="B1611" i="2"/>
  <c r="A1611" i="2"/>
  <c r="F1610" i="2"/>
  <c r="E1610" i="2"/>
  <c r="D1610" i="2"/>
  <c r="C1610" i="2"/>
  <c r="B1610" i="2"/>
  <c r="A1610" i="2"/>
  <c r="F1609" i="2"/>
  <c r="E1609" i="2"/>
  <c r="D1609" i="2"/>
  <c r="C1609" i="2"/>
  <c r="B1609" i="2"/>
  <c r="A1609" i="2"/>
  <c r="F1608" i="2"/>
  <c r="E1608" i="2"/>
  <c r="D1608" i="2"/>
  <c r="C1608" i="2"/>
  <c r="B1608" i="2"/>
  <c r="A1608" i="2"/>
  <c r="F1607" i="2"/>
  <c r="E1607" i="2"/>
  <c r="D1607" i="2"/>
  <c r="C1607" i="2"/>
  <c r="B1607" i="2"/>
  <c r="A1607" i="2"/>
  <c r="F1606" i="2"/>
  <c r="E1606" i="2"/>
  <c r="D1606" i="2"/>
  <c r="C1606" i="2"/>
  <c r="B1606" i="2"/>
  <c r="A1606" i="2"/>
  <c r="F1605" i="2"/>
  <c r="E1605" i="2"/>
  <c r="D1605" i="2"/>
  <c r="C1605" i="2"/>
  <c r="B1605" i="2"/>
  <c r="A1605" i="2"/>
  <c r="F1604" i="2"/>
  <c r="E1604" i="2"/>
  <c r="D1604" i="2"/>
  <c r="C1604" i="2"/>
  <c r="B1604" i="2"/>
  <c r="A1604" i="2"/>
  <c r="F1603" i="2"/>
  <c r="E1603" i="2"/>
  <c r="D1603" i="2"/>
  <c r="C1603" i="2"/>
  <c r="B1603" i="2"/>
  <c r="A1603" i="2"/>
  <c r="F1602" i="2"/>
  <c r="E1602" i="2"/>
  <c r="D1602" i="2"/>
  <c r="C1602" i="2"/>
  <c r="B1602" i="2"/>
  <c r="A1602" i="2"/>
  <c r="F1601" i="2"/>
  <c r="E1601" i="2"/>
  <c r="D1601" i="2"/>
  <c r="C1601" i="2"/>
  <c r="B1601" i="2"/>
  <c r="A1601" i="2"/>
  <c r="F1600" i="2"/>
  <c r="E1600" i="2"/>
  <c r="D1600" i="2"/>
  <c r="C1600" i="2"/>
  <c r="B1600" i="2"/>
  <c r="A1600" i="2"/>
  <c r="F1599" i="2"/>
  <c r="E1599" i="2"/>
  <c r="D1599" i="2"/>
  <c r="C1599" i="2"/>
  <c r="B1599" i="2"/>
  <c r="A1599" i="2"/>
  <c r="F1598" i="2"/>
  <c r="E1598" i="2"/>
  <c r="D1598" i="2"/>
  <c r="C1598" i="2"/>
  <c r="B1598" i="2"/>
  <c r="A1598" i="2"/>
  <c r="F1597" i="2"/>
  <c r="E1597" i="2"/>
  <c r="D1597" i="2"/>
  <c r="C1597" i="2"/>
  <c r="B1597" i="2"/>
  <c r="A1597" i="2"/>
  <c r="F1596" i="2"/>
  <c r="E1596" i="2"/>
  <c r="D1596" i="2"/>
  <c r="C1596" i="2"/>
  <c r="B1596" i="2"/>
  <c r="A1596" i="2"/>
  <c r="F1595" i="2"/>
  <c r="E1595" i="2"/>
  <c r="D1595" i="2"/>
  <c r="C1595" i="2"/>
  <c r="B1595" i="2"/>
  <c r="A1595" i="2"/>
  <c r="F1594" i="2"/>
  <c r="E1594" i="2"/>
  <c r="D1594" i="2"/>
  <c r="C1594" i="2"/>
  <c r="B1594" i="2"/>
  <c r="A1594" i="2"/>
  <c r="F1593" i="2"/>
  <c r="E1593" i="2"/>
  <c r="D1593" i="2"/>
  <c r="C1593" i="2"/>
  <c r="B1593" i="2"/>
  <c r="A1593" i="2"/>
  <c r="F1592" i="2"/>
  <c r="E1592" i="2"/>
  <c r="D1592" i="2"/>
  <c r="C1592" i="2"/>
  <c r="B1592" i="2"/>
  <c r="A1592" i="2"/>
  <c r="F1591" i="2"/>
  <c r="E1591" i="2"/>
  <c r="D1591" i="2"/>
  <c r="C1591" i="2"/>
  <c r="B1591" i="2"/>
  <c r="A1591" i="2"/>
  <c r="F1590" i="2"/>
  <c r="E1590" i="2"/>
  <c r="D1590" i="2"/>
  <c r="C1590" i="2"/>
  <c r="B1590" i="2"/>
  <c r="A1590" i="2"/>
  <c r="F1589" i="2"/>
  <c r="E1589" i="2"/>
  <c r="D1589" i="2"/>
  <c r="C1589" i="2"/>
  <c r="B1589" i="2"/>
  <c r="A1589" i="2"/>
  <c r="F1588" i="2"/>
  <c r="E1588" i="2"/>
  <c r="D1588" i="2"/>
  <c r="C1588" i="2"/>
  <c r="B1588" i="2"/>
  <c r="A1588" i="2"/>
  <c r="F1587" i="2"/>
  <c r="E1587" i="2"/>
  <c r="D1587" i="2"/>
  <c r="C1587" i="2"/>
  <c r="B1587" i="2"/>
  <c r="A1587" i="2"/>
  <c r="F1586" i="2"/>
  <c r="E1586" i="2"/>
  <c r="D1586" i="2"/>
  <c r="C1586" i="2"/>
  <c r="B1586" i="2"/>
  <c r="A1586" i="2"/>
  <c r="F1585" i="2"/>
  <c r="E1585" i="2"/>
  <c r="D1585" i="2"/>
  <c r="C1585" i="2"/>
  <c r="B1585" i="2"/>
  <c r="A1585" i="2"/>
  <c r="F1584" i="2"/>
  <c r="E1584" i="2"/>
  <c r="D1584" i="2"/>
  <c r="C1584" i="2"/>
  <c r="B1584" i="2"/>
  <c r="A1584" i="2"/>
  <c r="F1583" i="2"/>
  <c r="E1583" i="2"/>
  <c r="D1583" i="2"/>
  <c r="C1583" i="2"/>
  <c r="B1583" i="2"/>
  <c r="A1583" i="2"/>
  <c r="F1582" i="2"/>
  <c r="E1582" i="2"/>
  <c r="D1582" i="2"/>
  <c r="C1582" i="2"/>
  <c r="B1582" i="2"/>
  <c r="A1582" i="2"/>
  <c r="F1581" i="2"/>
  <c r="E1581" i="2"/>
  <c r="D1581" i="2"/>
  <c r="C1581" i="2"/>
  <c r="B1581" i="2"/>
  <c r="A1581" i="2"/>
  <c r="F1580" i="2"/>
  <c r="E1580" i="2"/>
  <c r="D1580" i="2"/>
  <c r="C1580" i="2"/>
  <c r="B1580" i="2"/>
  <c r="A1580" i="2"/>
  <c r="F1579" i="2"/>
  <c r="E1579" i="2"/>
  <c r="D1579" i="2"/>
  <c r="C1579" i="2"/>
  <c r="B1579" i="2"/>
  <c r="A1579" i="2"/>
  <c r="F1578" i="2"/>
  <c r="E1578" i="2"/>
  <c r="D1578" i="2"/>
  <c r="C1578" i="2"/>
  <c r="B1578" i="2"/>
  <c r="A1578" i="2"/>
  <c r="F1577" i="2"/>
  <c r="E1577" i="2"/>
  <c r="D1577" i="2"/>
  <c r="C1577" i="2"/>
  <c r="B1577" i="2"/>
  <c r="A1577" i="2"/>
  <c r="F1576" i="2"/>
  <c r="E1576" i="2"/>
  <c r="D1576" i="2"/>
  <c r="C1576" i="2"/>
  <c r="B1576" i="2"/>
  <c r="A1576" i="2"/>
  <c r="F1575" i="2"/>
  <c r="E1575" i="2"/>
  <c r="D1575" i="2"/>
  <c r="C1575" i="2"/>
  <c r="B1575" i="2"/>
  <c r="A1575" i="2"/>
  <c r="F1574" i="2"/>
  <c r="E1574" i="2"/>
  <c r="D1574" i="2"/>
  <c r="C1574" i="2"/>
  <c r="B1574" i="2"/>
  <c r="A1574" i="2"/>
  <c r="F1573" i="2"/>
  <c r="E1573" i="2"/>
  <c r="D1573" i="2"/>
  <c r="C1573" i="2"/>
  <c r="B1573" i="2"/>
  <c r="A1573" i="2"/>
  <c r="F1572" i="2"/>
  <c r="E1572" i="2"/>
  <c r="D1572" i="2"/>
  <c r="C1572" i="2"/>
  <c r="B1572" i="2"/>
  <c r="A1572" i="2"/>
  <c r="F1570" i="2"/>
  <c r="E1570" i="2"/>
  <c r="D1570" i="2"/>
  <c r="C1570" i="2"/>
  <c r="B1570" i="2"/>
  <c r="A1570" i="2"/>
  <c r="F1569" i="2"/>
  <c r="E1569" i="2"/>
  <c r="D1569" i="2"/>
  <c r="C1569" i="2"/>
  <c r="B1569" i="2"/>
  <c r="A1569" i="2"/>
  <c r="F1568" i="2"/>
  <c r="E1568" i="2"/>
  <c r="D1568" i="2"/>
  <c r="C1568" i="2"/>
  <c r="B1568" i="2"/>
  <c r="A1568" i="2"/>
  <c r="F1567" i="2"/>
  <c r="E1567" i="2"/>
  <c r="D1567" i="2"/>
  <c r="C1567" i="2"/>
  <c r="B1567" i="2"/>
  <c r="A1567" i="2"/>
  <c r="F1566" i="2"/>
  <c r="E1566" i="2"/>
  <c r="D1566" i="2"/>
  <c r="C1566" i="2"/>
  <c r="B1566" i="2"/>
  <c r="A1566" i="2"/>
  <c r="F1565" i="2"/>
  <c r="E1565" i="2"/>
  <c r="D1565" i="2"/>
  <c r="C1565" i="2"/>
  <c r="B1565" i="2"/>
  <c r="A1565" i="2"/>
  <c r="F1564" i="2"/>
  <c r="E1564" i="2"/>
  <c r="D1564" i="2"/>
  <c r="C1564" i="2"/>
  <c r="B1564" i="2"/>
  <c r="A1564" i="2"/>
  <c r="F1563" i="2"/>
  <c r="E1563" i="2"/>
  <c r="D1563" i="2"/>
  <c r="C1563" i="2"/>
  <c r="B1563" i="2"/>
  <c r="A1563" i="2"/>
  <c r="F1562" i="2"/>
  <c r="E1562" i="2"/>
  <c r="D1562" i="2"/>
  <c r="C1562" i="2"/>
  <c r="B1562" i="2"/>
  <c r="A1562" i="2"/>
  <c r="F1561" i="2"/>
  <c r="E1561" i="2"/>
  <c r="D1561" i="2"/>
  <c r="C1561" i="2"/>
  <c r="B1561" i="2"/>
  <c r="A1561" i="2"/>
  <c r="F1560" i="2"/>
  <c r="E1560" i="2"/>
  <c r="D1560" i="2"/>
  <c r="C1560" i="2"/>
  <c r="B1560" i="2"/>
  <c r="A1560" i="2"/>
  <c r="F1559" i="2"/>
  <c r="E1559" i="2"/>
  <c r="D1559" i="2"/>
  <c r="C1559" i="2"/>
  <c r="B1559" i="2"/>
  <c r="A1559" i="2"/>
  <c r="F1558" i="2"/>
  <c r="E1558" i="2"/>
  <c r="D1558" i="2"/>
  <c r="C1558" i="2"/>
  <c r="B1558" i="2"/>
  <c r="A1558" i="2"/>
  <c r="F1557" i="2"/>
  <c r="E1557" i="2"/>
  <c r="D1557" i="2"/>
  <c r="C1557" i="2"/>
  <c r="B1557" i="2"/>
  <c r="A1557" i="2"/>
  <c r="F1556" i="2"/>
  <c r="E1556" i="2"/>
  <c r="D1556" i="2"/>
  <c r="C1556" i="2"/>
  <c r="B1556" i="2"/>
  <c r="A1556" i="2"/>
  <c r="F1555" i="2"/>
  <c r="E1555" i="2"/>
  <c r="D1555" i="2"/>
  <c r="C1555" i="2"/>
  <c r="B1555" i="2"/>
  <c r="A1555" i="2"/>
  <c r="F1554" i="2"/>
  <c r="E1554" i="2"/>
  <c r="D1554" i="2"/>
  <c r="C1554" i="2"/>
  <c r="B1554" i="2"/>
  <c r="A1554" i="2"/>
  <c r="F1553" i="2"/>
  <c r="E1553" i="2"/>
  <c r="D1553" i="2"/>
  <c r="C1553" i="2"/>
  <c r="B1553" i="2"/>
  <c r="A1553" i="2"/>
  <c r="F1552" i="2"/>
  <c r="E1552" i="2"/>
  <c r="D1552" i="2"/>
  <c r="C1552" i="2"/>
  <c r="B1552" i="2"/>
  <c r="A1552" i="2"/>
  <c r="F1551" i="2"/>
  <c r="E1551" i="2"/>
  <c r="D1551" i="2"/>
  <c r="C1551" i="2"/>
  <c r="B1551" i="2"/>
  <c r="A1551" i="2"/>
  <c r="F1550" i="2"/>
  <c r="E1550" i="2"/>
  <c r="D1550" i="2"/>
  <c r="C1550" i="2"/>
  <c r="B1550" i="2"/>
  <c r="A1550" i="2"/>
  <c r="F1549" i="2"/>
  <c r="E1549" i="2"/>
  <c r="D1549" i="2"/>
  <c r="C1549" i="2"/>
  <c r="B1549" i="2"/>
  <c r="A1549" i="2"/>
  <c r="F1548" i="2"/>
  <c r="E1548" i="2"/>
  <c r="D1548" i="2"/>
  <c r="C1548" i="2"/>
  <c r="B1548" i="2"/>
  <c r="A1548" i="2"/>
  <c r="F1547" i="2"/>
  <c r="E1547" i="2"/>
  <c r="D1547" i="2"/>
  <c r="C1547" i="2"/>
  <c r="B1547" i="2"/>
  <c r="A1547" i="2"/>
  <c r="F1546" i="2"/>
  <c r="E1546" i="2"/>
  <c r="D1546" i="2"/>
  <c r="C1546" i="2"/>
  <c r="B1546" i="2"/>
  <c r="A1546" i="2"/>
  <c r="F1545" i="2"/>
  <c r="E1545" i="2"/>
  <c r="D1545" i="2"/>
  <c r="C1545" i="2"/>
  <c r="B1545" i="2"/>
  <c r="A1545" i="2"/>
  <c r="F1544" i="2"/>
  <c r="E1544" i="2"/>
  <c r="D1544" i="2"/>
  <c r="C1544" i="2"/>
  <c r="B1544" i="2"/>
  <c r="A1544" i="2"/>
  <c r="F1543" i="2"/>
  <c r="E1543" i="2"/>
  <c r="D1543" i="2"/>
  <c r="C1543" i="2"/>
  <c r="B1543" i="2"/>
  <c r="A1543" i="2"/>
  <c r="F1542" i="2"/>
  <c r="E1542" i="2"/>
  <c r="D1542" i="2"/>
  <c r="C1542" i="2"/>
  <c r="B1542" i="2"/>
  <c r="A1542" i="2"/>
  <c r="F1541" i="2"/>
  <c r="E1541" i="2"/>
  <c r="D1541" i="2"/>
  <c r="C1541" i="2"/>
  <c r="B1541" i="2"/>
  <c r="A1541" i="2"/>
  <c r="F1540" i="2"/>
  <c r="E1540" i="2"/>
  <c r="D1540" i="2"/>
  <c r="C1540" i="2"/>
  <c r="B1540" i="2"/>
  <c r="A1540" i="2"/>
  <c r="F1539" i="2"/>
  <c r="E1539" i="2"/>
  <c r="D1539" i="2"/>
  <c r="C1539" i="2"/>
  <c r="B1539" i="2"/>
  <c r="A1539" i="2"/>
  <c r="F1538" i="2"/>
  <c r="E1538" i="2"/>
  <c r="D1538" i="2"/>
  <c r="C1538" i="2"/>
  <c r="B1538" i="2"/>
  <c r="A1538" i="2"/>
  <c r="F1537" i="2"/>
  <c r="E1537" i="2"/>
  <c r="D1537" i="2"/>
  <c r="C1537" i="2"/>
  <c r="B1537" i="2"/>
  <c r="A1537" i="2"/>
  <c r="F1536" i="2"/>
  <c r="E1536" i="2"/>
  <c r="D1536" i="2"/>
  <c r="C1536" i="2"/>
  <c r="B1536" i="2"/>
  <c r="A1536" i="2"/>
  <c r="F1535" i="2"/>
  <c r="E1535" i="2"/>
  <c r="D1535" i="2"/>
  <c r="C1535" i="2"/>
  <c r="B1535" i="2"/>
  <c r="A1535" i="2"/>
  <c r="F1534" i="2"/>
  <c r="E1534" i="2"/>
  <c r="D1534" i="2"/>
  <c r="C1534" i="2"/>
  <c r="B1534" i="2"/>
  <c r="A1534" i="2"/>
  <c r="F1533" i="2"/>
  <c r="E1533" i="2"/>
  <c r="D1533" i="2"/>
  <c r="C1533" i="2"/>
  <c r="B1533" i="2"/>
  <c r="A1533" i="2"/>
  <c r="F1532" i="2"/>
  <c r="E1532" i="2"/>
  <c r="D1532" i="2"/>
  <c r="C1532" i="2"/>
  <c r="B1532" i="2"/>
  <c r="A1532" i="2"/>
  <c r="F1531" i="2"/>
  <c r="E1531" i="2"/>
  <c r="D1531" i="2"/>
  <c r="C1531" i="2"/>
  <c r="B1531" i="2"/>
  <c r="A1531" i="2"/>
  <c r="F1530" i="2"/>
  <c r="E1530" i="2"/>
  <c r="D1530" i="2"/>
  <c r="C1530" i="2"/>
  <c r="B1530" i="2"/>
  <c r="A1530" i="2"/>
  <c r="F1529" i="2"/>
  <c r="E1529" i="2"/>
  <c r="D1529" i="2"/>
  <c r="C1529" i="2"/>
  <c r="B1529" i="2"/>
  <c r="A1529" i="2"/>
  <c r="F1528" i="2"/>
  <c r="E1528" i="2"/>
  <c r="D1528" i="2"/>
  <c r="C1528" i="2"/>
  <c r="B1528" i="2"/>
  <c r="A1528" i="2"/>
  <c r="F1527" i="2"/>
  <c r="E1527" i="2"/>
  <c r="D1527" i="2"/>
  <c r="C1527" i="2"/>
  <c r="B1527" i="2"/>
  <c r="A1527" i="2"/>
  <c r="F1526" i="2"/>
  <c r="E1526" i="2"/>
  <c r="D1526" i="2"/>
  <c r="C1526" i="2"/>
  <c r="B1526" i="2"/>
  <c r="A1526" i="2"/>
  <c r="F1525" i="2"/>
  <c r="E1525" i="2"/>
  <c r="D1525" i="2"/>
  <c r="C1525" i="2"/>
  <c r="B1525" i="2"/>
  <c r="A1525" i="2"/>
  <c r="F1524" i="2"/>
  <c r="E1524" i="2"/>
  <c r="D1524" i="2"/>
  <c r="C1524" i="2"/>
  <c r="B1524" i="2"/>
  <c r="A1524" i="2"/>
  <c r="F1523" i="2"/>
  <c r="E1523" i="2"/>
  <c r="D1523" i="2"/>
  <c r="C1523" i="2"/>
  <c r="B1523" i="2"/>
  <c r="A1523" i="2"/>
  <c r="F1522" i="2"/>
  <c r="E1522" i="2"/>
  <c r="D1522" i="2"/>
  <c r="C1522" i="2"/>
  <c r="B1522" i="2"/>
  <c r="A1522" i="2"/>
  <c r="F1521" i="2"/>
  <c r="E1521" i="2"/>
  <c r="D1521" i="2"/>
  <c r="C1521" i="2"/>
  <c r="B1521" i="2"/>
  <c r="A1521" i="2"/>
  <c r="F1520" i="2"/>
  <c r="E1520" i="2"/>
  <c r="D1520" i="2"/>
  <c r="C1520" i="2"/>
  <c r="B1520" i="2"/>
  <c r="A1520" i="2"/>
  <c r="F1519" i="2"/>
  <c r="E1519" i="2"/>
  <c r="D1519" i="2"/>
  <c r="C1519" i="2"/>
  <c r="B1519" i="2"/>
  <c r="A1519" i="2"/>
  <c r="F1518" i="2"/>
  <c r="E1518" i="2"/>
  <c r="D1518" i="2"/>
  <c r="C1518" i="2"/>
  <c r="B1518" i="2"/>
  <c r="A1518" i="2"/>
  <c r="F1517" i="2"/>
  <c r="E1517" i="2"/>
  <c r="D1517" i="2"/>
  <c r="C1517" i="2"/>
  <c r="B1517" i="2"/>
  <c r="A1517" i="2"/>
  <c r="F1516" i="2"/>
  <c r="E1516" i="2"/>
  <c r="D1516" i="2"/>
  <c r="C1516" i="2"/>
  <c r="B1516" i="2"/>
  <c r="A1516" i="2"/>
  <c r="F1515" i="2"/>
  <c r="E1515" i="2"/>
  <c r="D1515" i="2"/>
  <c r="C1515" i="2"/>
  <c r="B1515" i="2"/>
  <c r="A1515" i="2"/>
  <c r="F1514" i="2"/>
  <c r="E1514" i="2"/>
  <c r="D1514" i="2"/>
  <c r="C1514" i="2"/>
  <c r="B1514" i="2"/>
  <c r="A1514" i="2"/>
  <c r="F1513" i="2"/>
  <c r="E1513" i="2"/>
  <c r="D1513" i="2"/>
  <c r="C1513" i="2"/>
  <c r="B1513" i="2"/>
  <c r="A1513" i="2"/>
  <c r="F1512" i="2"/>
  <c r="E1512" i="2"/>
  <c r="D1512" i="2"/>
  <c r="C1512" i="2"/>
  <c r="B1512" i="2"/>
  <c r="A1512" i="2"/>
  <c r="F1511" i="2"/>
  <c r="E1511" i="2"/>
  <c r="D1511" i="2"/>
  <c r="C1511" i="2"/>
  <c r="B1511" i="2"/>
  <c r="A1511" i="2"/>
  <c r="F1510" i="2"/>
  <c r="E1510" i="2"/>
  <c r="D1510" i="2"/>
  <c r="C1510" i="2"/>
  <c r="B1510" i="2"/>
  <c r="A1510" i="2"/>
  <c r="F1509" i="2"/>
  <c r="E1509" i="2"/>
  <c r="D1509" i="2"/>
  <c r="C1509" i="2"/>
  <c r="B1509" i="2"/>
  <c r="A1509" i="2"/>
  <c r="F1508" i="2"/>
  <c r="E1508" i="2"/>
  <c r="D1508" i="2"/>
  <c r="C1508" i="2"/>
  <c r="B1508" i="2"/>
  <c r="A1508" i="2"/>
  <c r="F1507" i="2"/>
  <c r="E1507" i="2"/>
  <c r="D1507" i="2"/>
  <c r="C1507" i="2"/>
  <c r="B1507" i="2"/>
  <c r="A1507" i="2"/>
  <c r="F1506" i="2"/>
  <c r="E1506" i="2"/>
  <c r="D1506" i="2"/>
  <c r="C1506" i="2"/>
  <c r="B1506" i="2"/>
  <c r="A1506" i="2"/>
  <c r="F1505" i="2"/>
  <c r="E1505" i="2"/>
  <c r="D1505" i="2"/>
  <c r="C1505" i="2"/>
  <c r="B1505" i="2"/>
  <c r="A1505" i="2"/>
  <c r="F1504" i="2"/>
  <c r="E1504" i="2"/>
  <c r="D1504" i="2"/>
  <c r="C1504" i="2"/>
  <c r="B1504" i="2"/>
  <c r="A1504" i="2"/>
  <c r="F1503" i="2"/>
  <c r="E1503" i="2"/>
  <c r="D1503" i="2"/>
  <c r="C1503" i="2"/>
  <c r="B1503" i="2"/>
  <c r="A1503" i="2"/>
  <c r="F1502" i="2"/>
  <c r="E1502" i="2"/>
  <c r="D1502" i="2"/>
  <c r="C1502" i="2"/>
  <c r="B1502" i="2"/>
  <c r="A1502" i="2"/>
  <c r="F1501" i="2"/>
  <c r="E1501" i="2"/>
  <c r="D1501" i="2"/>
  <c r="C1501" i="2"/>
  <c r="B1501" i="2"/>
  <c r="A1501" i="2"/>
  <c r="F1500" i="2"/>
  <c r="E1500" i="2"/>
  <c r="D1500" i="2"/>
  <c r="C1500" i="2"/>
  <c r="B1500" i="2"/>
  <c r="A1500" i="2"/>
  <c r="F1499" i="2"/>
  <c r="E1499" i="2"/>
  <c r="D1499" i="2"/>
  <c r="C1499" i="2"/>
  <c r="B1499" i="2"/>
  <c r="A1499" i="2"/>
  <c r="F1498" i="2"/>
  <c r="E1498" i="2"/>
  <c r="D1498" i="2"/>
  <c r="C1498" i="2"/>
  <c r="B1498" i="2"/>
  <c r="A1498" i="2"/>
  <c r="F1497" i="2"/>
  <c r="E1497" i="2"/>
  <c r="D1497" i="2"/>
  <c r="C1497" i="2"/>
  <c r="B1497" i="2"/>
  <c r="A1497" i="2"/>
  <c r="F1496" i="2"/>
  <c r="E1496" i="2"/>
  <c r="D1496" i="2"/>
  <c r="C1496" i="2"/>
  <c r="B1496" i="2"/>
  <c r="A1496" i="2"/>
  <c r="F1495" i="2"/>
  <c r="E1495" i="2"/>
  <c r="D1495" i="2"/>
  <c r="C1495" i="2"/>
  <c r="B1495" i="2"/>
  <c r="A1495" i="2"/>
  <c r="F1494" i="2"/>
  <c r="E1494" i="2"/>
  <c r="D1494" i="2"/>
  <c r="C1494" i="2"/>
  <c r="B1494" i="2"/>
  <c r="A1494" i="2"/>
  <c r="F1493" i="2"/>
  <c r="E1493" i="2"/>
  <c r="D1493" i="2"/>
  <c r="C1493" i="2"/>
  <c r="B1493" i="2"/>
  <c r="A1493" i="2"/>
  <c r="F1491" i="2"/>
  <c r="E1491" i="2"/>
  <c r="D1491" i="2"/>
  <c r="C1491" i="2"/>
  <c r="B1491" i="2"/>
  <c r="A1491" i="2"/>
  <c r="F1490" i="2"/>
  <c r="E1490" i="2"/>
  <c r="D1490" i="2"/>
  <c r="C1490" i="2"/>
  <c r="B1490" i="2"/>
  <c r="A1490" i="2"/>
  <c r="F1489" i="2"/>
  <c r="E1489" i="2"/>
  <c r="D1489" i="2"/>
  <c r="C1489" i="2"/>
  <c r="B1489" i="2"/>
  <c r="A1489" i="2"/>
  <c r="F1488" i="2"/>
  <c r="E1488" i="2"/>
  <c r="D1488" i="2"/>
  <c r="C1488" i="2"/>
  <c r="B1488" i="2"/>
  <c r="A1488" i="2"/>
  <c r="F1487" i="2"/>
  <c r="E1487" i="2"/>
  <c r="D1487" i="2"/>
  <c r="C1487" i="2"/>
  <c r="B1487" i="2"/>
  <c r="A1487" i="2"/>
  <c r="F1486" i="2"/>
  <c r="E1486" i="2"/>
  <c r="D1486" i="2"/>
  <c r="C1486" i="2"/>
  <c r="B1486" i="2"/>
  <c r="A1486" i="2"/>
  <c r="F1485" i="2"/>
  <c r="E1485" i="2"/>
  <c r="D1485" i="2"/>
  <c r="C1485" i="2"/>
  <c r="B1485" i="2"/>
  <c r="A1485" i="2"/>
  <c r="F1484" i="2"/>
  <c r="E1484" i="2"/>
  <c r="D1484" i="2"/>
  <c r="C1484" i="2"/>
  <c r="B1484" i="2"/>
  <c r="A1484" i="2"/>
  <c r="F1483" i="2"/>
  <c r="E1483" i="2"/>
  <c r="D1483" i="2"/>
  <c r="C1483" i="2"/>
  <c r="B1483" i="2"/>
  <c r="A1483" i="2"/>
  <c r="F1482" i="2"/>
  <c r="E1482" i="2"/>
  <c r="D1482" i="2"/>
  <c r="C1482" i="2"/>
  <c r="B1482" i="2"/>
  <c r="A1482" i="2"/>
  <c r="F1481" i="2"/>
  <c r="E1481" i="2"/>
  <c r="D1481" i="2"/>
  <c r="C1481" i="2"/>
  <c r="B1481" i="2"/>
  <c r="A1481" i="2"/>
  <c r="F1480" i="2"/>
  <c r="E1480" i="2"/>
  <c r="D1480" i="2"/>
  <c r="C1480" i="2"/>
  <c r="B1480" i="2"/>
  <c r="A1480" i="2"/>
  <c r="F1479" i="2"/>
  <c r="E1479" i="2"/>
  <c r="D1479" i="2"/>
  <c r="C1479" i="2"/>
  <c r="B1479" i="2"/>
  <c r="A1479" i="2"/>
  <c r="F1478" i="2"/>
  <c r="E1478" i="2"/>
  <c r="D1478" i="2"/>
  <c r="C1478" i="2"/>
  <c r="B1478" i="2"/>
  <c r="A1478" i="2"/>
  <c r="F1477" i="2"/>
  <c r="E1477" i="2"/>
  <c r="D1477" i="2"/>
  <c r="C1477" i="2"/>
  <c r="B1477" i="2"/>
  <c r="A1477" i="2"/>
  <c r="F1476" i="2"/>
  <c r="E1476" i="2"/>
  <c r="D1476" i="2"/>
  <c r="C1476" i="2"/>
  <c r="B1476" i="2"/>
  <c r="A1476" i="2"/>
  <c r="F1475" i="2"/>
  <c r="E1475" i="2"/>
  <c r="D1475" i="2"/>
  <c r="C1475" i="2"/>
  <c r="B1475" i="2"/>
  <c r="A1475" i="2"/>
  <c r="F1474" i="2"/>
  <c r="E1474" i="2"/>
  <c r="D1474" i="2"/>
  <c r="C1474" i="2"/>
  <c r="B1474" i="2"/>
  <c r="A1474" i="2"/>
  <c r="F1473" i="2"/>
  <c r="E1473" i="2"/>
  <c r="D1473" i="2"/>
  <c r="C1473" i="2"/>
  <c r="B1473" i="2"/>
  <c r="A1473" i="2"/>
  <c r="F1472" i="2"/>
  <c r="E1472" i="2"/>
  <c r="D1472" i="2"/>
  <c r="C1472" i="2"/>
  <c r="B1472" i="2"/>
  <c r="A1472" i="2"/>
  <c r="F1471" i="2"/>
  <c r="E1471" i="2"/>
  <c r="D1471" i="2"/>
  <c r="C1471" i="2"/>
  <c r="B1471" i="2"/>
  <c r="A1471" i="2"/>
  <c r="F1470" i="2"/>
  <c r="E1470" i="2"/>
  <c r="D1470" i="2"/>
  <c r="C1470" i="2"/>
  <c r="B1470" i="2"/>
  <c r="A1470" i="2"/>
  <c r="F1469" i="2"/>
  <c r="E1469" i="2"/>
  <c r="D1469" i="2"/>
  <c r="C1469" i="2"/>
  <c r="B1469" i="2"/>
  <c r="A1469" i="2"/>
  <c r="F1468" i="2"/>
  <c r="E1468" i="2"/>
  <c r="D1468" i="2"/>
  <c r="C1468" i="2"/>
  <c r="B1468" i="2"/>
  <c r="A1468" i="2"/>
  <c r="F1467" i="2"/>
  <c r="E1467" i="2"/>
  <c r="D1467" i="2"/>
  <c r="C1467" i="2"/>
  <c r="B1467" i="2"/>
  <c r="A1467" i="2"/>
  <c r="F1466" i="2"/>
  <c r="E1466" i="2"/>
  <c r="D1466" i="2"/>
  <c r="C1466" i="2"/>
  <c r="B1466" i="2"/>
  <c r="A1466" i="2"/>
  <c r="F1465" i="2"/>
  <c r="E1465" i="2"/>
  <c r="D1465" i="2"/>
  <c r="C1465" i="2"/>
  <c r="B1465" i="2"/>
  <c r="A1465" i="2"/>
  <c r="F1464" i="2"/>
  <c r="E1464" i="2"/>
  <c r="D1464" i="2"/>
  <c r="C1464" i="2"/>
  <c r="B1464" i="2"/>
  <c r="A1464" i="2"/>
  <c r="F1463" i="2"/>
  <c r="E1463" i="2"/>
  <c r="D1463" i="2"/>
  <c r="C1463" i="2"/>
  <c r="B1463" i="2"/>
  <c r="A1463" i="2"/>
  <c r="F1462" i="2"/>
  <c r="E1462" i="2"/>
  <c r="D1462" i="2"/>
  <c r="C1462" i="2"/>
  <c r="B1462" i="2"/>
  <c r="A1462" i="2"/>
  <c r="F1461" i="2"/>
  <c r="E1461" i="2"/>
  <c r="D1461" i="2"/>
  <c r="C1461" i="2"/>
  <c r="B1461" i="2"/>
  <c r="A1461" i="2"/>
  <c r="F1460" i="2"/>
  <c r="E1460" i="2"/>
  <c r="D1460" i="2"/>
  <c r="C1460" i="2"/>
  <c r="B1460" i="2"/>
  <c r="A1460" i="2"/>
  <c r="F1459" i="2"/>
  <c r="E1459" i="2"/>
  <c r="D1459" i="2"/>
  <c r="C1459" i="2"/>
  <c r="B1459" i="2"/>
  <c r="A1459" i="2"/>
  <c r="F1458" i="2"/>
  <c r="E1458" i="2"/>
  <c r="D1458" i="2"/>
  <c r="C1458" i="2"/>
  <c r="B1458" i="2"/>
  <c r="A1458" i="2"/>
  <c r="F1457" i="2"/>
  <c r="E1457" i="2"/>
  <c r="D1457" i="2"/>
  <c r="C1457" i="2"/>
  <c r="B1457" i="2"/>
  <c r="A1457" i="2"/>
  <c r="F1456" i="2"/>
  <c r="E1456" i="2"/>
  <c r="D1456" i="2"/>
  <c r="C1456" i="2"/>
  <c r="B1456" i="2"/>
  <c r="A1456" i="2"/>
  <c r="F1455" i="2"/>
  <c r="E1455" i="2"/>
  <c r="D1455" i="2"/>
  <c r="C1455" i="2"/>
  <c r="B1455" i="2"/>
  <c r="A1455" i="2"/>
  <c r="F1454" i="2"/>
  <c r="E1454" i="2"/>
  <c r="D1454" i="2"/>
  <c r="C1454" i="2"/>
  <c r="B1454" i="2"/>
  <c r="A1454" i="2"/>
  <c r="F1453" i="2"/>
  <c r="E1453" i="2"/>
  <c r="D1453" i="2"/>
  <c r="C1453" i="2"/>
  <c r="B1453" i="2"/>
  <c r="A1453" i="2"/>
  <c r="F1452" i="2"/>
  <c r="E1452" i="2"/>
  <c r="D1452" i="2"/>
  <c r="C1452" i="2"/>
  <c r="B1452" i="2"/>
  <c r="A1452" i="2"/>
  <c r="F1451" i="2"/>
  <c r="E1451" i="2"/>
  <c r="D1451" i="2"/>
  <c r="C1451" i="2"/>
  <c r="B1451" i="2"/>
  <c r="A1451" i="2"/>
  <c r="F1450" i="2"/>
  <c r="E1450" i="2"/>
  <c r="D1450" i="2"/>
  <c r="C1450" i="2"/>
  <c r="B1450" i="2"/>
  <c r="A1450" i="2"/>
  <c r="F1449" i="2"/>
  <c r="E1449" i="2"/>
  <c r="D1449" i="2"/>
  <c r="C1449" i="2"/>
  <c r="B1449" i="2"/>
  <c r="A1449" i="2"/>
  <c r="F1448" i="2"/>
  <c r="E1448" i="2"/>
  <c r="D1448" i="2"/>
  <c r="C1448" i="2"/>
  <c r="B1448" i="2"/>
  <c r="A1448" i="2"/>
  <c r="F1447" i="2"/>
  <c r="E1447" i="2"/>
  <c r="D1447" i="2"/>
  <c r="C1447" i="2"/>
  <c r="B1447" i="2"/>
  <c r="A1447" i="2"/>
  <c r="F1446" i="2"/>
  <c r="E1446" i="2"/>
  <c r="D1446" i="2"/>
  <c r="C1446" i="2"/>
  <c r="B1446" i="2"/>
  <c r="A1446" i="2"/>
  <c r="F1445" i="2"/>
  <c r="E1445" i="2"/>
  <c r="D1445" i="2"/>
  <c r="C1445" i="2"/>
  <c r="B1445" i="2"/>
  <c r="A1445" i="2"/>
  <c r="F1444" i="2"/>
  <c r="E1444" i="2"/>
  <c r="D1444" i="2"/>
  <c r="C1444" i="2"/>
  <c r="B1444" i="2"/>
  <c r="A1444" i="2"/>
  <c r="F1443" i="2"/>
  <c r="E1443" i="2"/>
  <c r="D1443" i="2"/>
  <c r="C1443" i="2"/>
  <c r="B1443" i="2"/>
  <c r="A1443" i="2"/>
  <c r="F1442" i="2"/>
  <c r="E1442" i="2"/>
  <c r="D1442" i="2"/>
  <c r="C1442" i="2"/>
  <c r="B1442" i="2"/>
  <c r="A1442" i="2"/>
  <c r="F1441" i="2"/>
  <c r="E1441" i="2"/>
  <c r="D1441" i="2"/>
  <c r="C1441" i="2"/>
  <c r="B1441" i="2"/>
  <c r="A1441" i="2"/>
  <c r="F1440" i="2"/>
  <c r="E1440" i="2"/>
  <c r="D1440" i="2"/>
  <c r="C1440" i="2"/>
  <c r="B1440" i="2"/>
  <c r="A1440" i="2"/>
  <c r="F1439" i="2"/>
  <c r="E1439" i="2"/>
  <c r="D1439" i="2"/>
  <c r="C1439" i="2"/>
  <c r="B1439" i="2"/>
  <c r="A1439" i="2"/>
  <c r="F1438" i="2"/>
  <c r="E1438" i="2"/>
  <c r="D1438" i="2"/>
  <c r="C1438" i="2"/>
  <c r="B1438" i="2"/>
  <c r="A1438" i="2"/>
  <c r="F1437" i="2"/>
  <c r="E1437" i="2"/>
  <c r="D1437" i="2"/>
  <c r="C1437" i="2"/>
  <c r="B1437" i="2"/>
  <c r="A1437" i="2"/>
  <c r="F1436" i="2"/>
  <c r="E1436" i="2"/>
  <c r="D1436" i="2"/>
  <c r="C1436" i="2"/>
  <c r="B1436" i="2"/>
  <c r="A1436" i="2"/>
  <c r="F1435" i="2"/>
  <c r="E1435" i="2"/>
  <c r="D1435" i="2"/>
  <c r="C1435" i="2"/>
  <c r="B1435" i="2"/>
  <c r="A1435" i="2"/>
  <c r="F1434" i="2"/>
  <c r="E1434" i="2"/>
  <c r="D1434" i="2"/>
  <c r="C1434" i="2"/>
  <c r="B1434" i="2"/>
  <c r="A1434" i="2"/>
  <c r="F1433" i="2"/>
  <c r="E1433" i="2"/>
  <c r="D1433" i="2"/>
  <c r="C1433" i="2"/>
  <c r="B1433" i="2"/>
  <c r="A1433" i="2"/>
  <c r="F1432" i="2"/>
  <c r="E1432" i="2"/>
  <c r="D1432" i="2"/>
  <c r="C1432" i="2"/>
  <c r="B1432" i="2"/>
  <c r="A1432" i="2"/>
  <c r="F1431" i="2"/>
  <c r="E1431" i="2"/>
  <c r="D1431" i="2"/>
  <c r="C1431" i="2"/>
  <c r="B1431" i="2"/>
  <c r="A1431" i="2"/>
  <c r="F1430" i="2"/>
  <c r="E1430" i="2"/>
  <c r="D1430" i="2"/>
  <c r="C1430" i="2"/>
  <c r="B1430" i="2"/>
  <c r="A1430" i="2"/>
  <c r="F1429" i="2"/>
  <c r="E1429" i="2"/>
  <c r="D1429" i="2"/>
  <c r="C1429" i="2"/>
  <c r="B1429" i="2"/>
  <c r="A1429" i="2"/>
  <c r="F1428" i="2"/>
  <c r="E1428" i="2"/>
  <c r="D1428" i="2"/>
  <c r="C1428" i="2"/>
  <c r="B1428" i="2"/>
  <c r="A1428" i="2"/>
  <c r="F1427" i="2"/>
  <c r="E1427" i="2"/>
  <c r="D1427" i="2"/>
  <c r="C1427" i="2"/>
  <c r="B1427" i="2"/>
  <c r="A1427" i="2"/>
  <c r="F1426" i="2"/>
  <c r="E1426" i="2"/>
  <c r="D1426" i="2"/>
  <c r="C1426" i="2"/>
  <c r="B1426" i="2"/>
  <c r="A1426" i="2"/>
  <c r="F1425" i="2"/>
  <c r="E1425" i="2"/>
  <c r="D1425" i="2"/>
  <c r="C1425" i="2"/>
  <c r="B1425" i="2"/>
  <c r="A1425" i="2"/>
  <c r="F1424" i="2"/>
  <c r="E1424" i="2"/>
  <c r="D1424" i="2"/>
  <c r="C1424" i="2"/>
  <c r="B1424" i="2"/>
  <c r="A1424" i="2"/>
  <c r="F1423" i="2"/>
  <c r="E1423" i="2"/>
  <c r="D1423" i="2"/>
  <c r="C1423" i="2"/>
  <c r="B1423" i="2"/>
  <c r="A1423" i="2"/>
  <c r="F1422" i="2"/>
  <c r="E1422" i="2"/>
  <c r="D1422" i="2"/>
  <c r="C1422" i="2"/>
  <c r="B1422" i="2"/>
  <c r="A1422" i="2"/>
  <c r="F1421" i="2"/>
  <c r="E1421" i="2"/>
  <c r="D1421" i="2"/>
  <c r="C1421" i="2"/>
  <c r="B1421" i="2"/>
  <c r="A1421" i="2"/>
  <c r="F1420" i="2"/>
  <c r="E1420" i="2"/>
  <c r="D1420" i="2"/>
  <c r="C1420" i="2"/>
  <c r="B1420" i="2"/>
  <c r="A1420" i="2"/>
  <c r="F1419" i="2"/>
  <c r="E1419" i="2"/>
  <c r="D1419" i="2"/>
  <c r="C1419" i="2"/>
  <c r="B1419" i="2"/>
  <c r="A1419" i="2"/>
  <c r="F1418" i="2"/>
  <c r="E1418" i="2"/>
  <c r="D1418" i="2"/>
  <c r="C1418" i="2"/>
  <c r="B1418" i="2"/>
  <c r="A1418" i="2"/>
  <c r="F1417" i="2"/>
  <c r="E1417" i="2"/>
  <c r="D1417" i="2"/>
  <c r="C1417" i="2"/>
  <c r="B1417" i="2"/>
  <c r="A1417" i="2"/>
  <c r="F1416" i="2"/>
  <c r="E1416" i="2"/>
  <c r="D1416" i="2"/>
  <c r="C1416" i="2"/>
  <c r="B1416" i="2"/>
  <c r="A1416" i="2"/>
  <c r="F1415" i="2"/>
  <c r="E1415" i="2"/>
  <c r="D1415" i="2"/>
  <c r="C1415" i="2"/>
  <c r="B1415" i="2"/>
  <c r="A1415" i="2"/>
  <c r="F1414" i="2"/>
  <c r="E1414" i="2"/>
  <c r="D1414" i="2"/>
  <c r="C1414" i="2"/>
  <c r="B1414" i="2"/>
  <c r="A1414" i="2"/>
  <c r="F1413" i="2"/>
  <c r="E1413" i="2"/>
  <c r="D1413" i="2"/>
  <c r="C1413" i="2"/>
  <c r="B1413" i="2"/>
  <c r="A1413" i="2"/>
  <c r="F1412" i="2"/>
  <c r="E1412" i="2"/>
  <c r="D1412" i="2"/>
  <c r="C1412" i="2"/>
  <c r="B1412" i="2"/>
  <c r="A1412" i="2"/>
  <c r="F1411" i="2"/>
  <c r="E1411" i="2"/>
  <c r="D1411" i="2"/>
  <c r="C1411" i="2"/>
  <c r="B1411" i="2"/>
  <c r="A1411" i="2"/>
  <c r="F1410" i="2"/>
  <c r="E1410" i="2"/>
  <c r="D1410" i="2"/>
  <c r="C1410" i="2"/>
  <c r="B1410" i="2"/>
  <c r="A1410" i="2"/>
  <c r="F1409" i="2"/>
  <c r="E1409" i="2"/>
  <c r="D1409" i="2"/>
  <c r="C1409" i="2"/>
  <c r="B1409" i="2"/>
  <c r="A1409" i="2"/>
  <c r="F1408" i="2"/>
  <c r="E1408" i="2"/>
  <c r="D1408" i="2"/>
  <c r="C1408" i="2"/>
  <c r="B1408" i="2"/>
  <c r="A1408" i="2"/>
  <c r="F1407" i="2"/>
  <c r="E1407" i="2"/>
  <c r="D1407" i="2"/>
  <c r="C1407" i="2"/>
  <c r="B1407" i="2"/>
  <c r="A1407" i="2"/>
  <c r="F1406" i="2"/>
  <c r="E1406" i="2"/>
  <c r="D1406" i="2"/>
  <c r="C1406" i="2"/>
  <c r="B1406" i="2"/>
  <c r="A1406" i="2"/>
  <c r="F1405" i="2"/>
  <c r="E1405" i="2"/>
  <c r="D1405" i="2"/>
  <c r="C1405" i="2"/>
  <c r="B1405" i="2"/>
  <c r="A1405" i="2"/>
  <c r="F1404" i="2"/>
  <c r="E1404" i="2"/>
  <c r="D1404" i="2"/>
  <c r="C1404" i="2"/>
  <c r="B1404" i="2"/>
  <c r="A1404" i="2"/>
  <c r="F1403" i="2"/>
  <c r="E1403" i="2"/>
  <c r="D1403" i="2"/>
  <c r="C1403" i="2"/>
  <c r="B1403" i="2"/>
  <c r="A1403" i="2"/>
  <c r="F1402" i="2"/>
  <c r="E1402" i="2"/>
  <c r="D1402" i="2"/>
  <c r="C1402" i="2"/>
  <c r="B1402" i="2"/>
  <c r="A1402" i="2"/>
  <c r="F1401" i="2"/>
  <c r="E1401" i="2"/>
  <c r="D1401" i="2"/>
  <c r="C1401" i="2"/>
  <c r="B1401" i="2"/>
  <c r="A1401" i="2"/>
  <c r="F1400" i="2"/>
  <c r="E1400" i="2"/>
  <c r="D1400" i="2"/>
  <c r="C1400" i="2"/>
  <c r="B1400" i="2"/>
  <c r="A1400" i="2"/>
  <c r="F1399" i="2"/>
  <c r="E1399" i="2"/>
  <c r="D1399" i="2"/>
  <c r="C1399" i="2"/>
  <c r="B1399" i="2"/>
  <c r="A1399" i="2"/>
  <c r="F1398" i="2"/>
  <c r="E1398" i="2"/>
  <c r="D1398" i="2"/>
  <c r="C1398" i="2"/>
  <c r="B1398" i="2"/>
  <c r="A1398" i="2"/>
  <c r="F1397" i="2"/>
  <c r="E1397" i="2"/>
  <c r="D1397" i="2"/>
  <c r="C1397" i="2"/>
  <c r="B1397" i="2"/>
  <c r="A1397" i="2"/>
  <c r="F1396" i="2"/>
  <c r="E1396" i="2"/>
  <c r="D1396" i="2"/>
  <c r="C1396" i="2"/>
  <c r="B1396" i="2"/>
  <c r="A1396" i="2"/>
  <c r="F1395" i="2"/>
  <c r="E1395" i="2"/>
  <c r="D1395" i="2"/>
  <c r="C1395" i="2"/>
  <c r="B1395" i="2"/>
  <c r="A1395" i="2"/>
  <c r="F1394" i="2"/>
  <c r="E1394" i="2"/>
  <c r="D1394" i="2"/>
  <c r="C1394" i="2"/>
  <c r="B1394" i="2"/>
  <c r="A1394" i="2"/>
  <c r="F1393" i="2"/>
  <c r="E1393" i="2"/>
  <c r="D1393" i="2"/>
  <c r="C1393" i="2"/>
  <c r="B1393" i="2"/>
  <c r="A1393" i="2"/>
  <c r="F1392" i="2"/>
  <c r="E1392" i="2"/>
  <c r="D1392" i="2"/>
  <c r="C1392" i="2"/>
  <c r="B1392" i="2"/>
  <c r="A1392" i="2"/>
  <c r="F1391" i="2"/>
  <c r="E1391" i="2"/>
  <c r="D1391" i="2"/>
  <c r="C1391" i="2"/>
  <c r="B1391" i="2"/>
  <c r="A1391" i="2"/>
  <c r="F1390" i="2"/>
  <c r="E1390" i="2"/>
  <c r="D1390" i="2"/>
  <c r="C1390" i="2"/>
  <c r="B1390" i="2"/>
  <c r="A1390" i="2"/>
  <c r="F1389" i="2"/>
  <c r="E1389" i="2"/>
  <c r="D1389" i="2"/>
  <c r="C1389" i="2"/>
  <c r="B1389" i="2"/>
  <c r="A1389" i="2"/>
  <c r="F1388" i="2"/>
  <c r="E1388" i="2"/>
  <c r="D1388" i="2"/>
  <c r="C1388" i="2"/>
  <c r="B1388" i="2"/>
  <c r="A1388" i="2"/>
  <c r="F1387" i="2"/>
  <c r="E1387" i="2"/>
  <c r="D1387" i="2"/>
  <c r="C1387" i="2"/>
  <c r="B1387" i="2"/>
  <c r="A1387" i="2"/>
  <c r="F1386" i="2"/>
  <c r="E1386" i="2"/>
  <c r="D1386" i="2"/>
  <c r="C1386" i="2"/>
  <c r="B1386" i="2"/>
  <c r="A1386" i="2"/>
  <c r="F1385" i="2"/>
  <c r="E1385" i="2"/>
  <c r="D1385" i="2"/>
  <c r="C1385" i="2"/>
  <c r="B1385" i="2"/>
  <c r="A1385" i="2"/>
  <c r="F1384" i="2"/>
  <c r="E1384" i="2"/>
  <c r="D1384" i="2"/>
  <c r="C1384" i="2"/>
  <c r="B1384" i="2"/>
  <c r="A1384" i="2"/>
  <c r="F1383" i="2"/>
  <c r="E1383" i="2"/>
  <c r="D1383" i="2"/>
  <c r="C1383" i="2"/>
  <c r="B1383" i="2"/>
  <c r="A1383" i="2"/>
  <c r="F1382" i="2"/>
  <c r="E1382" i="2"/>
  <c r="D1382" i="2"/>
  <c r="C1382" i="2"/>
  <c r="B1382" i="2"/>
  <c r="A1382" i="2"/>
  <c r="F1381" i="2"/>
  <c r="E1381" i="2"/>
  <c r="D1381" i="2"/>
  <c r="C1381" i="2"/>
  <c r="B1381" i="2"/>
  <c r="A1381" i="2"/>
  <c r="F1380" i="2"/>
  <c r="E1380" i="2"/>
  <c r="D1380" i="2"/>
  <c r="C1380" i="2"/>
  <c r="B1380" i="2"/>
  <c r="A1380" i="2"/>
  <c r="F1379" i="2"/>
  <c r="E1379" i="2"/>
  <c r="D1379" i="2"/>
  <c r="C1379" i="2"/>
  <c r="B1379" i="2"/>
  <c r="A1379" i="2"/>
  <c r="F1378" i="2"/>
  <c r="E1378" i="2"/>
  <c r="D1378" i="2"/>
  <c r="C1378" i="2"/>
  <c r="B1378" i="2"/>
  <c r="A1378" i="2"/>
  <c r="F1377" i="2"/>
  <c r="E1377" i="2"/>
  <c r="D1377" i="2"/>
  <c r="C1377" i="2"/>
  <c r="B1377" i="2"/>
  <c r="A1377" i="2"/>
  <c r="F1376" i="2"/>
  <c r="E1376" i="2"/>
  <c r="D1376" i="2"/>
  <c r="C1376" i="2"/>
  <c r="B1376" i="2"/>
  <c r="A1376" i="2"/>
  <c r="F1375" i="2"/>
  <c r="E1375" i="2"/>
  <c r="D1375" i="2"/>
  <c r="C1375" i="2"/>
  <c r="B1375" i="2"/>
  <c r="A1375" i="2"/>
  <c r="F1374" i="2"/>
  <c r="E1374" i="2"/>
  <c r="D1374" i="2"/>
  <c r="C1374" i="2"/>
  <c r="B1374" i="2"/>
  <c r="A1374" i="2"/>
  <c r="F1373" i="2"/>
  <c r="E1373" i="2"/>
  <c r="D1373" i="2"/>
  <c r="C1373" i="2"/>
  <c r="B1373" i="2"/>
  <c r="A1373" i="2"/>
  <c r="F1372" i="2"/>
  <c r="E1372" i="2"/>
  <c r="D1372" i="2"/>
  <c r="C1372" i="2"/>
  <c r="B1372" i="2"/>
  <c r="A1372" i="2"/>
  <c r="F1371" i="2"/>
  <c r="E1371" i="2"/>
  <c r="D1371" i="2"/>
  <c r="C1371" i="2"/>
  <c r="B1371" i="2"/>
  <c r="A1371" i="2"/>
  <c r="F1370" i="2"/>
  <c r="E1370" i="2"/>
  <c r="D1370" i="2"/>
  <c r="C1370" i="2"/>
  <c r="B1370" i="2"/>
  <c r="A1370" i="2"/>
  <c r="F1368" i="2"/>
  <c r="E1368" i="2"/>
  <c r="D1368" i="2"/>
  <c r="C1368" i="2"/>
  <c r="B1368" i="2"/>
  <c r="A1368" i="2"/>
  <c r="F1367" i="2"/>
  <c r="E1367" i="2"/>
  <c r="D1367" i="2"/>
  <c r="C1367" i="2"/>
  <c r="B1367" i="2"/>
  <c r="A1367" i="2"/>
  <c r="F1366" i="2"/>
  <c r="E1366" i="2"/>
  <c r="D1366" i="2"/>
  <c r="C1366" i="2"/>
  <c r="B1366" i="2"/>
  <c r="A1366" i="2"/>
  <c r="F1365" i="2"/>
  <c r="E1365" i="2"/>
  <c r="D1365" i="2"/>
  <c r="C1365" i="2"/>
  <c r="B1365" i="2"/>
  <c r="A1365" i="2"/>
  <c r="F1364" i="2"/>
  <c r="E1364" i="2"/>
  <c r="D1364" i="2"/>
  <c r="C1364" i="2"/>
  <c r="B1364" i="2"/>
  <c r="A1364" i="2"/>
  <c r="F1363" i="2"/>
  <c r="E1363" i="2"/>
  <c r="D1363" i="2"/>
  <c r="C1363" i="2"/>
  <c r="B1363" i="2"/>
  <c r="A1363" i="2"/>
  <c r="F1362" i="2"/>
  <c r="E1362" i="2"/>
  <c r="D1362" i="2"/>
  <c r="C1362" i="2"/>
  <c r="B1362" i="2"/>
  <c r="A1362" i="2"/>
  <c r="F1361" i="2"/>
  <c r="E1361" i="2"/>
  <c r="D1361" i="2"/>
  <c r="C1361" i="2"/>
  <c r="B1361" i="2"/>
  <c r="A1361" i="2"/>
  <c r="F1360" i="2"/>
  <c r="E1360" i="2"/>
  <c r="D1360" i="2"/>
  <c r="C1360" i="2"/>
  <c r="B1360" i="2"/>
  <c r="A1360" i="2"/>
  <c r="F1359" i="2"/>
  <c r="E1359" i="2"/>
  <c r="D1359" i="2"/>
  <c r="C1359" i="2"/>
  <c r="B1359" i="2"/>
  <c r="F1358" i="2"/>
  <c r="E1358" i="2"/>
  <c r="D1358" i="2"/>
  <c r="C1358" i="2"/>
  <c r="B1358" i="2"/>
  <c r="F1357" i="2"/>
  <c r="E1357" i="2"/>
  <c r="D1357" i="2"/>
  <c r="C1357" i="2"/>
  <c r="B1357" i="2"/>
  <c r="A1357" i="2"/>
  <c r="F1356" i="2"/>
  <c r="E1356" i="2"/>
  <c r="D1356" i="2"/>
  <c r="C1356" i="2"/>
  <c r="B1356" i="2"/>
  <c r="A1356" i="2"/>
  <c r="F1355" i="2"/>
  <c r="E1355" i="2"/>
  <c r="D1355" i="2"/>
  <c r="C1355" i="2"/>
  <c r="B1355" i="2"/>
  <c r="A1355" i="2"/>
  <c r="F1354" i="2"/>
  <c r="E1354" i="2"/>
  <c r="D1354" i="2"/>
  <c r="C1354" i="2"/>
  <c r="B1354" i="2"/>
  <c r="A1354" i="2"/>
  <c r="F1353" i="2"/>
  <c r="E1353" i="2"/>
  <c r="D1353" i="2"/>
  <c r="C1353" i="2"/>
  <c r="B1353" i="2"/>
  <c r="A1353" i="2"/>
  <c r="F1352" i="2"/>
  <c r="E1352" i="2"/>
  <c r="D1352" i="2"/>
  <c r="C1352" i="2"/>
  <c r="B1352" i="2"/>
  <c r="A1352" i="2"/>
  <c r="F1351" i="2"/>
  <c r="E1351" i="2"/>
  <c r="D1351" i="2"/>
  <c r="C1351" i="2"/>
  <c r="B1351" i="2"/>
  <c r="A1351" i="2"/>
  <c r="F1350" i="2"/>
  <c r="E1350" i="2"/>
  <c r="D1350" i="2"/>
  <c r="C1350" i="2"/>
  <c r="B1350" i="2"/>
  <c r="A1350" i="2"/>
  <c r="F1349" i="2"/>
  <c r="E1349" i="2"/>
  <c r="D1349" i="2"/>
  <c r="C1349" i="2"/>
  <c r="B1349" i="2"/>
  <c r="A1349" i="2"/>
  <c r="F1348" i="2"/>
  <c r="E1348" i="2"/>
  <c r="D1348" i="2"/>
  <c r="C1348" i="2"/>
  <c r="B1348" i="2"/>
  <c r="A1348" i="2"/>
  <c r="F1347" i="2"/>
  <c r="E1347" i="2"/>
  <c r="D1347" i="2"/>
  <c r="C1347" i="2"/>
  <c r="B1347" i="2"/>
  <c r="A1347" i="2"/>
  <c r="F1346" i="2"/>
  <c r="E1346" i="2"/>
  <c r="D1346" i="2"/>
  <c r="C1346" i="2"/>
  <c r="B1346" i="2"/>
  <c r="A1346" i="2"/>
  <c r="F1345" i="2"/>
  <c r="E1345" i="2"/>
  <c r="D1345" i="2"/>
  <c r="C1345" i="2"/>
  <c r="B1345" i="2"/>
  <c r="A1345" i="2"/>
  <c r="F1344" i="2"/>
  <c r="E1344" i="2"/>
  <c r="D1344" i="2"/>
  <c r="C1344" i="2"/>
  <c r="B1344" i="2"/>
  <c r="A1344" i="2"/>
  <c r="F1343" i="2"/>
  <c r="E1343" i="2"/>
  <c r="D1343" i="2"/>
  <c r="C1343" i="2"/>
  <c r="B1343" i="2"/>
  <c r="A1343" i="2"/>
  <c r="F1342" i="2"/>
  <c r="E1342" i="2"/>
  <c r="D1342" i="2"/>
  <c r="C1342" i="2"/>
  <c r="B1342" i="2"/>
  <c r="A1342" i="2"/>
  <c r="F1341" i="2"/>
  <c r="E1341" i="2"/>
  <c r="D1341" i="2"/>
  <c r="C1341" i="2"/>
  <c r="B1341" i="2"/>
  <c r="A1341" i="2"/>
  <c r="F1340" i="2"/>
  <c r="E1340" i="2"/>
  <c r="D1340" i="2"/>
  <c r="C1340" i="2"/>
  <c r="B1340" i="2"/>
  <c r="A1340" i="2"/>
  <c r="F1339" i="2"/>
  <c r="E1339" i="2"/>
  <c r="D1339" i="2"/>
  <c r="C1339" i="2"/>
  <c r="B1339" i="2"/>
  <c r="A1339" i="2"/>
  <c r="F1338" i="2"/>
  <c r="E1338" i="2"/>
  <c r="D1338" i="2"/>
  <c r="C1338" i="2"/>
  <c r="B1338" i="2"/>
  <c r="A1338" i="2"/>
  <c r="F1337" i="2"/>
  <c r="E1337" i="2"/>
  <c r="D1337" i="2"/>
  <c r="C1337" i="2"/>
  <c r="B1337" i="2"/>
  <c r="A1337" i="2"/>
  <c r="F1336" i="2"/>
  <c r="E1336" i="2"/>
  <c r="D1336" i="2"/>
  <c r="C1336" i="2"/>
  <c r="B1336" i="2"/>
  <c r="A1336" i="2"/>
  <c r="F1335" i="2"/>
  <c r="E1335" i="2"/>
  <c r="D1335" i="2"/>
  <c r="C1335" i="2"/>
  <c r="B1335" i="2"/>
  <c r="A1335" i="2"/>
  <c r="F1334" i="2"/>
  <c r="E1334" i="2"/>
  <c r="D1334" i="2"/>
  <c r="C1334" i="2"/>
  <c r="B1334" i="2"/>
  <c r="A1334" i="2"/>
  <c r="F1333" i="2"/>
  <c r="E1333" i="2"/>
  <c r="D1333" i="2"/>
  <c r="C1333" i="2"/>
  <c r="B1333" i="2"/>
  <c r="A1333" i="2"/>
  <c r="F1332" i="2"/>
  <c r="E1332" i="2"/>
  <c r="D1332" i="2"/>
  <c r="C1332" i="2"/>
  <c r="B1332" i="2"/>
  <c r="A1332" i="2"/>
  <c r="F1331" i="2"/>
  <c r="E1331" i="2"/>
  <c r="D1331" i="2"/>
  <c r="C1331" i="2"/>
  <c r="B1331" i="2"/>
  <c r="A1331" i="2"/>
  <c r="F1330" i="2"/>
  <c r="E1330" i="2"/>
  <c r="D1330" i="2"/>
  <c r="C1330" i="2"/>
  <c r="B1330" i="2"/>
  <c r="A1330" i="2"/>
  <c r="F1329" i="2"/>
  <c r="E1329" i="2"/>
  <c r="D1329" i="2"/>
  <c r="C1329" i="2"/>
  <c r="B1329" i="2"/>
  <c r="A1329" i="2"/>
  <c r="F1328" i="2"/>
  <c r="E1328" i="2"/>
  <c r="D1328" i="2"/>
  <c r="C1328" i="2"/>
  <c r="B1328" i="2"/>
  <c r="A1328" i="2"/>
  <c r="F1327" i="2"/>
  <c r="E1327" i="2"/>
  <c r="D1327" i="2"/>
  <c r="C1327" i="2"/>
  <c r="B1327" i="2"/>
  <c r="A1327" i="2"/>
  <c r="F1326" i="2"/>
  <c r="E1326" i="2"/>
  <c r="D1326" i="2"/>
  <c r="C1326" i="2"/>
  <c r="B1326" i="2"/>
  <c r="A1326" i="2"/>
  <c r="F1325" i="2"/>
  <c r="E1325" i="2"/>
  <c r="D1325" i="2"/>
  <c r="C1325" i="2"/>
  <c r="B1325" i="2"/>
  <c r="A1325" i="2"/>
  <c r="F1324" i="2"/>
  <c r="E1324" i="2"/>
  <c r="D1324" i="2"/>
  <c r="C1324" i="2"/>
  <c r="B1324" i="2"/>
  <c r="A1324" i="2"/>
  <c r="F1323" i="2"/>
  <c r="E1323" i="2"/>
  <c r="D1323" i="2"/>
  <c r="C1323" i="2"/>
  <c r="B1323" i="2"/>
  <c r="A1323" i="2"/>
  <c r="F1322" i="2"/>
  <c r="E1322" i="2"/>
  <c r="D1322" i="2"/>
  <c r="C1322" i="2"/>
  <c r="B1322" i="2"/>
  <c r="A1322" i="2"/>
  <c r="F1321" i="2"/>
  <c r="E1321" i="2"/>
  <c r="D1321" i="2"/>
  <c r="C1321" i="2"/>
  <c r="B1321" i="2"/>
  <c r="A1321" i="2"/>
  <c r="F1320" i="2"/>
  <c r="E1320" i="2"/>
  <c r="D1320" i="2"/>
  <c r="C1320" i="2"/>
  <c r="B1320" i="2"/>
  <c r="A1320" i="2"/>
  <c r="F1319" i="2"/>
  <c r="E1319" i="2"/>
  <c r="D1319" i="2"/>
  <c r="C1319" i="2"/>
  <c r="B1319" i="2"/>
  <c r="A1319" i="2"/>
  <c r="F1318" i="2"/>
  <c r="E1318" i="2"/>
  <c r="D1318" i="2"/>
  <c r="C1318" i="2"/>
  <c r="B1318" i="2"/>
  <c r="A1318" i="2"/>
  <c r="F1317" i="2"/>
  <c r="E1317" i="2"/>
  <c r="D1317" i="2"/>
  <c r="C1317" i="2"/>
  <c r="B1317" i="2"/>
  <c r="A1317" i="2"/>
  <c r="F1316" i="2"/>
  <c r="E1316" i="2"/>
  <c r="D1316" i="2"/>
  <c r="C1316" i="2"/>
  <c r="B1316" i="2"/>
  <c r="A1316" i="2"/>
  <c r="F1315" i="2"/>
  <c r="E1315" i="2"/>
  <c r="D1315" i="2"/>
  <c r="C1315" i="2"/>
  <c r="B1315" i="2"/>
  <c r="A1315" i="2"/>
  <c r="F1314" i="2"/>
  <c r="E1314" i="2"/>
  <c r="D1314" i="2"/>
  <c r="C1314" i="2"/>
  <c r="B1314" i="2"/>
  <c r="A1314" i="2"/>
  <c r="F1313" i="2"/>
  <c r="E1313" i="2"/>
  <c r="D1313" i="2"/>
  <c r="C1313" i="2"/>
  <c r="B1313" i="2"/>
  <c r="A1313" i="2"/>
  <c r="F1312" i="2"/>
  <c r="E1312" i="2"/>
  <c r="D1312" i="2"/>
  <c r="C1312" i="2"/>
  <c r="B1312" i="2"/>
  <c r="A1312" i="2"/>
  <c r="F1311" i="2"/>
  <c r="E1311" i="2"/>
  <c r="D1311" i="2"/>
  <c r="C1311" i="2"/>
  <c r="B1311" i="2"/>
  <c r="A1311" i="2"/>
  <c r="F1310" i="2"/>
  <c r="E1310" i="2"/>
  <c r="D1310" i="2"/>
  <c r="C1310" i="2"/>
  <c r="B1310" i="2"/>
  <c r="A1310" i="2"/>
  <c r="F1309" i="2"/>
  <c r="E1309" i="2"/>
  <c r="D1309" i="2"/>
  <c r="C1309" i="2"/>
  <c r="B1309" i="2"/>
  <c r="A1309" i="2"/>
  <c r="F1308" i="2"/>
  <c r="E1308" i="2"/>
  <c r="D1308" i="2"/>
  <c r="C1308" i="2"/>
  <c r="B1308" i="2"/>
  <c r="A1308" i="2"/>
  <c r="F1307" i="2"/>
  <c r="E1307" i="2"/>
  <c r="D1307" i="2"/>
  <c r="C1307" i="2"/>
  <c r="B1307" i="2"/>
  <c r="A1307" i="2"/>
  <c r="F1306" i="2"/>
  <c r="E1306" i="2"/>
  <c r="D1306" i="2"/>
  <c r="C1306" i="2"/>
  <c r="B1306" i="2"/>
  <c r="A1306" i="2"/>
  <c r="F1305" i="2"/>
  <c r="E1305" i="2"/>
  <c r="D1305" i="2"/>
  <c r="C1305" i="2"/>
  <c r="B1305" i="2"/>
  <c r="A1305" i="2"/>
  <c r="F1304" i="2"/>
  <c r="E1304" i="2"/>
  <c r="D1304" i="2"/>
  <c r="C1304" i="2"/>
  <c r="B1304" i="2"/>
  <c r="A1304" i="2"/>
  <c r="F1303" i="2"/>
  <c r="E1303" i="2"/>
  <c r="D1303" i="2"/>
  <c r="C1303" i="2"/>
  <c r="B1303" i="2"/>
  <c r="A1303" i="2"/>
  <c r="F1302" i="2"/>
  <c r="E1302" i="2"/>
  <c r="D1302" i="2"/>
  <c r="C1302" i="2"/>
  <c r="B1302" i="2"/>
  <c r="A1302" i="2"/>
  <c r="F1301" i="2"/>
  <c r="E1301" i="2"/>
  <c r="D1301" i="2"/>
  <c r="C1301" i="2"/>
  <c r="B1301" i="2"/>
  <c r="A1301" i="2"/>
  <c r="F1300" i="2"/>
  <c r="E1300" i="2"/>
  <c r="D1300" i="2"/>
  <c r="C1300" i="2"/>
  <c r="B1300" i="2"/>
  <c r="A1300" i="2"/>
  <c r="F1299" i="2"/>
  <c r="E1299" i="2"/>
  <c r="D1299" i="2"/>
  <c r="C1299" i="2"/>
  <c r="B1299" i="2"/>
  <c r="A1299" i="2"/>
  <c r="F1298" i="2"/>
  <c r="E1298" i="2"/>
  <c r="D1298" i="2"/>
  <c r="C1298" i="2"/>
  <c r="B1298" i="2"/>
  <c r="A1298" i="2"/>
  <c r="F1297" i="2"/>
  <c r="E1297" i="2"/>
  <c r="D1297" i="2"/>
  <c r="C1297" i="2"/>
  <c r="B1297" i="2"/>
  <c r="A1297" i="2"/>
  <c r="F1296" i="2"/>
  <c r="E1296" i="2"/>
  <c r="D1296" i="2"/>
  <c r="C1296" i="2"/>
  <c r="B1296" i="2"/>
  <c r="A1296" i="2"/>
  <c r="F1295" i="2"/>
  <c r="E1295" i="2"/>
  <c r="D1295" i="2"/>
  <c r="C1295" i="2"/>
  <c r="B1295" i="2"/>
  <c r="A1295" i="2"/>
  <c r="F1294" i="2"/>
  <c r="E1294" i="2"/>
  <c r="D1294" i="2"/>
  <c r="C1294" i="2"/>
  <c r="B1294" i="2"/>
  <c r="A1294" i="2"/>
  <c r="F1293" i="2"/>
  <c r="E1293" i="2"/>
  <c r="D1293" i="2"/>
  <c r="C1293" i="2"/>
  <c r="B1293" i="2"/>
  <c r="A1293" i="2"/>
  <c r="F1292" i="2"/>
  <c r="E1292" i="2"/>
  <c r="D1292" i="2"/>
  <c r="C1292" i="2"/>
  <c r="B1292" i="2"/>
  <c r="A1292" i="2"/>
  <c r="F1291" i="2"/>
  <c r="E1291" i="2"/>
  <c r="D1291" i="2"/>
  <c r="C1291" i="2"/>
  <c r="B1291" i="2"/>
  <c r="A1291" i="2"/>
  <c r="F1290" i="2"/>
  <c r="E1290" i="2"/>
  <c r="D1290" i="2"/>
  <c r="C1290" i="2"/>
  <c r="B1290" i="2"/>
  <c r="A1290" i="2"/>
  <c r="F1289" i="2"/>
  <c r="E1289" i="2"/>
  <c r="D1289" i="2"/>
  <c r="C1289" i="2"/>
  <c r="B1289" i="2"/>
  <c r="A1289" i="2"/>
  <c r="F1288" i="2"/>
  <c r="E1288" i="2"/>
  <c r="D1288" i="2"/>
  <c r="C1288" i="2"/>
  <c r="B1288" i="2"/>
  <c r="A1288" i="2"/>
  <c r="F1287" i="2"/>
  <c r="E1287" i="2"/>
  <c r="D1287" i="2"/>
  <c r="C1287" i="2"/>
  <c r="B1287" i="2"/>
  <c r="A1287" i="2"/>
  <c r="F1286" i="2"/>
  <c r="E1286" i="2"/>
  <c r="D1286" i="2"/>
  <c r="C1286" i="2"/>
  <c r="B1286" i="2"/>
  <c r="A1286" i="2"/>
  <c r="F1285" i="2"/>
  <c r="E1285" i="2"/>
  <c r="D1285" i="2"/>
  <c r="C1285" i="2"/>
  <c r="B1285" i="2"/>
  <c r="A1285" i="2"/>
  <c r="F1284" i="2"/>
  <c r="E1284" i="2"/>
  <c r="D1284" i="2"/>
  <c r="C1284" i="2"/>
  <c r="B1284" i="2"/>
  <c r="A1284" i="2"/>
  <c r="F1283" i="2"/>
  <c r="E1283" i="2"/>
  <c r="D1283" i="2"/>
  <c r="C1283" i="2"/>
  <c r="B1283" i="2"/>
  <c r="A1283" i="2"/>
  <c r="F1282" i="2"/>
  <c r="E1282" i="2"/>
  <c r="D1282" i="2"/>
  <c r="C1282" i="2"/>
  <c r="B1282" i="2"/>
  <c r="A1282" i="2"/>
  <c r="F1281" i="2"/>
  <c r="E1281" i="2"/>
  <c r="D1281" i="2"/>
  <c r="C1281" i="2"/>
  <c r="B1281" i="2"/>
  <c r="A1281" i="2"/>
  <c r="F1280" i="2"/>
  <c r="E1280" i="2"/>
  <c r="D1280" i="2"/>
  <c r="C1280" i="2"/>
  <c r="B1280" i="2"/>
  <c r="A1280" i="2"/>
  <c r="F1279" i="2"/>
  <c r="E1279" i="2"/>
  <c r="D1279" i="2"/>
  <c r="C1279" i="2"/>
  <c r="B1279" i="2"/>
  <c r="A1279" i="2"/>
  <c r="F1278" i="2"/>
  <c r="E1278" i="2"/>
  <c r="D1278" i="2"/>
  <c r="C1278" i="2"/>
  <c r="B1278" i="2"/>
  <c r="A1278" i="2"/>
  <c r="F1277" i="2"/>
  <c r="E1277" i="2"/>
  <c r="D1277" i="2"/>
  <c r="C1277" i="2"/>
  <c r="B1277" i="2"/>
  <c r="A1277" i="2"/>
  <c r="F1276" i="2"/>
  <c r="E1276" i="2"/>
  <c r="D1276" i="2"/>
  <c r="C1276" i="2"/>
  <c r="B1276" i="2"/>
  <c r="A1276" i="2"/>
  <c r="F1275" i="2"/>
  <c r="E1275" i="2"/>
  <c r="D1275" i="2"/>
  <c r="C1275" i="2"/>
  <c r="B1275" i="2"/>
  <c r="A1275" i="2"/>
  <c r="F1274" i="2"/>
  <c r="E1274" i="2"/>
  <c r="D1274" i="2"/>
  <c r="C1274" i="2"/>
  <c r="B1274" i="2"/>
  <c r="A1274" i="2"/>
  <c r="F1273" i="2"/>
  <c r="E1273" i="2"/>
  <c r="D1273" i="2"/>
  <c r="C1273" i="2"/>
  <c r="B1273" i="2"/>
  <c r="A1273" i="2"/>
  <c r="F1272" i="2"/>
  <c r="E1272" i="2"/>
  <c r="D1272" i="2"/>
  <c r="C1272" i="2"/>
  <c r="B1272" i="2"/>
  <c r="A1272" i="2"/>
  <c r="F1271" i="2"/>
  <c r="E1271" i="2"/>
  <c r="D1271" i="2"/>
  <c r="C1271" i="2"/>
  <c r="B1271" i="2"/>
  <c r="A1271" i="2"/>
  <c r="F1270" i="2"/>
  <c r="E1270" i="2"/>
  <c r="D1270" i="2"/>
  <c r="C1270" i="2"/>
  <c r="B1270" i="2"/>
  <c r="A1270" i="2"/>
  <c r="F1269" i="2"/>
  <c r="E1269" i="2"/>
  <c r="D1269" i="2"/>
  <c r="C1269" i="2"/>
  <c r="B1269" i="2"/>
  <c r="A1269" i="2"/>
  <c r="F1268" i="2"/>
  <c r="E1268" i="2"/>
  <c r="D1268" i="2"/>
  <c r="C1268" i="2"/>
  <c r="B1268" i="2"/>
  <c r="A1268" i="2"/>
  <c r="F1267" i="2"/>
  <c r="E1267" i="2"/>
  <c r="D1267" i="2"/>
  <c r="C1267" i="2"/>
  <c r="B1267" i="2"/>
  <c r="A1267" i="2"/>
  <c r="F1266" i="2"/>
  <c r="E1266" i="2"/>
  <c r="D1266" i="2"/>
  <c r="C1266" i="2"/>
  <c r="B1266" i="2"/>
  <c r="A1266" i="2"/>
  <c r="F1265" i="2"/>
  <c r="E1265" i="2"/>
  <c r="D1265" i="2"/>
  <c r="C1265" i="2"/>
  <c r="B1265" i="2"/>
  <c r="A1265" i="2"/>
  <c r="F1264" i="2"/>
  <c r="E1264" i="2"/>
  <c r="D1264" i="2"/>
  <c r="C1264" i="2"/>
  <c r="B1264" i="2"/>
  <c r="A1264" i="2"/>
  <c r="F1263" i="2"/>
  <c r="E1263" i="2"/>
  <c r="D1263" i="2"/>
  <c r="C1263" i="2"/>
  <c r="B1263" i="2"/>
  <c r="A1263" i="2"/>
  <c r="F1262" i="2"/>
  <c r="E1262" i="2"/>
  <c r="D1262" i="2"/>
  <c r="C1262" i="2"/>
  <c r="B1262" i="2"/>
  <c r="A1262" i="2"/>
  <c r="F1261" i="2"/>
  <c r="E1261" i="2"/>
  <c r="D1261" i="2"/>
  <c r="C1261" i="2"/>
  <c r="B1261" i="2"/>
  <c r="A1261" i="2"/>
  <c r="F1260" i="2"/>
  <c r="E1260" i="2"/>
  <c r="D1260" i="2"/>
  <c r="C1260" i="2"/>
  <c r="B1260" i="2"/>
  <c r="A1260" i="2"/>
  <c r="F1259" i="2"/>
  <c r="E1259" i="2"/>
  <c r="D1259" i="2"/>
  <c r="C1259" i="2"/>
  <c r="B1259" i="2"/>
  <c r="A1259" i="2"/>
  <c r="F1258" i="2"/>
  <c r="E1258" i="2"/>
  <c r="D1258" i="2"/>
  <c r="C1258" i="2"/>
  <c r="B1258" i="2"/>
  <c r="A1258" i="2"/>
  <c r="F1257" i="2"/>
  <c r="E1257" i="2"/>
  <c r="D1257" i="2"/>
  <c r="C1257" i="2"/>
  <c r="B1257" i="2"/>
  <c r="A1257" i="2"/>
  <c r="F1256" i="2"/>
  <c r="E1256" i="2"/>
  <c r="D1256" i="2"/>
  <c r="C1256" i="2"/>
  <c r="B1256" i="2"/>
  <c r="A1256" i="2"/>
  <c r="F1255" i="2"/>
  <c r="E1255" i="2"/>
  <c r="D1255" i="2"/>
  <c r="C1255" i="2"/>
  <c r="B1255" i="2"/>
  <c r="A1255" i="2"/>
  <c r="F1254" i="2"/>
  <c r="E1254" i="2"/>
  <c r="D1254" i="2"/>
  <c r="C1254" i="2"/>
  <c r="B1254" i="2"/>
  <c r="A1254" i="2"/>
  <c r="F1253" i="2"/>
  <c r="E1253" i="2"/>
  <c r="D1253" i="2"/>
  <c r="C1253" i="2"/>
  <c r="B1253" i="2"/>
  <c r="A1253" i="2"/>
  <c r="F1252" i="2"/>
  <c r="E1252" i="2"/>
  <c r="D1252" i="2"/>
  <c r="C1252" i="2"/>
  <c r="B1252" i="2"/>
  <c r="A1252" i="2"/>
  <c r="F1251" i="2"/>
  <c r="E1251" i="2"/>
  <c r="D1251" i="2"/>
  <c r="C1251" i="2"/>
  <c r="B1251" i="2"/>
  <c r="A1251" i="2"/>
  <c r="F1250" i="2"/>
  <c r="E1250" i="2"/>
  <c r="D1250" i="2"/>
  <c r="C1250" i="2"/>
  <c r="B1250" i="2"/>
  <c r="A1250" i="2"/>
  <c r="F1249" i="2"/>
  <c r="E1249" i="2"/>
  <c r="D1249" i="2"/>
  <c r="C1249" i="2"/>
  <c r="B1249" i="2"/>
  <c r="A1249" i="2"/>
  <c r="F1248" i="2"/>
  <c r="E1248" i="2"/>
  <c r="D1248" i="2"/>
  <c r="C1248" i="2"/>
  <c r="B1248" i="2"/>
  <c r="A1248" i="2"/>
  <c r="F1247" i="2"/>
  <c r="E1247" i="2"/>
  <c r="D1247" i="2"/>
  <c r="C1247" i="2"/>
  <c r="B1247" i="2"/>
  <c r="A1247" i="2"/>
  <c r="F1246" i="2"/>
  <c r="E1246" i="2"/>
  <c r="D1246" i="2"/>
  <c r="C1246" i="2"/>
  <c r="B1246" i="2"/>
  <c r="A1246" i="2"/>
  <c r="F1245" i="2"/>
  <c r="E1245" i="2"/>
  <c r="D1245" i="2"/>
  <c r="C1245" i="2"/>
  <c r="B1245" i="2"/>
  <c r="A1245" i="2"/>
  <c r="F1244" i="2"/>
  <c r="E1244" i="2"/>
  <c r="D1244" i="2"/>
  <c r="C1244" i="2"/>
  <c r="B1244" i="2"/>
  <c r="A1244" i="2"/>
  <c r="F1243" i="2"/>
  <c r="E1243" i="2"/>
  <c r="D1243" i="2"/>
  <c r="C1243" i="2"/>
  <c r="B1243" i="2"/>
  <c r="A1243" i="2"/>
  <c r="F1242" i="2"/>
  <c r="E1242" i="2"/>
  <c r="D1242" i="2"/>
  <c r="C1242" i="2"/>
  <c r="B1242" i="2"/>
  <c r="A1242" i="2"/>
  <c r="F1241" i="2"/>
  <c r="E1241" i="2"/>
  <c r="D1241" i="2"/>
  <c r="C1241" i="2"/>
  <c r="B1241" i="2"/>
  <c r="A1241" i="2"/>
  <c r="F1240" i="2"/>
  <c r="E1240" i="2"/>
  <c r="D1240" i="2"/>
  <c r="C1240" i="2"/>
  <c r="B1240" i="2"/>
  <c r="A1240" i="2"/>
  <c r="F1239" i="2"/>
  <c r="E1239" i="2"/>
  <c r="D1239" i="2"/>
  <c r="C1239" i="2"/>
  <c r="B1239" i="2"/>
  <c r="A1239" i="2"/>
  <c r="F1238" i="2"/>
  <c r="E1238" i="2"/>
  <c r="D1238" i="2"/>
  <c r="C1238" i="2"/>
  <c r="B1238" i="2"/>
  <c r="A1238" i="2"/>
  <c r="F1237" i="2"/>
  <c r="E1237" i="2"/>
  <c r="D1237" i="2"/>
  <c r="C1237" i="2"/>
  <c r="B1237" i="2"/>
  <c r="A1237" i="2"/>
  <c r="F1236" i="2"/>
  <c r="E1236" i="2"/>
  <c r="D1236" i="2"/>
  <c r="C1236" i="2"/>
  <c r="B1236" i="2"/>
  <c r="A1236" i="2"/>
  <c r="F1235" i="2"/>
  <c r="E1235" i="2"/>
  <c r="D1235" i="2"/>
  <c r="C1235" i="2"/>
  <c r="B1235" i="2"/>
  <c r="A1235" i="2"/>
  <c r="F1234" i="2"/>
  <c r="E1234" i="2"/>
  <c r="D1234" i="2"/>
  <c r="C1234" i="2"/>
  <c r="B1234" i="2"/>
  <c r="A1234" i="2"/>
  <c r="F1233" i="2"/>
  <c r="E1233" i="2"/>
  <c r="D1233" i="2"/>
  <c r="C1233" i="2"/>
  <c r="B1233" i="2"/>
  <c r="A1233" i="2"/>
  <c r="F1232" i="2"/>
  <c r="E1232" i="2"/>
  <c r="D1232" i="2"/>
  <c r="C1232" i="2"/>
  <c r="B1232" i="2"/>
  <c r="A1232" i="2"/>
  <c r="F1231" i="2"/>
  <c r="E1231" i="2"/>
  <c r="D1231" i="2"/>
  <c r="C1231" i="2"/>
  <c r="B1231" i="2"/>
  <c r="A1231" i="2"/>
  <c r="F1230" i="2"/>
  <c r="E1230" i="2"/>
  <c r="D1230" i="2"/>
  <c r="C1230" i="2"/>
  <c r="B1230" i="2"/>
  <c r="A1230" i="2"/>
  <c r="F1229" i="2"/>
  <c r="E1229" i="2"/>
  <c r="D1229" i="2"/>
  <c r="C1229" i="2"/>
  <c r="B1229" i="2"/>
  <c r="A1229" i="2"/>
  <c r="F1228" i="2"/>
  <c r="E1228" i="2"/>
  <c r="D1228" i="2"/>
  <c r="C1228" i="2"/>
  <c r="B1228" i="2"/>
  <c r="A1228" i="2"/>
  <c r="F1227" i="2"/>
  <c r="E1227" i="2"/>
  <c r="D1227" i="2"/>
  <c r="C1227" i="2"/>
  <c r="B1227" i="2"/>
  <c r="A1227" i="2"/>
  <c r="F1226" i="2"/>
  <c r="E1226" i="2"/>
  <c r="D1226" i="2"/>
  <c r="C1226" i="2"/>
  <c r="B1226" i="2"/>
  <c r="A1226" i="2"/>
  <c r="F1225" i="2"/>
  <c r="E1225" i="2"/>
  <c r="D1225" i="2"/>
  <c r="C1225" i="2"/>
  <c r="B1225" i="2"/>
  <c r="A1225" i="2"/>
  <c r="F1224" i="2"/>
  <c r="E1224" i="2"/>
  <c r="D1224" i="2"/>
  <c r="C1224" i="2"/>
  <c r="B1224" i="2"/>
  <c r="A1224" i="2"/>
  <c r="F1223" i="2"/>
  <c r="E1223" i="2"/>
  <c r="D1223" i="2"/>
  <c r="C1223" i="2"/>
  <c r="B1223" i="2"/>
  <c r="A1223" i="2"/>
  <c r="F1222" i="2"/>
  <c r="E1222" i="2"/>
  <c r="D1222" i="2"/>
  <c r="C1222" i="2"/>
  <c r="B1222" i="2"/>
  <c r="A1222" i="2"/>
  <c r="F1221" i="2"/>
  <c r="E1221" i="2"/>
  <c r="D1221" i="2"/>
  <c r="C1221" i="2"/>
  <c r="B1221" i="2"/>
  <c r="A1221" i="2"/>
  <c r="F1220" i="2"/>
  <c r="E1220" i="2"/>
  <c r="D1220" i="2"/>
  <c r="C1220" i="2"/>
  <c r="B1220" i="2"/>
  <c r="A1220" i="2"/>
  <c r="F1219" i="2"/>
  <c r="E1219" i="2"/>
  <c r="D1219" i="2"/>
  <c r="C1219" i="2"/>
  <c r="B1219" i="2"/>
  <c r="A1219" i="2"/>
  <c r="F1218" i="2"/>
  <c r="E1218" i="2"/>
  <c r="D1218" i="2"/>
  <c r="C1218" i="2"/>
  <c r="B1218" i="2"/>
  <c r="A1218" i="2"/>
  <c r="F1217" i="2"/>
  <c r="E1217" i="2"/>
  <c r="D1217" i="2"/>
  <c r="C1217" i="2"/>
  <c r="B1217" i="2"/>
  <c r="A1217" i="2"/>
  <c r="F1216" i="2"/>
  <c r="E1216" i="2"/>
  <c r="D1216" i="2"/>
  <c r="C1216" i="2"/>
  <c r="B1216" i="2"/>
  <c r="A1216" i="2"/>
  <c r="F1215" i="2"/>
  <c r="E1215" i="2"/>
  <c r="D1215" i="2"/>
  <c r="C1215" i="2"/>
  <c r="B1215" i="2"/>
  <c r="A1215" i="2"/>
  <c r="F1214" i="2"/>
  <c r="E1214" i="2"/>
  <c r="D1214" i="2"/>
  <c r="C1214" i="2"/>
  <c r="B1214" i="2"/>
  <c r="A1214" i="2"/>
  <c r="F1213" i="2"/>
  <c r="E1213" i="2"/>
  <c r="D1213" i="2"/>
  <c r="C1213" i="2"/>
  <c r="B1213" i="2"/>
  <c r="A1213" i="2"/>
  <c r="F1212" i="2"/>
  <c r="E1212" i="2"/>
  <c r="D1212" i="2"/>
  <c r="C1212" i="2"/>
  <c r="B1212" i="2"/>
  <c r="A1212" i="2"/>
  <c r="F1211" i="2"/>
  <c r="E1211" i="2"/>
  <c r="D1211" i="2"/>
  <c r="C1211" i="2"/>
  <c r="B1211" i="2"/>
  <c r="A1211" i="2"/>
  <c r="F1210" i="2"/>
  <c r="E1210" i="2"/>
  <c r="D1210" i="2"/>
  <c r="C1210" i="2"/>
  <c r="B1210" i="2"/>
  <c r="A1210" i="2"/>
  <c r="F1209" i="2"/>
  <c r="E1209" i="2"/>
  <c r="D1209" i="2"/>
  <c r="C1209" i="2"/>
  <c r="B1209" i="2"/>
  <c r="A1209" i="2"/>
  <c r="F1208" i="2"/>
  <c r="E1208" i="2"/>
  <c r="D1208" i="2"/>
  <c r="C1208" i="2"/>
  <c r="B1208" i="2"/>
  <c r="A1208" i="2"/>
  <c r="F1207" i="2"/>
  <c r="E1207" i="2"/>
  <c r="D1207" i="2"/>
  <c r="C1207" i="2"/>
  <c r="B1207" i="2"/>
  <c r="A1207" i="2"/>
  <c r="F1206" i="2"/>
  <c r="E1206" i="2"/>
  <c r="D1206" i="2"/>
  <c r="C1206" i="2"/>
  <c r="B1206" i="2"/>
  <c r="A1206" i="2"/>
  <c r="F1205" i="2"/>
  <c r="E1205" i="2"/>
  <c r="D1205" i="2"/>
  <c r="C1205" i="2"/>
  <c r="B1205" i="2"/>
  <c r="A1205" i="2"/>
  <c r="F1204" i="2"/>
  <c r="E1204" i="2"/>
  <c r="D1204" i="2"/>
  <c r="C1204" i="2"/>
  <c r="B1204" i="2"/>
  <c r="A1204" i="2"/>
  <c r="F1203" i="2"/>
  <c r="E1203" i="2"/>
  <c r="D1203" i="2"/>
  <c r="C1203" i="2"/>
  <c r="B1203" i="2"/>
  <c r="A1203" i="2"/>
  <c r="F1202" i="2"/>
  <c r="E1202" i="2"/>
  <c r="D1202" i="2"/>
  <c r="C1202" i="2"/>
  <c r="B1202" i="2"/>
  <c r="A1202" i="2"/>
  <c r="F1201" i="2"/>
  <c r="E1201" i="2"/>
  <c r="D1201" i="2"/>
  <c r="C1201" i="2"/>
  <c r="B1201" i="2"/>
  <c r="A1201" i="2"/>
  <c r="F1200" i="2"/>
  <c r="E1200" i="2"/>
  <c r="D1200" i="2"/>
  <c r="C1200" i="2"/>
  <c r="B1200" i="2"/>
  <c r="A1200" i="2"/>
  <c r="F1198" i="2"/>
  <c r="E1198" i="2"/>
  <c r="D1198" i="2"/>
  <c r="C1198" i="2"/>
  <c r="B1198" i="2"/>
  <c r="A1198" i="2"/>
  <c r="F1197" i="2"/>
  <c r="E1197" i="2"/>
  <c r="D1197" i="2"/>
  <c r="C1197" i="2"/>
  <c r="B1197" i="2"/>
  <c r="A1197" i="2"/>
  <c r="F1196" i="2"/>
  <c r="E1196" i="2"/>
  <c r="D1196" i="2"/>
  <c r="C1196" i="2"/>
  <c r="B1196" i="2"/>
  <c r="A1196" i="2"/>
  <c r="F1195" i="2"/>
  <c r="E1195" i="2"/>
  <c r="D1195" i="2"/>
  <c r="C1195" i="2"/>
  <c r="B1195" i="2"/>
  <c r="A1195" i="2"/>
  <c r="F1194" i="2"/>
  <c r="E1194" i="2"/>
  <c r="D1194" i="2"/>
  <c r="C1194" i="2"/>
  <c r="B1194" i="2"/>
  <c r="A1194" i="2"/>
  <c r="F1193" i="2"/>
  <c r="E1193" i="2"/>
  <c r="D1193" i="2"/>
  <c r="C1193" i="2"/>
  <c r="B1193" i="2"/>
  <c r="A1193" i="2"/>
  <c r="F1192" i="2"/>
  <c r="E1192" i="2"/>
  <c r="D1192" i="2"/>
  <c r="C1192" i="2"/>
  <c r="B1192" i="2"/>
  <c r="A1192" i="2"/>
  <c r="F1191" i="2"/>
  <c r="E1191" i="2"/>
  <c r="D1191" i="2"/>
  <c r="C1191" i="2"/>
  <c r="B1191" i="2"/>
  <c r="A1191" i="2"/>
  <c r="F1189" i="2"/>
  <c r="E1189" i="2"/>
  <c r="D1189" i="2"/>
  <c r="C1189" i="2"/>
  <c r="B1189" i="2"/>
  <c r="A1189" i="2"/>
  <c r="F1188" i="2"/>
  <c r="E1188" i="2"/>
  <c r="D1188" i="2"/>
  <c r="C1188" i="2"/>
  <c r="B1188" i="2"/>
  <c r="A1188" i="2"/>
  <c r="F1187" i="2"/>
  <c r="E1187" i="2"/>
  <c r="D1187" i="2"/>
  <c r="C1187" i="2"/>
  <c r="B1187" i="2"/>
  <c r="A1187" i="2"/>
  <c r="F1186" i="2"/>
  <c r="E1186" i="2"/>
  <c r="D1186" i="2"/>
  <c r="C1186" i="2"/>
  <c r="B1186" i="2"/>
  <c r="A1186" i="2"/>
  <c r="F1185" i="2"/>
  <c r="E1185" i="2"/>
  <c r="D1185" i="2"/>
  <c r="C1185" i="2"/>
  <c r="B1185" i="2"/>
  <c r="A1185" i="2"/>
  <c r="F1184" i="2"/>
  <c r="E1184" i="2"/>
  <c r="D1184" i="2"/>
  <c r="C1184" i="2"/>
  <c r="B1184" i="2"/>
  <c r="A1184" i="2"/>
  <c r="F1183" i="2"/>
  <c r="E1183" i="2"/>
  <c r="D1183" i="2"/>
  <c r="C1183" i="2"/>
  <c r="B1183" i="2"/>
  <c r="A1183" i="2"/>
  <c r="F1182" i="2"/>
  <c r="E1182" i="2"/>
  <c r="D1182" i="2"/>
  <c r="C1182" i="2"/>
  <c r="B1182" i="2"/>
  <c r="A1182" i="2"/>
  <c r="F1181" i="2"/>
  <c r="E1181" i="2"/>
  <c r="D1181" i="2"/>
  <c r="C1181" i="2"/>
  <c r="B1181" i="2"/>
  <c r="A1181" i="2"/>
  <c r="F1180" i="2"/>
  <c r="E1180" i="2"/>
  <c r="D1180" i="2"/>
  <c r="C1180" i="2"/>
  <c r="B1180" i="2"/>
  <c r="A1180" i="2"/>
  <c r="F1179" i="2"/>
  <c r="E1179" i="2"/>
  <c r="D1179" i="2"/>
  <c r="C1179" i="2"/>
  <c r="B1179" i="2"/>
  <c r="A1179" i="2"/>
  <c r="F1178" i="2"/>
  <c r="E1178" i="2"/>
  <c r="D1178" i="2"/>
  <c r="C1178" i="2"/>
  <c r="B1178" i="2"/>
  <c r="A1178" i="2"/>
  <c r="F1177" i="2"/>
  <c r="E1177" i="2"/>
  <c r="D1177" i="2"/>
  <c r="C1177" i="2"/>
  <c r="B1177" i="2"/>
  <c r="A1177" i="2"/>
  <c r="F1176" i="2"/>
  <c r="E1176" i="2"/>
  <c r="D1176" i="2"/>
  <c r="C1176" i="2"/>
  <c r="B1176" i="2"/>
  <c r="A1176" i="2"/>
  <c r="F1175" i="2"/>
  <c r="E1175" i="2"/>
  <c r="D1175" i="2"/>
  <c r="C1175" i="2"/>
  <c r="B1175" i="2"/>
  <c r="A1175" i="2"/>
  <c r="F1174" i="2"/>
  <c r="E1174" i="2"/>
  <c r="D1174" i="2"/>
  <c r="C1174" i="2"/>
  <c r="B1174" i="2"/>
  <c r="A1174" i="2"/>
  <c r="F1173" i="2"/>
  <c r="E1173" i="2"/>
  <c r="D1173" i="2"/>
  <c r="C1173" i="2"/>
  <c r="B1173" i="2"/>
  <c r="A1173" i="2"/>
  <c r="F1172" i="2"/>
  <c r="E1172" i="2"/>
  <c r="D1172" i="2"/>
  <c r="C1172" i="2"/>
  <c r="B1172" i="2"/>
  <c r="A1172" i="2"/>
  <c r="F1171" i="2"/>
  <c r="E1171" i="2"/>
  <c r="D1171" i="2"/>
  <c r="C1171" i="2"/>
  <c r="B1171" i="2"/>
  <c r="A1171" i="2"/>
  <c r="F1170" i="2"/>
  <c r="E1170" i="2"/>
  <c r="D1170" i="2"/>
  <c r="C1170" i="2"/>
  <c r="B1170" i="2"/>
  <c r="A1170" i="2"/>
  <c r="F1169" i="2"/>
  <c r="E1169" i="2"/>
  <c r="D1169" i="2"/>
  <c r="C1169" i="2"/>
  <c r="B1169" i="2"/>
  <c r="A1169" i="2"/>
  <c r="F1168" i="2"/>
  <c r="E1168" i="2"/>
  <c r="D1168" i="2"/>
  <c r="C1168" i="2"/>
  <c r="B1168" i="2"/>
  <c r="A1168" i="2"/>
  <c r="F1167" i="2"/>
  <c r="E1167" i="2"/>
  <c r="D1167" i="2"/>
  <c r="C1167" i="2"/>
  <c r="B1167" i="2"/>
  <c r="A1167" i="2"/>
  <c r="F1166" i="2"/>
  <c r="E1166" i="2"/>
  <c r="D1166" i="2"/>
  <c r="C1166" i="2"/>
  <c r="B1166" i="2"/>
  <c r="A1166" i="2"/>
  <c r="F1165" i="2"/>
  <c r="E1165" i="2"/>
  <c r="D1165" i="2"/>
  <c r="C1165" i="2"/>
  <c r="B1165" i="2"/>
  <c r="A1165" i="2"/>
  <c r="F1164" i="2"/>
  <c r="E1164" i="2"/>
  <c r="D1164" i="2"/>
  <c r="C1164" i="2"/>
  <c r="B1164" i="2"/>
  <c r="A1164" i="2"/>
  <c r="F1163" i="2"/>
  <c r="E1163" i="2"/>
  <c r="D1163" i="2"/>
  <c r="C1163" i="2"/>
  <c r="B1163" i="2"/>
  <c r="A1163" i="2"/>
  <c r="F1162" i="2"/>
  <c r="E1162" i="2"/>
  <c r="D1162" i="2"/>
  <c r="C1162" i="2"/>
  <c r="B1162" i="2"/>
  <c r="A1162" i="2"/>
  <c r="F1161" i="2"/>
  <c r="E1161" i="2"/>
  <c r="D1161" i="2"/>
  <c r="C1161" i="2"/>
  <c r="B1161" i="2"/>
  <c r="A1161" i="2"/>
  <c r="F1160" i="2"/>
  <c r="E1160" i="2"/>
  <c r="D1160" i="2"/>
  <c r="C1160" i="2"/>
  <c r="B1160" i="2"/>
  <c r="A1160" i="2"/>
  <c r="F1159" i="2"/>
  <c r="E1159" i="2"/>
  <c r="D1159" i="2"/>
  <c r="C1159" i="2"/>
  <c r="B1159" i="2"/>
  <c r="A1159" i="2"/>
  <c r="F1158" i="2"/>
  <c r="E1158" i="2"/>
  <c r="D1158" i="2"/>
  <c r="C1158" i="2"/>
  <c r="B1158" i="2"/>
  <c r="A1158" i="2"/>
  <c r="F1157" i="2"/>
  <c r="E1157" i="2"/>
  <c r="D1157" i="2"/>
  <c r="C1157" i="2"/>
  <c r="B1157" i="2"/>
  <c r="A1157" i="2"/>
  <c r="F1156" i="2"/>
  <c r="E1156" i="2"/>
  <c r="D1156" i="2"/>
  <c r="C1156" i="2"/>
  <c r="B1156" i="2"/>
  <c r="A1156" i="2"/>
  <c r="F1155" i="2"/>
  <c r="E1155" i="2"/>
  <c r="D1155" i="2"/>
  <c r="C1155" i="2"/>
  <c r="B1155" i="2"/>
  <c r="A1155" i="2"/>
  <c r="F1154" i="2"/>
  <c r="E1154" i="2"/>
  <c r="D1154" i="2"/>
  <c r="C1154" i="2"/>
  <c r="B1154" i="2"/>
  <c r="A1154" i="2"/>
  <c r="F1153" i="2"/>
  <c r="E1153" i="2"/>
  <c r="D1153" i="2"/>
  <c r="C1153" i="2"/>
  <c r="B1153" i="2"/>
  <c r="A1153" i="2"/>
  <c r="F1152" i="2"/>
  <c r="E1152" i="2"/>
  <c r="D1152" i="2"/>
  <c r="C1152" i="2"/>
  <c r="B1152" i="2"/>
  <c r="A1152" i="2"/>
  <c r="F1151" i="2"/>
  <c r="E1151" i="2"/>
  <c r="D1151" i="2"/>
  <c r="C1151" i="2"/>
  <c r="B1151" i="2"/>
  <c r="A1151" i="2"/>
  <c r="F1150" i="2"/>
  <c r="E1150" i="2"/>
  <c r="D1150" i="2"/>
  <c r="C1150" i="2"/>
  <c r="B1150" i="2"/>
  <c r="A1150" i="2"/>
  <c r="F1149" i="2"/>
  <c r="E1149" i="2"/>
  <c r="D1149" i="2"/>
  <c r="C1149" i="2"/>
  <c r="B1149" i="2"/>
  <c r="A1149" i="2"/>
  <c r="F1148" i="2"/>
  <c r="E1148" i="2"/>
  <c r="D1148" i="2"/>
  <c r="C1148" i="2"/>
  <c r="B1148" i="2"/>
  <c r="A1148" i="2"/>
  <c r="F1147" i="2"/>
  <c r="E1147" i="2"/>
  <c r="D1147" i="2"/>
  <c r="C1147" i="2"/>
  <c r="B1147" i="2"/>
  <c r="A1147" i="2"/>
  <c r="F1146" i="2"/>
  <c r="E1146" i="2"/>
  <c r="D1146" i="2"/>
  <c r="C1146" i="2"/>
  <c r="B1146" i="2"/>
  <c r="A1146" i="2"/>
  <c r="F1145" i="2"/>
  <c r="E1145" i="2"/>
  <c r="D1145" i="2"/>
  <c r="C1145" i="2"/>
  <c r="B1145" i="2"/>
  <c r="A1145" i="2"/>
  <c r="F1144" i="2"/>
  <c r="E1144" i="2"/>
  <c r="D1144" i="2"/>
  <c r="C1144" i="2"/>
  <c r="B1144" i="2"/>
  <c r="A1144" i="2"/>
  <c r="F1143" i="2"/>
  <c r="E1143" i="2"/>
  <c r="D1143" i="2"/>
  <c r="C1143" i="2"/>
  <c r="B1143" i="2"/>
  <c r="A1143" i="2"/>
  <c r="F1142" i="2"/>
  <c r="E1142" i="2"/>
  <c r="D1142" i="2"/>
  <c r="C1142" i="2"/>
  <c r="B1142" i="2"/>
  <c r="A1142" i="2"/>
  <c r="F1141" i="2"/>
  <c r="E1141" i="2"/>
  <c r="D1141" i="2"/>
  <c r="C1141" i="2"/>
  <c r="B1141" i="2"/>
  <c r="A1141" i="2"/>
  <c r="F1140" i="2"/>
  <c r="E1140" i="2"/>
  <c r="D1140" i="2"/>
  <c r="C1140" i="2"/>
  <c r="B1140" i="2"/>
  <c r="A1140" i="2"/>
  <c r="F1139" i="2"/>
  <c r="E1139" i="2"/>
  <c r="D1139" i="2"/>
  <c r="C1139" i="2"/>
  <c r="B1139" i="2"/>
  <c r="A1139" i="2"/>
  <c r="F1138" i="2"/>
  <c r="E1138" i="2"/>
  <c r="D1138" i="2"/>
  <c r="C1138" i="2"/>
  <c r="B1138" i="2"/>
  <c r="A1138" i="2"/>
  <c r="F1137" i="2"/>
  <c r="E1137" i="2"/>
  <c r="D1137" i="2"/>
  <c r="C1137" i="2"/>
  <c r="B1137" i="2"/>
  <c r="A1137" i="2"/>
  <c r="F1136" i="2"/>
  <c r="E1136" i="2"/>
  <c r="D1136" i="2"/>
  <c r="C1136" i="2"/>
  <c r="B1136" i="2"/>
  <c r="A1136" i="2"/>
  <c r="F1135" i="2"/>
  <c r="E1135" i="2"/>
  <c r="D1135" i="2"/>
  <c r="C1135" i="2"/>
  <c r="B1135" i="2"/>
  <c r="A1135" i="2"/>
  <c r="F1134" i="2"/>
  <c r="E1134" i="2"/>
  <c r="D1134" i="2"/>
  <c r="C1134" i="2"/>
  <c r="B1134" i="2"/>
  <c r="A1134" i="2"/>
  <c r="F1133" i="2"/>
  <c r="E1133" i="2"/>
  <c r="D1133" i="2"/>
  <c r="C1133" i="2"/>
  <c r="B1133" i="2"/>
  <c r="A1133" i="2"/>
  <c r="E1132" i="2"/>
  <c r="D1132" i="2"/>
  <c r="C1132" i="2"/>
  <c r="B1132" i="2"/>
  <c r="A1132" i="2"/>
  <c r="F1131" i="2"/>
  <c r="E1131" i="2"/>
  <c r="D1131" i="2"/>
  <c r="C1131" i="2"/>
  <c r="B1131" i="2"/>
  <c r="A1131" i="2"/>
  <c r="F1130" i="2"/>
  <c r="E1130" i="2"/>
  <c r="D1130" i="2"/>
  <c r="C1130" i="2"/>
  <c r="B1130" i="2"/>
  <c r="A1130" i="2"/>
  <c r="F1129" i="2"/>
  <c r="E1129" i="2"/>
  <c r="D1129" i="2"/>
  <c r="C1129" i="2"/>
  <c r="B1129" i="2"/>
  <c r="A1129" i="2"/>
  <c r="F1128" i="2"/>
  <c r="E1128" i="2"/>
  <c r="D1128" i="2"/>
  <c r="C1128" i="2"/>
  <c r="B1128" i="2"/>
  <c r="A1128" i="2"/>
  <c r="F1127" i="2"/>
  <c r="E1127" i="2"/>
  <c r="D1127" i="2"/>
  <c r="C1127" i="2"/>
  <c r="B1127" i="2"/>
  <c r="A1127" i="2"/>
  <c r="F1126" i="2"/>
  <c r="E1126" i="2"/>
  <c r="D1126" i="2"/>
  <c r="C1126" i="2"/>
  <c r="B1126" i="2"/>
  <c r="A1126" i="2"/>
  <c r="F1125" i="2"/>
  <c r="E1125" i="2"/>
  <c r="D1125" i="2"/>
  <c r="C1125" i="2"/>
  <c r="B1125" i="2"/>
  <c r="A1125" i="2"/>
  <c r="F1124" i="2"/>
  <c r="E1124" i="2"/>
  <c r="D1124" i="2"/>
  <c r="C1124" i="2"/>
  <c r="B1124" i="2"/>
  <c r="A1124" i="2"/>
  <c r="F1123" i="2"/>
  <c r="E1123" i="2"/>
  <c r="D1123" i="2"/>
  <c r="C1123" i="2"/>
  <c r="B1123" i="2"/>
  <c r="A1123" i="2"/>
  <c r="F1122" i="2"/>
  <c r="E1122" i="2"/>
  <c r="D1122" i="2"/>
  <c r="C1122" i="2"/>
  <c r="B1122" i="2"/>
  <c r="A1122" i="2"/>
  <c r="F1121" i="2"/>
  <c r="E1121" i="2"/>
  <c r="D1121" i="2"/>
  <c r="C1121" i="2"/>
  <c r="B1121" i="2"/>
  <c r="A1121" i="2"/>
  <c r="F1120" i="2"/>
  <c r="E1120" i="2"/>
  <c r="D1120" i="2"/>
  <c r="C1120" i="2"/>
  <c r="B1120" i="2"/>
  <c r="A1120" i="2"/>
  <c r="F1119" i="2"/>
  <c r="E1119" i="2"/>
  <c r="D1119" i="2"/>
  <c r="C1119" i="2"/>
  <c r="B1119" i="2"/>
  <c r="A1119" i="2"/>
  <c r="F1118" i="2"/>
  <c r="E1118" i="2"/>
  <c r="D1118" i="2"/>
  <c r="C1118" i="2"/>
  <c r="B1118" i="2"/>
  <c r="A1118" i="2"/>
  <c r="F1117" i="2"/>
  <c r="E1117" i="2"/>
  <c r="D1117" i="2"/>
  <c r="C1117" i="2"/>
  <c r="B1117" i="2"/>
  <c r="A1117" i="2"/>
  <c r="F1116" i="2"/>
  <c r="E1116" i="2"/>
  <c r="D1116" i="2"/>
  <c r="C1116" i="2"/>
  <c r="B1116" i="2"/>
  <c r="A1116" i="2"/>
  <c r="F1115" i="2"/>
  <c r="E1115" i="2"/>
  <c r="D1115" i="2"/>
  <c r="C1115" i="2"/>
  <c r="B1115" i="2"/>
  <c r="A1115" i="2"/>
  <c r="F1114" i="2"/>
  <c r="E1114" i="2"/>
  <c r="D1114" i="2"/>
  <c r="C1114" i="2"/>
  <c r="B1114" i="2"/>
  <c r="A1114" i="2"/>
  <c r="F1113" i="2"/>
  <c r="E1113" i="2"/>
  <c r="D1113" i="2"/>
  <c r="C1113" i="2"/>
  <c r="B1113" i="2"/>
  <c r="A1113" i="2"/>
  <c r="F1112" i="2"/>
  <c r="E1112" i="2"/>
  <c r="D1112" i="2"/>
  <c r="C1112" i="2"/>
  <c r="B1112" i="2"/>
  <c r="A1112" i="2"/>
  <c r="F1111" i="2"/>
  <c r="E1111" i="2"/>
  <c r="D1111" i="2"/>
  <c r="C1111" i="2"/>
  <c r="B1111" i="2"/>
  <c r="A1111" i="2"/>
  <c r="F1110" i="2"/>
  <c r="E1110" i="2"/>
  <c r="D1110" i="2"/>
  <c r="C1110" i="2"/>
  <c r="B1110" i="2"/>
  <c r="A1110" i="2"/>
  <c r="F1109" i="2"/>
  <c r="E1109" i="2"/>
  <c r="D1109" i="2"/>
  <c r="C1109" i="2"/>
  <c r="B1109" i="2"/>
  <c r="A1109" i="2"/>
  <c r="F1108" i="2"/>
  <c r="E1108" i="2"/>
  <c r="D1108" i="2"/>
  <c r="C1108" i="2"/>
  <c r="B1108" i="2"/>
  <c r="A1108" i="2"/>
  <c r="F1107" i="2"/>
  <c r="E1107" i="2"/>
  <c r="D1107" i="2"/>
  <c r="C1107" i="2"/>
  <c r="B1107" i="2"/>
  <c r="A1107" i="2"/>
  <c r="F1106" i="2"/>
  <c r="E1106" i="2"/>
  <c r="D1106" i="2"/>
  <c r="C1106" i="2"/>
  <c r="B1106" i="2"/>
  <c r="A1106" i="2"/>
  <c r="F1105" i="2"/>
  <c r="E1105" i="2"/>
  <c r="D1105" i="2"/>
  <c r="C1105" i="2"/>
  <c r="B1105" i="2"/>
  <c r="A1105" i="2"/>
  <c r="F1104" i="2"/>
  <c r="E1104" i="2"/>
  <c r="D1104" i="2"/>
  <c r="C1104" i="2"/>
  <c r="B1104" i="2"/>
  <c r="A1104" i="2"/>
  <c r="F1103" i="2"/>
  <c r="E1103" i="2"/>
  <c r="D1103" i="2"/>
  <c r="C1103" i="2"/>
  <c r="B1103" i="2"/>
  <c r="A1103" i="2"/>
  <c r="F1102" i="2"/>
  <c r="E1102" i="2"/>
  <c r="D1102" i="2"/>
  <c r="C1102" i="2"/>
  <c r="B1102" i="2"/>
  <c r="A1102" i="2"/>
  <c r="F1101" i="2"/>
  <c r="E1101" i="2"/>
  <c r="D1101" i="2"/>
  <c r="C1101" i="2"/>
  <c r="B1101" i="2"/>
  <c r="A1101" i="2"/>
  <c r="F1100" i="2"/>
  <c r="E1100" i="2"/>
  <c r="D1100" i="2"/>
  <c r="C1100" i="2"/>
  <c r="B1100" i="2"/>
  <c r="A1100" i="2"/>
  <c r="F1099" i="2"/>
  <c r="E1099" i="2"/>
  <c r="D1099" i="2"/>
  <c r="C1099" i="2"/>
  <c r="B1099" i="2"/>
  <c r="A1099" i="2"/>
  <c r="F1098" i="2"/>
  <c r="E1098" i="2"/>
  <c r="D1098" i="2"/>
  <c r="C1098" i="2"/>
  <c r="B1098" i="2"/>
  <c r="A1098" i="2"/>
  <c r="F1097" i="2"/>
  <c r="E1097" i="2"/>
  <c r="D1097" i="2"/>
  <c r="C1097" i="2"/>
  <c r="B1097" i="2"/>
  <c r="A1097" i="2"/>
  <c r="F1096" i="2"/>
  <c r="E1096" i="2"/>
  <c r="D1096" i="2"/>
  <c r="C1096" i="2"/>
  <c r="B1096" i="2"/>
  <c r="A1096" i="2"/>
  <c r="F1095" i="2"/>
  <c r="E1095" i="2"/>
  <c r="D1095" i="2"/>
  <c r="C1095" i="2"/>
  <c r="B1095" i="2"/>
  <c r="A1095" i="2"/>
  <c r="F1094" i="2"/>
  <c r="E1094" i="2"/>
  <c r="D1094" i="2"/>
  <c r="C1094" i="2"/>
  <c r="B1094" i="2"/>
  <c r="A1094" i="2"/>
  <c r="F1093" i="2"/>
  <c r="E1093" i="2"/>
  <c r="D1093" i="2"/>
  <c r="C1093" i="2"/>
  <c r="B1093" i="2"/>
  <c r="A1093" i="2"/>
  <c r="F1092" i="2"/>
  <c r="E1092" i="2"/>
  <c r="D1092" i="2"/>
  <c r="C1092" i="2"/>
  <c r="B1092" i="2"/>
  <c r="A1092" i="2"/>
  <c r="F1091" i="2"/>
  <c r="E1091" i="2"/>
  <c r="D1091" i="2"/>
  <c r="C1091" i="2"/>
  <c r="B1091" i="2"/>
  <c r="A1091" i="2"/>
  <c r="F1090" i="2"/>
  <c r="E1090" i="2"/>
  <c r="D1090" i="2"/>
  <c r="C1090" i="2"/>
  <c r="B1090" i="2"/>
  <c r="A1090" i="2"/>
  <c r="F1089" i="2"/>
  <c r="E1089" i="2"/>
  <c r="D1089" i="2"/>
  <c r="C1089" i="2"/>
  <c r="B1089" i="2"/>
  <c r="A1089" i="2"/>
  <c r="F1088" i="2"/>
  <c r="E1088" i="2"/>
  <c r="D1088" i="2"/>
  <c r="C1088" i="2"/>
  <c r="B1088" i="2"/>
  <c r="A1088" i="2"/>
  <c r="F1087" i="2"/>
  <c r="E1087" i="2"/>
  <c r="D1087" i="2"/>
  <c r="C1087" i="2"/>
  <c r="B1087" i="2"/>
  <c r="A1087" i="2"/>
  <c r="F1086" i="2"/>
  <c r="E1086" i="2"/>
  <c r="D1086" i="2"/>
  <c r="C1086" i="2"/>
  <c r="B1086" i="2"/>
  <c r="A1086" i="2"/>
  <c r="F1085" i="2"/>
  <c r="E1085" i="2"/>
  <c r="D1085" i="2"/>
  <c r="C1085" i="2"/>
  <c r="B1085" i="2"/>
  <c r="A1085" i="2"/>
  <c r="F1084" i="2"/>
  <c r="E1084" i="2"/>
  <c r="D1084" i="2"/>
  <c r="C1084" i="2"/>
  <c r="B1084" i="2"/>
  <c r="A1084" i="2"/>
  <c r="F1083" i="2"/>
  <c r="E1083" i="2"/>
  <c r="D1083" i="2"/>
  <c r="C1083" i="2"/>
  <c r="B1083" i="2"/>
  <c r="A1083" i="2"/>
  <c r="F1082" i="2"/>
  <c r="E1082" i="2"/>
  <c r="D1082" i="2"/>
  <c r="C1082" i="2"/>
  <c r="B1082" i="2"/>
  <c r="A1082" i="2"/>
  <c r="F1081" i="2"/>
  <c r="E1081" i="2"/>
  <c r="D1081" i="2"/>
  <c r="C1081" i="2"/>
  <c r="B1081" i="2"/>
  <c r="A1081" i="2"/>
  <c r="F1080" i="2"/>
  <c r="E1080" i="2"/>
  <c r="D1080" i="2"/>
  <c r="C1080" i="2"/>
  <c r="B1080" i="2"/>
  <c r="A1080" i="2"/>
  <c r="F1079" i="2"/>
  <c r="E1079" i="2"/>
  <c r="D1079" i="2"/>
  <c r="C1079" i="2"/>
  <c r="B1079" i="2"/>
  <c r="A1079" i="2"/>
  <c r="F1078" i="2"/>
  <c r="E1078" i="2"/>
  <c r="D1078" i="2"/>
  <c r="C1078" i="2"/>
  <c r="B1078" i="2"/>
  <c r="A1078" i="2"/>
  <c r="F1077" i="2"/>
  <c r="E1077" i="2"/>
  <c r="D1077" i="2"/>
  <c r="C1077" i="2"/>
  <c r="B1077" i="2"/>
  <c r="A1077" i="2"/>
  <c r="F1076" i="2"/>
  <c r="E1076" i="2"/>
  <c r="D1076" i="2"/>
  <c r="C1076" i="2"/>
  <c r="B1076" i="2"/>
  <c r="A1076" i="2"/>
  <c r="F1075" i="2"/>
  <c r="E1075" i="2"/>
  <c r="D1075" i="2"/>
  <c r="C1075" i="2"/>
  <c r="B1075" i="2"/>
  <c r="A1075" i="2"/>
  <c r="F1074" i="2"/>
  <c r="E1074" i="2"/>
  <c r="D1074" i="2"/>
  <c r="C1074" i="2"/>
  <c r="B1074" i="2"/>
  <c r="A1074" i="2"/>
  <c r="F1073" i="2"/>
  <c r="E1073" i="2"/>
  <c r="D1073" i="2"/>
  <c r="C1073" i="2"/>
  <c r="B1073" i="2"/>
  <c r="A1073" i="2"/>
  <c r="F1072" i="2"/>
  <c r="E1072" i="2"/>
  <c r="D1072" i="2"/>
  <c r="C1072" i="2"/>
  <c r="B1072" i="2"/>
  <c r="A1072" i="2"/>
  <c r="F1071" i="2"/>
  <c r="E1071" i="2"/>
  <c r="D1071" i="2"/>
  <c r="C1071" i="2"/>
  <c r="B1071" i="2"/>
  <c r="A1071" i="2"/>
  <c r="F1070" i="2"/>
  <c r="E1070" i="2"/>
  <c r="D1070" i="2"/>
  <c r="C1070" i="2"/>
  <c r="B1070" i="2"/>
  <c r="A1070" i="2"/>
  <c r="F1069" i="2"/>
  <c r="E1069" i="2"/>
  <c r="D1069" i="2"/>
  <c r="C1069" i="2"/>
  <c r="B1069" i="2"/>
  <c r="A1069" i="2"/>
  <c r="F1068" i="2"/>
  <c r="E1068" i="2"/>
  <c r="D1068" i="2"/>
  <c r="C1068" i="2"/>
  <c r="B1068" i="2"/>
  <c r="A1068" i="2"/>
  <c r="F1067" i="2"/>
  <c r="E1067" i="2"/>
  <c r="D1067" i="2"/>
  <c r="C1067" i="2"/>
  <c r="B1067" i="2"/>
  <c r="A1067" i="2"/>
  <c r="F1066" i="2"/>
  <c r="E1066" i="2"/>
  <c r="D1066" i="2"/>
  <c r="C1066" i="2"/>
  <c r="B1066" i="2"/>
  <c r="A1066" i="2"/>
  <c r="F1065" i="2"/>
  <c r="E1065" i="2"/>
  <c r="D1065" i="2"/>
  <c r="C1065" i="2"/>
  <c r="B1065" i="2"/>
  <c r="A1065" i="2"/>
  <c r="F1064" i="2"/>
  <c r="E1064" i="2"/>
  <c r="D1064" i="2"/>
  <c r="C1064" i="2"/>
  <c r="B1064" i="2"/>
  <c r="A1064" i="2"/>
  <c r="F1063" i="2"/>
  <c r="E1063" i="2"/>
  <c r="D1063" i="2"/>
  <c r="C1063" i="2"/>
  <c r="B1063" i="2"/>
  <c r="A1063" i="2"/>
  <c r="F1062" i="2"/>
  <c r="E1062" i="2"/>
  <c r="D1062" i="2"/>
  <c r="C1062" i="2"/>
  <c r="B1062" i="2"/>
  <c r="A1062" i="2"/>
  <c r="F1061" i="2"/>
  <c r="E1061" i="2"/>
  <c r="D1061" i="2"/>
  <c r="C1061" i="2"/>
  <c r="B1061" i="2"/>
  <c r="A1061" i="2"/>
  <c r="F1060" i="2"/>
  <c r="E1060" i="2"/>
  <c r="D1060" i="2"/>
  <c r="C1060" i="2"/>
  <c r="B1060" i="2"/>
  <c r="A1060" i="2"/>
  <c r="F1059" i="2"/>
  <c r="E1059" i="2"/>
  <c r="D1059" i="2"/>
  <c r="C1059" i="2"/>
  <c r="B1059" i="2"/>
  <c r="A1059" i="2"/>
  <c r="F1058" i="2"/>
  <c r="E1058" i="2"/>
  <c r="D1058" i="2"/>
  <c r="C1058" i="2"/>
  <c r="B1058" i="2"/>
  <c r="A1058" i="2"/>
  <c r="F1057" i="2"/>
  <c r="E1057" i="2"/>
  <c r="D1057" i="2"/>
  <c r="C1057" i="2"/>
  <c r="B1057" i="2"/>
  <c r="A1057" i="2"/>
  <c r="F1056" i="2"/>
  <c r="E1056" i="2"/>
  <c r="D1056" i="2"/>
  <c r="C1056" i="2"/>
  <c r="B1056" i="2"/>
  <c r="A1056" i="2"/>
  <c r="F1055" i="2"/>
  <c r="E1055" i="2"/>
  <c r="D1055" i="2"/>
  <c r="C1055" i="2"/>
  <c r="B1055" i="2"/>
  <c r="A1055" i="2"/>
  <c r="F1054" i="2"/>
  <c r="E1054" i="2"/>
  <c r="D1054" i="2"/>
  <c r="C1054" i="2"/>
  <c r="B1054" i="2"/>
  <c r="A1054" i="2"/>
  <c r="F1053" i="2"/>
  <c r="E1053" i="2"/>
  <c r="D1053" i="2"/>
  <c r="C1053" i="2"/>
  <c r="B1053" i="2"/>
  <c r="A1053" i="2"/>
  <c r="F1052" i="2"/>
  <c r="E1052" i="2"/>
  <c r="D1052" i="2"/>
  <c r="C1052" i="2"/>
  <c r="B1052" i="2"/>
  <c r="A1052" i="2"/>
  <c r="F1051" i="2"/>
  <c r="E1051" i="2"/>
  <c r="D1051" i="2"/>
  <c r="C1051" i="2"/>
  <c r="B1051" i="2"/>
  <c r="A1051" i="2"/>
  <c r="F1050" i="2"/>
  <c r="E1050" i="2"/>
  <c r="D1050" i="2"/>
  <c r="C1050" i="2"/>
  <c r="B1050" i="2"/>
  <c r="A1050" i="2"/>
  <c r="F1049" i="2"/>
  <c r="E1049" i="2"/>
  <c r="D1049" i="2"/>
  <c r="C1049" i="2"/>
  <c r="B1049" i="2"/>
  <c r="A1049" i="2"/>
  <c r="F1048" i="2"/>
  <c r="E1048" i="2"/>
  <c r="D1048" i="2"/>
  <c r="C1048" i="2"/>
  <c r="B1048" i="2"/>
  <c r="A1048" i="2"/>
  <c r="F1047" i="2"/>
  <c r="E1047" i="2"/>
  <c r="D1047" i="2"/>
  <c r="C1047" i="2"/>
  <c r="B1047" i="2"/>
  <c r="A1047" i="2"/>
  <c r="F1046" i="2"/>
  <c r="E1046" i="2"/>
  <c r="D1046" i="2"/>
  <c r="C1046" i="2"/>
  <c r="B1046" i="2"/>
  <c r="A1046" i="2"/>
  <c r="F1045" i="2"/>
  <c r="E1045" i="2"/>
  <c r="D1045" i="2"/>
  <c r="C1045" i="2"/>
  <c r="B1045" i="2"/>
  <c r="A1045" i="2"/>
  <c r="F1044" i="2"/>
  <c r="E1044" i="2"/>
  <c r="D1044" i="2"/>
  <c r="C1044" i="2"/>
  <c r="B1044" i="2"/>
  <c r="A1044" i="2"/>
  <c r="F1043" i="2"/>
  <c r="E1043" i="2"/>
  <c r="D1043" i="2"/>
  <c r="C1043" i="2"/>
  <c r="B1043" i="2"/>
  <c r="A1043" i="2"/>
  <c r="F1042" i="2"/>
  <c r="E1042" i="2"/>
  <c r="D1042" i="2"/>
  <c r="C1042" i="2"/>
  <c r="B1042" i="2"/>
  <c r="A1042" i="2"/>
  <c r="F1041" i="2"/>
  <c r="E1041" i="2"/>
  <c r="D1041" i="2"/>
  <c r="C1041" i="2"/>
  <c r="B1041" i="2"/>
  <c r="A1041" i="2"/>
  <c r="F1040" i="2"/>
  <c r="E1040" i="2"/>
  <c r="D1040" i="2"/>
  <c r="C1040" i="2"/>
  <c r="B1040" i="2"/>
  <c r="A1040" i="2"/>
  <c r="F1039" i="2"/>
  <c r="E1039" i="2"/>
  <c r="D1039" i="2"/>
  <c r="C1039" i="2"/>
  <c r="B1039" i="2"/>
  <c r="A1039" i="2"/>
  <c r="F1038" i="2"/>
  <c r="E1038" i="2"/>
  <c r="D1038" i="2"/>
  <c r="C1038" i="2"/>
  <c r="B1038" i="2"/>
  <c r="A1038" i="2"/>
  <c r="F1037" i="2"/>
  <c r="E1037" i="2"/>
  <c r="D1037" i="2"/>
  <c r="C1037" i="2"/>
  <c r="B1037" i="2"/>
  <c r="A1037" i="2"/>
  <c r="F1036" i="2"/>
  <c r="E1036" i="2"/>
  <c r="D1036" i="2"/>
  <c r="C1036" i="2"/>
  <c r="B1036" i="2"/>
  <c r="A1036" i="2"/>
  <c r="F1035" i="2"/>
  <c r="E1035" i="2"/>
  <c r="D1035" i="2"/>
  <c r="C1035" i="2"/>
  <c r="B1035" i="2"/>
  <c r="A1035" i="2"/>
  <c r="F1034" i="2"/>
  <c r="E1034" i="2"/>
  <c r="D1034" i="2"/>
  <c r="C1034" i="2"/>
  <c r="B1034" i="2"/>
  <c r="A1034" i="2"/>
  <c r="F1033" i="2"/>
  <c r="E1033" i="2"/>
  <c r="D1033" i="2"/>
  <c r="C1033" i="2"/>
  <c r="B1033" i="2"/>
  <c r="A1033" i="2"/>
  <c r="F1032" i="2"/>
  <c r="E1032" i="2"/>
  <c r="D1032" i="2"/>
  <c r="C1032" i="2"/>
  <c r="B1032" i="2"/>
  <c r="A1032" i="2"/>
  <c r="F1031" i="2"/>
  <c r="E1031" i="2"/>
  <c r="D1031" i="2"/>
  <c r="C1031" i="2"/>
  <c r="B1031" i="2"/>
  <c r="A1031" i="2"/>
  <c r="F1030" i="2"/>
  <c r="E1030" i="2"/>
  <c r="D1030" i="2"/>
  <c r="C1030" i="2"/>
  <c r="B1030" i="2"/>
  <c r="A1030" i="2"/>
  <c r="F1029" i="2"/>
  <c r="E1029" i="2"/>
  <c r="D1029" i="2"/>
  <c r="C1029" i="2"/>
  <c r="B1029" i="2"/>
  <c r="A1029" i="2"/>
  <c r="F1028" i="2"/>
  <c r="E1028" i="2"/>
  <c r="D1028" i="2"/>
  <c r="C1028" i="2"/>
  <c r="B1028" i="2"/>
  <c r="A1028" i="2"/>
  <c r="F1027" i="2"/>
  <c r="E1027" i="2"/>
  <c r="D1027" i="2"/>
  <c r="C1027" i="2"/>
  <c r="B1027" i="2"/>
  <c r="A1027" i="2"/>
  <c r="F1026" i="2"/>
  <c r="E1026" i="2"/>
  <c r="D1026" i="2"/>
  <c r="C1026" i="2"/>
  <c r="B1026" i="2"/>
  <c r="A1026" i="2"/>
  <c r="F1025" i="2"/>
  <c r="E1025" i="2"/>
  <c r="D1025" i="2"/>
  <c r="C1025" i="2"/>
  <c r="B1025" i="2"/>
  <c r="A1025" i="2"/>
  <c r="F1024" i="2"/>
  <c r="E1024" i="2"/>
  <c r="D1024" i="2"/>
  <c r="C1024" i="2"/>
  <c r="B1024" i="2"/>
  <c r="A1024" i="2"/>
  <c r="F1023" i="2"/>
  <c r="E1023" i="2"/>
  <c r="D1023" i="2"/>
  <c r="C1023" i="2"/>
  <c r="B1023" i="2"/>
  <c r="A1023" i="2"/>
  <c r="F1022" i="2"/>
  <c r="E1022" i="2"/>
  <c r="D1022" i="2"/>
  <c r="C1022" i="2"/>
  <c r="B1022" i="2"/>
  <c r="A1022" i="2"/>
  <c r="F1021" i="2"/>
  <c r="E1021" i="2"/>
  <c r="D1021" i="2"/>
  <c r="C1021" i="2"/>
  <c r="B1021" i="2"/>
  <c r="A1021" i="2"/>
  <c r="F1020" i="2"/>
  <c r="E1020" i="2"/>
  <c r="D1020" i="2"/>
  <c r="C1020" i="2"/>
  <c r="B1020" i="2"/>
  <c r="A1020" i="2"/>
  <c r="F1019" i="2"/>
  <c r="E1019" i="2"/>
  <c r="D1019" i="2"/>
  <c r="C1019" i="2"/>
  <c r="B1019" i="2"/>
  <c r="A1019" i="2"/>
  <c r="F1018" i="2"/>
  <c r="E1018" i="2"/>
  <c r="D1018" i="2"/>
  <c r="C1018" i="2"/>
  <c r="B1018" i="2"/>
  <c r="A1018" i="2"/>
  <c r="F1017" i="2"/>
  <c r="E1017" i="2"/>
  <c r="D1017" i="2"/>
  <c r="C1017" i="2"/>
  <c r="B1017" i="2"/>
  <c r="A1017" i="2"/>
  <c r="F1016" i="2"/>
  <c r="E1016" i="2"/>
  <c r="D1016" i="2"/>
  <c r="C1016" i="2"/>
  <c r="B1016" i="2"/>
  <c r="A1016" i="2"/>
  <c r="F1015" i="2"/>
  <c r="E1015" i="2"/>
  <c r="D1015" i="2"/>
  <c r="C1015" i="2"/>
  <c r="B1015" i="2"/>
  <c r="A1015" i="2"/>
  <c r="F1014" i="2"/>
  <c r="E1014" i="2"/>
  <c r="D1014" i="2"/>
  <c r="C1014" i="2"/>
  <c r="B1014" i="2"/>
  <c r="A1014" i="2"/>
  <c r="F1013" i="2"/>
  <c r="E1013" i="2"/>
  <c r="D1013" i="2"/>
  <c r="C1013" i="2"/>
  <c r="B1013" i="2"/>
  <c r="A1013" i="2"/>
  <c r="F1012" i="2"/>
  <c r="E1012" i="2"/>
  <c r="D1012" i="2"/>
  <c r="C1012" i="2"/>
  <c r="B1012" i="2"/>
  <c r="A1012" i="2"/>
  <c r="F1011" i="2"/>
  <c r="E1011" i="2"/>
  <c r="D1011" i="2"/>
  <c r="C1011" i="2"/>
  <c r="B1011" i="2"/>
  <c r="A1011" i="2"/>
  <c r="F1010" i="2"/>
  <c r="E1010" i="2"/>
  <c r="D1010" i="2"/>
  <c r="C1010" i="2"/>
  <c r="B1010" i="2"/>
  <c r="A1010" i="2"/>
  <c r="F1009" i="2"/>
  <c r="E1009" i="2"/>
  <c r="D1009" i="2"/>
  <c r="C1009" i="2"/>
  <c r="B1009" i="2"/>
  <c r="A1009" i="2"/>
  <c r="F1008" i="2"/>
  <c r="E1008" i="2"/>
  <c r="D1008" i="2"/>
  <c r="C1008" i="2"/>
  <c r="B1008" i="2"/>
  <c r="A1008" i="2"/>
  <c r="F1007" i="2"/>
  <c r="E1007" i="2"/>
  <c r="D1007" i="2"/>
  <c r="C1007" i="2"/>
  <c r="B1007" i="2"/>
  <c r="A1007" i="2"/>
  <c r="F1006" i="2"/>
  <c r="E1006" i="2"/>
  <c r="D1006" i="2"/>
  <c r="C1006" i="2"/>
  <c r="B1006" i="2"/>
  <c r="A1006" i="2"/>
  <c r="F1005" i="2"/>
  <c r="E1005" i="2"/>
  <c r="D1005" i="2"/>
  <c r="C1005" i="2"/>
  <c r="B1005" i="2"/>
  <c r="A1005" i="2"/>
  <c r="F1004" i="2"/>
  <c r="E1004" i="2"/>
  <c r="D1004" i="2"/>
  <c r="C1004" i="2"/>
  <c r="B1004" i="2"/>
  <c r="A1004" i="2"/>
  <c r="F1003" i="2"/>
  <c r="E1003" i="2"/>
  <c r="D1003" i="2"/>
  <c r="C1003" i="2"/>
  <c r="B1003" i="2"/>
  <c r="A1003" i="2"/>
  <c r="F1002" i="2"/>
  <c r="E1002" i="2"/>
  <c r="D1002" i="2"/>
  <c r="C1002" i="2"/>
  <c r="B1002" i="2"/>
  <c r="A1002" i="2"/>
  <c r="F1001" i="2"/>
  <c r="E1001" i="2"/>
  <c r="D1001" i="2"/>
  <c r="C1001" i="2"/>
  <c r="B1001" i="2"/>
  <c r="A1001" i="2"/>
  <c r="F1000" i="2"/>
  <c r="E1000" i="2"/>
  <c r="D1000" i="2"/>
  <c r="C1000" i="2"/>
  <c r="B1000" i="2"/>
  <c r="A1000" i="2"/>
  <c r="F999" i="2"/>
  <c r="E999" i="2"/>
  <c r="D999" i="2"/>
  <c r="C999" i="2"/>
  <c r="B999" i="2"/>
  <c r="A999" i="2"/>
  <c r="F998" i="2"/>
  <c r="E998" i="2"/>
  <c r="D998" i="2"/>
  <c r="C998" i="2"/>
  <c r="B998" i="2"/>
  <c r="A998" i="2"/>
  <c r="F997" i="2"/>
  <c r="E997" i="2"/>
  <c r="D997" i="2"/>
  <c r="C997" i="2"/>
  <c r="B997" i="2"/>
  <c r="A997" i="2"/>
  <c r="F996" i="2"/>
  <c r="E996" i="2"/>
  <c r="D996" i="2"/>
  <c r="C996" i="2"/>
  <c r="B996" i="2"/>
  <c r="A996" i="2"/>
  <c r="F995" i="2"/>
  <c r="E995" i="2"/>
  <c r="D995" i="2"/>
  <c r="C995" i="2"/>
  <c r="B995" i="2"/>
  <c r="A995" i="2"/>
  <c r="F994" i="2"/>
  <c r="E994" i="2"/>
  <c r="D994" i="2"/>
  <c r="C994" i="2"/>
  <c r="B994" i="2"/>
  <c r="A994" i="2"/>
  <c r="F993" i="2"/>
  <c r="E993" i="2"/>
  <c r="D993" i="2"/>
  <c r="C993" i="2"/>
  <c r="B993" i="2"/>
  <c r="A993" i="2"/>
  <c r="F992" i="2"/>
  <c r="E992" i="2"/>
  <c r="D992" i="2"/>
  <c r="C992" i="2"/>
  <c r="B992" i="2"/>
  <c r="A992" i="2"/>
  <c r="F991" i="2"/>
  <c r="E991" i="2"/>
  <c r="D991" i="2"/>
  <c r="C991" i="2"/>
  <c r="B991" i="2"/>
  <c r="A991" i="2"/>
  <c r="F990" i="2"/>
  <c r="E990" i="2"/>
  <c r="D990" i="2"/>
  <c r="C990" i="2"/>
  <c r="B990" i="2"/>
  <c r="A990" i="2"/>
  <c r="F989" i="2"/>
  <c r="E989" i="2"/>
  <c r="D989" i="2"/>
  <c r="C989" i="2"/>
  <c r="B989" i="2"/>
  <c r="A989" i="2"/>
  <c r="F988" i="2"/>
  <c r="E988" i="2"/>
  <c r="D988" i="2"/>
  <c r="C988" i="2"/>
  <c r="B988" i="2"/>
  <c r="A988" i="2"/>
  <c r="F987" i="2"/>
  <c r="E987" i="2"/>
  <c r="D987" i="2"/>
  <c r="C987" i="2"/>
  <c r="B987" i="2"/>
  <c r="A987" i="2"/>
  <c r="F986" i="2"/>
  <c r="E986" i="2"/>
  <c r="D986" i="2"/>
  <c r="C986" i="2"/>
  <c r="B986" i="2"/>
  <c r="A986" i="2"/>
  <c r="F985" i="2"/>
  <c r="E985" i="2"/>
  <c r="D985" i="2"/>
  <c r="C985" i="2"/>
  <c r="B985" i="2"/>
  <c r="A985" i="2"/>
  <c r="F984" i="2"/>
  <c r="E984" i="2"/>
  <c r="D984" i="2"/>
  <c r="C984" i="2"/>
  <c r="B984" i="2"/>
  <c r="A984" i="2"/>
  <c r="F983" i="2"/>
  <c r="E983" i="2"/>
  <c r="D983" i="2"/>
  <c r="C983" i="2"/>
  <c r="B983" i="2"/>
  <c r="A983" i="2"/>
  <c r="F982" i="2"/>
  <c r="E982" i="2"/>
  <c r="D982" i="2"/>
  <c r="C982" i="2"/>
  <c r="B982" i="2"/>
  <c r="A982" i="2"/>
  <c r="F981" i="2"/>
  <c r="E981" i="2"/>
  <c r="D981" i="2"/>
  <c r="C981" i="2"/>
  <c r="B981" i="2"/>
  <c r="A981" i="2"/>
  <c r="F980" i="2"/>
  <c r="E980" i="2"/>
  <c r="D980" i="2"/>
  <c r="C980" i="2"/>
  <c r="B980" i="2"/>
  <c r="A980" i="2"/>
  <c r="F979" i="2"/>
  <c r="E979" i="2"/>
  <c r="D979" i="2"/>
  <c r="C979" i="2"/>
  <c r="B979" i="2"/>
  <c r="A979" i="2"/>
  <c r="F978" i="2"/>
  <c r="E978" i="2"/>
  <c r="D978" i="2"/>
  <c r="C978" i="2"/>
  <c r="B978" i="2"/>
  <c r="A978" i="2"/>
  <c r="F977" i="2"/>
  <c r="E977" i="2"/>
  <c r="D977" i="2"/>
  <c r="C977" i="2"/>
  <c r="B977" i="2"/>
  <c r="A977" i="2"/>
  <c r="F976" i="2"/>
  <c r="E976" i="2"/>
  <c r="D976" i="2"/>
  <c r="C976" i="2"/>
  <c r="B976" i="2"/>
  <c r="A976" i="2"/>
  <c r="F975" i="2"/>
  <c r="E975" i="2"/>
  <c r="D975" i="2"/>
  <c r="C975" i="2"/>
  <c r="B975" i="2"/>
  <c r="A975" i="2"/>
  <c r="F974" i="2"/>
  <c r="E974" i="2"/>
  <c r="D974" i="2"/>
  <c r="C974" i="2"/>
  <c r="B974" i="2"/>
  <c r="A974" i="2"/>
  <c r="F973" i="2"/>
  <c r="E973" i="2"/>
  <c r="D973" i="2"/>
  <c r="C973" i="2"/>
  <c r="B973" i="2"/>
  <c r="A973" i="2"/>
  <c r="F972" i="2"/>
  <c r="E972" i="2"/>
  <c r="D972" i="2"/>
  <c r="C972" i="2"/>
  <c r="B972" i="2"/>
  <c r="A972" i="2"/>
  <c r="F971" i="2"/>
  <c r="E971" i="2"/>
  <c r="D971" i="2"/>
  <c r="C971" i="2"/>
  <c r="B971" i="2"/>
  <c r="A971" i="2"/>
  <c r="F970" i="2"/>
  <c r="E970" i="2"/>
  <c r="D970" i="2"/>
  <c r="C970" i="2"/>
  <c r="B970" i="2"/>
  <c r="A970" i="2"/>
  <c r="F969" i="2"/>
  <c r="E969" i="2"/>
  <c r="D969" i="2"/>
  <c r="C969" i="2"/>
  <c r="B969" i="2"/>
  <c r="A969" i="2"/>
  <c r="F968" i="2"/>
  <c r="E968" i="2"/>
  <c r="D968" i="2"/>
  <c r="C968" i="2"/>
  <c r="B968" i="2"/>
  <c r="A968" i="2"/>
  <c r="F967" i="2"/>
  <c r="E967" i="2"/>
  <c r="D967" i="2"/>
  <c r="C967" i="2"/>
  <c r="B967" i="2"/>
  <c r="A967" i="2"/>
  <c r="F966" i="2"/>
  <c r="E966" i="2"/>
  <c r="D966" i="2"/>
  <c r="C966" i="2"/>
  <c r="B966" i="2"/>
  <c r="A966" i="2"/>
  <c r="F965" i="2"/>
  <c r="E965" i="2"/>
  <c r="D965" i="2"/>
  <c r="C965" i="2"/>
  <c r="B965" i="2"/>
  <c r="A965" i="2"/>
  <c r="F964" i="2"/>
  <c r="E964" i="2"/>
  <c r="D964" i="2"/>
  <c r="C964" i="2"/>
  <c r="B964" i="2"/>
  <c r="A964" i="2"/>
  <c r="F963" i="2"/>
  <c r="E963" i="2"/>
  <c r="D963" i="2"/>
  <c r="C963" i="2"/>
  <c r="B963" i="2"/>
  <c r="A963" i="2"/>
  <c r="F962" i="2"/>
  <c r="E962" i="2"/>
  <c r="D962" i="2"/>
  <c r="C962" i="2"/>
  <c r="B962" i="2"/>
  <c r="A962" i="2"/>
  <c r="F961" i="2"/>
  <c r="E961" i="2"/>
  <c r="D961" i="2"/>
  <c r="C961" i="2"/>
  <c r="B961" i="2"/>
  <c r="A961" i="2"/>
  <c r="F960" i="2"/>
  <c r="E960" i="2"/>
  <c r="D960" i="2"/>
  <c r="C960" i="2"/>
  <c r="B960" i="2"/>
  <c r="A960" i="2"/>
  <c r="F959" i="2"/>
  <c r="E959" i="2"/>
  <c r="D959" i="2"/>
  <c r="C959" i="2"/>
  <c r="B959" i="2"/>
  <c r="A959" i="2"/>
  <c r="F958" i="2"/>
  <c r="E958" i="2"/>
  <c r="D958" i="2"/>
  <c r="C958" i="2"/>
  <c r="B958" i="2"/>
  <c r="A958" i="2"/>
  <c r="F957" i="2"/>
  <c r="E957" i="2"/>
  <c r="D957" i="2"/>
  <c r="C957" i="2"/>
  <c r="B957" i="2"/>
  <c r="A957" i="2"/>
  <c r="F956" i="2"/>
  <c r="E956" i="2"/>
  <c r="D956" i="2"/>
  <c r="C956" i="2"/>
  <c r="B956" i="2"/>
  <c r="A956" i="2"/>
  <c r="F955" i="2"/>
  <c r="E955" i="2"/>
  <c r="D955" i="2"/>
  <c r="C955" i="2"/>
  <c r="B955" i="2"/>
  <c r="A955" i="2"/>
  <c r="F954" i="2"/>
  <c r="E954" i="2"/>
  <c r="D954" i="2"/>
  <c r="C954" i="2"/>
  <c r="B954" i="2"/>
  <c r="A954" i="2"/>
  <c r="F953" i="2"/>
  <c r="E953" i="2"/>
  <c r="D953" i="2"/>
  <c r="C953" i="2"/>
  <c r="B953" i="2"/>
  <c r="A953" i="2"/>
  <c r="F952" i="2"/>
  <c r="E952" i="2"/>
  <c r="D952" i="2"/>
  <c r="C952" i="2"/>
  <c r="B952" i="2"/>
  <c r="A952" i="2"/>
  <c r="F951" i="2"/>
  <c r="E951" i="2"/>
  <c r="D951" i="2"/>
  <c r="C951" i="2"/>
  <c r="B951" i="2"/>
  <c r="A951" i="2"/>
  <c r="F950" i="2"/>
  <c r="E950" i="2"/>
  <c r="D950" i="2"/>
  <c r="C950" i="2"/>
  <c r="B950" i="2"/>
  <c r="A950" i="2"/>
  <c r="F949" i="2"/>
  <c r="E949" i="2"/>
  <c r="D949" i="2"/>
  <c r="C949" i="2"/>
  <c r="B949" i="2"/>
  <c r="A949" i="2"/>
  <c r="F948" i="2"/>
  <c r="E948" i="2"/>
  <c r="D948" i="2"/>
  <c r="C948" i="2"/>
  <c r="B948" i="2"/>
  <c r="A948" i="2"/>
  <c r="F947" i="2"/>
  <c r="E947" i="2"/>
  <c r="D947" i="2"/>
  <c r="C947" i="2"/>
  <c r="B947" i="2"/>
  <c r="A947" i="2"/>
  <c r="F946" i="2"/>
  <c r="E946" i="2"/>
  <c r="D946" i="2"/>
  <c r="C946" i="2"/>
  <c r="B946" i="2"/>
  <c r="A946" i="2"/>
  <c r="F945" i="2"/>
  <c r="E945" i="2"/>
  <c r="D945" i="2"/>
  <c r="C945" i="2"/>
  <c r="B945" i="2"/>
  <c r="A945" i="2"/>
  <c r="F944" i="2"/>
  <c r="E944" i="2"/>
  <c r="D944" i="2"/>
  <c r="C944" i="2"/>
  <c r="B944" i="2"/>
  <c r="A944" i="2"/>
  <c r="F943" i="2"/>
  <c r="E943" i="2"/>
  <c r="D943" i="2"/>
  <c r="C943" i="2"/>
  <c r="B943" i="2"/>
  <c r="A943" i="2"/>
  <c r="F942" i="2"/>
  <c r="E942" i="2"/>
  <c r="D942" i="2"/>
  <c r="C942" i="2"/>
  <c r="B942" i="2"/>
  <c r="A942" i="2"/>
  <c r="F941" i="2"/>
  <c r="E941" i="2"/>
  <c r="D941" i="2"/>
  <c r="C941" i="2"/>
  <c r="B941" i="2"/>
  <c r="A941" i="2"/>
  <c r="F940" i="2"/>
  <c r="E940" i="2"/>
  <c r="D940" i="2"/>
  <c r="C940" i="2"/>
  <c r="B940" i="2"/>
  <c r="A940" i="2"/>
  <c r="F939" i="2"/>
  <c r="E939" i="2"/>
  <c r="D939" i="2"/>
  <c r="C939" i="2"/>
  <c r="B939" i="2"/>
  <c r="A939" i="2"/>
  <c r="F938" i="2"/>
  <c r="E938" i="2"/>
  <c r="D938" i="2"/>
  <c r="C938" i="2"/>
  <c r="B938" i="2"/>
  <c r="A938" i="2"/>
  <c r="F937" i="2"/>
  <c r="E937" i="2"/>
  <c r="D937" i="2"/>
  <c r="C937" i="2"/>
  <c r="B937" i="2"/>
  <c r="A937" i="2"/>
  <c r="F936" i="2"/>
  <c r="E936" i="2"/>
  <c r="D936" i="2"/>
  <c r="C936" i="2"/>
  <c r="B936" i="2"/>
  <c r="A936" i="2"/>
  <c r="F935" i="2"/>
  <c r="E935" i="2"/>
  <c r="D935" i="2"/>
  <c r="C935" i="2"/>
  <c r="B935" i="2"/>
  <c r="A935" i="2"/>
  <c r="F934" i="2"/>
  <c r="E934" i="2"/>
  <c r="D934" i="2"/>
  <c r="C934" i="2"/>
  <c r="B934" i="2"/>
  <c r="A934" i="2"/>
  <c r="F933" i="2"/>
  <c r="E933" i="2"/>
  <c r="D933" i="2"/>
  <c r="C933" i="2"/>
  <c r="B933" i="2"/>
  <c r="A933" i="2"/>
  <c r="F932" i="2"/>
  <c r="E932" i="2"/>
  <c r="D932" i="2"/>
  <c r="C932" i="2"/>
  <c r="B932" i="2"/>
  <c r="A932" i="2"/>
  <c r="F931" i="2"/>
  <c r="E931" i="2"/>
  <c r="D931" i="2"/>
  <c r="C931" i="2"/>
  <c r="B931" i="2"/>
  <c r="A931" i="2"/>
  <c r="F930" i="2"/>
  <c r="E930" i="2"/>
  <c r="D930" i="2"/>
  <c r="C930" i="2"/>
  <c r="B930" i="2"/>
  <c r="A930" i="2"/>
  <c r="F929" i="2"/>
  <c r="E929" i="2"/>
  <c r="D929" i="2"/>
  <c r="C929" i="2"/>
  <c r="B929" i="2"/>
  <c r="A929" i="2"/>
  <c r="F928" i="2"/>
  <c r="E928" i="2"/>
  <c r="D928" i="2"/>
  <c r="C928" i="2"/>
  <c r="B928" i="2"/>
  <c r="A928" i="2"/>
  <c r="F927" i="2"/>
  <c r="E927" i="2"/>
  <c r="D927" i="2"/>
  <c r="C927" i="2"/>
  <c r="B927" i="2"/>
  <c r="A927" i="2"/>
  <c r="F926" i="2"/>
  <c r="E926" i="2"/>
  <c r="D926" i="2"/>
  <c r="C926" i="2"/>
  <c r="B926" i="2"/>
  <c r="A926" i="2"/>
  <c r="F925" i="2"/>
  <c r="E925" i="2"/>
  <c r="D925" i="2"/>
  <c r="C925" i="2"/>
  <c r="B925" i="2"/>
  <c r="A925" i="2"/>
  <c r="F924" i="2"/>
  <c r="E924" i="2"/>
  <c r="D924" i="2"/>
  <c r="C924" i="2"/>
  <c r="B924" i="2"/>
  <c r="A924" i="2"/>
  <c r="F923" i="2"/>
  <c r="E923" i="2"/>
  <c r="D923" i="2"/>
  <c r="C923" i="2"/>
  <c r="B923" i="2"/>
  <c r="A923" i="2"/>
  <c r="F922" i="2"/>
  <c r="E922" i="2"/>
  <c r="D922" i="2"/>
  <c r="C922" i="2"/>
  <c r="B922" i="2"/>
  <c r="A922" i="2"/>
  <c r="F921" i="2"/>
  <c r="E921" i="2"/>
  <c r="D921" i="2"/>
  <c r="C921" i="2"/>
  <c r="B921" i="2"/>
  <c r="A921" i="2"/>
  <c r="F920" i="2"/>
  <c r="E920" i="2"/>
  <c r="D920" i="2"/>
  <c r="C920" i="2"/>
  <c r="B920" i="2"/>
  <c r="A920" i="2"/>
  <c r="F919" i="2"/>
  <c r="E919" i="2"/>
  <c r="D919" i="2"/>
  <c r="C919" i="2"/>
  <c r="B919" i="2"/>
  <c r="A919" i="2"/>
  <c r="F918" i="2"/>
  <c r="E918" i="2"/>
  <c r="D918" i="2"/>
  <c r="C918" i="2"/>
  <c r="B918" i="2"/>
  <c r="A918" i="2"/>
  <c r="F917" i="2"/>
  <c r="E917" i="2"/>
  <c r="D917" i="2"/>
  <c r="C917" i="2"/>
  <c r="B917" i="2"/>
  <c r="A917" i="2"/>
  <c r="F916" i="2"/>
  <c r="E916" i="2"/>
  <c r="D916" i="2"/>
  <c r="C916" i="2"/>
  <c r="B916" i="2"/>
  <c r="A916" i="2"/>
  <c r="F915" i="2"/>
  <c r="E915" i="2"/>
  <c r="D915" i="2"/>
  <c r="C915" i="2"/>
  <c r="B915" i="2"/>
  <c r="A915" i="2"/>
  <c r="F914" i="2"/>
  <c r="E914" i="2"/>
  <c r="D914" i="2"/>
  <c r="C914" i="2"/>
  <c r="B914" i="2"/>
  <c r="A914" i="2"/>
  <c r="F913" i="2"/>
  <c r="E913" i="2"/>
  <c r="D913" i="2"/>
  <c r="C913" i="2"/>
  <c r="B913" i="2"/>
  <c r="A913" i="2"/>
  <c r="F912" i="2"/>
  <c r="E912" i="2"/>
  <c r="D912" i="2"/>
  <c r="C912" i="2"/>
  <c r="B912" i="2"/>
  <c r="A912" i="2"/>
  <c r="F911" i="2"/>
  <c r="E911" i="2"/>
  <c r="D911" i="2"/>
  <c r="C911" i="2"/>
  <c r="B911" i="2"/>
  <c r="A911" i="2"/>
  <c r="F910" i="2"/>
  <c r="E910" i="2"/>
  <c r="D910" i="2"/>
  <c r="C910" i="2"/>
  <c r="B910" i="2"/>
  <c r="A910" i="2"/>
  <c r="F909" i="2"/>
  <c r="E909" i="2"/>
  <c r="D909" i="2"/>
  <c r="C909" i="2"/>
  <c r="B909" i="2"/>
  <c r="A909" i="2"/>
  <c r="F908" i="2"/>
  <c r="E908" i="2"/>
  <c r="D908" i="2"/>
  <c r="C908" i="2"/>
  <c r="B908" i="2"/>
  <c r="A908" i="2"/>
  <c r="F907" i="2"/>
  <c r="E907" i="2"/>
  <c r="D907" i="2"/>
  <c r="C907" i="2"/>
  <c r="B907" i="2"/>
  <c r="A907" i="2"/>
  <c r="F906" i="2"/>
  <c r="E906" i="2"/>
  <c r="D906" i="2"/>
  <c r="C906" i="2"/>
  <c r="B906" i="2"/>
  <c r="A906" i="2"/>
  <c r="F905" i="2"/>
  <c r="E905" i="2"/>
  <c r="D905" i="2"/>
  <c r="C905" i="2"/>
  <c r="B905" i="2"/>
  <c r="A905" i="2"/>
  <c r="F904" i="2"/>
  <c r="E904" i="2"/>
  <c r="D904" i="2"/>
  <c r="C904" i="2"/>
  <c r="B904" i="2"/>
  <c r="A904" i="2"/>
  <c r="F903" i="2"/>
  <c r="E903" i="2"/>
  <c r="D903" i="2"/>
  <c r="C903" i="2"/>
  <c r="B903" i="2"/>
  <c r="A903" i="2"/>
  <c r="F902" i="2"/>
  <c r="E902" i="2"/>
  <c r="D902" i="2"/>
  <c r="C902" i="2"/>
  <c r="B902" i="2"/>
  <c r="A902" i="2"/>
  <c r="F901" i="2"/>
  <c r="E901" i="2"/>
  <c r="D901" i="2"/>
  <c r="C901" i="2"/>
  <c r="B901" i="2"/>
  <c r="A901" i="2"/>
  <c r="F900" i="2"/>
  <c r="E900" i="2"/>
  <c r="D900" i="2"/>
  <c r="C900" i="2"/>
  <c r="B900" i="2"/>
  <c r="A900" i="2"/>
  <c r="F899" i="2"/>
  <c r="E899" i="2"/>
  <c r="D899" i="2"/>
  <c r="C899" i="2"/>
  <c r="B899" i="2"/>
  <c r="A899" i="2"/>
  <c r="F898" i="2"/>
  <c r="E898" i="2"/>
  <c r="D898" i="2"/>
  <c r="C898" i="2"/>
  <c r="B898" i="2"/>
  <c r="A898" i="2"/>
  <c r="F897" i="2"/>
  <c r="E897" i="2"/>
  <c r="D897" i="2"/>
  <c r="C897" i="2"/>
  <c r="B897" i="2"/>
  <c r="A897" i="2"/>
  <c r="F896" i="2"/>
  <c r="E896" i="2"/>
  <c r="D896" i="2"/>
  <c r="C896" i="2"/>
  <c r="B896" i="2"/>
  <c r="A896" i="2"/>
  <c r="F895" i="2"/>
  <c r="E895" i="2"/>
  <c r="D895" i="2"/>
  <c r="C895" i="2"/>
  <c r="B895" i="2"/>
  <c r="A895" i="2"/>
  <c r="F894" i="2"/>
  <c r="E894" i="2"/>
  <c r="D894" i="2"/>
  <c r="C894" i="2"/>
  <c r="B894" i="2"/>
  <c r="A894" i="2"/>
  <c r="F893" i="2"/>
  <c r="E893" i="2"/>
  <c r="D893" i="2"/>
  <c r="C893" i="2"/>
  <c r="B893" i="2"/>
  <c r="A893" i="2"/>
  <c r="F892" i="2"/>
  <c r="E892" i="2"/>
  <c r="D892" i="2"/>
  <c r="C892" i="2"/>
  <c r="B892" i="2"/>
  <c r="A892" i="2"/>
  <c r="F891" i="2"/>
  <c r="E891" i="2"/>
  <c r="D891" i="2"/>
  <c r="C891" i="2"/>
  <c r="B891" i="2"/>
  <c r="A891" i="2"/>
  <c r="F890" i="2"/>
  <c r="E890" i="2"/>
  <c r="D890" i="2"/>
  <c r="C890" i="2"/>
  <c r="B890" i="2"/>
  <c r="A890" i="2"/>
  <c r="F889" i="2"/>
  <c r="E889" i="2"/>
  <c r="D889" i="2"/>
  <c r="C889" i="2"/>
  <c r="B889" i="2"/>
  <c r="A889" i="2"/>
  <c r="F888" i="2"/>
  <c r="E888" i="2"/>
  <c r="D888" i="2"/>
  <c r="C888" i="2"/>
  <c r="B888" i="2"/>
  <c r="A888" i="2"/>
  <c r="F887" i="2"/>
  <c r="E887" i="2"/>
  <c r="D887" i="2"/>
  <c r="C887" i="2"/>
  <c r="B887" i="2"/>
  <c r="A887" i="2"/>
  <c r="F886" i="2"/>
  <c r="E886" i="2"/>
  <c r="D886" i="2"/>
  <c r="C886" i="2"/>
  <c r="B886" i="2"/>
  <c r="A886" i="2"/>
  <c r="F885" i="2"/>
  <c r="E885" i="2"/>
  <c r="D885" i="2"/>
  <c r="C885" i="2"/>
  <c r="B885" i="2"/>
  <c r="A885" i="2"/>
  <c r="F884" i="2"/>
  <c r="E884" i="2"/>
  <c r="D884" i="2"/>
  <c r="C884" i="2"/>
  <c r="B884" i="2"/>
  <c r="A884" i="2"/>
  <c r="F883" i="2"/>
  <c r="E883" i="2"/>
  <c r="D883" i="2"/>
  <c r="C883" i="2"/>
  <c r="B883" i="2"/>
  <c r="A883" i="2"/>
  <c r="F882" i="2"/>
  <c r="E882" i="2"/>
  <c r="D882" i="2"/>
  <c r="C882" i="2"/>
  <c r="B882" i="2"/>
  <c r="A882" i="2"/>
  <c r="F881" i="2"/>
  <c r="E881" i="2"/>
  <c r="D881" i="2"/>
  <c r="C881" i="2"/>
  <c r="B881" i="2"/>
  <c r="A881" i="2"/>
  <c r="F880" i="2"/>
  <c r="E880" i="2"/>
  <c r="D880" i="2"/>
  <c r="C880" i="2"/>
  <c r="B880" i="2"/>
  <c r="A880" i="2"/>
  <c r="F879" i="2"/>
  <c r="E879" i="2"/>
  <c r="D879" i="2"/>
  <c r="C879" i="2"/>
  <c r="B879" i="2"/>
  <c r="A879" i="2"/>
  <c r="F878" i="2"/>
  <c r="E878" i="2"/>
  <c r="D878" i="2"/>
  <c r="C878" i="2"/>
  <c r="B878" i="2"/>
  <c r="A878" i="2"/>
  <c r="F877" i="2"/>
  <c r="E877" i="2"/>
  <c r="D877" i="2"/>
  <c r="C877" i="2"/>
  <c r="B877" i="2"/>
  <c r="A877" i="2"/>
  <c r="F876" i="2"/>
  <c r="E876" i="2"/>
  <c r="D876" i="2"/>
  <c r="C876" i="2"/>
  <c r="B876" i="2"/>
  <c r="A876" i="2"/>
  <c r="F875" i="2"/>
  <c r="E875" i="2"/>
  <c r="D875" i="2"/>
  <c r="C875" i="2"/>
  <c r="B875" i="2"/>
  <c r="A875" i="2"/>
  <c r="F874" i="2"/>
  <c r="E874" i="2"/>
  <c r="D874" i="2"/>
  <c r="C874" i="2"/>
  <c r="B874" i="2"/>
  <c r="A874" i="2"/>
  <c r="F873" i="2"/>
  <c r="E873" i="2"/>
  <c r="D873" i="2"/>
  <c r="C873" i="2"/>
  <c r="B873" i="2"/>
  <c r="A873" i="2"/>
  <c r="F872" i="2"/>
  <c r="E872" i="2"/>
  <c r="D872" i="2"/>
  <c r="C872" i="2"/>
  <c r="B872" i="2"/>
  <c r="A872" i="2"/>
  <c r="F871" i="2"/>
  <c r="E871" i="2"/>
  <c r="D871" i="2"/>
  <c r="C871" i="2"/>
  <c r="B871" i="2"/>
  <c r="A871" i="2"/>
  <c r="F870" i="2"/>
  <c r="E870" i="2"/>
  <c r="D870" i="2"/>
  <c r="C870" i="2"/>
  <c r="B870" i="2"/>
  <c r="A870" i="2"/>
  <c r="F869" i="2"/>
  <c r="E869" i="2"/>
  <c r="D869" i="2"/>
  <c r="C869" i="2"/>
  <c r="B869" i="2"/>
  <c r="A869" i="2"/>
  <c r="F868" i="2"/>
  <c r="E868" i="2"/>
  <c r="D868" i="2"/>
  <c r="C868" i="2"/>
  <c r="B868" i="2"/>
  <c r="A868" i="2"/>
  <c r="F867" i="2"/>
  <c r="E867" i="2"/>
  <c r="D867" i="2"/>
  <c r="C867" i="2"/>
  <c r="B867" i="2"/>
  <c r="A867" i="2"/>
  <c r="F866" i="2"/>
  <c r="E866" i="2"/>
  <c r="D866" i="2"/>
  <c r="C866" i="2"/>
  <c r="B866" i="2"/>
  <c r="A866" i="2"/>
  <c r="F865" i="2"/>
  <c r="E865" i="2"/>
  <c r="D865" i="2"/>
  <c r="C865" i="2"/>
  <c r="B865" i="2"/>
  <c r="A865" i="2"/>
  <c r="F864" i="2"/>
  <c r="E864" i="2"/>
  <c r="D864" i="2"/>
  <c r="C864" i="2"/>
  <c r="B864" i="2"/>
  <c r="A864" i="2"/>
  <c r="F863" i="2"/>
  <c r="E863" i="2"/>
  <c r="D863" i="2"/>
  <c r="C863" i="2"/>
  <c r="B863" i="2"/>
  <c r="A863" i="2"/>
  <c r="F862" i="2"/>
  <c r="E862" i="2"/>
  <c r="D862" i="2"/>
  <c r="C862" i="2"/>
  <c r="B862" i="2"/>
  <c r="A862" i="2"/>
  <c r="F861" i="2"/>
  <c r="E861" i="2"/>
  <c r="D861" i="2"/>
  <c r="C861" i="2"/>
  <c r="B861" i="2"/>
  <c r="A861" i="2"/>
  <c r="F860" i="2"/>
  <c r="E860" i="2"/>
  <c r="D860" i="2"/>
  <c r="C860" i="2"/>
  <c r="B860" i="2"/>
  <c r="A860" i="2"/>
  <c r="F859" i="2"/>
  <c r="E859" i="2"/>
  <c r="D859" i="2"/>
  <c r="C859" i="2"/>
  <c r="B859" i="2"/>
  <c r="A859" i="2"/>
  <c r="F857" i="2"/>
  <c r="E857" i="2"/>
  <c r="D857" i="2"/>
  <c r="C857" i="2"/>
  <c r="B857" i="2"/>
  <c r="A857" i="2"/>
  <c r="F856" i="2"/>
  <c r="E856" i="2"/>
  <c r="D856" i="2"/>
  <c r="C856" i="2"/>
  <c r="B856" i="2"/>
  <c r="A856" i="2"/>
  <c r="F855" i="2"/>
  <c r="E855" i="2"/>
  <c r="D855" i="2"/>
  <c r="C855" i="2"/>
  <c r="B855" i="2"/>
  <c r="A855" i="2"/>
  <c r="F854" i="2"/>
  <c r="E854" i="2"/>
  <c r="D854" i="2"/>
  <c r="C854" i="2"/>
  <c r="B854" i="2"/>
  <c r="A854" i="2"/>
  <c r="F853" i="2"/>
  <c r="E853" i="2"/>
  <c r="D853" i="2"/>
  <c r="C853" i="2"/>
  <c r="B853" i="2"/>
  <c r="A853" i="2"/>
  <c r="F852" i="2"/>
  <c r="E852" i="2"/>
  <c r="D852" i="2"/>
  <c r="C852" i="2"/>
  <c r="B852" i="2"/>
  <c r="A852" i="2"/>
  <c r="F851" i="2"/>
  <c r="E851" i="2"/>
  <c r="D851" i="2"/>
  <c r="C851" i="2"/>
  <c r="B851" i="2"/>
  <c r="A851" i="2"/>
  <c r="F850" i="2"/>
  <c r="E850" i="2"/>
  <c r="D850" i="2"/>
  <c r="C850" i="2"/>
  <c r="B850" i="2"/>
  <c r="A850" i="2"/>
  <c r="F849" i="2"/>
  <c r="E849" i="2"/>
  <c r="D849" i="2"/>
  <c r="C849" i="2"/>
  <c r="B849" i="2"/>
  <c r="A849" i="2"/>
  <c r="F848" i="2"/>
  <c r="E848" i="2"/>
  <c r="D848" i="2"/>
  <c r="C848" i="2"/>
  <c r="B848" i="2"/>
  <c r="A848" i="2"/>
  <c r="F847" i="2"/>
  <c r="E847" i="2"/>
  <c r="D847" i="2"/>
  <c r="C847" i="2"/>
  <c r="B847" i="2"/>
  <c r="A847" i="2"/>
  <c r="F846" i="2"/>
  <c r="E846" i="2"/>
  <c r="D846" i="2"/>
  <c r="C846" i="2"/>
  <c r="B846" i="2"/>
  <c r="A846" i="2"/>
  <c r="F845" i="2"/>
  <c r="E845" i="2"/>
  <c r="D845" i="2"/>
  <c r="C845" i="2"/>
  <c r="B845" i="2"/>
  <c r="A845" i="2"/>
  <c r="F844" i="2"/>
  <c r="E844" i="2"/>
  <c r="D844" i="2"/>
  <c r="C844" i="2"/>
  <c r="B844" i="2"/>
  <c r="A844" i="2"/>
  <c r="F843" i="2"/>
  <c r="E843" i="2"/>
  <c r="D843" i="2"/>
  <c r="C843" i="2"/>
  <c r="B843" i="2"/>
  <c r="A843" i="2"/>
  <c r="F842" i="2"/>
  <c r="E842" i="2"/>
  <c r="D842" i="2"/>
  <c r="C842" i="2"/>
  <c r="B842" i="2"/>
  <c r="A842" i="2"/>
  <c r="F841" i="2"/>
  <c r="E841" i="2"/>
  <c r="D841" i="2"/>
  <c r="C841" i="2"/>
  <c r="B841" i="2"/>
  <c r="A841" i="2"/>
  <c r="F840" i="2"/>
  <c r="E840" i="2"/>
  <c r="D840" i="2"/>
  <c r="C840" i="2"/>
  <c r="B840" i="2"/>
  <c r="A840" i="2"/>
  <c r="F839" i="2"/>
  <c r="E839" i="2"/>
  <c r="D839" i="2"/>
  <c r="C839" i="2"/>
  <c r="B839" i="2"/>
  <c r="A839" i="2"/>
  <c r="F838" i="2"/>
  <c r="E838" i="2"/>
  <c r="D838" i="2"/>
  <c r="C838" i="2"/>
  <c r="B838" i="2"/>
  <c r="A838" i="2"/>
  <c r="F837" i="2"/>
  <c r="E837" i="2"/>
  <c r="D837" i="2"/>
  <c r="C837" i="2"/>
  <c r="B837" i="2"/>
  <c r="A837" i="2"/>
  <c r="F836" i="2"/>
  <c r="E836" i="2"/>
  <c r="D836" i="2"/>
  <c r="C836" i="2"/>
  <c r="B836" i="2"/>
  <c r="A836" i="2"/>
  <c r="F835" i="2"/>
  <c r="E835" i="2"/>
  <c r="D835" i="2"/>
  <c r="C835" i="2"/>
  <c r="B835" i="2"/>
  <c r="A835" i="2"/>
  <c r="F834" i="2"/>
  <c r="E834" i="2"/>
  <c r="D834" i="2"/>
  <c r="C834" i="2"/>
  <c r="B834" i="2"/>
  <c r="A834" i="2"/>
  <c r="F833" i="2"/>
  <c r="E833" i="2"/>
  <c r="D833" i="2"/>
  <c r="C833" i="2"/>
  <c r="B833" i="2"/>
  <c r="A833" i="2"/>
  <c r="F832" i="2"/>
  <c r="E832" i="2"/>
  <c r="D832" i="2"/>
  <c r="C832" i="2"/>
  <c r="B832" i="2"/>
  <c r="A832" i="2"/>
  <c r="F831" i="2"/>
  <c r="E831" i="2"/>
  <c r="D831" i="2"/>
  <c r="C831" i="2"/>
  <c r="B831" i="2"/>
  <c r="A831" i="2"/>
  <c r="F830" i="2"/>
  <c r="E830" i="2"/>
  <c r="D830" i="2"/>
  <c r="C830" i="2"/>
  <c r="B830" i="2"/>
  <c r="A830" i="2"/>
  <c r="F829" i="2"/>
  <c r="E829" i="2"/>
  <c r="D829" i="2"/>
  <c r="C829" i="2"/>
  <c r="B829" i="2"/>
  <c r="A829" i="2"/>
  <c r="F828" i="2"/>
  <c r="E828" i="2"/>
  <c r="D828" i="2"/>
  <c r="C828" i="2"/>
  <c r="B828" i="2"/>
  <c r="A828" i="2"/>
  <c r="F827" i="2"/>
  <c r="E827" i="2"/>
  <c r="D827" i="2"/>
  <c r="C827" i="2"/>
  <c r="B827" i="2"/>
  <c r="A827" i="2"/>
  <c r="F826" i="2"/>
  <c r="E826" i="2"/>
  <c r="D826" i="2"/>
  <c r="C826" i="2"/>
  <c r="B826" i="2"/>
  <c r="A826" i="2"/>
  <c r="F825" i="2"/>
  <c r="E825" i="2"/>
  <c r="D825" i="2"/>
  <c r="C825" i="2"/>
  <c r="B825" i="2"/>
  <c r="A825" i="2"/>
  <c r="F824" i="2"/>
  <c r="E824" i="2"/>
  <c r="D824" i="2"/>
  <c r="C824" i="2"/>
  <c r="B824" i="2"/>
  <c r="A824" i="2"/>
  <c r="F823" i="2"/>
  <c r="E823" i="2"/>
  <c r="D823" i="2"/>
  <c r="C823" i="2"/>
  <c r="B823" i="2"/>
  <c r="A823" i="2"/>
  <c r="F822" i="2"/>
  <c r="E822" i="2"/>
  <c r="D822" i="2"/>
  <c r="C822" i="2"/>
  <c r="B822" i="2"/>
  <c r="A822" i="2"/>
  <c r="F821" i="2"/>
  <c r="E821" i="2"/>
  <c r="D821" i="2"/>
  <c r="C821" i="2"/>
  <c r="B821" i="2"/>
  <c r="A821" i="2"/>
  <c r="F820" i="2"/>
  <c r="E820" i="2"/>
  <c r="D820" i="2"/>
  <c r="C820" i="2"/>
  <c r="B820" i="2"/>
  <c r="A820" i="2"/>
  <c r="F819" i="2"/>
  <c r="E819" i="2"/>
  <c r="D819" i="2"/>
  <c r="C819" i="2"/>
  <c r="B819" i="2"/>
  <c r="A819" i="2"/>
  <c r="F818" i="2"/>
  <c r="E818" i="2"/>
  <c r="D818" i="2"/>
  <c r="C818" i="2"/>
  <c r="B818" i="2"/>
  <c r="A818" i="2"/>
  <c r="F817" i="2"/>
  <c r="E817" i="2"/>
  <c r="D817" i="2"/>
  <c r="C817" i="2"/>
  <c r="B817" i="2"/>
  <c r="A817" i="2"/>
  <c r="F816" i="2"/>
  <c r="E816" i="2"/>
  <c r="D816" i="2"/>
  <c r="C816" i="2"/>
  <c r="B816" i="2"/>
  <c r="A816" i="2"/>
  <c r="F815" i="2"/>
  <c r="E815" i="2"/>
  <c r="D815" i="2"/>
  <c r="C815" i="2"/>
  <c r="B815" i="2"/>
  <c r="A815" i="2"/>
  <c r="F814" i="2"/>
  <c r="E814" i="2"/>
  <c r="D814" i="2"/>
  <c r="C814" i="2"/>
  <c r="B814" i="2"/>
  <c r="A814" i="2"/>
  <c r="F813" i="2"/>
  <c r="E813" i="2"/>
  <c r="D813" i="2"/>
  <c r="C813" i="2"/>
  <c r="B813" i="2"/>
  <c r="A813" i="2"/>
  <c r="F812" i="2"/>
  <c r="E812" i="2"/>
  <c r="D812" i="2"/>
  <c r="C812" i="2"/>
  <c r="B812" i="2"/>
  <c r="A812" i="2"/>
  <c r="F811" i="2"/>
  <c r="E811" i="2"/>
  <c r="D811" i="2"/>
  <c r="C811" i="2"/>
  <c r="B811" i="2"/>
  <c r="A811" i="2"/>
  <c r="F810" i="2"/>
  <c r="E810" i="2"/>
  <c r="D810" i="2"/>
  <c r="C810" i="2"/>
  <c r="B810" i="2"/>
  <c r="A810" i="2"/>
  <c r="F809" i="2"/>
  <c r="E809" i="2"/>
  <c r="D809" i="2"/>
  <c r="C809" i="2"/>
  <c r="B809" i="2"/>
  <c r="A809" i="2"/>
  <c r="F808" i="2"/>
  <c r="E808" i="2"/>
  <c r="D808" i="2"/>
  <c r="C808" i="2"/>
  <c r="B808" i="2"/>
  <c r="A808" i="2"/>
  <c r="F804" i="2"/>
  <c r="E804" i="2"/>
  <c r="D804" i="2"/>
  <c r="C804" i="2"/>
  <c r="B804" i="2"/>
  <c r="A804" i="2"/>
  <c r="F803" i="2"/>
  <c r="E803" i="2"/>
  <c r="D803" i="2"/>
  <c r="C803" i="2"/>
  <c r="B803" i="2"/>
  <c r="A803" i="2"/>
  <c r="F802" i="2"/>
  <c r="E802" i="2"/>
  <c r="D802" i="2"/>
  <c r="C802" i="2"/>
  <c r="B802" i="2"/>
  <c r="A802" i="2"/>
  <c r="F801" i="2"/>
  <c r="E801" i="2"/>
  <c r="D801" i="2"/>
  <c r="C801" i="2"/>
  <c r="B801" i="2"/>
  <c r="A801" i="2"/>
  <c r="F800" i="2"/>
  <c r="E800" i="2"/>
  <c r="D800" i="2"/>
  <c r="C800" i="2"/>
  <c r="B800" i="2"/>
  <c r="A800" i="2"/>
  <c r="F799" i="2"/>
  <c r="E799" i="2"/>
  <c r="D799" i="2"/>
  <c r="C799" i="2"/>
  <c r="B799" i="2"/>
  <c r="A799" i="2"/>
  <c r="F798" i="2"/>
  <c r="E798" i="2"/>
  <c r="D798" i="2"/>
  <c r="C798" i="2"/>
  <c r="B798" i="2"/>
  <c r="A798" i="2"/>
  <c r="F797" i="2"/>
  <c r="E797" i="2"/>
  <c r="D797" i="2"/>
  <c r="C797" i="2"/>
  <c r="B797" i="2"/>
  <c r="A797" i="2"/>
  <c r="F796" i="2"/>
  <c r="E796" i="2"/>
  <c r="D796" i="2"/>
  <c r="C796" i="2"/>
  <c r="B796" i="2"/>
  <c r="A796" i="2"/>
  <c r="F795" i="2"/>
  <c r="E795" i="2"/>
  <c r="D795" i="2"/>
  <c r="C795" i="2"/>
  <c r="B795" i="2"/>
  <c r="A795" i="2"/>
  <c r="F794" i="2"/>
  <c r="E794" i="2"/>
  <c r="D794" i="2"/>
  <c r="C794" i="2"/>
  <c r="B794" i="2"/>
  <c r="A794" i="2"/>
  <c r="F793" i="2"/>
  <c r="E793" i="2"/>
  <c r="D793" i="2"/>
  <c r="C793" i="2"/>
  <c r="B793" i="2"/>
  <c r="A793" i="2"/>
  <c r="F792" i="2"/>
  <c r="E792" i="2"/>
  <c r="D792" i="2"/>
  <c r="C792" i="2"/>
  <c r="B792" i="2"/>
  <c r="A792" i="2"/>
  <c r="F791" i="2"/>
  <c r="E791" i="2"/>
  <c r="D791" i="2"/>
  <c r="C791" i="2"/>
  <c r="B791" i="2"/>
  <c r="A791" i="2"/>
  <c r="F790" i="2"/>
  <c r="E790" i="2"/>
  <c r="D790" i="2"/>
  <c r="C790" i="2"/>
  <c r="B790" i="2"/>
  <c r="A790" i="2"/>
  <c r="F789" i="2"/>
  <c r="E789" i="2"/>
  <c r="D789" i="2"/>
  <c r="C789" i="2"/>
  <c r="B789" i="2"/>
  <c r="A789" i="2"/>
  <c r="F788" i="2"/>
  <c r="E788" i="2"/>
  <c r="D788" i="2"/>
  <c r="C788" i="2"/>
  <c r="B788" i="2"/>
  <c r="A788" i="2"/>
  <c r="F787" i="2"/>
  <c r="E787" i="2"/>
  <c r="D787" i="2"/>
  <c r="C787" i="2"/>
  <c r="B787" i="2"/>
  <c r="A787" i="2"/>
  <c r="F786" i="2"/>
  <c r="E786" i="2"/>
  <c r="D786" i="2"/>
  <c r="C786" i="2"/>
  <c r="B786" i="2"/>
  <c r="A786" i="2"/>
  <c r="F785" i="2"/>
  <c r="E785" i="2"/>
  <c r="D785" i="2"/>
  <c r="C785" i="2"/>
  <c r="B785" i="2"/>
  <c r="A785" i="2"/>
  <c r="F784" i="2"/>
  <c r="E784" i="2"/>
  <c r="D784" i="2"/>
  <c r="C784" i="2"/>
  <c r="B784" i="2"/>
  <c r="A784" i="2"/>
  <c r="F783" i="2"/>
  <c r="E783" i="2"/>
  <c r="D783" i="2"/>
  <c r="C783" i="2"/>
  <c r="B783" i="2"/>
  <c r="A783" i="2"/>
  <c r="F782" i="2"/>
  <c r="E782" i="2"/>
  <c r="D782" i="2"/>
  <c r="C782" i="2"/>
  <c r="B782" i="2"/>
  <c r="A782" i="2"/>
  <c r="F781" i="2"/>
  <c r="E781" i="2"/>
  <c r="D781" i="2"/>
  <c r="C781" i="2"/>
  <c r="B781" i="2"/>
  <c r="A781" i="2"/>
  <c r="F780" i="2"/>
  <c r="E780" i="2"/>
  <c r="D780" i="2"/>
  <c r="C780" i="2"/>
  <c r="B780" i="2"/>
  <c r="A780" i="2"/>
  <c r="F779" i="2"/>
  <c r="E779" i="2"/>
  <c r="D779" i="2"/>
  <c r="C779" i="2"/>
  <c r="B779" i="2"/>
  <c r="A779" i="2"/>
  <c r="F778" i="2"/>
  <c r="E778" i="2"/>
  <c r="D778" i="2"/>
  <c r="C778" i="2"/>
  <c r="B778" i="2"/>
  <c r="A778" i="2"/>
  <c r="F777" i="2"/>
  <c r="E777" i="2"/>
  <c r="D777" i="2"/>
  <c r="C777" i="2"/>
  <c r="B777" i="2"/>
  <c r="A777" i="2"/>
  <c r="F776" i="2"/>
  <c r="E776" i="2"/>
  <c r="D776" i="2"/>
  <c r="C776" i="2"/>
  <c r="B776" i="2"/>
  <c r="A776" i="2"/>
  <c r="F775" i="2"/>
  <c r="E775" i="2"/>
  <c r="D775" i="2"/>
  <c r="C775" i="2"/>
  <c r="B775" i="2"/>
  <c r="A775" i="2"/>
  <c r="F774" i="2"/>
  <c r="E774" i="2"/>
  <c r="D774" i="2"/>
  <c r="C774" i="2"/>
  <c r="B774" i="2"/>
  <c r="A774" i="2"/>
  <c r="F773" i="2"/>
  <c r="E773" i="2"/>
  <c r="D773" i="2"/>
  <c r="C773" i="2"/>
  <c r="B773" i="2"/>
  <c r="A773" i="2"/>
  <c r="F772" i="2"/>
  <c r="E772" i="2"/>
  <c r="D772" i="2"/>
  <c r="C772" i="2"/>
  <c r="B772" i="2"/>
  <c r="A772" i="2"/>
  <c r="F771" i="2"/>
  <c r="E771" i="2"/>
  <c r="D771" i="2"/>
  <c r="C771" i="2"/>
  <c r="B771" i="2"/>
  <c r="A771" i="2"/>
  <c r="F770" i="2"/>
  <c r="E770" i="2"/>
  <c r="D770" i="2"/>
  <c r="C770" i="2"/>
  <c r="B770" i="2"/>
  <c r="A770" i="2"/>
  <c r="F769" i="2"/>
  <c r="E769" i="2"/>
  <c r="D769" i="2"/>
  <c r="C769" i="2"/>
  <c r="B769" i="2"/>
  <c r="A769" i="2"/>
  <c r="F768" i="2"/>
  <c r="E768" i="2"/>
  <c r="D768" i="2"/>
  <c r="C768" i="2"/>
  <c r="B768" i="2"/>
  <c r="A768" i="2"/>
  <c r="F767" i="2"/>
  <c r="E767" i="2"/>
  <c r="D767" i="2"/>
  <c r="C767" i="2"/>
  <c r="B767" i="2"/>
  <c r="A767" i="2"/>
  <c r="F766" i="2"/>
  <c r="E766" i="2"/>
  <c r="D766" i="2"/>
  <c r="C766" i="2"/>
  <c r="B766" i="2"/>
  <c r="A766" i="2"/>
  <c r="F765" i="2"/>
  <c r="E765" i="2"/>
  <c r="D765" i="2"/>
  <c r="C765" i="2"/>
  <c r="B765" i="2"/>
  <c r="A765" i="2"/>
  <c r="F764" i="2"/>
  <c r="E764" i="2"/>
  <c r="D764" i="2"/>
  <c r="C764" i="2"/>
  <c r="B764" i="2"/>
  <c r="A764" i="2"/>
  <c r="F763" i="2"/>
  <c r="E763" i="2"/>
  <c r="D763" i="2"/>
  <c r="C763" i="2"/>
  <c r="B763" i="2"/>
  <c r="A763" i="2"/>
  <c r="F762" i="2"/>
  <c r="E762" i="2"/>
  <c r="D762" i="2"/>
  <c r="C762" i="2"/>
  <c r="B762" i="2"/>
  <c r="A762" i="2"/>
  <c r="F761" i="2"/>
  <c r="E761" i="2"/>
  <c r="D761" i="2"/>
  <c r="C761" i="2"/>
  <c r="B761" i="2"/>
  <c r="A761" i="2"/>
  <c r="F760" i="2"/>
  <c r="E760" i="2"/>
  <c r="D760" i="2"/>
  <c r="C760" i="2"/>
  <c r="B760" i="2"/>
  <c r="A760" i="2"/>
  <c r="F759" i="2"/>
  <c r="E759" i="2"/>
  <c r="D759" i="2"/>
  <c r="C759" i="2"/>
  <c r="B759" i="2"/>
  <c r="A759" i="2"/>
  <c r="F758" i="2"/>
  <c r="E758" i="2"/>
  <c r="D758" i="2"/>
  <c r="C758" i="2"/>
  <c r="B758" i="2"/>
  <c r="A758" i="2"/>
  <c r="F757" i="2"/>
  <c r="E757" i="2"/>
  <c r="D757" i="2"/>
  <c r="C757" i="2"/>
  <c r="B757" i="2"/>
  <c r="A757" i="2"/>
  <c r="F756" i="2"/>
  <c r="E756" i="2"/>
  <c r="D756" i="2"/>
  <c r="C756" i="2"/>
  <c r="B756" i="2"/>
  <c r="A756" i="2"/>
  <c r="F755" i="2"/>
  <c r="E755" i="2"/>
  <c r="D755" i="2"/>
  <c r="C755" i="2"/>
  <c r="B755" i="2"/>
  <c r="A755" i="2"/>
  <c r="F754" i="2"/>
  <c r="E754" i="2"/>
  <c r="D754" i="2"/>
  <c r="C754" i="2"/>
  <c r="B754" i="2"/>
  <c r="A754" i="2"/>
  <c r="F753" i="2"/>
  <c r="E753" i="2"/>
  <c r="D753" i="2"/>
  <c r="C753" i="2"/>
  <c r="B753" i="2"/>
  <c r="A753" i="2"/>
  <c r="F752" i="2"/>
  <c r="E752" i="2"/>
  <c r="D752" i="2"/>
  <c r="C752" i="2"/>
  <c r="B752" i="2"/>
  <c r="A752" i="2"/>
  <c r="F751" i="2"/>
  <c r="E751" i="2"/>
  <c r="D751" i="2"/>
  <c r="C751" i="2"/>
  <c r="B751" i="2"/>
  <c r="A751" i="2"/>
  <c r="F750" i="2"/>
  <c r="E750" i="2"/>
  <c r="D750" i="2"/>
  <c r="C750" i="2"/>
  <c r="B750" i="2"/>
  <c r="A750" i="2"/>
  <c r="F749" i="2"/>
  <c r="E749" i="2"/>
  <c r="D749" i="2"/>
  <c r="C749" i="2"/>
  <c r="B749" i="2"/>
  <c r="A749" i="2"/>
  <c r="F748" i="2"/>
  <c r="E748" i="2"/>
  <c r="D748" i="2"/>
  <c r="C748" i="2"/>
  <c r="B748" i="2"/>
  <c r="A748" i="2"/>
  <c r="F747" i="2"/>
  <c r="E747" i="2"/>
  <c r="D747" i="2"/>
  <c r="C747" i="2"/>
  <c r="B747" i="2"/>
  <c r="A747" i="2"/>
  <c r="F746" i="2"/>
  <c r="E746" i="2"/>
  <c r="D746" i="2"/>
  <c r="C746" i="2"/>
  <c r="B746" i="2"/>
  <c r="A746" i="2"/>
  <c r="F745" i="2"/>
  <c r="E745" i="2"/>
  <c r="D745" i="2"/>
  <c r="C745" i="2"/>
  <c r="B745" i="2"/>
  <c r="A745" i="2"/>
  <c r="F744" i="2"/>
  <c r="E744" i="2"/>
  <c r="D744" i="2"/>
  <c r="C744" i="2"/>
  <c r="B744" i="2"/>
  <c r="A744" i="2"/>
  <c r="F743" i="2"/>
  <c r="E743" i="2"/>
  <c r="D743" i="2"/>
  <c r="C743" i="2"/>
  <c r="B743" i="2"/>
  <c r="A743" i="2"/>
  <c r="F742" i="2"/>
  <c r="E742" i="2"/>
  <c r="D742" i="2"/>
  <c r="C742" i="2"/>
  <c r="B742" i="2"/>
  <c r="A742" i="2"/>
  <c r="F741" i="2"/>
  <c r="E741" i="2"/>
  <c r="D741" i="2"/>
  <c r="C741" i="2"/>
  <c r="B741" i="2"/>
  <c r="A741" i="2"/>
  <c r="F740" i="2"/>
  <c r="E740" i="2"/>
  <c r="D740" i="2"/>
  <c r="C740" i="2"/>
  <c r="B740" i="2"/>
  <c r="A740" i="2"/>
  <c r="F739" i="2"/>
  <c r="E739" i="2"/>
  <c r="D739" i="2"/>
  <c r="C739" i="2"/>
  <c r="B739" i="2"/>
  <c r="A739" i="2"/>
  <c r="F738" i="2"/>
  <c r="E738" i="2"/>
  <c r="D738" i="2"/>
  <c r="C738" i="2"/>
  <c r="B738" i="2"/>
  <c r="A738" i="2"/>
  <c r="F737" i="2"/>
  <c r="E737" i="2"/>
  <c r="D737" i="2"/>
  <c r="C737" i="2"/>
  <c r="B737" i="2"/>
  <c r="A737" i="2"/>
  <c r="F736" i="2"/>
  <c r="E736" i="2"/>
  <c r="D736" i="2"/>
  <c r="C736" i="2"/>
  <c r="B736" i="2"/>
  <c r="A736" i="2"/>
  <c r="F735" i="2"/>
  <c r="E735" i="2"/>
  <c r="D735" i="2"/>
  <c r="C735" i="2"/>
  <c r="B735" i="2"/>
  <c r="A735" i="2"/>
  <c r="F734" i="2"/>
  <c r="E734" i="2"/>
  <c r="D734" i="2"/>
  <c r="C734" i="2"/>
  <c r="B734" i="2"/>
  <c r="A734" i="2"/>
  <c r="F733" i="2"/>
  <c r="E733" i="2"/>
  <c r="D733" i="2"/>
  <c r="C733" i="2"/>
  <c r="B733" i="2"/>
  <c r="A733" i="2"/>
  <c r="F732" i="2"/>
  <c r="E732" i="2"/>
  <c r="D732" i="2"/>
  <c r="C732" i="2"/>
  <c r="B732" i="2"/>
  <c r="A732" i="2"/>
  <c r="F731" i="2"/>
  <c r="E731" i="2"/>
  <c r="D731" i="2"/>
  <c r="C731" i="2"/>
  <c r="B731" i="2"/>
  <c r="A731" i="2"/>
  <c r="F730" i="2"/>
  <c r="E730" i="2"/>
  <c r="D730" i="2"/>
  <c r="C730" i="2"/>
  <c r="B730" i="2"/>
  <c r="A730" i="2"/>
  <c r="F729" i="2"/>
  <c r="E729" i="2"/>
  <c r="D729" i="2"/>
  <c r="C729" i="2"/>
  <c r="B729" i="2"/>
  <c r="A729" i="2"/>
  <c r="F728" i="2"/>
  <c r="E728" i="2"/>
  <c r="D728" i="2"/>
  <c r="C728" i="2"/>
  <c r="B728" i="2"/>
  <c r="A728" i="2"/>
  <c r="F727" i="2"/>
  <c r="E727" i="2"/>
  <c r="D727" i="2"/>
  <c r="C727" i="2"/>
  <c r="B727" i="2"/>
  <c r="A727" i="2"/>
  <c r="F726" i="2"/>
  <c r="E726" i="2"/>
  <c r="D726" i="2"/>
  <c r="C726" i="2"/>
  <c r="B726" i="2"/>
  <c r="A726" i="2"/>
  <c r="F725" i="2"/>
  <c r="E725" i="2"/>
  <c r="D725" i="2"/>
  <c r="C725" i="2"/>
  <c r="B725" i="2"/>
  <c r="A725" i="2"/>
  <c r="F724" i="2"/>
  <c r="E724" i="2"/>
  <c r="D724" i="2"/>
  <c r="C724" i="2"/>
  <c r="B724" i="2"/>
  <c r="A724" i="2"/>
  <c r="F723" i="2"/>
  <c r="E723" i="2"/>
  <c r="D723" i="2"/>
  <c r="C723" i="2"/>
  <c r="B723" i="2"/>
  <c r="A723" i="2"/>
  <c r="F722" i="2"/>
  <c r="E722" i="2"/>
  <c r="D722" i="2"/>
  <c r="C722" i="2"/>
  <c r="B722" i="2"/>
  <c r="A722" i="2"/>
  <c r="F721" i="2"/>
  <c r="E721" i="2"/>
  <c r="D721" i="2"/>
  <c r="C721" i="2"/>
  <c r="B721" i="2"/>
  <c r="A721" i="2"/>
  <c r="F720" i="2"/>
  <c r="E720" i="2"/>
  <c r="D720" i="2"/>
  <c r="C720" i="2"/>
  <c r="B720" i="2"/>
  <c r="A720" i="2"/>
  <c r="F719" i="2"/>
  <c r="E719" i="2"/>
  <c r="D719" i="2"/>
  <c r="C719" i="2"/>
  <c r="B719" i="2"/>
  <c r="A719" i="2"/>
  <c r="F718" i="2"/>
  <c r="E718" i="2"/>
  <c r="D718" i="2"/>
  <c r="C718" i="2"/>
  <c r="B718" i="2"/>
  <c r="A718" i="2"/>
  <c r="F717" i="2"/>
  <c r="E717" i="2"/>
  <c r="D717" i="2"/>
  <c r="C717" i="2"/>
  <c r="B717" i="2"/>
  <c r="A717" i="2"/>
  <c r="F716" i="2"/>
  <c r="E716" i="2"/>
  <c r="D716" i="2"/>
  <c r="C716" i="2"/>
  <c r="B716" i="2"/>
  <c r="A716" i="2"/>
  <c r="F715" i="2"/>
  <c r="E715" i="2"/>
  <c r="D715" i="2"/>
  <c r="C715" i="2"/>
  <c r="B715" i="2"/>
  <c r="A715" i="2"/>
  <c r="F714" i="2"/>
  <c r="E714" i="2"/>
  <c r="D714" i="2"/>
  <c r="C714" i="2"/>
  <c r="B714" i="2"/>
  <c r="A714" i="2"/>
  <c r="F713" i="2"/>
  <c r="E713" i="2"/>
  <c r="D713" i="2"/>
  <c r="C713" i="2"/>
  <c r="B713" i="2"/>
  <c r="A713" i="2"/>
  <c r="F712" i="2"/>
  <c r="E712" i="2"/>
  <c r="D712" i="2"/>
  <c r="C712" i="2"/>
  <c r="B712" i="2"/>
  <c r="A712" i="2"/>
  <c r="F711" i="2"/>
  <c r="E711" i="2"/>
  <c r="D711" i="2"/>
  <c r="C711" i="2"/>
  <c r="B711" i="2"/>
  <c r="A711" i="2"/>
  <c r="F710" i="2"/>
  <c r="E710" i="2"/>
  <c r="D710" i="2"/>
  <c r="C710" i="2"/>
  <c r="B710" i="2"/>
  <c r="A710" i="2"/>
  <c r="F709" i="2"/>
  <c r="E709" i="2"/>
  <c r="D709" i="2"/>
  <c r="C709" i="2"/>
  <c r="B709" i="2"/>
  <c r="A709" i="2"/>
  <c r="F708" i="2"/>
  <c r="E708" i="2"/>
  <c r="D708" i="2"/>
  <c r="C708" i="2"/>
  <c r="B708" i="2"/>
  <c r="A708" i="2"/>
  <c r="F707" i="2"/>
  <c r="E707" i="2"/>
  <c r="D707" i="2"/>
  <c r="C707" i="2"/>
  <c r="B707" i="2"/>
  <c r="A707" i="2"/>
  <c r="F706" i="2"/>
  <c r="E706" i="2"/>
  <c r="D706" i="2"/>
  <c r="C706" i="2"/>
  <c r="B706" i="2"/>
  <c r="A706" i="2"/>
  <c r="F705" i="2"/>
  <c r="E705" i="2"/>
  <c r="D705" i="2"/>
  <c r="C705" i="2"/>
  <c r="B705" i="2"/>
  <c r="A705" i="2"/>
  <c r="F704" i="2"/>
  <c r="E704" i="2"/>
  <c r="D704" i="2"/>
  <c r="C704" i="2"/>
  <c r="B704" i="2"/>
  <c r="A704" i="2"/>
  <c r="F703" i="2"/>
  <c r="E703" i="2"/>
  <c r="D703" i="2"/>
  <c r="C703" i="2"/>
  <c r="B703" i="2"/>
  <c r="A703" i="2"/>
  <c r="F702" i="2"/>
  <c r="E702" i="2"/>
  <c r="D702" i="2"/>
  <c r="C702" i="2"/>
  <c r="B702" i="2"/>
  <c r="A702" i="2"/>
  <c r="F701" i="2"/>
  <c r="E701" i="2"/>
  <c r="D701" i="2"/>
  <c r="C701" i="2"/>
  <c r="B701" i="2"/>
  <c r="A701" i="2"/>
  <c r="F700" i="2"/>
  <c r="E700" i="2"/>
  <c r="D700" i="2"/>
  <c r="C700" i="2"/>
  <c r="B700" i="2"/>
  <c r="A700" i="2"/>
  <c r="F699" i="2"/>
  <c r="E699" i="2"/>
  <c r="D699" i="2"/>
  <c r="C699" i="2"/>
  <c r="B699" i="2"/>
  <c r="A699" i="2"/>
  <c r="F698" i="2"/>
  <c r="E698" i="2"/>
  <c r="D698" i="2"/>
  <c r="C698" i="2"/>
  <c r="B698" i="2"/>
  <c r="A698" i="2"/>
  <c r="F697" i="2"/>
  <c r="E697" i="2"/>
  <c r="D697" i="2"/>
  <c r="C697" i="2"/>
  <c r="B697" i="2"/>
  <c r="A697" i="2"/>
  <c r="F696" i="2"/>
  <c r="E696" i="2"/>
  <c r="D696" i="2"/>
  <c r="C696" i="2"/>
  <c r="B696" i="2"/>
  <c r="A696" i="2"/>
  <c r="F695" i="2"/>
  <c r="E695" i="2"/>
  <c r="D695" i="2"/>
  <c r="C695" i="2"/>
  <c r="B695" i="2"/>
  <c r="A695" i="2"/>
  <c r="F694" i="2"/>
  <c r="E694" i="2"/>
  <c r="D694" i="2"/>
  <c r="C694" i="2"/>
  <c r="B694" i="2"/>
  <c r="A694" i="2"/>
  <c r="F693" i="2"/>
  <c r="E693" i="2"/>
  <c r="D693" i="2"/>
  <c r="C693" i="2"/>
  <c r="B693" i="2"/>
  <c r="A693" i="2"/>
  <c r="F692" i="2"/>
  <c r="E692" i="2"/>
  <c r="D692" i="2"/>
  <c r="C692" i="2"/>
  <c r="B692" i="2"/>
  <c r="A692" i="2"/>
  <c r="F691" i="2"/>
  <c r="E691" i="2"/>
  <c r="D691" i="2"/>
  <c r="C691" i="2"/>
  <c r="B691" i="2"/>
  <c r="A691" i="2"/>
  <c r="F690" i="2"/>
  <c r="E690" i="2"/>
  <c r="D690" i="2"/>
  <c r="C690" i="2"/>
  <c r="B690" i="2"/>
  <c r="A690" i="2"/>
  <c r="F689" i="2"/>
  <c r="E689" i="2"/>
  <c r="D689" i="2"/>
  <c r="C689" i="2"/>
  <c r="B689" i="2"/>
  <c r="A689" i="2"/>
  <c r="F688" i="2"/>
  <c r="E688" i="2"/>
  <c r="D688" i="2"/>
  <c r="C688" i="2"/>
  <c r="B688" i="2"/>
  <c r="A688" i="2"/>
  <c r="F687" i="2"/>
  <c r="E687" i="2"/>
  <c r="D687" i="2"/>
  <c r="C687" i="2"/>
  <c r="B687" i="2"/>
  <c r="A687" i="2"/>
  <c r="F686" i="2"/>
  <c r="E686" i="2"/>
  <c r="D686" i="2"/>
  <c r="C686" i="2"/>
  <c r="B686" i="2"/>
  <c r="A686" i="2"/>
  <c r="F685" i="2"/>
  <c r="E685" i="2"/>
  <c r="D685" i="2"/>
  <c r="C685" i="2"/>
  <c r="B685" i="2"/>
  <c r="A685" i="2"/>
  <c r="F684" i="2"/>
  <c r="E684" i="2"/>
  <c r="D684" i="2"/>
  <c r="C684" i="2"/>
  <c r="B684" i="2"/>
  <c r="A684" i="2"/>
  <c r="F683" i="2"/>
  <c r="E683" i="2"/>
  <c r="D683" i="2"/>
  <c r="C683" i="2"/>
  <c r="B683" i="2"/>
  <c r="A683" i="2"/>
  <c r="F682" i="2"/>
  <c r="E682" i="2"/>
  <c r="D682" i="2"/>
  <c r="C682" i="2"/>
  <c r="B682" i="2"/>
  <c r="A682" i="2"/>
  <c r="F681" i="2"/>
  <c r="E681" i="2"/>
  <c r="D681" i="2"/>
  <c r="C681" i="2"/>
  <c r="B681" i="2"/>
  <c r="A681" i="2"/>
  <c r="F680" i="2"/>
  <c r="E680" i="2"/>
  <c r="D680" i="2"/>
  <c r="C680" i="2"/>
  <c r="B680" i="2"/>
  <c r="A680" i="2"/>
  <c r="F679" i="2"/>
  <c r="E679" i="2"/>
  <c r="D679" i="2"/>
  <c r="C679" i="2"/>
  <c r="B679" i="2"/>
  <c r="A679" i="2"/>
  <c r="F678" i="2"/>
  <c r="E678" i="2"/>
  <c r="D678" i="2"/>
  <c r="C678" i="2"/>
  <c r="B678" i="2"/>
  <c r="A678" i="2"/>
  <c r="F677" i="2"/>
  <c r="E677" i="2"/>
  <c r="D677" i="2"/>
  <c r="C677" i="2"/>
  <c r="B677" i="2"/>
  <c r="A677" i="2"/>
  <c r="F676" i="2"/>
  <c r="E676" i="2"/>
  <c r="D676" i="2"/>
  <c r="C676" i="2"/>
  <c r="B676" i="2"/>
  <c r="A676" i="2"/>
  <c r="F675" i="2"/>
  <c r="E675" i="2"/>
  <c r="D675" i="2"/>
  <c r="C675" i="2"/>
  <c r="B675" i="2"/>
  <c r="A675" i="2"/>
  <c r="F674" i="2"/>
  <c r="E674" i="2"/>
  <c r="D674" i="2"/>
  <c r="C674" i="2"/>
  <c r="B674" i="2"/>
  <c r="A674" i="2"/>
  <c r="F673" i="2"/>
  <c r="E673" i="2"/>
  <c r="D673" i="2"/>
  <c r="C673" i="2"/>
  <c r="B673" i="2"/>
  <c r="A673" i="2"/>
  <c r="F672" i="2"/>
  <c r="E672" i="2"/>
  <c r="D672" i="2"/>
  <c r="C672" i="2"/>
  <c r="B672" i="2"/>
  <c r="A672" i="2"/>
  <c r="F671" i="2"/>
  <c r="E671" i="2"/>
  <c r="D671" i="2"/>
  <c r="C671" i="2"/>
  <c r="B671" i="2"/>
  <c r="A671" i="2"/>
  <c r="F670" i="2"/>
  <c r="E670" i="2"/>
  <c r="D670" i="2"/>
  <c r="C670" i="2"/>
  <c r="B670" i="2"/>
  <c r="A670" i="2"/>
  <c r="F669" i="2"/>
  <c r="E669" i="2"/>
  <c r="D669" i="2"/>
  <c r="C669" i="2"/>
  <c r="B669" i="2"/>
  <c r="A669" i="2"/>
  <c r="F668" i="2"/>
  <c r="E668" i="2"/>
  <c r="D668" i="2"/>
  <c r="C668" i="2"/>
  <c r="B668" i="2"/>
  <c r="A668" i="2"/>
  <c r="F667" i="2"/>
  <c r="E667" i="2"/>
  <c r="D667" i="2"/>
  <c r="C667" i="2"/>
  <c r="B667" i="2"/>
  <c r="A667" i="2"/>
  <c r="F666" i="2"/>
  <c r="E666" i="2"/>
  <c r="D666" i="2"/>
  <c r="C666" i="2"/>
  <c r="B666" i="2"/>
  <c r="A666" i="2"/>
  <c r="F665" i="2"/>
  <c r="E665" i="2"/>
  <c r="D665" i="2"/>
  <c r="C665" i="2"/>
  <c r="B665" i="2"/>
  <c r="A665" i="2"/>
  <c r="F664" i="2"/>
  <c r="E664" i="2"/>
  <c r="D664" i="2"/>
  <c r="C664" i="2"/>
  <c r="B664" i="2"/>
  <c r="A664" i="2"/>
  <c r="F663" i="2"/>
  <c r="E663" i="2"/>
  <c r="D663" i="2"/>
  <c r="C663" i="2"/>
  <c r="B663" i="2"/>
  <c r="A663" i="2"/>
  <c r="F662" i="2"/>
  <c r="E662" i="2"/>
  <c r="D662" i="2"/>
  <c r="C662" i="2"/>
  <c r="B662" i="2"/>
  <c r="A662" i="2"/>
  <c r="F661" i="2"/>
  <c r="E661" i="2"/>
  <c r="D661" i="2"/>
  <c r="C661" i="2"/>
  <c r="B661" i="2"/>
  <c r="A661" i="2"/>
  <c r="F660" i="2"/>
  <c r="E660" i="2"/>
  <c r="D660" i="2"/>
  <c r="C660" i="2"/>
  <c r="B660" i="2"/>
  <c r="A660" i="2"/>
  <c r="F659" i="2"/>
  <c r="E659" i="2"/>
  <c r="D659" i="2"/>
  <c r="C659" i="2"/>
  <c r="B659" i="2"/>
  <c r="A659" i="2"/>
  <c r="F658" i="2"/>
  <c r="E658" i="2"/>
  <c r="D658" i="2"/>
  <c r="C658" i="2"/>
  <c r="B658" i="2"/>
  <c r="A658" i="2"/>
  <c r="F657" i="2"/>
  <c r="E657" i="2"/>
  <c r="D657" i="2"/>
  <c r="C657" i="2"/>
  <c r="B657" i="2"/>
  <c r="A657" i="2"/>
  <c r="F656" i="2"/>
  <c r="E656" i="2"/>
  <c r="D656" i="2"/>
  <c r="C656" i="2"/>
  <c r="B656" i="2"/>
  <c r="A656" i="2"/>
  <c r="F655" i="2"/>
  <c r="E655" i="2"/>
  <c r="D655" i="2"/>
  <c r="C655" i="2"/>
  <c r="B655" i="2"/>
  <c r="A655" i="2"/>
  <c r="F654" i="2"/>
  <c r="E654" i="2"/>
  <c r="D654" i="2"/>
  <c r="C654" i="2"/>
  <c r="B654" i="2"/>
  <c r="A654" i="2"/>
  <c r="F653" i="2"/>
  <c r="E653" i="2"/>
  <c r="D653" i="2"/>
  <c r="C653" i="2"/>
  <c r="B653" i="2"/>
  <c r="A653" i="2"/>
  <c r="F652" i="2"/>
  <c r="E652" i="2"/>
  <c r="D652" i="2"/>
  <c r="C652" i="2"/>
  <c r="B652" i="2"/>
  <c r="A652" i="2"/>
  <c r="F651" i="2"/>
  <c r="E651" i="2"/>
  <c r="D651" i="2"/>
  <c r="C651" i="2"/>
  <c r="B651" i="2"/>
  <c r="A651" i="2"/>
  <c r="F650" i="2"/>
  <c r="E650" i="2"/>
  <c r="D650" i="2"/>
  <c r="C650" i="2"/>
  <c r="B650" i="2"/>
  <c r="A650" i="2"/>
  <c r="F649" i="2"/>
  <c r="E649" i="2"/>
  <c r="D649" i="2"/>
  <c r="C649" i="2"/>
  <c r="B649" i="2"/>
  <c r="A649" i="2"/>
  <c r="F648" i="2"/>
  <c r="E648" i="2"/>
  <c r="D648" i="2"/>
  <c r="C648" i="2"/>
  <c r="B648" i="2"/>
  <c r="A648" i="2"/>
  <c r="F647" i="2"/>
  <c r="E647" i="2"/>
  <c r="D647" i="2"/>
  <c r="C647" i="2"/>
  <c r="B647" i="2"/>
  <c r="A647" i="2"/>
  <c r="F646" i="2"/>
  <c r="E646" i="2"/>
  <c r="D646" i="2"/>
  <c r="C646" i="2"/>
  <c r="B646" i="2"/>
  <c r="A646" i="2"/>
  <c r="F645" i="2"/>
  <c r="E645" i="2"/>
  <c r="D645" i="2"/>
  <c r="C645" i="2"/>
  <c r="B645" i="2"/>
  <c r="A645" i="2"/>
  <c r="F644" i="2"/>
  <c r="E644" i="2"/>
  <c r="D644" i="2"/>
  <c r="C644" i="2"/>
  <c r="B644" i="2"/>
  <c r="A644" i="2"/>
  <c r="F643" i="2"/>
  <c r="E643" i="2"/>
  <c r="D643" i="2"/>
  <c r="C643" i="2"/>
  <c r="B643" i="2"/>
  <c r="A643" i="2"/>
  <c r="F642" i="2"/>
  <c r="E642" i="2"/>
  <c r="D642" i="2"/>
  <c r="C642" i="2"/>
  <c r="B642" i="2"/>
  <c r="A642" i="2"/>
  <c r="F641" i="2"/>
  <c r="E641" i="2"/>
  <c r="D641" i="2"/>
  <c r="C641" i="2"/>
  <c r="B641" i="2"/>
  <c r="A641" i="2"/>
  <c r="F640" i="2"/>
  <c r="E640" i="2"/>
  <c r="D640" i="2"/>
  <c r="C640" i="2"/>
  <c r="B640" i="2"/>
  <c r="A640" i="2"/>
  <c r="F638" i="2"/>
  <c r="E638" i="2"/>
  <c r="D638" i="2"/>
  <c r="C638" i="2"/>
  <c r="B638" i="2"/>
  <c r="A638" i="2"/>
  <c r="F637" i="2"/>
  <c r="E637" i="2"/>
  <c r="D637" i="2"/>
  <c r="C637" i="2"/>
  <c r="B637" i="2"/>
  <c r="A637" i="2"/>
  <c r="F636" i="2"/>
  <c r="E636" i="2"/>
  <c r="D636" i="2"/>
  <c r="C636" i="2"/>
  <c r="B636" i="2"/>
  <c r="A636" i="2"/>
  <c r="F635" i="2"/>
  <c r="E635" i="2"/>
  <c r="D635" i="2"/>
  <c r="C635" i="2"/>
  <c r="B635" i="2"/>
  <c r="A635" i="2"/>
  <c r="F634" i="2"/>
  <c r="E634" i="2"/>
  <c r="D634" i="2"/>
  <c r="C634" i="2"/>
  <c r="B634" i="2"/>
  <c r="A634" i="2"/>
  <c r="F633" i="2"/>
  <c r="E633" i="2"/>
  <c r="D633" i="2"/>
  <c r="C633" i="2"/>
  <c r="B633" i="2"/>
  <c r="A633" i="2"/>
  <c r="F632" i="2"/>
  <c r="E632" i="2"/>
  <c r="D632" i="2"/>
  <c r="C632" i="2"/>
  <c r="B632" i="2"/>
  <c r="A632" i="2"/>
  <c r="F631" i="2"/>
  <c r="E631" i="2"/>
  <c r="D631" i="2"/>
  <c r="C631" i="2"/>
  <c r="B631" i="2"/>
  <c r="A631" i="2"/>
  <c r="F630" i="2"/>
  <c r="E630" i="2"/>
  <c r="D630" i="2"/>
  <c r="C630" i="2"/>
  <c r="B630" i="2"/>
  <c r="A630" i="2"/>
  <c r="F629" i="2"/>
  <c r="E629" i="2"/>
  <c r="D629" i="2"/>
  <c r="C629" i="2"/>
  <c r="B629" i="2"/>
  <c r="A629" i="2"/>
  <c r="F628" i="2"/>
  <c r="E628" i="2"/>
  <c r="D628" i="2"/>
  <c r="C628" i="2"/>
  <c r="B628" i="2"/>
  <c r="A628" i="2"/>
  <c r="F627" i="2"/>
  <c r="E627" i="2"/>
  <c r="D627" i="2"/>
  <c r="C627" i="2"/>
  <c r="B627" i="2"/>
  <c r="A627" i="2"/>
  <c r="F626" i="2"/>
  <c r="E626" i="2"/>
  <c r="D626" i="2"/>
  <c r="C626" i="2"/>
  <c r="B626" i="2"/>
  <c r="A626" i="2"/>
  <c r="F625" i="2"/>
  <c r="E625" i="2"/>
  <c r="D625" i="2"/>
  <c r="C625" i="2"/>
  <c r="B625" i="2"/>
  <c r="A625" i="2"/>
  <c r="F624" i="2"/>
  <c r="E624" i="2"/>
  <c r="D624" i="2"/>
  <c r="C624" i="2"/>
  <c r="B624" i="2"/>
  <c r="A624" i="2"/>
  <c r="F623" i="2"/>
  <c r="E623" i="2"/>
  <c r="D623" i="2"/>
  <c r="C623" i="2"/>
  <c r="B623" i="2"/>
  <c r="A623" i="2"/>
  <c r="F622" i="2"/>
  <c r="E622" i="2"/>
  <c r="D622" i="2"/>
  <c r="C622" i="2"/>
  <c r="B622" i="2"/>
  <c r="A622" i="2"/>
  <c r="F621" i="2"/>
  <c r="E621" i="2"/>
  <c r="D621" i="2"/>
  <c r="C621" i="2"/>
  <c r="B621" i="2"/>
  <c r="A621" i="2"/>
  <c r="F620" i="2"/>
  <c r="E620" i="2"/>
  <c r="D620" i="2"/>
  <c r="C620" i="2"/>
  <c r="B620" i="2"/>
  <c r="A620" i="2"/>
  <c r="F619" i="2"/>
  <c r="E619" i="2"/>
  <c r="D619" i="2"/>
  <c r="C619" i="2"/>
  <c r="B619" i="2"/>
  <c r="A619" i="2"/>
  <c r="F618" i="2"/>
  <c r="E618" i="2"/>
  <c r="D618" i="2"/>
  <c r="C618" i="2"/>
  <c r="B618" i="2"/>
  <c r="A618" i="2"/>
  <c r="F617" i="2"/>
  <c r="E617" i="2"/>
  <c r="D617" i="2"/>
  <c r="C617" i="2"/>
  <c r="B617" i="2"/>
  <c r="A617" i="2"/>
  <c r="F616" i="2"/>
  <c r="E616" i="2"/>
  <c r="D616" i="2"/>
  <c r="C616" i="2"/>
  <c r="B616" i="2"/>
  <c r="A616" i="2"/>
  <c r="F615" i="2"/>
  <c r="E615" i="2"/>
  <c r="D615" i="2"/>
  <c r="C615" i="2"/>
  <c r="B615" i="2"/>
  <c r="A615" i="2"/>
  <c r="F614" i="2"/>
  <c r="E614" i="2"/>
  <c r="D614" i="2"/>
  <c r="C614" i="2"/>
  <c r="B614" i="2"/>
  <c r="A614" i="2"/>
  <c r="F613" i="2"/>
  <c r="E613" i="2"/>
  <c r="D613" i="2"/>
  <c r="C613" i="2"/>
  <c r="B613" i="2"/>
  <c r="A613" i="2"/>
  <c r="F612" i="2"/>
  <c r="E612" i="2"/>
  <c r="D612" i="2"/>
  <c r="C612" i="2"/>
  <c r="B612" i="2"/>
  <c r="A612" i="2"/>
  <c r="F611" i="2"/>
  <c r="E611" i="2"/>
  <c r="D611" i="2"/>
  <c r="C611" i="2"/>
  <c r="B611" i="2"/>
  <c r="A611" i="2"/>
  <c r="F610" i="2"/>
  <c r="E610" i="2"/>
  <c r="D610" i="2"/>
  <c r="C610" i="2"/>
  <c r="B610" i="2"/>
  <c r="A610" i="2"/>
  <c r="F609" i="2"/>
  <c r="E609" i="2"/>
  <c r="D609" i="2"/>
  <c r="C609" i="2"/>
  <c r="B609" i="2"/>
  <c r="A609" i="2"/>
  <c r="F608" i="2"/>
  <c r="E608" i="2"/>
  <c r="D608" i="2"/>
  <c r="C608" i="2"/>
  <c r="B608" i="2"/>
  <c r="A608" i="2"/>
  <c r="F607" i="2"/>
  <c r="E607" i="2"/>
  <c r="D607" i="2"/>
  <c r="C607" i="2"/>
  <c r="B607" i="2"/>
  <c r="A607" i="2"/>
  <c r="F606" i="2"/>
  <c r="E606" i="2"/>
  <c r="D606" i="2"/>
  <c r="C606" i="2"/>
  <c r="B606" i="2"/>
  <c r="A606" i="2"/>
  <c r="F605" i="2"/>
  <c r="E605" i="2"/>
  <c r="D605" i="2"/>
  <c r="C605" i="2"/>
  <c r="B605" i="2"/>
  <c r="A605" i="2"/>
  <c r="F604" i="2"/>
  <c r="E604" i="2"/>
  <c r="D604" i="2"/>
  <c r="C604" i="2"/>
  <c r="B604" i="2"/>
  <c r="A604" i="2"/>
  <c r="F603" i="2"/>
  <c r="E603" i="2"/>
  <c r="D603" i="2"/>
  <c r="C603" i="2"/>
  <c r="B603" i="2"/>
  <c r="A603" i="2"/>
  <c r="F602" i="2"/>
  <c r="E602" i="2"/>
  <c r="D602" i="2"/>
  <c r="C602" i="2"/>
  <c r="B602" i="2"/>
  <c r="A602" i="2"/>
  <c r="F601" i="2"/>
  <c r="E601" i="2"/>
  <c r="D601" i="2"/>
  <c r="C601" i="2"/>
  <c r="B601" i="2"/>
  <c r="A601" i="2"/>
  <c r="F600" i="2"/>
  <c r="E600" i="2"/>
  <c r="D600" i="2"/>
  <c r="C600" i="2"/>
  <c r="B600" i="2"/>
  <c r="A600" i="2"/>
  <c r="F599" i="2"/>
  <c r="E599" i="2"/>
  <c r="D599" i="2"/>
  <c r="C599" i="2"/>
  <c r="B599" i="2"/>
  <c r="A599" i="2"/>
  <c r="F598" i="2"/>
  <c r="E598" i="2"/>
  <c r="D598" i="2"/>
  <c r="C598" i="2"/>
  <c r="B598" i="2"/>
  <c r="A598" i="2"/>
  <c r="F597" i="2"/>
  <c r="E597" i="2"/>
  <c r="D597" i="2"/>
  <c r="C597" i="2"/>
  <c r="B597" i="2"/>
  <c r="A597" i="2"/>
  <c r="F596" i="2"/>
  <c r="E596" i="2"/>
  <c r="D596" i="2"/>
  <c r="C596" i="2"/>
  <c r="B596" i="2"/>
  <c r="A596" i="2"/>
  <c r="F595" i="2"/>
  <c r="E595" i="2"/>
  <c r="D595" i="2"/>
  <c r="C595" i="2"/>
  <c r="B595" i="2"/>
  <c r="A595" i="2"/>
  <c r="F594" i="2"/>
  <c r="E594" i="2"/>
  <c r="D594" i="2"/>
  <c r="C594" i="2"/>
  <c r="B594" i="2"/>
  <c r="A594" i="2"/>
  <c r="F593" i="2"/>
  <c r="E593" i="2"/>
  <c r="D593" i="2"/>
  <c r="C593" i="2"/>
  <c r="B593" i="2"/>
  <c r="A593" i="2"/>
  <c r="F592" i="2"/>
  <c r="E592" i="2"/>
  <c r="D592" i="2"/>
  <c r="C592" i="2"/>
  <c r="B592" i="2"/>
  <c r="A592" i="2"/>
  <c r="F591" i="2"/>
  <c r="E591" i="2"/>
  <c r="D591" i="2"/>
  <c r="C591" i="2"/>
  <c r="B591" i="2"/>
  <c r="A591" i="2"/>
  <c r="F590" i="2"/>
  <c r="E590" i="2"/>
  <c r="D590" i="2"/>
  <c r="C590" i="2"/>
  <c r="B590" i="2"/>
  <c r="A590" i="2"/>
  <c r="F589" i="2"/>
  <c r="E589" i="2"/>
  <c r="D589" i="2"/>
  <c r="C589" i="2"/>
  <c r="B589" i="2"/>
  <c r="A589" i="2"/>
  <c r="F588" i="2"/>
  <c r="E588" i="2"/>
  <c r="D588" i="2"/>
  <c r="C588" i="2"/>
  <c r="B588" i="2"/>
  <c r="A588" i="2"/>
  <c r="F587" i="2"/>
  <c r="E587" i="2"/>
  <c r="D587" i="2"/>
  <c r="C587" i="2"/>
  <c r="B587" i="2"/>
  <c r="A587" i="2"/>
  <c r="F586" i="2"/>
  <c r="E586" i="2"/>
  <c r="D586" i="2"/>
  <c r="C586" i="2"/>
  <c r="B586" i="2"/>
  <c r="A586" i="2"/>
  <c r="F585" i="2"/>
  <c r="E585" i="2"/>
  <c r="D585" i="2"/>
  <c r="C585" i="2"/>
  <c r="B585" i="2"/>
  <c r="A585" i="2"/>
  <c r="F584" i="2"/>
  <c r="E584" i="2"/>
  <c r="D584" i="2"/>
  <c r="C584" i="2"/>
  <c r="B584" i="2"/>
  <c r="A584" i="2"/>
  <c r="F583" i="2"/>
  <c r="E583" i="2"/>
  <c r="D583" i="2"/>
  <c r="C583" i="2"/>
  <c r="B583" i="2"/>
  <c r="A583" i="2"/>
  <c r="F582" i="2"/>
  <c r="E582" i="2"/>
  <c r="D582" i="2"/>
  <c r="C582" i="2"/>
  <c r="B582" i="2"/>
  <c r="A582" i="2"/>
  <c r="F581" i="2"/>
  <c r="E581" i="2"/>
  <c r="D581" i="2"/>
  <c r="C581" i="2"/>
  <c r="B581" i="2"/>
  <c r="A581" i="2"/>
  <c r="F580" i="2"/>
  <c r="E580" i="2"/>
  <c r="D580" i="2"/>
  <c r="C580" i="2"/>
  <c r="B580" i="2"/>
  <c r="A580" i="2"/>
  <c r="F579" i="2"/>
  <c r="E579" i="2"/>
  <c r="D579" i="2"/>
  <c r="C579" i="2"/>
  <c r="B579" i="2"/>
  <c r="A579" i="2"/>
  <c r="F578" i="2"/>
  <c r="E578" i="2"/>
  <c r="D578" i="2"/>
  <c r="C578" i="2"/>
  <c r="B578" i="2"/>
  <c r="A578" i="2"/>
  <c r="F577" i="2"/>
  <c r="E577" i="2"/>
  <c r="D577" i="2"/>
  <c r="C577" i="2"/>
  <c r="B577" i="2"/>
  <c r="A577" i="2"/>
  <c r="F576" i="2"/>
  <c r="E576" i="2"/>
  <c r="D576" i="2"/>
  <c r="C576" i="2"/>
  <c r="B576" i="2"/>
  <c r="A576" i="2"/>
  <c r="F575" i="2"/>
  <c r="E575" i="2"/>
  <c r="D575" i="2"/>
  <c r="C575" i="2"/>
  <c r="B575" i="2"/>
  <c r="A575" i="2"/>
  <c r="F574" i="2"/>
  <c r="E574" i="2"/>
  <c r="D574" i="2"/>
  <c r="C574" i="2"/>
  <c r="B574" i="2"/>
  <c r="A574" i="2"/>
  <c r="F573" i="2"/>
  <c r="E573" i="2"/>
  <c r="D573" i="2"/>
  <c r="C573" i="2"/>
  <c r="B573" i="2"/>
  <c r="A573" i="2"/>
  <c r="F572" i="2"/>
  <c r="E572" i="2"/>
  <c r="D572" i="2"/>
  <c r="C572" i="2"/>
  <c r="B572" i="2"/>
  <c r="A572" i="2"/>
  <c r="F571" i="2"/>
  <c r="E571" i="2"/>
  <c r="D571" i="2"/>
  <c r="C571" i="2"/>
  <c r="B571" i="2"/>
  <c r="A571" i="2"/>
  <c r="F570" i="2"/>
  <c r="E570" i="2"/>
  <c r="D570" i="2"/>
  <c r="C570" i="2"/>
  <c r="B570" i="2"/>
  <c r="A570" i="2"/>
  <c r="F569" i="2"/>
  <c r="E569" i="2"/>
  <c r="D569" i="2"/>
  <c r="C569" i="2"/>
  <c r="B569" i="2"/>
  <c r="A569" i="2"/>
  <c r="F568" i="2"/>
  <c r="E568" i="2"/>
  <c r="D568" i="2"/>
  <c r="C568" i="2"/>
  <c r="B568" i="2"/>
  <c r="A568" i="2"/>
  <c r="F567" i="2"/>
  <c r="E567" i="2"/>
  <c r="D567" i="2"/>
  <c r="C567" i="2"/>
  <c r="B567" i="2"/>
  <c r="A567" i="2"/>
  <c r="F566" i="2"/>
  <c r="E566" i="2"/>
  <c r="D566" i="2"/>
  <c r="C566" i="2"/>
  <c r="B566" i="2"/>
  <c r="A566" i="2"/>
  <c r="F565" i="2"/>
  <c r="E565" i="2"/>
  <c r="D565" i="2"/>
  <c r="C565" i="2"/>
  <c r="B565" i="2"/>
  <c r="A565" i="2"/>
  <c r="F564" i="2"/>
  <c r="E564" i="2"/>
  <c r="D564" i="2"/>
  <c r="C564" i="2"/>
  <c r="B564" i="2"/>
  <c r="A564" i="2"/>
  <c r="F563" i="2"/>
  <c r="E563" i="2"/>
  <c r="D563" i="2"/>
  <c r="C563" i="2"/>
  <c r="B563" i="2"/>
  <c r="A563" i="2"/>
  <c r="F562" i="2"/>
  <c r="E562" i="2"/>
  <c r="D562" i="2"/>
  <c r="C562" i="2"/>
  <c r="B562" i="2"/>
  <c r="A562" i="2"/>
  <c r="F561" i="2"/>
  <c r="E561" i="2"/>
  <c r="D561" i="2"/>
  <c r="C561" i="2"/>
  <c r="B561" i="2"/>
  <c r="A561" i="2"/>
  <c r="F560" i="2"/>
  <c r="E560" i="2"/>
  <c r="D560" i="2"/>
  <c r="C560" i="2"/>
  <c r="B560" i="2"/>
  <c r="A560" i="2"/>
  <c r="F559" i="2"/>
  <c r="E559" i="2"/>
  <c r="D559" i="2"/>
  <c r="C559" i="2"/>
  <c r="B559" i="2"/>
  <c r="A559" i="2"/>
  <c r="F558" i="2"/>
  <c r="E558" i="2"/>
  <c r="D558" i="2"/>
  <c r="C558" i="2"/>
  <c r="B558" i="2"/>
  <c r="A558" i="2"/>
  <c r="F557" i="2"/>
  <c r="E557" i="2"/>
  <c r="D557" i="2"/>
  <c r="C557" i="2"/>
  <c r="B557" i="2"/>
  <c r="A557" i="2"/>
  <c r="F556" i="2"/>
  <c r="E556" i="2"/>
  <c r="D556" i="2"/>
  <c r="C556" i="2"/>
  <c r="B556" i="2"/>
  <c r="A556" i="2"/>
  <c r="F555" i="2"/>
  <c r="E555" i="2"/>
  <c r="D555" i="2"/>
  <c r="C555" i="2"/>
  <c r="B555" i="2"/>
  <c r="A555" i="2"/>
  <c r="F554" i="2"/>
  <c r="E554" i="2"/>
  <c r="D554" i="2"/>
  <c r="C554" i="2"/>
  <c r="B554" i="2"/>
  <c r="A554" i="2"/>
  <c r="F553" i="2"/>
  <c r="E553" i="2"/>
  <c r="D553" i="2"/>
  <c r="C553" i="2"/>
  <c r="B553" i="2"/>
  <c r="A553" i="2"/>
  <c r="F552" i="2"/>
  <c r="E552" i="2"/>
  <c r="D552" i="2"/>
  <c r="C552" i="2"/>
  <c r="B552" i="2"/>
  <c r="A552" i="2"/>
  <c r="F551" i="2"/>
  <c r="E551" i="2"/>
  <c r="D551" i="2"/>
  <c r="C551" i="2"/>
  <c r="B551" i="2"/>
  <c r="A551" i="2"/>
  <c r="F550" i="2"/>
  <c r="E550" i="2"/>
  <c r="D550" i="2"/>
  <c r="C550" i="2"/>
  <c r="B550" i="2"/>
  <c r="A550" i="2"/>
  <c r="F549" i="2"/>
  <c r="E549" i="2"/>
  <c r="D549" i="2"/>
  <c r="C549" i="2"/>
  <c r="B549" i="2"/>
  <c r="A549" i="2"/>
  <c r="F548" i="2"/>
  <c r="E548" i="2"/>
  <c r="D548" i="2"/>
  <c r="C548" i="2"/>
  <c r="B548" i="2"/>
  <c r="A548" i="2"/>
  <c r="F547" i="2"/>
  <c r="E547" i="2"/>
  <c r="D547" i="2"/>
  <c r="C547" i="2"/>
  <c r="B547" i="2"/>
  <c r="A547" i="2"/>
  <c r="F546" i="2"/>
  <c r="E546" i="2"/>
  <c r="D546" i="2"/>
  <c r="C546" i="2"/>
  <c r="B546" i="2"/>
  <c r="A546" i="2"/>
  <c r="F545" i="2"/>
  <c r="E545" i="2"/>
  <c r="D545" i="2"/>
  <c r="C545" i="2"/>
  <c r="B545" i="2"/>
  <c r="A545" i="2"/>
  <c r="F544" i="2"/>
  <c r="E544" i="2"/>
  <c r="D544" i="2"/>
  <c r="C544" i="2"/>
  <c r="B544" i="2"/>
  <c r="A544" i="2"/>
  <c r="F543" i="2"/>
  <c r="E543" i="2"/>
  <c r="D543" i="2"/>
  <c r="C543" i="2"/>
  <c r="B543" i="2"/>
  <c r="A543" i="2"/>
  <c r="F542" i="2"/>
  <c r="E542" i="2"/>
  <c r="D542" i="2"/>
  <c r="C542" i="2"/>
  <c r="B542" i="2"/>
  <c r="A542" i="2"/>
  <c r="F541" i="2"/>
  <c r="E541" i="2"/>
  <c r="D541" i="2"/>
  <c r="C541" i="2"/>
  <c r="B541" i="2"/>
  <c r="A541" i="2"/>
  <c r="F540" i="2"/>
  <c r="E540" i="2"/>
  <c r="D540" i="2"/>
  <c r="C540" i="2"/>
  <c r="B540" i="2"/>
  <c r="A540" i="2"/>
  <c r="F539" i="2"/>
  <c r="E539" i="2"/>
  <c r="D539" i="2"/>
  <c r="C539" i="2"/>
  <c r="B539" i="2"/>
  <c r="A539" i="2"/>
  <c r="F538" i="2"/>
  <c r="E538" i="2"/>
  <c r="D538" i="2"/>
  <c r="C538" i="2"/>
  <c r="B538" i="2"/>
  <c r="A538" i="2"/>
  <c r="F537" i="2"/>
  <c r="E537" i="2"/>
  <c r="D537" i="2"/>
  <c r="C537" i="2"/>
  <c r="B537" i="2"/>
  <c r="A537" i="2"/>
  <c r="F536" i="2"/>
  <c r="E536" i="2"/>
  <c r="D536" i="2"/>
  <c r="C536" i="2"/>
  <c r="B536" i="2"/>
  <c r="A536" i="2"/>
  <c r="F535" i="2"/>
  <c r="E535" i="2"/>
  <c r="D535" i="2"/>
  <c r="C535" i="2"/>
  <c r="B535" i="2"/>
  <c r="A535" i="2"/>
  <c r="F534" i="2"/>
  <c r="E534" i="2"/>
  <c r="D534" i="2"/>
  <c r="C534" i="2"/>
  <c r="B534" i="2"/>
  <c r="A534" i="2"/>
  <c r="F533" i="2"/>
  <c r="E533" i="2"/>
  <c r="D533" i="2"/>
  <c r="C533" i="2"/>
  <c r="B533" i="2"/>
  <c r="A533" i="2"/>
  <c r="F532" i="2"/>
  <c r="E532" i="2"/>
  <c r="D532" i="2"/>
  <c r="C532" i="2"/>
  <c r="B532" i="2"/>
  <c r="A532" i="2"/>
  <c r="F531" i="2"/>
  <c r="E531" i="2"/>
  <c r="D531" i="2"/>
  <c r="C531" i="2"/>
  <c r="B531" i="2"/>
  <c r="A531" i="2"/>
  <c r="F530" i="2"/>
  <c r="E530" i="2"/>
  <c r="D530" i="2"/>
  <c r="C530" i="2"/>
  <c r="B530" i="2"/>
  <c r="A530" i="2"/>
  <c r="F529" i="2"/>
  <c r="E529" i="2"/>
  <c r="D529" i="2"/>
  <c r="C529" i="2"/>
  <c r="B529" i="2"/>
  <c r="A529" i="2"/>
  <c r="F528" i="2"/>
  <c r="E528" i="2"/>
  <c r="D528" i="2"/>
  <c r="C528" i="2"/>
  <c r="B528" i="2"/>
  <c r="A528" i="2"/>
  <c r="F527" i="2"/>
  <c r="E527" i="2"/>
  <c r="D527" i="2"/>
  <c r="C527" i="2"/>
  <c r="B527" i="2"/>
  <c r="A527" i="2"/>
  <c r="F526" i="2"/>
  <c r="E526" i="2"/>
  <c r="D526" i="2"/>
  <c r="C526" i="2"/>
  <c r="B526" i="2"/>
  <c r="A526" i="2"/>
  <c r="F525" i="2"/>
  <c r="E525" i="2"/>
  <c r="D525" i="2"/>
  <c r="C525" i="2"/>
  <c r="B525" i="2"/>
  <c r="A525" i="2"/>
  <c r="F524" i="2"/>
  <c r="E524" i="2"/>
  <c r="D524" i="2"/>
  <c r="C524" i="2"/>
  <c r="B524" i="2"/>
  <c r="A524" i="2"/>
  <c r="F523" i="2"/>
  <c r="E523" i="2"/>
  <c r="D523" i="2"/>
  <c r="C523" i="2"/>
  <c r="B523" i="2"/>
  <c r="A523" i="2"/>
  <c r="F522" i="2"/>
  <c r="E522" i="2"/>
  <c r="D522" i="2"/>
  <c r="C522" i="2"/>
  <c r="B522" i="2"/>
  <c r="A522" i="2"/>
  <c r="F521" i="2"/>
  <c r="E521" i="2"/>
  <c r="D521" i="2"/>
  <c r="C521" i="2"/>
  <c r="B521" i="2"/>
  <c r="A521" i="2"/>
  <c r="F520" i="2"/>
  <c r="E520" i="2"/>
  <c r="D520" i="2"/>
  <c r="C520" i="2"/>
  <c r="B520" i="2"/>
  <c r="A520" i="2"/>
  <c r="F519" i="2"/>
  <c r="E519" i="2"/>
  <c r="D519" i="2"/>
  <c r="C519" i="2"/>
  <c r="B519" i="2"/>
  <c r="A519" i="2"/>
  <c r="F518" i="2"/>
  <c r="E518" i="2"/>
  <c r="D518" i="2"/>
  <c r="C518" i="2"/>
  <c r="B518" i="2"/>
  <c r="A518" i="2"/>
  <c r="F517" i="2"/>
  <c r="E517" i="2"/>
  <c r="D517" i="2"/>
  <c r="C517" i="2"/>
  <c r="B517" i="2"/>
  <c r="A517" i="2"/>
  <c r="F516" i="2"/>
  <c r="E516" i="2"/>
  <c r="D516" i="2"/>
  <c r="C516" i="2"/>
  <c r="B516" i="2"/>
  <c r="A516" i="2"/>
  <c r="F515" i="2"/>
  <c r="E515" i="2"/>
  <c r="D515" i="2"/>
  <c r="C515" i="2"/>
  <c r="B515" i="2"/>
  <c r="A515" i="2"/>
  <c r="F514" i="2"/>
  <c r="E514" i="2"/>
  <c r="D514" i="2"/>
  <c r="C514" i="2"/>
  <c r="B514" i="2"/>
  <c r="A514" i="2"/>
  <c r="F513" i="2"/>
  <c r="E513" i="2"/>
  <c r="D513" i="2"/>
  <c r="C513" i="2"/>
  <c r="B513" i="2"/>
  <c r="A513" i="2"/>
  <c r="F512" i="2"/>
  <c r="E512" i="2"/>
  <c r="D512" i="2"/>
  <c r="C512" i="2"/>
  <c r="B512" i="2"/>
  <c r="A512" i="2"/>
  <c r="F511" i="2"/>
  <c r="E511" i="2"/>
  <c r="D511" i="2"/>
  <c r="C511" i="2"/>
  <c r="B511" i="2"/>
  <c r="A511" i="2"/>
  <c r="F510" i="2"/>
  <c r="E510" i="2"/>
  <c r="D510" i="2"/>
  <c r="C510" i="2"/>
  <c r="B510" i="2"/>
  <c r="A510" i="2"/>
  <c r="F509" i="2"/>
  <c r="E509" i="2"/>
  <c r="D509" i="2"/>
  <c r="C509" i="2"/>
  <c r="B509" i="2"/>
  <c r="A509" i="2"/>
  <c r="F508" i="2"/>
  <c r="E508" i="2"/>
  <c r="D508" i="2"/>
  <c r="C508" i="2"/>
  <c r="B508" i="2"/>
  <c r="A508" i="2"/>
  <c r="F507" i="2"/>
  <c r="E507" i="2"/>
  <c r="D507" i="2"/>
  <c r="C507" i="2"/>
  <c r="B507" i="2"/>
  <c r="A507" i="2"/>
  <c r="F506" i="2"/>
  <c r="E506" i="2"/>
  <c r="D506" i="2"/>
  <c r="C506" i="2"/>
  <c r="B506" i="2"/>
  <c r="A506" i="2"/>
  <c r="F505" i="2"/>
  <c r="E505" i="2"/>
  <c r="D505" i="2"/>
  <c r="C505" i="2"/>
  <c r="B505" i="2"/>
  <c r="A505" i="2"/>
  <c r="F504" i="2"/>
  <c r="E504" i="2"/>
  <c r="D504" i="2"/>
  <c r="C504" i="2"/>
  <c r="B504" i="2"/>
  <c r="A504" i="2"/>
  <c r="F503" i="2"/>
  <c r="E503" i="2"/>
  <c r="D503" i="2"/>
  <c r="C503" i="2"/>
  <c r="B503" i="2"/>
  <c r="A503" i="2"/>
  <c r="F502" i="2"/>
  <c r="E502" i="2"/>
  <c r="D502" i="2"/>
  <c r="C502" i="2"/>
  <c r="B502" i="2"/>
  <c r="A502" i="2"/>
  <c r="F501" i="2"/>
  <c r="E501" i="2"/>
  <c r="D501" i="2"/>
  <c r="C501" i="2"/>
  <c r="B501" i="2"/>
  <c r="A501" i="2"/>
  <c r="F500" i="2"/>
  <c r="E500" i="2"/>
  <c r="D500" i="2"/>
  <c r="C500" i="2"/>
  <c r="B500" i="2"/>
  <c r="A500" i="2"/>
  <c r="F499" i="2"/>
  <c r="E499" i="2"/>
  <c r="D499" i="2"/>
  <c r="C499" i="2"/>
  <c r="B499" i="2"/>
  <c r="A499" i="2"/>
  <c r="F498" i="2"/>
  <c r="E498" i="2"/>
  <c r="D498" i="2"/>
  <c r="C498" i="2"/>
  <c r="B498" i="2"/>
  <c r="A498" i="2"/>
  <c r="F497" i="2"/>
  <c r="E497" i="2"/>
  <c r="D497" i="2"/>
  <c r="C497" i="2"/>
  <c r="B497" i="2"/>
  <c r="A497" i="2"/>
  <c r="F496" i="2"/>
  <c r="E496" i="2"/>
  <c r="D496" i="2"/>
  <c r="C496" i="2"/>
  <c r="B496" i="2"/>
  <c r="A496" i="2"/>
  <c r="F495" i="2"/>
  <c r="E495" i="2"/>
  <c r="D495" i="2"/>
  <c r="C495" i="2"/>
  <c r="B495" i="2"/>
  <c r="A495" i="2"/>
  <c r="F494" i="2"/>
  <c r="E494" i="2"/>
  <c r="D494" i="2"/>
  <c r="C494" i="2"/>
  <c r="B494" i="2"/>
  <c r="A494" i="2"/>
  <c r="F493" i="2"/>
  <c r="E493" i="2"/>
  <c r="D493" i="2"/>
  <c r="C493" i="2"/>
  <c r="B493" i="2"/>
  <c r="A493" i="2"/>
  <c r="F492" i="2"/>
  <c r="E492" i="2"/>
  <c r="D492" i="2"/>
  <c r="C492" i="2"/>
  <c r="B492" i="2"/>
  <c r="A492" i="2"/>
  <c r="F491" i="2"/>
  <c r="E491" i="2"/>
  <c r="D491" i="2"/>
  <c r="C491" i="2"/>
  <c r="B491" i="2"/>
  <c r="A491" i="2"/>
  <c r="F490" i="2"/>
  <c r="E490" i="2"/>
  <c r="D490" i="2"/>
  <c r="C490" i="2"/>
  <c r="B490" i="2"/>
  <c r="A490" i="2"/>
  <c r="F489" i="2"/>
  <c r="E489" i="2"/>
  <c r="D489" i="2"/>
  <c r="C489" i="2"/>
  <c r="B489" i="2"/>
  <c r="A489" i="2"/>
  <c r="F488" i="2"/>
  <c r="E488" i="2"/>
  <c r="D488" i="2"/>
  <c r="C488" i="2"/>
  <c r="B488" i="2"/>
  <c r="A488" i="2"/>
  <c r="F487" i="2"/>
  <c r="E487" i="2"/>
  <c r="D487" i="2"/>
  <c r="C487" i="2"/>
  <c r="B487" i="2"/>
  <c r="A487" i="2"/>
  <c r="F486" i="2"/>
  <c r="E486" i="2"/>
  <c r="D486" i="2"/>
  <c r="C486" i="2"/>
  <c r="B486" i="2"/>
  <c r="A486" i="2"/>
  <c r="F485" i="2"/>
  <c r="E485" i="2"/>
  <c r="D485" i="2"/>
  <c r="C485" i="2"/>
  <c r="B485" i="2"/>
  <c r="A485" i="2"/>
  <c r="F484" i="2"/>
  <c r="E484" i="2"/>
  <c r="D484" i="2"/>
  <c r="C484" i="2"/>
  <c r="B484" i="2"/>
  <c r="A484" i="2"/>
  <c r="F483" i="2"/>
  <c r="E483" i="2"/>
  <c r="D483" i="2"/>
  <c r="C483" i="2"/>
  <c r="B483" i="2"/>
  <c r="A483" i="2"/>
  <c r="F482" i="2"/>
  <c r="E482" i="2"/>
  <c r="D482" i="2"/>
  <c r="C482" i="2"/>
  <c r="B482" i="2"/>
  <c r="A482" i="2"/>
  <c r="F481" i="2"/>
  <c r="E481" i="2"/>
  <c r="D481" i="2"/>
  <c r="C481" i="2"/>
  <c r="B481" i="2"/>
  <c r="A481" i="2"/>
  <c r="F480" i="2"/>
  <c r="E480" i="2"/>
  <c r="D480" i="2"/>
  <c r="C480" i="2"/>
  <c r="B480" i="2"/>
  <c r="A480" i="2"/>
  <c r="F479" i="2"/>
  <c r="E479" i="2"/>
  <c r="D479" i="2"/>
  <c r="C479" i="2"/>
  <c r="B479" i="2"/>
  <c r="A479" i="2"/>
  <c r="F478" i="2"/>
  <c r="E478" i="2"/>
  <c r="D478" i="2"/>
  <c r="C478" i="2"/>
  <c r="B478" i="2"/>
  <c r="A478" i="2"/>
  <c r="F477" i="2"/>
  <c r="E477" i="2"/>
  <c r="D477" i="2"/>
  <c r="C477" i="2"/>
  <c r="B477" i="2"/>
  <c r="A477" i="2"/>
  <c r="F476" i="2"/>
  <c r="E476" i="2"/>
  <c r="D476" i="2"/>
  <c r="C476" i="2"/>
  <c r="B476" i="2"/>
  <c r="A476" i="2"/>
  <c r="F475" i="2"/>
  <c r="E475" i="2"/>
  <c r="D475" i="2"/>
  <c r="C475" i="2"/>
  <c r="B475" i="2"/>
  <c r="A475" i="2"/>
  <c r="F474" i="2"/>
  <c r="E474" i="2"/>
  <c r="D474" i="2"/>
  <c r="C474" i="2"/>
  <c r="B474" i="2"/>
  <c r="A474" i="2"/>
  <c r="F473" i="2"/>
  <c r="E473" i="2"/>
  <c r="D473" i="2"/>
  <c r="C473" i="2"/>
  <c r="B473" i="2"/>
  <c r="A473" i="2"/>
  <c r="F472" i="2"/>
  <c r="E472" i="2"/>
  <c r="D472" i="2"/>
  <c r="C472" i="2"/>
  <c r="B472" i="2"/>
  <c r="A472" i="2"/>
  <c r="F471" i="2"/>
  <c r="E471" i="2"/>
  <c r="D471" i="2"/>
  <c r="C471" i="2"/>
  <c r="B471" i="2"/>
  <c r="A471" i="2"/>
  <c r="F470" i="2"/>
  <c r="E470" i="2"/>
  <c r="D470" i="2"/>
  <c r="C470" i="2"/>
  <c r="B470" i="2"/>
  <c r="A470" i="2"/>
  <c r="F469" i="2"/>
  <c r="E469" i="2"/>
  <c r="D469" i="2"/>
  <c r="C469" i="2"/>
  <c r="B469" i="2"/>
  <c r="A469" i="2"/>
  <c r="F468" i="2"/>
  <c r="E468" i="2"/>
  <c r="D468" i="2"/>
  <c r="C468" i="2"/>
  <c r="B468" i="2"/>
  <c r="A468" i="2"/>
  <c r="F467" i="2"/>
  <c r="E467" i="2"/>
  <c r="D467" i="2"/>
  <c r="C467" i="2"/>
  <c r="B467" i="2"/>
  <c r="A467" i="2"/>
  <c r="F466" i="2"/>
  <c r="E466" i="2"/>
  <c r="D466" i="2"/>
  <c r="C466" i="2"/>
  <c r="B466" i="2"/>
  <c r="A466" i="2"/>
  <c r="F465" i="2"/>
  <c r="E465" i="2"/>
  <c r="D465" i="2"/>
  <c r="C465" i="2"/>
  <c r="B465" i="2"/>
  <c r="A465" i="2"/>
  <c r="F464" i="2"/>
  <c r="E464" i="2"/>
  <c r="D464" i="2"/>
  <c r="C464" i="2"/>
  <c r="B464" i="2"/>
  <c r="A464" i="2"/>
  <c r="F463" i="2"/>
  <c r="E463" i="2"/>
  <c r="D463" i="2"/>
  <c r="C463" i="2"/>
  <c r="B463" i="2"/>
  <c r="A463" i="2"/>
  <c r="F462" i="2"/>
  <c r="E462" i="2"/>
  <c r="D462" i="2"/>
  <c r="C462" i="2"/>
  <c r="B462" i="2"/>
  <c r="A462" i="2"/>
  <c r="F461" i="2"/>
  <c r="E461" i="2"/>
  <c r="D461" i="2"/>
  <c r="C461" i="2"/>
  <c r="B461" i="2"/>
  <c r="A461" i="2"/>
  <c r="F460" i="2"/>
  <c r="E460" i="2"/>
  <c r="D460" i="2"/>
  <c r="C460" i="2"/>
  <c r="B460" i="2"/>
  <c r="A460" i="2"/>
  <c r="F459" i="2"/>
  <c r="E459" i="2"/>
  <c r="D459" i="2"/>
  <c r="C459" i="2"/>
  <c r="B459" i="2"/>
  <c r="A459" i="2"/>
  <c r="F458" i="2"/>
  <c r="E458" i="2"/>
  <c r="D458" i="2"/>
  <c r="C458" i="2"/>
  <c r="B458" i="2"/>
  <c r="A458" i="2"/>
  <c r="E457" i="2"/>
  <c r="D457" i="2"/>
  <c r="C457" i="2"/>
  <c r="B457" i="2"/>
  <c r="A457" i="2"/>
  <c r="F456" i="2"/>
  <c r="E456" i="2"/>
  <c r="D456" i="2"/>
  <c r="C456" i="2"/>
  <c r="B456" i="2"/>
  <c r="A456" i="2"/>
  <c r="F455" i="2"/>
  <c r="E455" i="2"/>
  <c r="D455" i="2"/>
  <c r="C455" i="2"/>
  <c r="B455" i="2"/>
  <c r="A455" i="2"/>
  <c r="F454" i="2"/>
  <c r="E454" i="2"/>
  <c r="D454" i="2"/>
  <c r="C454" i="2"/>
  <c r="B454" i="2"/>
  <c r="A454" i="2"/>
  <c r="F453" i="2"/>
  <c r="E453" i="2"/>
  <c r="D453" i="2"/>
  <c r="C453" i="2"/>
  <c r="B453" i="2"/>
  <c r="A453" i="2"/>
  <c r="F452" i="2"/>
  <c r="E452" i="2"/>
  <c r="D452" i="2"/>
  <c r="C452" i="2"/>
  <c r="B452" i="2"/>
  <c r="A452" i="2"/>
  <c r="F451" i="2"/>
  <c r="E451" i="2"/>
  <c r="D451" i="2"/>
  <c r="C451" i="2"/>
  <c r="B451" i="2"/>
  <c r="A451" i="2"/>
  <c r="F450" i="2"/>
  <c r="E450" i="2"/>
  <c r="D450" i="2"/>
  <c r="C450" i="2"/>
  <c r="B450" i="2"/>
  <c r="A450" i="2"/>
  <c r="F449" i="2"/>
  <c r="E449" i="2"/>
  <c r="D449" i="2"/>
  <c r="C449" i="2"/>
  <c r="B449" i="2"/>
  <c r="A449" i="2"/>
  <c r="F448" i="2"/>
  <c r="E448" i="2"/>
  <c r="D448" i="2"/>
  <c r="C448" i="2"/>
  <c r="B448" i="2"/>
  <c r="A448" i="2"/>
  <c r="F447" i="2"/>
  <c r="E447" i="2"/>
  <c r="D447" i="2"/>
  <c r="C447" i="2"/>
  <c r="B447" i="2"/>
  <c r="A447" i="2"/>
  <c r="F446" i="2"/>
  <c r="E446" i="2"/>
  <c r="D446" i="2"/>
  <c r="C446" i="2"/>
  <c r="B446" i="2"/>
  <c r="A446" i="2"/>
  <c r="F445" i="2"/>
  <c r="E445" i="2"/>
  <c r="D445" i="2"/>
  <c r="C445" i="2"/>
  <c r="B445" i="2"/>
  <c r="A445" i="2"/>
  <c r="F444" i="2"/>
  <c r="E444" i="2"/>
  <c r="D444" i="2"/>
  <c r="C444" i="2"/>
  <c r="B444" i="2"/>
  <c r="A444" i="2"/>
  <c r="F443" i="2"/>
  <c r="E443" i="2"/>
  <c r="D443" i="2"/>
  <c r="C443" i="2"/>
  <c r="B443" i="2"/>
  <c r="A443" i="2"/>
  <c r="F442" i="2"/>
  <c r="E442" i="2"/>
  <c r="D442" i="2"/>
  <c r="C442" i="2"/>
  <c r="B442" i="2"/>
  <c r="A442" i="2"/>
  <c r="F441" i="2"/>
  <c r="E441" i="2"/>
  <c r="D441" i="2"/>
  <c r="C441" i="2"/>
  <c r="B441" i="2"/>
  <c r="A441" i="2"/>
  <c r="F440" i="2"/>
  <c r="E440" i="2"/>
  <c r="D440" i="2"/>
  <c r="C440" i="2"/>
  <c r="B440" i="2"/>
  <c r="A440" i="2"/>
  <c r="F439" i="2"/>
  <c r="E439" i="2"/>
  <c r="D439" i="2"/>
  <c r="C439" i="2"/>
  <c r="B439" i="2"/>
  <c r="A439" i="2"/>
  <c r="F438" i="2"/>
  <c r="E438" i="2"/>
  <c r="D438" i="2"/>
  <c r="C438" i="2"/>
  <c r="B438" i="2"/>
  <c r="A438" i="2"/>
  <c r="F437" i="2"/>
  <c r="E437" i="2"/>
  <c r="D437" i="2"/>
  <c r="C437" i="2"/>
  <c r="B437" i="2"/>
  <c r="A437" i="2"/>
  <c r="F436" i="2"/>
  <c r="E436" i="2"/>
  <c r="D436" i="2"/>
  <c r="C436" i="2"/>
  <c r="B436" i="2"/>
  <c r="A436" i="2"/>
  <c r="F435" i="2"/>
  <c r="E435" i="2"/>
  <c r="D435" i="2"/>
  <c r="C435" i="2"/>
  <c r="B435" i="2"/>
  <c r="A435" i="2"/>
  <c r="F434" i="2"/>
  <c r="E434" i="2"/>
  <c r="D434" i="2"/>
  <c r="C434" i="2"/>
  <c r="B434" i="2"/>
  <c r="A434" i="2"/>
  <c r="F433" i="2"/>
  <c r="E433" i="2"/>
  <c r="D433" i="2"/>
  <c r="C433" i="2"/>
  <c r="B433" i="2"/>
  <c r="A433" i="2"/>
  <c r="F432" i="2"/>
  <c r="E432" i="2"/>
  <c r="D432" i="2"/>
  <c r="C432" i="2"/>
  <c r="B432" i="2"/>
  <c r="A432" i="2"/>
  <c r="F431" i="2"/>
  <c r="E431" i="2"/>
  <c r="D431" i="2"/>
  <c r="C431" i="2"/>
  <c r="B431" i="2"/>
  <c r="A431" i="2"/>
  <c r="F430" i="2"/>
  <c r="E430" i="2"/>
  <c r="D430" i="2"/>
  <c r="C430" i="2"/>
  <c r="B430" i="2"/>
  <c r="A430" i="2"/>
  <c r="F429" i="2"/>
  <c r="E429" i="2"/>
  <c r="D429" i="2"/>
  <c r="C429" i="2"/>
  <c r="B429" i="2"/>
  <c r="A429" i="2"/>
  <c r="F428" i="2"/>
  <c r="E428" i="2"/>
  <c r="D428" i="2"/>
  <c r="C428" i="2"/>
  <c r="B428" i="2"/>
  <c r="A428" i="2"/>
  <c r="F427" i="2"/>
  <c r="E427" i="2"/>
  <c r="D427" i="2"/>
  <c r="C427" i="2"/>
  <c r="B427" i="2"/>
  <c r="A427" i="2"/>
  <c r="F426" i="2"/>
  <c r="E426" i="2"/>
  <c r="D426" i="2"/>
  <c r="C426" i="2"/>
  <c r="B426" i="2"/>
  <c r="A426" i="2"/>
  <c r="F425" i="2"/>
  <c r="E425" i="2"/>
  <c r="D425" i="2"/>
  <c r="C425" i="2"/>
  <c r="B425" i="2"/>
  <c r="A425" i="2"/>
  <c r="F424" i="2"/>
  <c r="E424" i="2"/>
  <c r="D424" i="2"/>
  <c r="C424" i="2"/>
  <c r="B424" i="2"/>
  <c r="A424" i="2"/>
  <c r="F423" i="2"/>
  <c r="E423" i="2"/>
  <c r="D423" i="2"/>
  <c r="C423" i="2"/>
  <c r="B423" i="2"/>
  <c r="A423" i="2"/>
  <c r="F422" i="2"/>
  <c r="E422" i="2"/>
  <c r="D422" i="2"/>
  <c r="C422" i="2"/>
  <c r="B422" i="2"/>
  <c r="A422" i="2"/>
  <c r="F421" i="2"/>
  <c r="E421" i="2"/>
  <c r="D421" i="2"/>
  <c r="C421" i="2"/>
  <c r="B421" i="2"/>
  <c r="A421" i="2"/>
  <c r="F420" i="2"/>
  <c r="E420" i="2"/>
  <c r="D420" i="2"/>
  <c r="C420" i="2"/>
  <c r="B420" i="2"/>
  <c r="A420" i="2"/>
  <c r="F419" i="2"/>
  <c r="E419" i="2"/>
  <c r="D419" i="2"/>
  <c r="C419" i="2"/>
  <c r="B419" i="2"/>
  <c r="A419" i="2"/>
  <c r="F418" i="2"/>
  <c r="E418" i="2"/>
  <c r="D418" i="2"/>
  <c r="C418" i="2"/>
  <c r="B418" i="2"/>
  <c r="A418" i="2"/>
  <c r="F417" i="2"/>
  <c r="E417" i="2"/>
  <c r="D417" i="2"/>
  <c r="C417" i="2"/>
  <c r="B417" i="2"/>
  <c r="A417" i="2"/>
  <c r="F416" i="2"/>
  <c r="E416" i="2"/>
  <c r="D416" i="2"/>
  <c r="C416" i="2"/>
  <c r="B416" i="2"/>
  <c r="A416" i="2"/>
  <c r="F415" i="2"/>
  <c r="E415" i="2"/>
  <c r="D415" i="2"/>
  <c r="C415" i="2"/>
  <c r="B415" i="2"/>
  <c r="A415" i="2"/>
  <c r="F414" i="2"/>
  <c r="E414" i="2"/>
  <c r="D414" i="2"/>
  <c r="C414" i="2"/>
  <c r="B414" i="2"/>
  <c r="A414" i="2"/>
  <c r="F413" i="2"/>
  <c r="E413" i="2"/>
  <c r="D413" i="2"/>
  <c r="C413" i="2"/>
  <c r="B413" i="2"/>
  <c r="A413" i="2"/>
  <c r="F412" i="2"/>
  <c r="E412" i="2"/>
  <c r="D412" i="2"/>
  <c r="C412" i="2"/>
  <c r="B412" i="2"/>
  <c r="A412" i="2"/>
  <c r="F411" i="2"/>
  <c r="E411" i="2"/>
  <c r="D411" i="2"/>
  <c r="C411" i="2"/>
  <c r="B411" i="2"/>
  <c r="A411" i="2"/>
  <c r="F410" i="2"/>
  <c r="E410" i="2"/>
  <c r="D410" i="2"/>
  <c r="C410" i="2"/>
  <c r="B410" i="2"/>
  <c r="A410" i="2"/>
  <c r="F409" i="2"/>
  <c r="E409" i="2"/>
  <c r="D409" i="2"/>
  <c r="C409" i="2"/>
  <c r="B409" i="2"/>
  <c r="A409" i="2"/>
  <c r="F408" i="2"/>
  <c r="E408" i="2"/>
  <c r="D408" i="2"/>
  <c r="C408" i="2"/>
  <c r="B408" i="2"/>
  <c r="A408" i="2"/>
  <c r="F407" i="2"/>
  <c r="E407" i="2"/>
  <c r="D407" i="2"/>
  <c r="C407" i="2"/>
  <c r="B407" i="2"/>
  <c r="A407" i="2"/>
  <c r="F406" i="2"/>
  <c r="E406" i="2"/>
  <c r="D406" i="2"/>
  <c r="C406" i="2"/>
  <c r="B406" i="2"/>
  <c r="A406" i="2"/>
  <c r="F405" i="2"/>
  <c r="E405" i="2"/>
  <c r="D405" i="2"/>
  <c r="C405" i="2"/>
  <c r="B405" i="2"/>
  <c r="A405" i="2"/>
  <c r="F404" i="2"/>
  <c r="E404" i="2"/>
  <c r="D404" i="2"/>
  <c r="C404" i="2"/>
  <c r="B404" i="2"/>
  <c r="A404" i="2"/>
  <c r="F403" i="2"/>
  <c r="E403" i="2"/>
  <c r="D403" i="2"/>
  <c r="C403" i="2"/>
  <c r="B403" i="2"/>
  <c r="A403" i="2"/>
  <c r="F402" i="2"/>
  <c r="E402" i="2"/>
  <c r="D402" i="2"/>
  <c r="C402" i="2"/>
  <c r="B402" i="2"/>
  <c r="A402" i="2"/>
  <c r="F401" i="2"/>
  <c r="E401" i="2"/>
  <c r="D401" i="2"/>
  <c r="C401" i="2"/>
  <c r="B401" i="2"/>
  <c r="A401" i="2"/>
  <c r="F400" i="2"/>
  <c r="E400" i="2"/>
  <c r="D400" i="2"/>
  <c r="C400" i="2"/>
  <c r="B400" i="2"/>
  <c r="A400" i="2"/>
  <c r="F399" i="2"/>
  <c r="E399" i="2"/>
  <c r="D399" i="2"/>
  <c r="C399" i="2"/>
  <c r="B399" i="2"/>
  <c r="A399" i="2"/>
  <c r="F398" i="2"/>
  <c r="E398" i="2"/>
  <c r="D398" i="2"/>
  <c r="C398" i="2"/>
  <c r="B398" i="2"/>
  <c r="A398" i="2"/>
  <c r="F397" i="2"/>
  <c r="E397" i="2"/>
  <c r="D397" i="2"/>
  <c r="C397" i="2"/>
  <c r="B397" i="2"/>
  <c r="A397" i="2"/>
  <c r="F396" i="2"/>
  <c r="E396" i="2"/>
  <c r="D396" i="2"/>
  <c r="C396" i="2"/>
  <c r="B396" i="2"/>
  <c r="A396" i="2"/>
  <c r="F395" i="2"/>
  <c r="E395" i="2"/>
  <c r="D395" i="2"/>
  <c r="C395" i="2"/>
  <c r="B395" i="2"/>
  <c r="A395" i="2"/>
  <c r="F394" i="2"/>
  <c r="E394" i="2"/>
  <c r="D394" i="2"/>
  <c r="C394" i="2"/>
  <c r="B394" i="2"/>
  <c r="A394" i="2"/>
  <c r="F393" i="2"/>
  <c r="E393" i="2"/>
  <c r="D393" i="2"/>
  <c r="C393" i="2"/>
  <c r="B393" i="2"/>
  <c r="A393" i="2"/>
  <c r="F392" i="2"/>
  <c r="E392" i="2"/>
  <c r="D392" i="2"/>
  <c r="C392" i="2"/>
  <c r="B392" i="2"/>
  <c r="A392" i="2"/>
  <c r="F391" i="2"/>
  <c r="E391" i="2"/>
  <c r="D391" i="2"/>
  <c r="C391" i="2"/>
  <c r="B391" i="2"/>
  <c r="A391" i="2"/>
  <c r="F390" i="2"/>
  <c r="E390" i="2"/>
  <c r="D390" i="2"/>
  <c r="C390" i="2"/>
  <c r="B390" i="2"/>
  <c r="A390" i="2"/>
  <c r="F389" i="2"/>
  <c r="E389" i="2"/>
  <c r="D389" i="2"/>
  <c r="C389" i="2"/>
  <c r="B389" i="2"/>
  <c r="A389" i="2"/>
  <c r="F388" i="2"/>
  <c r="E388" i="2"/>
  <c r="D388" i="2"/>
  <c r="C388" i="2"/>
  <c r="B388" i="2"/>
  <c r="A388" i="2"/>
  <c r="F387" i="2"/>
  <c r="E387" i="2"/>
  <c r="D387" i="2"/>
  <c r="C387" i="2"/>
  <c r="B387" i="2"/>
  <c r="A387" i="2"/>
  <c r="F386" i="2"/>
  <c r="E386" i="2"/>
  <c r="D386" i="2"/>
  <c r="C386" i="2"/>
  <c r="B386" i="2"/>
  <c r="A386" i="2"/>
  <c r="F385" i="2"/>
  <c r="E385" i="2"/>
  <c r="D385" i="2"/>
  <c r="C385" i="2"/>
  <c r="B385" i="2"/>
  <c r="A385" i="2"/>
  <c r="F384" i="2"/>
  <c r="E384" i="2"/>
  <c r="D384" i="2"/>
  <c r="C384" i="2"/>
  <c r="B384" i="2"/>
  <c r="A384" i="2"/>
  <c r="F383" i="2"/>
  <c r="E383" i="2"/>
  <c r="D383" i="2"/>
  <c r="C383" i="2"/>
  <c r="B383" i="2"/>
  <c r="A383" i="2"/>
  <c r="F382" i="2"/>
  <c r="E382" i="2"/>
  <c r="D382" i="2"/>
  <c r="C382" i="2"/>
  <c r="B382" i="2"/>
  <c r="A382" i="2"/>
  <c r="F381" i="2"/>
  <c r="E381" i="2"/>
  <c r="D381" i="2"/>
  <c r="C381" i="2"/>
  <c r="B381" i="2"/>
  <c r="A381" i="2"/>
  <c r="F380" i="2"/>
  <c r="E380" i="2"/>
  <c r="D380" i="2"/>
  <c r="C380" i="2"/>
  <c r="B380" i="2"/>
  <c r="A380" i="2"/>
  <c r="F379" i="2"/>
  <c r="E379" i="2"/>
  <c r="D379" i="2"/>
  <c r="C379" i="2"/>
  <c r="B379" i="2"/>
  <c r="A379" i="2"/>
  <c r="F378" i="2"/>
  <c r="E378" i="2"/>
  <c r="D378" i="2"/>
  <c r="C378" i="2"/>
  <c r="B378" i="2"/>
  <c r="A378" i="2"/>
  <c r="F377" i="2"/>
  <c r="E377" i="2"/>
  <c r="D377" i="2"/>
  <c r="C377" i="2"/>
  <c r="B377" i="2"/>
  <c r="A377" i="2"/>
  <c r="F376" i="2"/>
  <c r="E376" i="2"/>
  <c r="D376" i="2"/>
  <c r="C376" i="2"/>
  <c r="B376" i="2"/>
  <c r="A376" i="2"/>
  <c r="F375" i="2"/>
  <c r="E375" i="2"/>
  <c r="D375" i="2"/>
  <c r="C375" i="2"/>
  <c r="B375" i="2"/>
  <c r="A375" i="2"/>
  <c r="F374" i="2"/>
  <c r="E374" i="2"/>
  <c r="D374" i="2"/>
  <c r="C374" i="2"/>
  <c r="B374" i="2"/>
  <c r="A374" i="2"/>
  <c r="F373" i="2"/>
  <c r="E373" i="2"/>
  <c r="D373" i="2"/>
  <c r="C373" i="2"/>
  <c r="B373" i="2"/>
  <c r="A373" i="2"/>
  <c r="F372" i="2"/>
  <c r="E372" i="2"/>
  <c r="D372" i="2"/>
  <c r="C372" i="2"/>
  <c r="B372" i="2"/>
  <c r="A372" i="2"/>
  <c r="F371" i="2"/>
  <c r="E371" i="2"/>
  <c r="D371" i="2"/>
  <c r="C371" i="2"/>
  <c r="B371" i="2"/>
  <c r="A371" i="2"/>
  <c r="F370" i="2"/>
  <c r="E370" i="2"/>
  <c r="D370" i="2"/>
  <c r="C370" i="2"/>
  <c r="B370" i="2"/>
  <c r="A370" i="2"/>
  <c r="F369" i="2"/>
  <c r="E369" i="2"/>
  <c r="D369" i="2"/>
  <c r="C369" i="2"/>
  <c r="B369" i="2"/>
  <c r="A369" i="2"/>
  <c r="F368" i="2"/>
  <c r="E368" i="2"/>
  <c r="D368" i="2"/>
  <c r="C368" i="2"/>
  <c r="B368" i="2"/>
  <c r="A368" i="2"/>
  <c r="F367" i="2"/>
  <c r="E367" i="2"/>
  <c r="D367" i="2"/>
  <c r="C367" i="2"/>
  <c r="B367" i="2"/>
  <c r="A367" i="2"/>
  <c r="F366" i="2"/>
  <c r="E366" i="2"/>
  <c r="D366" i="2"/>
  <c r="C366" i="2"/>
  <c r="B366" i="2"/>
  <c r="A366" i="2"/>
  <c r="F365" i="2"/>
  <c r="E365" i="2"/>
  <c r="D365" i="2"/>
  <c r="C365" i="2"/>
  <c r="B365" i="2"/>
  <c r="A365" i="2"/>
  <c r="F364" i="2"/>
  <c r="E364" i="2"/>
  <c r="D364" i="2"/>
  <c r="C364" i="2"/>
  <c r="B364" i="2"/>
  <c r="A364" i="2"/>
  <c r="F363" i="2"/>
  <c r="E363" i="2"/>
  <c r="D363" i="2"/>
  <c r="C363" i="2"/>
  <c r="B363" i="2"/>
  <c r="A363" i="2"/>
  <c r="F362" i="2"/>
  <c r="E362" i="2"/>
  <c r="D362" i="2"/>
  <c r="C362" i="2"/>
  <c r="B362" i="2"/>
  <c r="A362" i="2"/>
  <c r="F361" i="2"/>
  <c r="E361" i="2"/>
  <c r="D361" i="2"/>
  <c r="C361" i="2"/>
  <c r="B361" i="2"/>
  <c r="A361" i="2"/>
  <c r="F360" i="2"/>
  <c r="E360" i="2"/>
  <c r="D360" i="2"/>
  <c r="C360" i="2"/>
  <c r="B360" i="2"/>
  <c r="A360" i="2"/>
  <c r="F359" i="2"/>
  <c r="E359" i="2"/>
  <c r="D359" i="2"/>
  <c r="C359" i="2"/>
  <c r="B359" i="2"/>
  <c r="A359" i="2"/>
  <c r="F358" i="2"/>
  <c r="E358" i="2"/>
  <c r="D358" i="2"/>
  <c r="C358" i="2"/>
  <c r="B358" i="2"/>
  <c r="A358" i="2"/>
  <c r="F357" i="2"/>
  <c r="E357" i="2"/>
  <c r="D357" i="2"/>
  <c r="C357" i="2"/>
  <c r="B357" i="2"/>
  <c r="A357" i="2"/>
  <c r="F356" i="2"/>
  <c r="E356" i="2"/>
  <c r="D356" i="2"/>
  <c r="C356" i="2"/>
  <c r="B356" i="2"/>
  <c r="A356" i="2"/>
  <c r="F355" i="2"/>
  <c r="E355" i="2"/>
  <c r="D355" i="2"/>
  <c r="C355" i="2"/>
  <c r="B355" i="2"/>
  <c r="A355" i="2"/>
  <c r="F354" i="2"/>
  <c r="E354" i="2"/>
  <c r="D354" i="2"/>
  <c r="C354" i="2"/>
  <c r="B354" i="2"/>
  <c r="A354" i="2"/>
  <c r="F353" i="2"/>
  <c r="E353" i="2"/>
  <c r="D353" i="2"/>
  <c r="C353" i="2"/>
  <c r="B353" i="2"/>
  <c r="A353" i="2"/>
  <c r="F352" i="2"/>
  <c r="E352" i="2"/>
  <c r="D352" i="2"/>
  <c r="C352" i="2"/>
  <c r="B352" i="2"/>
  <c r="A352" i="2"/>
  <c r="F351" i="2"/>
  <c r="E351" i="2"/>
  <c r="D351" i="2"/>
  <c r="C351" i="2"/>
  <c r="B351" i="2"/>
  <c r="A351" i="2"/>
  <c r="F350" i="2"/>
  <c r="E350" i="2"/>
  <c r="D350" i="2"/>
  <c r="C350" i="2"/>
  <c r="B350" i="2"/>
  <c r="A350" i="2"/>
  <c r="F349" i="2"/>
  <c r="E349" i="2"/>
  <c r="D349" i="2"/>
  <c r="C349" i="2"/>
  <c r="B349" i="2"/>
  <c r="A349" i="2"/>
  <c r="F348" i="2"/>
  <c r="E348" i="2"/>
  <c r="D348" i="2"/>
  <c r="C348" i="2"/>
  <c r="B348" i="2"/>
  <c r="A348" i="2"/>
  <c r="F347" i="2"/>
  <c r="E347" i="2"/>
  <c r="D347" i="2"/>
  <c r="C347" i="2"/>
  <c r="B347" i="2"/>
  <c r="A347" i="2"/>
  <c r="F346" i="2"/>
  <c r="E346" i="2"/>
  <c r="D346" i="2"/>
  <c r="C346" i="2"/>
  <c r="B346" i="2"/>
  <c r="A346" i="2"/>
  <c r="F345" i="2"/>
  <c r="E345" i="2"/>
  <c r="D345" i="2"/>
  <c r="C345" i="2"/>
  <c r="B345" i="2"/>
  <c r="A345" i="2"/>
  <c r="F344" i="2"/>
  <c r="E344" i="2"/>
  <c r="D344" i="2"/>
  <c r="C344" i="2"/>
  <c r="B344" i="2"/>
  <c r="A344" i="2"/>
  <c r="F343" i="2"/>
  <c r="E343" i="2"/>
  <c r="D343" i="2"/>
  <c r="C343" i="2"/>
  <c r="B343" i="2"/>
  <c r="A343" i="2"/>
  <c r="F342" i="2"/>
  <c r="E342" i="2"/>
  <c r="D342" i="2"/>
  <c r="C342" i="2"/>
  <c r="B342" i="2"/>
  <c r="A342" i="2"/>
  <c r="F341" i="2"/>
  <c r="E341" i="2"/>
  <c r="D341" i="2"/>
  <c r="C341" i="2"/>
  <c r="B341" i="2"/>
  <c r="A341" i="2"/>
  <c r="F340" i="2"/>
  <c r="E340" i="2"/>
  <c r="D340" i="2"/>
  <c r="C340" i="2"/>
  <c r="B340" i="2"/>
  <c r="A340" i="2"/>
  <c r="F339" i="2"/>
  <c r="E339" i="2"/>
  <c r="D339" i="2"/>
  <c r="C339" i="2"/>
  <c r="B339" i="2"/>
  <c r="A339" i="2"/>
  <c r="F338" i="2"/>
  <c r="E338" i="2"/>
  <c r="D338" i="2"/>
  <c r="B338" i="3" s="1"/>
  <c r="C338" i="2"/>
  <c r="B338" i="2"/>
  <c r="A338" i="2"/>
  <c r="F337" i="2"/>
  <c r="E337" i="2"/>
  <c r="D337" i="2"/>
  <c r="B337" i="3" s="1"/>
  <c r="C337" i="2"/>
  <c r="B337" i="2"/>
  <c r="A337" i="2"/>
  <c r="F336" i="2"/>
  <c r="E336" i="2"/>
  <c r="D336" i="2"/>
  <c r="B336" i="3" s="1"/>
  <c r="C336" i="2"/>
  <c r="B336" i="2"/>
  <c r="A336" i="2"/>
  <c r="F335" i="2"/>
  <c r="E335" i="2"/>
  <c r="D335" i="2"/>
  <c r="B335" i="3" s="1"/>
  <c r="C335" i="2"/>
  <c r="B335" i="2"/>
  <c r="A335" i="2"/>
  <c r="F334" i="2"/>
  <c r="E334" i="2"/>
  <c r="D334" i="2"/>
  <c r="B334" i="3" s="1"/>
  <c r="C334" i="2"/>
  <c r="B334" i="2"/>
  <c r="A334" i="2"/>
  <c r="F333" i="2"/>
  <c r="E333" i="2"/>
  <c r="D333" i="2"/>
  <c r="B333" i="3" s="1"/>
  <c r="C333" i="2"/>
  <c r="B333" i="2"/>
  <c r="A333" i="2"/>
  <c r="F332" i="2"/>
  <c r="E332" i="2"/>
  <c r="D332" i="2"/>
  <c r="B332" i="3" s="1"/>
  <c r="C332" i="2"/>
  <c r="B332" i="2"/>
  <c r="A332" i="2"/>
  <c r="F331" i="2"/>
  <c r="E331" i="2"/>
  <c r="D331" i="2"/>
  <c r="B331" i="3" s="1"/>
  <c r="C331" i="2"/>
  <c r="B331" i="2"/>
  <c r="A331" i="2"/>
  <c r="F330" i="2"/>
  <c r="E330" i="2"/>
  <c r="D330" i="2"/>
  <c r="B330" i="3" s="1"/>
  <c r="C330" i="2"/>
  <c r="B330" i="2"/>
  <c r="A330" i="2"/>
  <c r="F329" i="2"/>
  <c r="E329" i="2"/>
  <c r="D329" i="2"/>
  <c r="B329" i="3" s="1"/>
  <c r="C329" i="2"/>
  <c r="B329" i="2"/>
  <c r="A329" i="2"/>
  <c r="F328" i="2"/>
  <c r="E328" i="2"/>
  <c r="D328" i="2"/>
  <c r="B328" i="3" s="1"/>
  <c r="C328" i="2"/>
  <c r="B328" i="2"/>
  <c r="A328" i="2"/>
  <c r="F327" i="2"/>
  <c r="E327" i="2"/>
  <c r="D327" i="2"/>
  <c r="B327" i="3" s="1"/>
  <c r="C327" i="2"/>
  <c r="B327" i="2"/>
  <c r="A327" i="2"/>
  <c r="F326" i="2"/>
  <c r="E326" i="2"/>
  <c r="D326" i="2"/>
  <c r="B326" i="3" s="1"/>
  <c r="C326" i="2"/>
  <c r="B326" i="2"/>
  <c r="A326" i="2"/>
  <c r="F325" i="2"/>
  <c r="E325" i="2"/>
  <c r="D325" i="2"/>
  <c r="B325" i="3" s="1"/>
  <c r="C325" i="2"/>
  <c r="B325" i="2"/>
  <c r="A325" i="2"/>
  <c r="F324" i="2"/>
  <c r="E324" i="2"/>
  <c r="D324" i="2"/>
  <c r="B324" i="3" s="1"/>
  <c r="C324" i="2"/>
  <c r="B324" i="2"/>
  <c r="A324" i="2"/>
  <c r="F323" i="2"/>
  <c r="E323" i="2"/>
  <c r="D323" i="2"/>
  <c r="B323" i="3" s="1"/>
  <c r="C323" i="2"/>
  <c r="B323" i="2"/>
  <c r="A323" i="2"/>
  <c r="F322" i="2"/>
  <c r="E322" i="2"/>
  <c r="D322" i="2"/>
  <c r="B322" i="3" s="1"/>
  <c r="C322" i="2"/>
  <c r="B322" i="2"/>
  <c r="A322" i="2"/>
  <c r="F321" i="2"/>
  <c r="E321" i="2"/>
  <c r="D321" i="2"/>
  <c r="B321" i="3" s="1"/>
  <c r="C321" i="2"/>
  <c r="B321" i="2"/>
  <c r="A321" i="2"/>
  <c r="F320" i="2"/>
  <c r="E320" i="2"/>
  <c r="D320" i="2"/>
  <c r="B320" i="3" s="1"/>
  <c r="C320" i="2"/>
  <c r="B320" i="2"/>
  <c r="A320" i="2"/>
  <c r="F319" i="2"/>
  <c r="E319" i="2"/>
  <c r="D319" i="2"/>
  <c r="B319" i="3" s="1"/>
  <c r="C319" i="2"/>
  <c r="B319" i="2"/>
  <c r="A319" i="2"/>
  <c r="F318" i="2"/>
  <c r="E318" i="2"/>
  <c r="D318" i="2"/>
  <c r="B318" i="3" s="1"/>
  <c r="C318" i="2"/>
  <c r="B318" i="2"/>
  <c r="A318" i="2"/>
  <c r="F317" i="2"/>
  <c r="E317" i="2"/>
  <c r="D317" i="2"/>
  <c r="B317" i="3" s="1"/>
  <c r="C317" i="2"/>
  <c r="B317" i="2"/>
  <c r="A317" i="2"/>
  <c r="F316" i="2"/>
  <c r="E316" i="2"/>
  <c r="D316" i="2"/>
  <c r="B316" i="3" s="1"/>
  <c r="C316" i="2"/>
  <c r="B316" i="2"/>
  <c r="A316" i="2"/>
  <c r="F315" i="2"/>
  <c r="E315" i="2"/>
  <c r="D315" i="2"/>
  <c r="B315" i="3" s="1"/>
  <c r="C315" i="2"/>
  <c r="B315" i="2"/>
  <c r="A315" i="2"/>
  <c r="F314" i="2"/>
  <c r="E314" i="2"/>
  <c r="D314" i="2"/>
  <c r="B314" i="3" s="1"/>
  <c r="C314" i="2"/>
  <c r="B314" i="2"/>
  <c r="A314" i="2"/>
  <c r="F313" i="2"/>
  <c r="E313" i="2"/>
  <c r="D313" i="2"/>
  <c r="B313" i="3" s="1"/>
  <c r="C313" i="2"/>
  <c r="B313" i="2"/>
  <c r="A313" i="2"/>
  <c r="F312" i="2"/>
  <c r="E312" i="2"/>
  <c r="D312" i="2"/>
  <c r="B312" i="3" s="1"/>
  <c r="C312" i="2"/>
  <c r="B312" i="2"/>
  <c r="A312" i="2"/>
  <c r="F311" i="2"/>
  <c r="E311" i="2"/>
  <c r="D311" i="2"/>
  <c r="B311" i="3" s="1"/>
  <c r="C311" i="2"/>
  <c r="B311" i="2"/>
  <c r="A311" i="2"/>
  <c r="F310" i="2"/>
  <c r="E310" i="2"/>
  <c r="D310" i="2"/>
  <c r="B310" i="3" s="1"/>
  <c r="C310" i="2"/>
  <c r="B310" i="2"/>
  <c r="A310" i="2"/>
  <c r="F309" i="2"/>
  <c r="E309" i="2"/>
  <c r="D309" i="2"/>
  <c r="B309" i="3" s="1"/>
  <c r="C309" i="2"/>
  <c r="B309" i="2"/>
  <c r="A309" i="2"/>
  <c r="F308" i="2"/>
  <c r="E308" i="2"/>
  <c r="D308" i="2"/>
  <c r="B308" i="3" s="1"/>
  <c r="C308" i="2"/>
  <c r="B308" i="2"/>
  <c r="A308" i="2"/>
  <c r="F307" i="2"/>
  <c r="E307" i="2"/>
  <c r="D307" i="2"/>
  <c r="B307" i="3" s="1"/>
  <c r="C307" i="2"/>
  <c r="B307" i="2"/>
  <c r="A307" i="2"/>
  <c r="F306" i="2"/>
  <c r="E306" i="2"/>
  <c r="D306" i="2"/>
  <c r="B306" i="3" s="1"/>
  <c r="C306" i="2"/>
  <c r="B306" i="2"/>
  <c r="A306" i="2"/>
  <c r="F305" i="2"/>
  <c r="E305" i="2"/>
  <c r="D305" i="2"/>
  <c r="B305" i="3" s="1"/>
  <c r="C305" i="2"/>
  <c r="B305" i="2"/>
  <c r="A305" i="2"/>
  <c r="F304" i="2"/>
  <c r="E304" i="2"/>
  <c r="D304" i="2"/>
  <c r="B304" i="3" s="1"/>
  <c r="C304" i="2"/>
  <c r="B304" i="2"/>
  <c r="A304" i="2"/>
  <c r="F303" i="2"/>
  <c r="E303" i="2"/>
  <c r="D303" i="2"/>
  <c r="B303" i="3" s="1"/>
  <c r="C303" i="2"/>
  <c r="B303" i="2"/>
  <c r="A303" i="2"/>
  <c r="F302" i="2"/>
  <c r="E302" i="2"/>
  <c r="D302" i="2"/>
  <c r="B302" i="3" s="1"/>
  <c r="C302" i="2"/>
  <c r="B302" i="2"/>
  <c r="A302" i="2"/>
  <c r="F301" i="2"/>
  <c r="E301" i="2"/>
  <c r="D301" i="2"/>
  <c r="B301" i="3" s="1"/>
  <c r="C301" i="2"/>
  <c r="B301" i="2"/>
  <c r="A301" i="2"/>
  <c r="F300" i="2"/>
  <c r="E300" i="2"/>
  <c r="D300" i="2"/>
  <c r="B300" i="3" s="1"/>
  <c r="C300" i="2"/>
  <c r="B300" i="2"/>
  <c r="A300" i="2"/>
  <c r="F299" i="2"/>
  <c r="E299" i="2"/>
  <c r="D299" i="2"/>
  <c r="B299" i="3" s="1"/>
  <c r="C299" i="2"/>
  <c r="B299" i="2"/>
  <c r="A299" i="2"/>
  <c r="F298" i="2"/>
  <c r="E298" i="2"/>
  <c r="D298" i="2"/>
  <c r="B298" i="3" s="1"/>
  <c r="C298" i="2"/>
  <c r="B298" i="2"/>
  <c r="A298" i="2"/>
  <c r="F297" i="2"/>
  <c r="E297" i="2"/>
  <c r="D297" i="2"/>
  <c r="B297" i="3" s="1"/>
  <c r="C297" i="2"/>
  <c r="B297" i="2"/>
  <c r="A297" i="2"/>
  <c r="F296" i="2"/>
  <c r="E296" i="2"/>
  <c r="D296" i="2"/>
  <c r="B296" i="3" s="1"/>
  <c r="C296" i="2"/>
  <c r="B296" i="2"/>
  <c r="A296" i="2"/>
  <c r="F295" i="2"/>
  <c r="E295" i="2"/>
  <c r="D295" i="2"/>
  <c r="B295" i="3" s="1"/>
  <c r="C295" i="2"/>
  <c r="B295" i="2"/>
  <c r="A295" i="2"/>
  <c r="F294" i="2"/>
  <c r="E294" i="2"/>
  <c r="D294" i="2"/>
  <c r="B294" i="3" s="1"/>
  <c r="C294" i="2"/>
  <c r="B294" i="2"/>
  <c r="A294" i="2"/>
  <c r="F293" i="2"/>
  <c r="E293" i="2"/>
  <c r="D293" i="2"/>
  <c r="B293" i="3" s="1"/>
  <c r="C293" i="2"/>
  <c r="B293" i="2"/>
  <c r="A293" i="2"/>
  <c r="F292" i="2"/>
  <c r="E292" i="2"/>
  <c r="D292" i="2"/>
  <c r="B292" i="3" s="1"/>
  <c r="C292" i="2"/>
  <c r="B292" i="2"/>
  <c r="A292" i="2"/>
  <c r="F291" i="2"/>
  <c r="E291" i="2"/>
  <c r="D291" i="2"/>
  <c r="B291" i="3" s="1"/>
  <c r="C291" i="2"/>
  <c r="B291" i="2"/>
  <c r="A291" i="2"/>
  <c r="F290" i="2"/>
  <c r="E290" i="2"/>
  <c r="D290" i="2"/>
  <c r="B290" i="3" s="1"/>
  <c r="C290" i="2"/>
  <c r="B290" i="2"/>
  <c r="A290" i="2"/>
  <c r="F289" i="2"/>
  <c r="E289" i="2"/>
  <c r="D289" i="2"/>
  <c r="B289" i="3" s="1"/>
  <c r="C289" i="2"/>
  <c r="B289" i="2"/>
  <c r="A289" i="2"/>
  <c r="F288" i="2"/>
  <c r="E288" i="2"/>
  <c r="D288" i="2"/>
  <c r="B288" i="3" s="1"/>
  <c r="C288" i="2"/>
  <c r="B288" i="2"/>
  <c r="A288" i="2"/>
  <c r="F287" i="2"/>
  <c r="E287" i="2"/>
  <c r="D287" i="2"/>
  <c r="B287" i="3" s="1"/>
  <c r="C287" i="2"/>
  <c r="B287" i="2"/>
  <c r="A287" i="2"/>
  <c r="F286" i="2"/>
  <c r="E286" i="2"/>
  <c r="D286" i="2"/>
  <c r="B286" i="3" s="1"/>
  <c r="C286" i="2"/>
  <c r="B286" i="2"/>
  <c r="A286" i="2"/>
  <c r="F285" i="2"/>
  <c r="E285" i="2"/>
  <c r="D285" i="2"/>
  <c r="B285" i="3" s="1"/>
  <c r="C285" i="2"/>
  <c r="B285" i="2"/>
  <c r="A285" i="2"/>
  <c r="F284" i="2"/>
  <c r="E284" i="2"/>
  <c r="D284" i="2"/>
  <c r="B284" i="3" s="1"/>
  <c r="C284" i="2"/>
  <c r="B284" i="2"/>
  <c r="A284" i="2"/>
  <c r="F283" i="2"/>
  <c r="E283" i="2"/>
  <c r="D283" i="2"/>
  <c r="B283" i="3" s="1"/>
  <c r="C283" i="2"/>
  <c r="B283" i="2"/>
  <c r="A283" i="2"/>
  <c r="F282" i="2"/>
  <c r="E282" i="2"/>
  <c r="D282" i="2"/>
  <c r="B282" i="3" s="1"/>
  <c r="C282" i="2"/>
  <c r="B282" i="2"/>
  <c r="A282" i="2"/>
  <c r="F281" i="2"/>
  <c r="E281" i="2"/>
  <c r="D281" i="2"/>
  <c r="B281" i="3" s="1"/>
  <c r="C281" i="2"/>
  <c r="B281" i="2"/>
  <c r="A281" i="2"/>
  <c r="F280" i="2"/>
  <c r="E280" i="2"/>
  <c r="D280" i="2"/>
  <c r="B280" i="3" s="1"/>
  <c r="C280" i="2"/>
  <c r="B280" i="2"/>
  <c r="A280" i="2"/>
  <c r="F279" i="2"/>
  <c r="E279" i="2"/>
  <c r="D279" i="2"/>
  <c r="B279" i="3" s="1"/>
  <c r="C279" i="2"/>
  <c r="B279" i="2"/>
  <c r="A279" i="2"/>
  <c r="F278" i="2"/>
  <c r="E278" i="2"/>
  <c r="D278" i="2"/>
  <c r="B278" i="3" s="1"/>
  <c r="C278" i="2"/>
  <c r="B278" i="2"/>
  <c r="A278" i="2"/>
  <c r="F277" i="2"/>
  <c r="E277" i="2"/>
  <c r="D277" i="2"/>
  <c r="B277" i="3" s="1"/>
  <c r="C277" i="2"/>
  <c r="B277" i="2"/>
  <c r="A277" i="2"/>
  <c r="F276" i="2"/>
  <c r="E276" i="2"/>
  <c r="D276" i="2"/>
  <c r="B276" i="3" s="1"/>
  <c r="C276" i="2"/>
  <c r="B276" i="2"/>
  <c r="A276" i="2"/>
  <c r="F275" i="2"/>
  <c r="E275" i="2"/>
  <c r="D275" i="2"/>
  <c r="B275" i="3" s="1"/>
  <c r="C275" i="2"/>
  <c r="B275" i="2"/>
  <c r="A275" i="2"/>
  <c r="F274" i="2"/>
  <c r="E274" i="2"/>
  <c r="D274" i="2"/>
  <c r="B274" i="3" s="1"/>
  <c r="C274" i="2"/>
  <c r="B274" i="2"/>
  <c r="A274" i="2"/>
  <c r="F273" i="2"/>
  <c r="E273" i="2"/>
  <c r="D273" i="2"/>
  <c r="B273" i="3" s="1"/>
  <c r="C273" i="2"/>
  <c r="B273" i="2"/>
  <c r="A273" i="2"/>
  <c r="F272" i="2"/>
  <c r="E272" i="2"/>
  <c r="D272" i="2"/>
  <c r="B272" i="3" s="1"/>
  <c r="C272" i="2"/>
  <c r="B272" i="2"/>
  <c r="A272" i="2"/>
  <c r="F271" i="2"/>
  <c r="E271" i="2"/>
  <c r="D271" i="2"/>
  <c r="B271" i="3" s="1"/>
  <c r="C271" i="2"/>
  <c r="B271" i="2"/>
  <c r="A271" i="2"/>
  <c r="F270" i="2"/>
  <c r="E270" i="2"/>
  <c r="D270" i="2"/>
  <c r="B270" i="3" s="1"/>
  <c r="C270" i="2"/>
  <c r="B270" i="2"/>
  <c r="A270" i="2"/>
  <c r="F269" i="2"/>
  <c r="E269" i="2"/>
  <c r="D269" i="2"/>
  <c r="B269" i="3" s="1"/>
  <c r="C269" i="2"/>
  <c r="B269" i="2"/>
  <c r="A269" i="2"/>
  <c r="F268" i="2"/>
  <c r="E268" i="2"/>
  <c r="D268" i="2"/>
  <c r="B268" i="3" s="1"/>
  <c r="C268" i="2"/>
  <c r="B268" i="2"/>
  <c r="A268" i="2"/>
  <c r="F267" i="2"/>
  <c r="E267" i="2"/>
  <c r="D267" i="2"/>
  <c r="B267" i="3" s="1"/>
  <c r="C267" i="2"/>
  <c r="B267" i="2"/>
  <c r="A267" i="2"/>
  <c r="F266" i="2"/>
  <c r="E266" i="2"/>
  <c r="D266" i="2"/>
  <c r="B266" i="3" s="1"/>
  <c r="C266" i="2"/>
  <c r="B266" i="2"/>
  <c r="A266" i="2"/>
  <c r="F265" i="2"/>
  <c r="E265" i="2"/>
  <c r="D265" i="2"/>
  <c r="B265" i="3" s="1"/>
  <c r="C265" i="2"/>
  <c r="B265" i="2"/>
  <c r="A265" i="2"/>
  <c r="F264" i="2"/>
  <c r="E264" i="2"/>
  <c r="D264" i="2"/>
  <c r="B264" i="3" s="1"/>
  <c r="C264" i="2"/>
  <c r="B264" i="2"/>
  <c r="A264" i="2"/>
  <c r="F263" i="2"/>
  <c r="E263" i="2"/>
  <c r="D263" i="2"/>
  <c r="B263" i="3" s="1"/>
  <c r="C263" i="2"/>
  <c r="B263" i="2"/>
  <c r="A263" i="2"/>
  <c r="F262" i="2"/>
  <c r="E262" i="2"/>
  <c r="D262" i="2"/>
  <c r="B262" i="3" s="1"/>
  <c r="C262" i="2"/>
  <c r="B262" i="2"/>
  <c r="A262" i="2"/>
  <c r="F261" i="2"/>
  <c r="E261" i="2"/>
  <c r="D261" i="2"/>
  <c r="B261" i="3" s="1"/>
  <c r="C261" i="2"/>
  <c r="B261" i="2"/>
  <c r="A261" i="2"/>
  <c r="F260" i="2"/>
  <c r="E260" i="2"/>
  <c r="D260" i="2"/>
  <c r="B260" i="3" s="1"/>
  <c r="C260" i="2"/>
  <c r="B260" i="2"/>
  <c r="A260" i="2"/>
  <c r="F259" i="2"/>
  <c r="E259" i="2"/>
  <c r="D259" i="2"/>
  <c r="B259" i="3" s="1"/>
  <c r="C259" i="2"/>
  <c r="B259" i="2"/>
  <c r="A259" i="2"/>
  <c r="F258" i="2"/>
  <c r="E258" i="2"/>
  <c r="D258" i="2"/>
  <c r="B258" i="3" s="1"/>
  <c r="C258" i="2"/>
  <c r="B258" i="2"/>
  <c r="A258" i="2"/>
  <c r="F257" i="2"/>
  <c r="E257" i="2"/>
  <c r="D257" i="2"/>
  <c r="B257" i="3" s="1"/>
  <c r="C257" i="2"/>
  <c r="B257" i="2"/>
  <c r="A257" i="2"/>
  <c r="F256" i="2"/>
  <c r="E256" i="2"/>
  <c r="D256" i="2"/>
  <c r="B256" i="3" s="1"/>
  <c r="C256" i="2"/>
  <c r="B256" i="2"/>
  <c r="A256" i="2"/>
  <c r="F255" i="2"/>
  <c r="E255" i="2"/>
  <c r="D255" i="2"/>
  <c r="B255" i="3" s="1"/>
  <c r="C255" i="2"/>
  <c r="B255" i="2"/>
  <c r="A255" i="2"/>
  <c r="F254" i="2"/>
  <c r="E254" i="2"/>
  <c r="D254" i="2"/>
  <c r="B254" i="3" s="1"/>
  <c r="C254" i="2"/>
  <c r="B254" i="2"/>
  <c r="A254" i="2"/>
  <c r="F253" i="2"/>
  <c r="E253" i="2"/>
  <c r="D253" i="2"/>
  <c r="B253" i="3" s="1"/>
  <c r="C253" i="2"/>
  <c r="B253" i="2"/>
  <c r="A253" i="2"/>
  <c r="F252" i="2"/>
  <c r="E252" i="2"/>
  <c r="D252" i="2"/>
  <c r="B252" i="3" s="1"/>
  <c r="C252" i="2"/>
  <c r="B252" i="2"/>
  <c r="A252" i="2"/>
  <c r="F251" i="2"/>
  <c r="E251" i="2"/>
  <c r="D251" i="2"/>
  <c r="B251" i="3" s="1"/>
  <c r="C251" i="2"/>
  <c r="B251" i="2"/>
  <c r="A251" i="2"/>
  <c r="F250" i="2"/>
  <c r="E250" i="2"/>
  <c r="D250" i="2"/>
  <c r="B250" i="3" s="1"/>
  <c r="C250" i="2"/>
  <c r="B250" i="2"/>
  <c r="A250" i="2"/>
  <c r="F249" i="2"/>
  <c r="E249" i="2"/>
  <c r="D249" i="2"/>
  <c r="B249" i="3" s="1"/>
  <c r="C249" i="2"/>
  <c r="B249" i="2"/>
  <c r="A249" i="2"/>
  <c r="F248" i="2"/>
  <c r="E248" i="2"/>
  <c r="D248" i="2"/>
  <c r="B248" i="3" s="1"/>
  <c r="C248" i="2"/>
  <c r="B248" i="2"/>
  <c r="A248" i="2"/>
  <c r="F247" i="2"/>
  <c r="E247" i="2"/>
  <c r="D247" i="2"/>
  <c r="B247" i="3" s="1"/>
  <c r="C247" i="2"/>
  <c r="B247" i="2"/>
  <c r="A247" i="2"/>
  <c r="F246" i="2"/>
  <c r="E246" i="2"/>
  <c r="D246" i="2"/>
  <c r="B246" i="3" s="1"/>
  <c r="C246" i="2"/>
  <c r="B246" i="2"/>
  <c r="A246" i="2"/>
  <c r="F245" i="2"/>
  <c r="E245" i="2"/>
  <c r="D245" i="2"/>
  <c r="B245" i="3" s="1"/>
  <c r="C245" i="2"/>
  <c r="B245" i="2"/>
  <c r="A245" i="2"/>
  <c r="F244" i="2"/>
  <c r="E244" i="2"/>
  <c r="D244" i="2"/>
  <c r="B244" i="3" s="1"/>
  <c r="C244" i="2"/>
  <c r="B244" i="2"/>
  <c r="A244" i="2"/>
  <c r="F243" i="2"/>
  <c r="E243" i="2"/>
  <c r="D243" i="2"/>
  <c r="B243" i="3" s="1"/>
  <c r="C243" i="2"/>
  <c r="B243" i="2"/>
  <c r="A243" i="2"/>
  <c r="F242" i="2"/>
  <c r="E242" i="2"/>
  <c r="D242" i="2"/>
  <c r="B242" i="3" s="1"/>
  <c r="C242" i="2"/>
  <c r="B242" i="2"/>
  <c r="A242" i="2"/>
  <c r="F241" i="2"/>
  <c r="E241" i="2"/>
  <c r="D241" i="2"/>
  <c r="B241" i="3" s="1"/>
  <c r="C241" i="2"/>
  <c r="B241" i="2"/>
  <c r="A241" i="2"/>
  <c r="F240" i="2"/>
  <c r="E240" i="2"/>
  <c r="D240" i="2"/>
  <c r="B240" i="3" s="1"/>
  <c r="C240" i="2"/>
  <c r="B240" i="2"/>
  <c r="A240" i="2"/>
  <c r="F239" i="2"/>
  <c r="E239" i="2"/>
  <c r="D239" i="2"/>
  <c r="B239" i="3" s="1"/>
  <c r="C239" i="2"/>
  <c r="B239" i="2"/>
  <c r="A239" i="2"/>
  <c r="F238" i="2"/>
  <c r="E238" i="2"/>
  <c r="D238" i="2"/>
  <c r="B238" i="3" s="1"/>
  <c r="C238" i="2"/>
  <c r="B238" i="2"/>
  <c r="A238" i="2"/>
  <c r="F237" i="2"/>
  <c r="E237" i="2"/>
  <c r="D237" i="2"/>
  <c r="B237" i="3" s="1"/>
  <c r="C237" i="2"/>
  <c r="B237" i="2"/>
  <c r="A237" i="2"/>
  <c r="F236" i="2"/>
  <c r="E236" i="2"/>
  <c r="D236" i="2"/>
  <c r="B236" i="3" s="1"/>
  <c r="C236" i="2"/>
  <c r="B236" i="2"/>
  <c r="A236" i="2"/>
  <c r="F235" i="2"/>
  <c r="E235" i="2"/>
  <c r="D235" i="2"/>
  <c r="B235" i="3" s="1"/>
  <c r="C235" i="2"/>
  <c r="B235" i="2"/>
  <c r="A235" i="2"/>
  <c r="F234" i="2"/>
  <c r="E234" i="2"/>
  <c r="D234" i="2"/>
  <c r="B234" i="3" s="1"/>
  <c r="C234" i="2"/>
  <c r="B234" i="2"/>
  <c r="A234" i="2"/>
  <c r="F233" i="2"/>
  <c r="E233" i="2"/>
  <c r="D233" i="2"/>
  <c r="B233" i="3" s="1"/>
  <c r="C233" i="2"/>
  <c r="B233" i="2"/>
  <c r="A233" i="2"/>
  <c r="F232" i="2"/>
  <c r="E232" i="2"/>
  <c r="D232" i="2"/>
  <c r="B232" i="3" s="1"/>
  <c r="C232" i="2"/>
  <c r="B232" i="2"/>
  <c r="A232" i="2"/>
  <c r="F231" i="2"/>
  <c r="E231" i="2"/>
  <c r="D231" i="2"/>
  <c r="B231" i="3" s="1"/>
  <c r="C231" i="2"/>
  <c r="B231" i="2"/>
  <c r="A231" i="2"/>
  <c r="F230" i="2"/>
  <c r="E230" i="2"/>
  <c r="D230" i="2"/>
  <c r="B230" i="3" s="1"/>
  <c r="C230" i="2"/>
  <c r="B230" i="2"/>
  <c r="A230" i="2"/>
  <c r="F229" i="2"/>
  <c r="E229" i="2"/>
  <c r="D229" i="2"/>
  <c r="B229" i="3" s="1"/>
  <c r="C229" i="2"/>
  <c r="B229" i="2"/>
  <c r="A229" i="2"/>
  <c r="F228" i="2"/>
  <c r="E228" i="2"/>
  <c r="D228" i="2"/>
  <c r="B228" i="3" s="1"/>
  <c r="C228" i="2"/>
  <c r="B228" i="2"/>
  <c r="A228" i="2"/>
  <c r="F227" i="2"/>
  <c r="E227" i="2"/>
  <c r="D227" i="2"/>
  <c r="B227" i="3" s="1"/>
  <c r="C227" i="2"/>
  <c r="B227" i="2"/>
  <c r="A227" i="2"/>
  <c r="F226" i="2"/>
  <c r="E226" i="2"/>
  <c r="D226" i="2"/>
  <c r="B226" i="3" s="1"/>
  <c r="C226" i="2"/>
  <c r="B226" i="2"/>
  <c r="A226" i="2"/>
  <c r="F225" i="2"/>
  <c r="E225" i="2"/>
  <c r="D225" i="2"/>
  <c r="B225" i="3" s="1"/>
  <c r="C225" i="2"/>
  <c r="B225" i="2"/>
  <c r="A225" i="2"/>
  <c r="F224" i="2"/>
  <c r="E224" i="2"/>
  <c r="D224" i="2"/>
  <c r="B224" i="3" s="1"/>
  <c r="C224" i="2"/>
  <c r="B224" i="2"/>
  <c r="A224" i="2"/>
  <c r="F223" i="2"/>
  <c r="E223" i="2"/>
  <c r="D223" i="2"/>
  <c r="B223" i="3" s="1"/>
  <c r="C223" i="2"/>
  <c r="B223" i="2"/>
  <c r="A223" i="2"/>
  <c r="F222" i="2"/>
  <c r="E222" i="2"/>
  <c r="D222" i="2"/>
  <c r="B222" i="3" s="1"/>
  <c r="C222" i="2"/>
  <c r="B222" i="2"/>
  <c r="A222" i="2"/>
  <c r="F221" i="2"/>
  <c r="E221" i="2"/>
  <c r="D221" i="2"/>
  <c r="B221" i="3" s="1"/>
  <c r="C221" i="2"/>
  <c r="B221" i="2"/>
  <c r="A221" i="2"/>
  <c r="F220" i="2"/>
  <c r="E220" i="2"/>
  <c r="D220" i="2"/>
  <c r="B220" i="3" s="1"/>
  <c r="C220" i="2"/>
  <c r="B220" i="2"/>
  <c r="A220" i="2"/>
  <c r="F219" i="2"/>
  <c r="E219" i="2"/>
  <c r="D219" i="2"/>
  <c r="B219" i="3" s="1"/>
  <c r="C219" i="2"/>
  <c r="B219" i="2"/>
  <c r="A219" i="2"/>
  <c r="F218" i="2"/>
  <c r="E218" i="2"/>
  <c r="D218" i="2"/>
  <c r="B218" i="3" s="1"/>
  <c r="C218" i="2"/>
  <c r="B218" i="2"/>
  <c r="A218" i="2"/>
  <c r="F217" i="2"/>
  <c r="E217" i="2"/>
  <c r="D217" i="2"/>
  <c r="B217" i="3" s="1"/>
  <c r="C217" i="2"/>
  <c r="B217" i="2"/>
  <c r="A217" i="2"/>
  <c r="F216" i="2"/>
  <c r="E216" i="2"/>
  <c r="D216" i="2"/>
  <c r="B216" i="3" s="1"/>
  <c r="C216" i="2"/>
  <c r="B216" i="2"/>
  <c r="A216" i="2"/>
  <c r="F215" i="2"/>
  <c r="E215" i="2"/>
  <c r="D215" i="2"/>
  <c r="B215" i="3" s="1"/>
  <c r="C215" i="2"/>
  <c r="B215" i="2"/>
  <c r="A215" i="2"/>
  <c r="F214" i="2"/>
  <c r="E214" i="2"/>
  <c r="D214" i="2"/>
  <c r="B214" i="3" s="1"/>
  <c r="B214" i="2"/>
  <c r="A214" i="2"/>
  <c r="F213" i="2"/>
  <c r="E213" i="2"/>
  <c r="D213" i="2"/>
  <c r="B213" i="3" s="1"/>
  <c r="C213" i="2"/>
  <c r="B213" i="2"/>
  <c r="A213" i="2"/>
  <c r="F212" i="2"/>
  <c r="E212" i="2"/>
  <c r="D212" i="2"/>
  <c r="B212" i="3" s="1"/>
  <c r="C212" i="2"/>
  <c r="B212" i="2"/>
  <c r="A212" i="2"/>
  <c r="F211" i="2"/>
  <c r="E211" i="2"/>
  <c r="D211" i="2"/>
  <c r="B211" i="3" s="1"/>
  <c r="C211" i="2"/>
  <c r="B211" i="2"/>
  <c r="A211" i="2"/>
  <c r="F210" i="2"/>
  <c r="E210" i="2"/>
  <c r="D210" i="2"/>
  <c r="B210" i="3" s="1"/>
  <c r="C210" i="2"/>
  <c r="B210" i="2"/>
  <c r="A210" i="2"/>
  <c r="F209" i="2"/>
  <c r="E209" i="2"/>
  <c r="D209" i="2"/>
  <c r="B209" i="3" s="1"/>
  <c r="C209" i="2"/>
  <c r="B209" i="2"/>
  <c r="A209" i="2"/>
  <c r="F208" i="2"/>
  <c r="E208" i="2"/>
  <c r="D208" i="2"/>
  <c r="B208" i="3" s="1"/>
  <c r="C208" i="2"/>
  <c r="B208" i="2"/>
  <c r="A208" i="2"/>
  <c r="F207" i="2"/>
  <c r="E207" i="2"/>
  <c r="D207" i="2"/>
  <c r="B207" i="3" s="1"/>
  <c r="C207" i="2"/>
  <c r="B207" i="2"/>
  <c r="A207" i="2"/>
  <c r="F206" i="2"/>
  <c r="E206" i="2"/>
  <c r="D206" i="2"/>
  <c r="B206" i="3" s="1"/>
  <c r="C206" i="2"/>
  <c r="B206" i="2"/>
  <c r="A206" i="2"/>
  <c r="F205" i="2"/>
  <c r="E205" i="2"/>
  <c r="D205" i="2"/>
  <c r="B205" i="3" s="1"/>
  <c r="C205" i="2"/>
  <c r="B205" i="2"/>
  <c r="A205" i="2"/>
  <c r="F204" i="2"/>
  <c r="E204" i="2"/>
  <c r="D204" i="2"/>
  <c r="B204" i="3" s="1"/>
  <c r="C204" i="2"/>
  <c r="B204" i="2"/>
  <c r="A204" i="2"/>
  <c r="F203" i="2"/>
  <c r="E203" i="2"/>
  <c r="D203" i="2"/>
  <c r="B203" i="3" s="1"/>
  <c r="C203" i="2"/>
  <c r="B203" i="2"/>
  <c r="A203" i="2"/>
  <c r="F202" i="2"/>
  <c r="E202" i="2"/>
  <c r="D202" i="2"/>
  <c r="B202" i="3" s="1"/>
  <c r="C202" i="2"/>
  <c r="B202" i="2"/>
  <c r="A202" i="2"/>
  <c r="F201" i="2"/>
  <c r="E201" i="2"/>
  <c r="D201" i="2"/>
  <c r="B201" i="3" s="1"/>
  <c r="C201" i="2"/>
  <c r="B201" i="2"/>
  <c r="A201" i="2"/>
  <c r="F200" i="2"/>
  <c r="E200" i="2"/>
  <c r="D200" i="2"/>
  <c r="B200" i="3" s="1"/>
  <c r="C200" i="2"/>
  <c r="B200" i="2"/>
  <c r="A200" i="2"/>
  <c r="F199" i="2"/>
  <c r="E199" i="2"/>
  <c r="D199" i="2"/>
  <c r="B199" i="3" s="1"/>
  <c r="C199" i="2"/>
  <c r="B199" i="2"/>
  <c r="A199" i="2"/>
  <c r="F198" i="2"/>
  <c r="E198" i="2"/>
  <c r="D198" i="2"/>
  <c r="B198" i="3" s="1"/>
  <c r="C198" i="2"/>
  <c r="B198" i="2"/>
  <c r="A198" i="2"/>
  <c r="F197" i="2"/>
  <c r="E197" i="2"/>
  <c r="D197" i="2"/>
  <c r="B197" i="3" s="1"/>
  <c r="C197" i="2"/>
  <c r="B197" i="2"/>
  <c r="A197" i="2"/>
  <c r="F196" i="2"/>
  <c r="E196" i="2"/>
  <c r="D196" i="2"/>
  <c r="B196" i="3" s="1"/>
  <c r="C196" i="2"/>
  <c r="B196" i="2"/>
  <c r="A196" i="2"/>
  <c r="F195" i="2"/>
  <c r="E195" i="2"/>
  <c r="D195" i="2"/>
  <c r="B195" i="3" s="1"/>
  <c r="C195" i="2"/>
  <c r="B195" i="2"/>
  <c r="A195" i="2"/>
  <c r="F194" i="2"/>
  <c r="E194" i="2"/>
  <c r="D194" i="2"/>
  <c r="B194" i="3" s="1"/>
  <c r="C194" i="2"/>
  <c r="B194" i="2"/>
  <c r="A194" i="2"/>
  <c r="F193" i="2"/>
  <c r="E193" i="2"/>
  <c r="D193" i="2"/>
  <c r="B193" i="3" s="1"/>
  <c r="C193" i="2"/>
  <c r="B193" i="2"/>
  <c r="A193" i="2"/>
  <c r="F192" i="2"/>
  <c r="E192" i="2"/>
  <c r="D192" i="2"/>
  <c r="B192" i="3" s="1"/>
  <c r="C192" i="2"/>
  <c r="B192" i="2"/>
  <c r="A192" i="2"/>
  <c r="F191" i="2"/>
  <c r="E191" i="2"/>
  <c r="D191" i="2"/>
  <c r="B191" i="3" s="1"/>
  <c r="C191" i="2"/>
  <c r="B191" i="2"/>
  <c r="A191" i="2"/>
  <c r="F190" i="2"/>
  <c r="E190" i="2"/>
  <c r="D190" i="2"/>
  <c r="B190" i="3" s="1"/>
  <c r="C190" i="2"/>
  <c r="B190" i="2"/>
  <c r="A190" i="2"/>
  <c r="F189" i="2"/>
  <c r="E189" i="2"/>
  <c r="D189" i="2"/>
  <c r="B189" i="3" s="1"/>
  <c r="C189" i="2"/>
  <c r="B189" i="2"/>
  <c r="A189" i="2"/>
  <c r="F188" i="2"/>
  <c r="E188" i="2"/>
  <c r="D188" i="2"/>
  <c r="B188" i="3" s="1"/>
  <c r="C188" i="2"/>
  <c r="B188" i="2"/>
  <c r="A188" i="2"/>
  <c r="F187" i="2"/>
  <c r="E187" i="2"/>
  <c r="D187" i="2"/>
  <c r="B187" i="3" s="1"/>
  <c r="C187" i="2"/>
  <c r="B187" i="2"/>
  <c r="A187" i="2"/>
  <c r="F186" i="2"/>
  <c r="E186" i="2"/>
  <c r="D186" i="2"/>
  <c r="B186" i="3" s="1"/>
  <c r="C186" i="2"/>
  <c r="B186" i="2"/>
  <c r="A186" i="2"/>
  <c r="F185" i="2"/>
  <c r="E185" i="2"/>
  <c r="D185" i="2"/>
  <c r="B185" i="3" s="1"/>
  <c r="C185" i="2"/>
  <c r="B185" i="2"/>
  <c r="A185" i="2"/>
  <c r="F184" i="2"/>
  <c r="E184" i="2"/>
  <c r="D184" i="2"/>
  <c r="B184" i="3" s="1"/>
  <c r="C184" i="2"/>
  <c r="B184" i="2"/>
  <c r="A184" i="2"/>
  <c r="F183" i="2"/>
  <c r="E183" i="2"/>
  <c r="D183" i="2"/>
  <c r="B183" i="3" s="1"/>
  <c r="C183" i="2"/>
  <c r="B183" i="2"/>
  <c r="A183" i="2"/>
  <c r="F182" i="2"/>
  <c r="E182" i="2"/>
  <c r="D182" i="2"/>
  <c r="B182" i="3" s="1"/>
  <c r="C182" i="2"/>
  <c r="B182" i="2"/>
  <c r="A182" i="2"/>
  <c r="F181" i="2"/>
  <c r="E181" i="2"/>
  <c r="D181" i="2"/>
  <c r="B181" i="3" s="1"/>
  <c r="C181" i="2"/>
  <c r="B181" i="2"/>
  <c r="A181" i="2"/>
  <c r="F180" i="2"/>
  <c r="E180" i="2"/>
  <c r="D180" i="2"/>
  <c r="B180" i="3" s="1"/>
  <c r="C180" i="2"/>
  <c r="B180" i="2"/>
  <c r="A180" i="2"/>
  <c r="F179" i="2"/>
  <c r="E179" i="2"/>
  <c r="D179" i="2"/>
  <c r="B179" i="3" s="1"/>
  <c r="C179" i="2"/>
  <c r="B179" i="2"/>
  <c r="A179" i="2"/>
  <c r="F178" i="2"/>
  <c r="E178" i="2"/>
  <c r="D178" i="2"/>
  <c r="B178" i="3" s="1"/>
  <c r="C178" i="2"/>
  <c r="B178" i="2"/>
  <c r="A178" i="2"/>
  <c r="F177" i="2"/>
  <c r="E177" i="2"/>
  <c r="D177" i="2"/>
  <c r="B177" i="3" s="1"/>
  <c r="C177" i="2"/>
  <c r="B177" i="2"/>
  <c r="A177" i="2"/>
  <c r="F176" i="2"/>
  <c r="E176" i="2"/>
  <c r="D176" i="2"/>
  <c r="B176" i="3" s="1"/>
  <c r="C176" i="2"/>
  <c r="B176" i="2"/>
  <c r="A176" i="2"/>
  <c r="F175" i="2"/>
  <c r="E175" i="2"/>
  <c r="D175" i="2"/>
  <c r="B175" i="3" s="1"/>
  <c r="C175" i="2"/>
  <c r="B175" i="2"/>
  <c r="A175" i="2"/>
  <c r="F174" i="2"/>
  <c r="E174" i="2"/>
  <c r="D174" i="2"/>
  <c r="B174" i="3" s="1"/>
  <c r="C174" i="2"/>
  <c r="B174" i="2"/>
  <c r="A174" i="2"/>
  <c r="F173" i="2"/>
  <c r="E173" i="2"/>
  <c r="D173" i="2"/>
  <c r="B173" i="3" s="1"/>
  <c r="C173" i="2"/>
  <c r="B173" i="2"/>
  <c r="A173" i="2"/>
  <c r="F172" i="2"/>
  <c r="E172" i="2"/>
  <c r="D172" i="2"/>
  <c r="B172" i="3" s="1"/>
  <c r="C172" i="2"/>
  <c r="B172" i="2"/>
  <c r="A172" i="2"/>
  <c r="F171" i="2"/>
  <c r="E171" i="2"/>
  <c r="D171" i="2"/>
  <c r="B171" i="3" s="1"/>
  <c r="C171" i="2"/>
  <c r="B171" i="2"/>
  <c r="A171" i="2"/>
  <c r="F170" i="2"/>
  <c r="E170" i="2"/>
  <c r="D170" i="2"/>
  <c r="B170" i="3" s="1"/>
  <c r="C170" i="2"/>
  <c r="B170" i="2"/>
  <c r="A170" i="2"/>
  <c r="F169" i="2"/>
  <c r="E169" i="2"/>
  <c r="D169" i="2"/>
  <c r="B169" i="3" s="1"/>
  <c r="C169" i="2"/>
  <c r="B169" i="2"/>
  <c r="A169" i="2"/>
  <c r="F168" i="2"/>
  <c r="E168" i="2"/>
  <c r="D168" i="2"/>
  <c r="B168" i="3" s="1"/>
  <c r="C168" i="2"/>
  <c r="B168" i="2"/>
  <c r="A168" i="2"/>
  <c r="F167" i="2"/>
  <c r="E167" i="2"/>
  <c r="D167" i="2"/>
  <c r="B167" i="3" s="1"/>
  <c r="C167" i="2"/>
  <c r="B167" i="2"/>
  <c r="A167" i="2"/>
  <c r="F166" i="2"/>
  <c r="E166" i="2"/>
  <c r="D166" i="2"/>
  <c r="B166" i="3" s="1"/>
  <c r="C166" i="2"/>
  <c r="B166" i="2"/>
  <c r="A166" i="2"/>
  <c r="F165" i="2"/>
  <c r="E165" i="2"/>
  <c r="D165" i="2"/>
  <c r="B165" i="3" s="1"/>
  <c r="C165" i="2"/>
  <c r="B165" i="2"/>
  <c r="A165" i="2"/>
  <c r="F164" i="2"/>
  <c r="E164" i="2"/>
  <c r="D164" i="2"/>
  <c r="B164" i="3" s="1"/>
  <c r="C164" i="2"/>
  <c r="B164" i="2"/>
  <c r="A164" i="2"/>
  <c r="F163" i="2"/>
  <c r="E163" i="2"/>
  <c r="D163" i="2"/>
  <c r="B163" i="3" s="1"/>
  <c r="C163" i="2"/>
  <c r="B163" i="2"/>
  <c r="A163" i="2"/>
  <c r="F162" i="2"/>
  <c r="E162" i="2"/>
  <c r="D162" i="2"/>
  <c r="B162" i="3" s="1"/>
  <c r="C162" i="2"/>
  <c r="B162" i="2"/>
  <c r="A162" i="2"/>
  <c r="F161" i="2"/>
  <c r="E161" i="2"/>
  <c r="D161" i="2"/>
  <c r="B161" i="3" s="1"/>
  <c r="C161" i="2"/>
  <c r="B161" i="2"/>
  <c r="A161" i="2"/>
  <c r="F160" i="2"/>
  <c r="E160" i="2"/>
  <c r="D160" i="2"/>
  <c r="B160" i="3" s="1"/>
  <c r="C160" i="2"/>
  <c r="B160" i="2"/>
  <c r="A160" i="2"/>
  <c r="F159" i="2"/>
  <c r="E159" i="2"/>
  <c r="D159" i="2"/>
  <c r="B159" i="3" s="1"/>
  <c r="C159" i="2"/>
  <c r="B159" i="2"/>
  <c r="A159" i="2"/>
  <c r="F158" i="2"/>
  <c r="E158" i="2"/>
  <c r="D158" i="2"/>
  <c r="B158" i="3" s="1"/>
  <c r="C158" i="2"/>
  <c r="B158" i="2"/>
  <c r="A158" i="2"/>
  <c r="F157" i="2"/>
  <c r="E157" i="2"/>
  <c r="D157" i="2"/>
  <c r="B157" i="3" s="1"/>
  <c r="C157" i="2"/>
  <c r="B157" i="2"/>
  <c r="A157" i="2"/>
  <c r="F156" i="2"/>
  <c r="E156" i="2"/>
  <c r="D156" i="2"/>
  <c r="B156" i="3" s="1"/>
  <c r="C156" i="2"/>
  <c r="B156" i="2"/>
  <c r="A156" i="2"/>
  <c r="F155" i="2"/>
  <c r="E155" i="2"/>
  <c r="D155" i="2"/>
  <c r="B155" i="3" s="1"/>
  <c r="C155" i="2"/>
  <c r="B155" i="2"/>
  <c r="A155" i="2"/>
  <c r="F154" i="2"/>
  <c r="E154" i="2"/>
  <c r="D154" i="2"/>
  <c r="B154" i="3" s="1"/>
  <c r="C154" i="2"/>
  <c r="B154" i="2"/>
  <c r="A154" i="2"/>
  <c r="F153" i="2"/>
  <c r="E153" i="2"/>
  <c r="D153" i="2"/>
  <c r="B153" i="3" s="1"/>
  <c r="C153" i="2"/>
  <c r="B153" i="2"/>
  <c r="A153" i="2"/>
  <c r="F152" i="2"/>
  <c r="E152" i="2"/>
  <c r="D152" i="2"/>
  <c r="B152" i="3" s="1"/>
  <c r="C152" i="2"/>
  <c r="B152" i="2"/>
  <c r="A152" i="2"/>
  <c r="F151" i="2"/>
  <c r="E151" i="2"/>
  <c r="D151" i="2"/>
  <c r="B151" i="3" s="1"/>
  <c r="C151" i="2"/>
  <c r="B151" i="2"/>
  <c r="A151" i="2"/>
  <c r="F150" i="2"/>
  <c r="E150" i="2"/>
  <c r="D150" i="2"/>
  <c r="B150" i="3" s="1"/>
  <c r="C150" i="2"/>
  <c r="B150" i="2"/>
  <c r="A150" i="2"/>
  <c r="F149" i="2"/>
  <c r="E149" i="2"/>
  <c r="D149" i="2"/>
  <c r="B149" i="3" s="1"/>
  <c r="C149" i="2"/>
  <c r="B149" i="2"/>
  <c r="A149" i="2"/>
  <c r="F148" i="2"/>
  <c r="E148" i="2"/>
  <c r="D148" i="2"/>
  <c r="B148" i="3" s="1"/>
  <c r="C148" i="2"/>
  <c r="B148" i="2"/>
  <c r="A148" i="2"/>
  <c r="F147" i="2"/>
  <c r="E147" i="2"/>
  <c r="D147" i="2"/>
  <c r="B147" i="3" s="1"/>
  <c r="C147" i="2"/>
  <c r="B147" i="2"/>
  <c r="A147" i="2"/>
  <c r="F146" i="2"/>
  <c r="E146" i="2"/>
  <c r="D146" i="2"/>
  <c r="B146" i="3" s="1"/>
  <c r="C146" i="2"/>
  <c r="B146" i="2"/>
  <c r="A146" i="2"/>
  <c r="F145" i="2"/>
  <c r="E145" i="2"/>
  <c r="D145" i="2"/>
  <c r="B145" i="3" s="1"/>
  <c r="C145" i="2"/>
  <c r="B145" i="2"/>
  <c r="A145" i="2"/>
  <c r="F144" i="2"/>
  <c r="E144" i="2"/>
  <c r="D144" i="2"/>
  <c r="B144" i="3" s="1"/>
  <c r="C144" i="2"/>
  <c r="B144" i="2"/>
  <c r="A144" i="2"/>
  <c r="F143" i="2"/>
  <c r="E143" i="2"/>
  <c r="D143" i="2"/>
  <c r="B143" i="3" s="1"/>
  <c r="C143" i="2"/>
  <c r="B143" i="2"/>
  <c r="A143" i="2"/>
  <c r="F142" i="2"/>
  <c r="E142" i="2"/>
  <c r="D142" i="2"/>
  <c r="B142" i="3" s="1"/>
  <c r="C142" i="2"/>
  <c r="B142" i="2"/>
  <c r="A142" i="2"/>
  <c r="F141" i="2"/>
  <c r="E141" i="2"/>
  <c r="D141" i="2"/>
  <c r="B141" i="3" s="1"/>
  <c r="C141" i="2"/>
  <c r="B141" i="2"/>
  <c r="A141" i="2"/>
  <c r="F140" i="2"/>
  <c r="E140" i="2"/>
  <c r="D140" i="2"/>
  <c r="B140" i="3" s="1"/>
  <c r="C140" i="2"/>
  <c r="B140" i="2"/>
  <c r="A140" i="2"/>
  <c r="F139" i="2"/>
  <c r="E139" i="2"/>
  <c r="D139" i="2"/>
  <c r="B139" i="3" s="1"/>
  <c r="C139" i="2"/>
  <c r="B139" i="2"/>
  <c r="A139" i="2"/>
  <c r="F138" i="2"/>
  <c r="E138" i="2"/>
  <c r="D138" i="2"/>
  <c r="B138" i="3" s="1"/>
  <c r="C138" i="2"/>
  <c r="B138" i="2"/>
  <c r="A138" i="2"/>
  <c r="F137" i="2"/>
  <c r="E137" i="2"/>
  <c r="D137" i="2"/>
  <c r="B137" i="3" s="1"/>
  <c r="C137" i="2"/>
  <c r="B137" i="2"/>
  <c r="A137" i="2"/>
  <c r="F136" i="2"/>
  <c r="E136" i="2"/>
  <c r="D136" i="2"/>
  <c r="B136" i="3" s="1"/>
  <c r="C136" i="2"/>
  <c r="B136" i="2"/>
  <c r="A136" i="2"/>
  <c r="F135" i="2"/>
  <c r="E135" i="2"/>
  <c r="D135" i="2"/>
  <c r="B135" i="3" s="1"/>
  <c r="C135" i="2"/>
  <c r="B135" i="2"/>
  <c r="A135" i="2"/>
  <c r="F134" i="2"/>
  <c r="E134" i="2"/>
  <c r="D134" i="2"/>
  <c r="B134" i="3" s="1"/>
  <c r="C134" i="2"/>
  <c r="B134" i="2"/>
  <c r="A134" i="2"/>
  <c r="F133" i="2"/>
  <c r="E133" i="2"/>
  <c r="D133" i="2"/>
  <c r="B133" i="3" s="1"/>
  <c r="C133" i="2"/>
  <c r="B133" i="2"/>
  <c r="A133" i="2"/>
  <c r="F132" i="2"/>
  <c r="E132" i="2"/>
  <c r="D132" i="2"/>
  <c r="B132" i="3" s="1"/>
  <c r="C132" i="2"/>
  <c r="B132" i="2"/>
  <c r="A132" i="2"/>
  <c r="F131" i="2"/>
  <c r="E131" i="2"/>
  <c r="D131" i="2"/>
  <c r="B131" i="3" s="1"/>
  <c r="C131" i="2"/>
  <c r="B131" i="2"/>
  <c r="A131" i="2"/>
  <c r="F130" i="2"/>
  <c r="E130" i="2"/>
  <c r="D130" i="2"/>
  <c r="B130" i="3" s="1"/>
  <c r="C130" i="2"/>
  <c r="B130" i="2"/>
  <c r="A130" i="2"/>
  <c r="F129" i="2"/>
  <c r="E129" i="2"/>
  <c r="D129" i="2"/>
  <c r="B129" i="3" s="1"/>
  <c r="C129" i="2"/>
  <c r="B129" i="2"/>
  <c r="A129" i="2"/>
  <c r="F128" i="2"/>
  <c r="E128" i="2"/>
  <c r="D128" i="2"/>
  <c r="B128" i="3" s="1"/>
  <c r="C128" i="2"/>
  <c r="B128" i="2"/>
  <c r="A128" i="2"/>
  <c r="F127" i="2"/>
  <c r="E127" i="2"/>
  <c r="D127" i="2"/>
  <c r="B127" i="3" s="1"/>
  <c r="C127" i="2"/>
  <c r="B127" i="2"/>
  <c r="A127" i="2"/>
  <c r="F126" i="2"/>
  <c r="E126" i="2"/>
  <c r="D126" i="2"/>
  <c r="B126" i="3" s="1"/>
  <c r="C126" i="2"/>
  <c r="B126" i="2"/>
  <c r="A126" i="2"/>
  <c r="F125" i="2"/>
  <c r="E125" i="2"/>
  <c r="D125" i="2"/>
  <c r="B125" i="3" s="1"/>
  <c r="C125" i="2"/>
  <c r="B125" i="2"/>
  <c r="A125" i="2"/>
  <c r="F124" i="2"/>
  <c r="E124" i="2"/>
  <c r="D124" i="2"/>
  <c r="B124" i="3" s="1"/>
  <c r="C124" i="2"/>
  <c r="B124" i="2"/>
  <c r="A124" i="2"/>
  <c r="F123" i="2"/>
  <c r="E123" i="2"/>
  <c r="D123" i="2"/>
  <c r="B123" i="3" s="1"/>
  <c r="C123" i="2"/>
  <c r="B123" i="2"/>
  <c r="A123" i="2"/>
  <c r="F122" i="2"/>
  <c r="E122" i="2"/>
  <c r="D122" i="2"/>
  <c r="B122" i="3" s="1"/>
  <c r="C122" i="2"/>
  <c r="B122" i="2"/>
  <c r="A122" i="2"/>
  <c r="F121" i="2"/>
  <c r="E121" i="2"/>
  <c r="D121" i="2"/>
  <c r="B121" i="3" s="1"/>
  <c r="C121" i="2"/>
  <c r="B121" i="2"/>
  <c r="A121" i="2"/>
  <c r="F120" i="2"/>
  <c r="E120" i="2"/>
  <c r="D120" i="2"/>
  <c r="B120" i="3" s="1"/>
  <c r="C120" i="2"/>
  <c r="B120" i="2"/>
  <c r="A120" i="2"/>
  <c r="F119" i="2"/>
  <c r="E119" i="2"/>
  <c r="D119" i="2"/>
  <c r="B119" i="3" s="1"/>
  <c r="C119" i="2"/>
  <c r="B119" i="2"/>
  <c r="F117" i="2"/>
  <c r="E117" i="2"/>
  <c r="D117" i="2"/>
  <c r="B117" i="3" s="1"/>
  <c r="C117" i="2"/>
  <c r="B117" i="2"/>
  <c r="A117" i="2"/>
  <c r="F116" i="2"/>
  <c r="E116" i="2"/>
  <c r="D116" i="2"/>
  <c r="B116" i="3" s="1"/>
  <c r="C116" i="2"/>
  <c r="B116" i="2"/>
  <c r="A116" i="2"/>
  <c r="F115" i="2"/>
  <c r="E115" i="2"/>
  <c r="D115" i="2"/>
  <c r="B115" i="3" s="1"/>
  <c r="C115" i="2"/>
  <c r="B115" i="2"/>
  <c r="A115" i="2"/>
  <c r="F114" i="2"/>
  <c r="E114" i="2"/>
  <c r="D114" i="2"/>
  <c r="B114" i="3" s="1"/>
  <c r="C114" i="2"/>
  <c r="B114" i="2"/>
  <c r="A114" i="2"/>
  <c r="F113" i="2"/>
  <c r="E113" i="2"/>
  <c r="D113" i="2"/>
  <c r="B113" i="3" s="1"/>
  <c r="B113" i="2"/>
  <c r="A113" i="2"/>
  <c r="F112" i="2"/>
  <c r="E112" i="2"/>
  <c r="D112" i="2"/>
  <c r="B112" i="3" s="1"/>
  <c r="C112" i="2"/>
  <c r="B112" i="2"/>
  <c r="A112" i="2"/>
  <c r="F111" i="2"/>
  <c r="E111" i="2"/>
  <c r="D111" i="2"/>
  <c r="B111" i="3" s="1"/>
  <c r="C111" i="2"/>
  <c r="B111" i="2"/>
  <c r="A111" i="2"/>
  <c r="F110" i="2"/>
  <c r="E110" i="2"/>
  <c r="D110" i="2"/>
  <c r="B110" i="3" s="1"/>
  <c r="C110" i="2"/>
  <c r="B110" i="2"/>
  <c r="A110" i="2"/>
  <c r="F109" i="2"/>
  <c r="E109" i="2"/>
  <c r="D109" i="2"/>
  <c r="B109" i="3" s="1"/>
  <c r="C109" i="2"/>
  <c r="B109" i="2"/>
  <c r="A109" i="2"/>
  <c r="F108" i="2"/>
  <c r="E108" i="2"/>
  <c r="D108" i="2"/>
  <c r="B108" i="3" s="1"/>
  <c r="C108" i="2"/>
  <c r="B108" i="2"/>
  <c r="A108" i="2"/>
  <c r="F107" i="2"/>
  <c r="E107" i="2"/>
  <c r="D107" i="2"/>
  <c r="B107" i="3" s="1"/>
  <c r="C107" i="2"/>
  <c r="B107" i="2"/>
  <c r="A107" i="2"/>
  <c r="F106" i="2"/>
  <c r="E106" i="2"/>
  <c r="D106" i="2"/>
  <c r="B106" i="3" s="1"/>
  <c r="C106" i="2"/>
  <c r="B106" i="2"/>
  <c r="A106" i="2"/>
  <c r="F105" i="2"/>
  <c r="E105" i="2"/>
  <c r="D105" i="2"/>
  <c r="B105" i="3" s="1"/>
  <c r="C105" i="2"/>
  <c r="B105" i="2"/>
  <c r="A105" i="2"/>
  <c r="F104" i="2"/>
  <c r="E104" i="2"/>
  <c r="D104" i="2"/>
  <c r="B104" i="3" s="1"/>
  <c r="C104" i="2"/>
  <c r="B104" i="2"/>
  <c r="A104" i="2"/>
  <c r="F103" i="2"/>
  <c r="E103" i="2"/>
  <c r="D103" i="2"/>
  <c r="B103" i="3" s="1"/>
  <c r="C103" i="2"/>
  <c r="B103" i="2"/>
  <c r="A103" i="2"/>
  <c r="F102" i="2"/>
  <c r="E102" i="2"/>
  <c r="D102" i="2"/>
  <c r="B102" i="3" s="1"/>
  <c r="C102" i="2"/>
  <c r="B102" i="2"/>
  <c r="A102" i="2"/>
  <c r="F100" i="2"/>
  <c r="E100" i="2"/>
  <c r="D100" i="2"/>
  <c r="B100" i="3" s="1"/>
  <c r="C100" i="2"/>
  <c r="B100" i="2"/>
  <c r="A100" i="2"/>
  <c r="F99" i="2"/>
  <c r="E99" i="2"/>
  <c r="D99" i="2"/>
  <c r="B99" i="3" s="1"/>
  <c r="C99" i="2"/>
  <c r="B99" i="2"/>
  <c r="A99" i="2"/>
  <c r="F98" i="2"/>
  <c r="E98" i="2"/>
  <c r="D98" i="2"/>
  <c r="B98" i="3" s="1"/>
  <c r="C98" i="2"/>
  <c r="B98" i="2"/>
  <c r="A98" i="2"/>
  <c r="F97" i="2"/>
  <c r="E97" i="2"/>
  <c r="D97" i="2"/>
  <c r="B97" i="3" s="1"/>
  <c r="C97" i="2"/>
  <c r="B97" i="2"/>
  <c r="A97" i="2"/>
  <c r="F96" i="2"/>
  <c r="E96" i="2"/>
  <c r="D96" i="2"/>
  <c r="B96" i="3" s="1"/>
  <c r="C96" i="2"/>
  <c r="B96" i="2"/>
  <c r="A96" i="2"/>
  <c r="F95" i="2"/>
  <c r="E95" i="2"/>
  <c r="D95" i="2"/>
  <c r="B95" i="3" s="1"/>
  <c r="C95" i="2"/>
  <c r="B95" i="2"/>
  <c r="A95" i="2"/>
  <c r="F94" i="2"/>
  <c r="E94" i="2"/>
  <c r="D94" i="2"/>
  <c r="B94" i="3" s="1"/>
  <c r="C94" i="2"/>
  <c r="B94" i="2"/>
  <c r="A94" i="2"/>
  <c r="F93" i="2"/>
  <c r="E93" i="2"/>
  <c r="D93" i="2"/>
  <c r="B93" i="3" s="1"/>
  <c r="C93" i="2"/>
  <c r="B93" i="2"/>
  <c r="A93" i="2"/>
  <c r="F92" i="2"/>
  <c r="E92" i="2"/>
  <c r="D92" i="2"/>
  <c r="B92" i="3" s="1"/>
  <c r="C92" i="2"/>
  <c r="B92" i="2"/>
  <c r="A92" i="2"/>
  <c r="F91" i="2"/>
  <c r="E91" i="2"/>
  <c r="D91" i="2"/>
  <c r="B91" i="3" s="1"/>
  <c r="C91" i="2"/>
  <c r="B91" i="2"/>
  <c r="A91" i="2"/>
  <c r="F90" i="2"/>
  <c r="E90" i="2"/>
  <c r="D90" i="2"/>
  <c r="B90" i="3" s="1"/>
  <c r="C90" i="2"/>
  <c r="B90" i="2"/>
  <c r="A90" i="2"/>
  <c r="F89" i="2"/>
  <c r="E89" i="2"/>
  <c r="D89" i="2"/>
  <c r="B89" i="3" s="1"/>
  <c r="C89" i="2"/>
  <c r="B89" i="2"/>
  <c r="A89" i="2"/>
  <c r="F88" i="2"/>
  <c r="E88" i="2"/>
  <c r="D88" i="2"/>
  <c r="B88" i="3" s="1"/>
  <c r="C88" i="2"/>
  <c r="B88" i="2"/>
  <c r="A88" i="2"/>
  <c r="F87" i="2"/>
  <c r="E87" i="2"/>
  <c r="D87" i="2"/>
  <c r="B87" i="3" s="1"/>
  <c r="C87" i="2"/>
  <c r="B87" i="2"/>
  <c r="A87" i="2"/>
  <c r="F86" i="2"/>
  <c r="E86" i="2"/>
  <c r="D86" i="2"/>
  <c r="B86" i="3" s="1"/>
  <c r="C86" i="2"/>
  <c r="B86" i="2"/>
  <c r="A86" i="2"/>
  <c r="F85" i="2"/>
  <c r="E85" i="2"/>
  <c r="D85" i="2"/>
  <c r="B85" i="3" s="1"/>
  <c r="C85" i="2"/>
  <c r="B85" i="2"/>
  <c r="A85" i="2"/>
  <c r="F84" i="2"/>
  <c r="E84" i="2"/>
  <c r="D84" i="2"/>
  <c r="B84" i="3" s="1"/>
  <c r="C84" i="2"/>
  <c r="B84" i="2"/>
  <c r="A84" i="2"/>
  <c r="F83" i="2"/>
  <c r="E83" i="2"/>
  <c r="D83" i="2"/>
  <c r="B83" i="3" s="1"/>
  <c r="C83" i="2"/>
  <c r="B83" i="2"/>
  <c r="A83" i="2"/>
  <c r="F82" i="2"/>
  <c r="E82" i="2"/>
  <c r="D82" i="2"/>
  <c r="B82" i="3" s="1"/>
  <c r="C82" i="2"/>
  <c r="B82" i="2"/>
  <c r="A82" i="2"/>
  <c r="F81" i="2"/>
  <c r="E81" i="2"/>
  <c r="D81" i="2"/>
  <c r="B81" i="3" s="1"/>
  <c r="C81" i="2"/>
  <c r="B81" i="2"/>
  <c r="A81" i="2"/>
  <c r="F80" i="2"/>
  <c r="E80" i="2"/>
  <c r="D80" i="2"/>
  <c r="B80" i="3" s="1"/>
  <c r="C80" i="2"/>
  <c r="B80" i="2"/>
  <c r="A80" i="2"/>
  <c r="F79" i="2"/>
  <c r="E79" i="2"/>
  <c r="D79" i="2"/>
  <c r="B79" i="3" s="1"/>
  <c r="C79" i="2"/>
  <c r="B79" i="2"/>
  <c r="A79" i="2"/>
  <c r="F78" i="2"/>
  <c r="E78" i="2"/>
  <c r="D78" i="2"/>
  <c r="B78" i="3" s="1"/>
  <c r="C78" i="2"/>
  <c r="B78" i="2"/>
  <c r="A78" i="2"/>
  <c r="F77" i="2"/>
  <c r="E77" i="2"/>
  <c r="D77" i="2"/>
  <c r="B77" i="3" s="1"/>
  <c r="C77" i="2"/>
  <c r="B77" i="2"/>
  <c r="A77" i="2"/>
  <c r="F76" i="2"/>
  <c r="E76" i="2"/>
  <c r="D76" i="2"/>
  <c r="B76" i="3" s="1"/>
  <c r="C76" i="2"/>
  <c r="B76" i="2"/>
  <c r="A76" i="2"/>
  <c r="F75" i="2"/>
  <c r="E75" i="2"/>
  <c r="D75" i="2"/>
  <c r="B75" i="3" s="1"/>
  <c r="C75" i="2"/>
  <c r="B75" i="2"/>
  <c r="A75" i="2"/>
  <c r="F74" i="2"/>
  <c r="E74" i="2"/>
  <c r="D74" i="2"/>
  <c r="B74" i="3" s="1"/>
  <c r="C74" i="2"/>
  <c r="B74" i="2"/>
  <c r="A74" i="2"/>
  <c r="F73" i="2"/>
  <c r="E73" i="2"/>
  <c r="D73" i="2"/>
  <c r="B73" i="3" s="1"/>
  <c r="C73" i="2"/>
  <c r="B73" i="2"/>
  <c r="A73" i="2"/>
  <c r="F72" i="2"/>
  <c r="E72" i="2"/>
  <c r="D72" i="2"/>
  <c r="B72" i="3" s="1"/>
  <c r="C72" i="2"/>
  <c r="B72" i="2"/>
  <c r="A72" i="2"/>
  <c r="F71" i="2"/>
  <c r="E71" i="2"/>
  <c r="D71" i="2"/>
  <c r="B71" i="3" s="1"/>
  <c r="C71" i="2"/>
  <c r="B71" i="2"/>
  <c r="A71" i="2"/>
  <c r="F70" i="2"/>
  <c r="E70" i="2"/>
  <c r="D70" i="2"/>
  <c r="B70" i="3" s="1"/>
  <c r="C70" i="2"/>
  <c r="B70" i="2"/>
  <c r="A70" i="2"/>
  <c r="F69" i="2"/>
  <c r="E69" i="2"/>
  <c r="D69" i="2"/>
  <c r="B69" i="3" s="1"/>
  <c r="C69" i="2"/>
  <c r="B69" i="2"/>
  <c r="A69" i="2"/>
  <c r="F68" i="2"/>
  <c r="E68" i="2"/>
  <c r="D68" i="2"/>
  <c r="B68" i="3" s="1"/>
  <c r="C68" i="2"/>
  <c r="B68" i="2"/>
  <c r="A68" i="2"/>
  <c r="F67" i="2"/>
  <c r="E67" i="2"/>
  <c r="D67" i="2"/>
  <c r="B67" i="3" s="1"/>
  <c r="C67" i="2"/>
  <c r="B67" i="2"/>
  <c r="A67" i="2"/>
  <c r="F66" i="2"/>
  <c r="E66" i="2"/>
  <c r="D66" i="2"/>
  <c r="B66" i="3" s="1"/>
  <c r="C66" i="2"/>
  <c r="B66" i="2"/>
  <c r="A66" i="2"/>
  <c r="F65" i="2"/>
  <c r="E65" i="2"/>
  <c r="D65" i="2"/>
  <c r="B65" i="3" s="1"/>
  <c r="C65" i="2"/>
  <c r="B65" i="2"/>
  <c r="A65" i="2"/>
  <c r="F64" i="2"/>
  <c r="E64" i="2"/>
  <c r="D64" i="2"/>
  <c r="B64" i="3" s="1"/>
  <c r="C64" i="2"/>
  <c r="B64" i="2"/>
  <c r="A64" i="2"/>
  <c r="F63" i="2"/>
  <c r="E63" i="2"/>
  <c r="D63" i="2"/>
  <c r="B63" i="3" s="1"/>
  <c r="C63" i="2"/>
  <c r="B63" i="2"/>
  <c r="A63" i="2"/>
  <c r="F62" i="2"/>
  <c r="E62" i="2"/>
  <c r="D62" i="2"/>
  <c r="B62" i="3" s="1"/>
  <c r="C62" i="2"/>
  <c r="B62" i="2"/>
  <c r="A62" i="2"/>
  <c r="F61" i="2"/>
  <c r="E61" i="2"/>
  <c r="D61" i="2"/>
  <c r="B61" i="3" s="1"/>
  <c r="C61" i="2"/>
  <c r="B61" i="2"/>
  <c r="A61" i="2"/>
  <c r="F60" i="2"/>
  <c r="E60" i="2"/>
  <c r="D60" i="2"/>
  <c r="B60" i="3" s="1"/>
  <c r="C60" i="2"/>
  <c r="B60" i="2"/>
  <c r="A60" i="2"/>
  <c r="F59" i="2"/>
  <c r="E59" i="2"/>
  <c r="D59" i="2"/>
  <c r="B59" i="3" s="1"/>
  <c r="C59" i="2"/>
  <c r="B59" i="2"/>
  <c r="A59" i="2"/>
  <c r="F58" i="2"/>
  <c r="E58" i="2"/>
  <c r="D58" i="2"/>
  <c r="B58" i="3" s="1"/>
  <c r="C58" i="2"/>
  <c r="B58" i="2"/>
  <c r="A58" i="2"/>
  <c r="F57" i="2"/>
  <c r="E57" i="2"/>
  <c r="D57" i="2"/>
  <c r="B57" i="3" s="1"/>
  <c r="C57" i="2"/>
  <c r="B57" i="2"/>
  <c r="A57" i="2"/>
  <c r="F56" i="2"/>
  <c r="E56" i="2"/>
  <c r="D56" i="2"/>
  <c r="B56" i="3" s="1"/>
  <c r="C56" i="2"/>
  <c r="B56" i="2"/>
  <c r="A56" i="2"/>
  <c r="F55" i="2"/>
  <c r="E55" i="2"/>
  <c r="D55" i="2"/>
  <c r="B55" i="3" s="1"/>
  <c r="C55" i="2"/>
  <c r="B55" i="2"/>
  <c r="A55" i="2"/>
  <c r="F54" i="2"/>
  <c r="E54" i="2"/>
  <c r="D54" i="2"/>
  <c r="B54" i="3" s="1"/>
  <c r="C54" i="2"/>
  <c r="B54" i="2"/>
  <c r="A54" i="2"/>
  <c r="F53" i="2"/>
  <c r="E53" i="2"/>
  <c r="D53" i="2"/>
  <c r="B53" i="3" s="1"/>
  <c r="C53" i="2"/>
  <c r="B53" i="2"/>
  <c r="A53" i="2"/>
  <c r="F52" i="2"/>
  <c r="E52" i="2"/>
  <c r="D52" i="2"/>
  <c r="B52" i="3" s="1"/>
  <c r="C52" i="2"/>
  <c r="B52" i="2"/>
  <c r="A52" i="2"/>
  <c r="F51" i="2"/>
  <c r="E51" i="2"/>
  <c r="D51" i="2"/>
  <c r="B51" i="3" s="1"/>
  <c r="C51" i="2"/>
  <c r="B51" i="2"/>
  <c r="A51" i="2"/>
  <c r="F50" i="2"/>
  <c r="E50" i="2"/>
  <c r="D50" i="2"/>
  <c r="B50" i="3" s="1"/>
  <c r="C50" i="2"/>
  <c r="B50" i="2"/>
  <c r="A50" i="2"/>
  <c r="F49" i="2"/>
  <c r="E49" i="2"/>
  <c r="D49" i="2"/>
  <c r="B49" i="3" s="1"/>
  <c r="C49" i="2"/>
  <c r="B49" i="2"/>
  <c r="A49" i="2"/>
  <c r="F48" i="2"/>
  <c r="E48" i="2"/>
  <c r="D48" i="2"/>
  <c r="B48" i="3" s="1"/>
  <c r="C48" i="2"/>
  <c r="B48" i="2"/>
  <c r="A48" i="2"/>
  <c r="F47" i="2"/>
  <c r="E47" i="2"/>
  <c r="D47" i="2"/>
  <c r="B47" i="3" s="1"/>
  <c r="C47" i="2"/>
  <c r="B47" i="2"/>
  <c r="A47" i="2"/>
  <c r="F46" i="2"/>
  <c r="E46" i="2"/>
  <c r="D46" i="2"/>
  <c r="B46" i="3" s="1"/>
  <c r="C46" i="2"/>
  <c r="B46" i="2"/>
  <c r="A46" i="2"/>
  <c r="F45" i="2"/>
  <c r="E45" i="2"/>
  <c r="D45" i="2"/>
  <c r="B45" i="3" s="1"/>
  <c r="C45" i="2"/>
  <c r="B45" i="2"/>
  <c r="A45" i="2"/>
  <c r="F44" i="2"/>
  <c r="E44" i="2"/>
  <c r="D44" i="2"/>
  <c r="B44" i="3" s="1"/>
  <c r="C44" i="2"/>
  <c r="B44" i="2"/>
  <c r="A44" i="2"/>
  <c r="F43" i="2"/>
  <c r="E43" i="2"/>
  <c r="D43" i="2"/>
  <c r="B43" i="3" s="1"/>
  <c r="C43" i="2"/>
  <c r="B43" i="2"/>
  <c r="A43" i="2"/>
  <c r="F42" i="2"/>
  <c r="E42" i="2"/>
  <c r="D42" i="2"/>
  <c r="B42" i="3" s="1"/>
  <c r="C42" i="2"/>
  <c r="B42" i="2"/>
  <c r="A42" i="2"/>
  <c r="F41" i="2"/>
  <c r="E41" i="2"/>
  <c r="D41" i="2"/>
  <c r="B41" i="3" s="1"/>
  <c r="C41" i="2"/>
  <c r="B41" i="2"/>
  <c r="A41" i="2"/>
  <c r="F40" i="2"/>
  <c r="E40" i="2"/>
  <c r="D40" i="2"/>
  <c r="B40" i="3" s="1"/>
  <c r="C40" i="2"/>
  <c r="B40" i="2"/>
  <c r="A40" i="2"/>
  <c r="F39" i="2"/>
  <c r="E39" i="2"/>
  <c r="D39" i="2"/>
  <c r="B39" i="3" s="1"/>
  <c r="C39" i="2"/>
  <c r="B39" i="2"/>
  <c r="A39" i="2"/>
  <c r="F38" i="2"/>
  <c r="E38" i="2"/>
  <c r="D38" i="2"/>
  <c r="B38" i="3" s="1"/>
  <c r="C38" i="2"/>
  <c r="B38" i="2"/>
  <c r="A38" i="2"/>
  <c r="F37" i="2"/>
  <c r="E37" i="2"/>
  <c r="D37" i="2"/>
  <c r="B37" i="3" s="1"/>
  <c r="C37" i="2"/>
  <c r="B37" i="2"/>
  <c r="A37" i="2"/>
  <c r="F36" i="2"/>
  <c r="E36" i="2"/>
  <c r="D36" i="2"/>
  <c r="B36" i="3" s="1"/>
  <c r="C36" i="2"/>
  <c r="B36" i="2"/>
  <c r="A36" i="2"/>
  <c r="F35" i="2"/>
  <c r="E35" i="2"/>
  <c r="D35" i="2"/>
  <c r="B35" i="3" s="1"/>
  <c r="C35" i="2"/>
  <c r="B35" i="2"/>
  <c r="A35" i="2"/>
  <c r="F34" i="2"/>
  <c r="E34" i="2"/>
  <c r="D34" i="2"/>
  <c r="B34" i="3" s="1"/>
  <c r="C34" i="2"/>
  <c r="B34" i="2"/>
  <c r="A34" i="2"/>
  <c r="F33" i="2"/>
  <c r="E33" i="2"/>
  <c r="D33" i="2"/>
  <c r="B33" i="3" s="1"/>
  <c r="C33" i="2"/>
  <c r="B33" i="2"/>
  <c r="A33" i="2"/>
  <c r="F32" i="2"/>
  <c r="E32" i="2"/>
  <c r="D32" i="2"/>
  <c r="B32" i="3" s="1"/>
  <c r="C32" i="2"/>
  <c r="B32" i="2"/>
  <c r="A32" i="2"/>
  <c r="F31" i="2"/>
  <c r="E31" i="2"/>
  <c r="D31" i="2"/>
  <c r="B31" i="3" s="1"/>
  <c r="C31" i="2"/>
  <c r="B31" i="2"/>
  <c r="A31" i="2"/>
  <c r="F30" i="2"/>
  <c r="E30" i="2"/>
  <c r="D30" i="2"/>
  <c r="B30" i="3" s="1"/>
  <c r="C30" i="2"/>
  <c r="B30" i="2"/>
  <c r="A30" i="2"/>
  <c r="F29" i="2"/>
  <c r="E29" i="2"/>
  <c r="D29" i="2"/>
  <c r="B29" i="3" s="1"/>
  <c r="C29" i="2"/>
  <c r="B29" i="2"/>
  <c r="A29" i="2"/>
  <c r="F28" i="2"/>
  <c r="E28" i="2"/>
  <c r="D28" i="2"/>
  <c r="B28" i="3" s="1"/>
  <c r="C28" i="2"/>
  <c r="B28" i="2"/>
  <c r="A28" i="2"/>
  <c r="F27" i="2"/>
  <c r="E27" i="2"/>
  <c r="D27" i="2"/>
  <c r="B27" i="3" s="1"/>
  <c r="C27" i="2"/>
  <c r="B27" i="2"/>
  <c r="A27" i="2"/>
  <c r="F26" i="2"/>
  <c r="E26" i="2"/>
  <c r="D26" i="2"/>
  <c r="B26" i="3" s="1"/>
  <c r="C26" i="2"/>
  <c r="B26" i="2"/>
  <c r="A26" i="2"/>
  <c r="F25" i="2"/>
  <c r="E25" i="2"/>
  <c r="D25" i="2"/>
  <c r="B25" i="3" s="1"/>
  <c r="C25" i="2"/>
  <c r="B25" i="2"/>
  <c r="A25" i="2"/>
  <c r="F24" i="2"/>
  <c r="E24" i="2"/>
  <c r="D24" i="2"/>
  <c r="B24" i="3" s="1"/>
  <c r="C24" i="2"/>
  <c r="B24" i="2"/>
  <c r="A24" i="2"/>
  <c r="F23" i="2"/>
  <c r="E23" i="2"/>
  <c r="D23" i="2"/>
  <c r="B23" i="3" s="1"/>
  <c r="C23" i="2"/>
  <c r="B23" i="2"/>
  <c r="A23" i="2"/>
  <c r="F22" i="2"/>
  <c r="E22" i="2"/>
  <c r="D22" i="2"/>
  <c r="B22" i="3" s="1"/>
  <c r="C22" i="2"/>
  <c r="B22" i="2"/>
  <c r="A22" i="2"/>
  <c r="F21" i="2"/>
  <c r="E21" i="2"/>
  <c r="D21" i="2"/>
  <c r="B21" i="3" s="1"/>
  <c r="C21" i="2"/>
  <c r="B21" i="2"/>
  <c r="A21" i="2"/>
  <c r="F20" i="2"/>
  <c r="E20" i="2"/>
  <c r="D20" i="2"/>
  <c r="B20" i="3" s="1"/>
  <c r="C20" i="2"/>
  <c r="B20" i="2"/>
  <c r="A20" i="2"/>
  <c r="F19" i="2"/>
  <c r="E19" i="2"/>
  <c r="D19" i="2"/>
  <c r="B19" i="3" s="1"/>
  <c r="C19" i="2"/>
  <c r="B19" i="2"/>
  <c r="A19" i="2"/>
  <c r="F18" i="2"/>
  <c r="E18" i="2"/>
  <c r="D18" i="2"/>
  <c r="B18" i="3" s="1"/>
  <c r="C18" i="2"/>
  <c r="B18" i="2"/>
  <c r="A18" i="2"/>
  <c r="F17" i="2"/>
  <c r="E17" i="2"/>
  <c r="D17" i="2"/>
  <c r="B17" i="3" s="1"/>
  <c r="C17" i="2"/>
  <c r="B17" i="2"/>
  <c r="A17" i="2"/>
  <c r="F16" i="2"/>
  <c r="E16" i="2"/>
  <c r="D16" i="2"/>
  <c r="B16" i="3" s="1"/>
  <c r="C16" i="2"/>
  <c r="B16" i="2"/>
  <c r="A16" i="2"/>
  <c r="F15" i="2"/>
  <c r="E15" i="2"/>
  <c r="D15" i="2"/>
  <c r="B15" i="3" s="1"/>
  <c r="C15" i="2"/>
  <c r="B15" i="2"/>
  <c r="A15" i="2"/>
  <c r="F14" i="2"/>
  <c r="E14" i="2"/>
  <c r="D14" i="2"/>
  <c r="B14" i="3" s="1"/>
  <c r="C14" i="2"/>
  <c r="B14" i="2"/>
  <c r="A14" i="2"/>
  <c r="F13" i="2"/>
  <c r="E13" i="2"/>
  <c r="D13" i="2"/>
  <c r="B13" i="3" s="1"/>
  <c r="C13" i="2"/>
  <c r="B13" i="2"/>
  <c r="A13" i="2"/>
  <c r="F12" i="2"/>
  <c r="E12" i="2"/>
  <c r="D12" i="2"/>
  <c r="B12" i="3" s="1"/>
  <c r="C12" i="2"/>
  <c r="B12" i="2"/>
  <c r="A12" i="2"/>
  <c r="F11" i="2"/>
  <c r="E11" i="2"/>
  <c r="D11" i="2"/>
  <c r="B11" i="3" s="1"/>
  <c r="C11" i="2"/>
  <c r="B11" i="2"/>
  <c r="A11" i="2"/>
  <c r="F10" i="2"/>
  <c r="E10" i="2"/>
  <c r="D10" i="2"/>
  <c r="B10" i="3" s="1"/>
  <c r="C10" i="2"/>
  <c r="B10" i="2"/>
  <c r="A10" i="2"/>
  <c r="F9" i="2"/>
  <c r="E9" i="2"/>
  <c r="D9" i="2"/>
  <c r="B9" i="3" s="1"/>
  <c r="C9" i="2"/>
  <c r="B9" i="2"/>
  <c r="A9" i="2"/>
  <c r="F8" i="2"/>
  <c r="E8" i="2"/>
  <c r="D8" i="2"/>
  <c r="B8" i="3" s="1"/>
  <c r="C8" i="2"/>
  <c r="B8" i="2"/>
  <c r="A8" i="2"/>
  <c r="F7" i="2"/>
  <c r="E7" i="2"/>
  <c r="D7" i="2"/>
  <c r="B7" i="3" s="1"/>
  <c r="C7" i="2"/>
  <c r="B7" i="2"/>
  <c r="A7" i="2"/>
  <c r="F6" i="2"/>
  <c r="E6" i="2"/>
  <c r="D6" i="2"/>
  <c r="B6" i="3" s="1"/>
  <c r="C6" i="2"/>
  <c r="B6" i="2"/>
  <c r="A6" i="2"/>
  <c r="F5" i="2"/>
  <c r="E5" i="2"/>
  <c r="D5" i="2"/>
  <c r="B5" i="3" s="1"/>
  <c r="C5" i="2"/>
  <c r="B5" i="2"/>
  <c r="A5" i="2"/>
  <c r="F4" i="2"/>
  <c r="E4" i="2"/>
  <c r="D4" i="2"/>
  <c r="B4" i="3" s="1"/>
  <c r="C4" i="2"/>
  <c r="B4" i="2"/>
  <c r="A4" i="2"/>
  <c r="F3" i="2"/>
  <c r="E3" i="2"/>
  <c r="D3" i="2"/>
  <c r="B3" i="3" s="1"/>
  <c r="C3" i="2"/>
  <c r="B3" i="2"/>
  <c r="A3" i="2"/>
  <c r="F2" i="2"/>
  <c r="E2" i="2"/>
  <c r="D2" i="2"/>
  <c r="B2" i="3" s="1"/>
  <c r="C2" i="2"/>
  <c r="B2" i="2"/>
  <c r="A2" i="2"/>
  <c r="F1" i="2"/>
  <c r="E1" i="2"/>
  <c r="D1" i="2"/>
  <c r="C1" i="2"/>
  <c r="B1" i="2"/>
  <c r="A1" i="2"/>
  <c r="B1133" i="3" l="1"/>
  <c r="B1135" i="3"/>
  <c r="B1137" i="3"/>
  <c r="B1139" i="3"/>
  <c r="B1141" i="3"/>
  <c r="B1143" i="3"/>
  <c r="B1145" i="3"/>
  <c r="B1147" i="3"/>
  <c r="B1149" i="3"/>
  <c r="B1151" i="3"/>
  <c r="B1153" i="3"/>
  <c r="B1155" i="3"/>
  <c r="B1157" i="3"/>
  <c r="B1159" i="3"/>
  <c r="B1161" i="3"/>
  <c r="B1163" i="3"/>
  <c r="B1165" i="3"/>
  <c r="B1167" i="3"/>
  <c r="B1169" i="3"/>
  <c r="B1171" i="3"/>
  <c r="B1173" i="3"/>
  <c r="B1175" i="3"/>
  <c r="B1177" i="3"/>
  <c r="B1179" i="3"/>
  <c r="B1181" i="3"/>
  <c r="B1183" i="3"/>
  <c r="B1185" i="3"/>
  <c r="B1187" i="3"/>
  <c r="B1189" i="3"/>
  <c r="B1192" i="3"/>
  <c r="B1194" i="3"/>
  <c r="B1196" i="3"/>
  <c r="B1198" i="3"/>
  <c r="B1201" i="3"/>
  <c r="B1203" i="3"/>
  <c r="B1205" i="3"/>
  <c r="B1207" i="3"/>
  <c r="B1209" i="3"/>
  <c r="B1211" i="3"/>
  <c r="B1213" i="3"/>
  <c r="B1215" i="3"/>
  <c r="B1217" i="3"/>
  <c r="B1219" i="3"/>
  <c r="B1221" i="3"/>
  <c r="B1223" i="3"/>
  <c r="B1225" i="3"/>
  <c r="B1227" i="3"/>
  <c r="B1229" i="3"/>
  <c r="B1231" i="3"/>
  <c r="B1233" i="3"/>
  <c r="B1235" i="3"/>
  <c r="B1237" i="3"/>
  <c r="B1239" i="3"/>
  <c r="B1241" i="3"/>
  <c r="B1243" i="3"/>
  <c r="B1245" i="3"/>
  <c r="B1247" i="3"/>
  <c r="B1249" i="3"/>
  <c r="B1251" i="3"/>
  <c r="B1253" i="3"/>
  <c r="B1255" i="3"/>
  <c r="B1257" i="3"/>
  <c r="B1259" i="3"/>
  <c r="B1261" i="3"/>
  <c r="B1263" i="3"/>
  <c r="B1265" i="3"/>
  <c r="B1267" i="3"/>
  <c r="B1269" i="3"/>
  <c r="B1271" i="3"/>
  <c r="B1273" i="3"/>
  <c r="B1275" i="3"/>
  <c r="B1277" i="3"/>
  <c r="B1279" i="3"/>
  <c r="B1281" i="3"/>
  <c r="B1283" i="3"/>
  <c r="B1285" i="3"/>
  <c r="B1287" i="3"/>
  <c r="B1289" i="3"/>
  <c r="B1291" i="3"/>
  <c r="B1293" i="3"/>
  <c r="B1295" i="3"/>
  <c r="B1297" i="3"/>
  <c r="B1299" i="3"/>
  <c r="B1301" i="3"/>
  <c r="B1303" i="3"/>
  <c r="B1305" i="3"/>
  <c r="B1307" i="3"/>
  <c r="B1309" i="3"/>
  <c r="B1311" i="3"/>
  <c r="B1313" i="3"/>
  <c r="B1315" i="3"/>
  <c r="B1317" i="3"/>
  <c r="B1319" i="3"/>
  <c r="B1321" i="3"/>
  <c r="B1323" i="3"/>
  <c r="B1325" i="3"/>
  <c r="B1327" i="3"/>
  <c r="B1329" i="3"/>
  <c r="B1331" i="3"/>
  <c r="B1333" i="3"/>
  <c r="B1335" i="3"/>
  <c r="B1337" i="3"/>
  <c r="B1339" i="3"/>
  <c r="B1341" i="3"/>
  <c r="B1343" i="3"/>
  <c r="B1345" i="3"/>
  <c r="B1347" i="3"/>
  <c r="B1349" i="3"/>
  <c r="B1351" i="3"/>
  <c r="B1353" i="3"/>
  <c r="B1355" i="3"/>
  <c r="B1357" i="3"/>
  <c r="B1360" i="3"/>
  <c r="B1362" i="3"/>
  <c r="B1364" i="3"/>
  <c r="B1366" i="3"/>
  <c r="B1368" i="3"/>
  <c r="B1371" i="3"/>
  <c r="B1373" i="3"/>
  <c r="B1375" i="3"/>
  <c r="B1377" i="3"/>
  <c r="B1379" i="3"/>
  <c r="B1381" i="3"/>
  <c r="B1383" i="3"/>
  <c r="B1385" i="3"/>
  <c r="B1387" i="3"/>
  <c r="B1389" i="3"/>
  <c r="B1391" i="3"/>
  <c r="B1393" i="3"/>
  <c r="B1395" i="3"/>
  <c r="B1397" i="3"/>
  <c r="B1399" i="3"/>
  <c r="B1401" i="3"/>
  <c r="B1403" i="3"/>
  <c r="B1405" i="3"/>
  <c r="B1407" i="3"/>
  <c r="B1409" i="3"/>
  <c r="B1411" i="3"/>
  <c r="B1413" i="3"/>
  <c r="B1415" i="3"/>
  <c r="B1417" i="3"/>
  <c r="B1419" i="3"/>
  <c r="B1421" i="3"/>
  <c r="B1423" i="3"/>
  <c r="B1425" i="3"/>
  <c r="B1427" i="3"/>
  <c r="B1429" i="3"/>
  <c r="B1431" i="3"/>
  <c r="B1433" i="3"/>
  <c r="B1435" i="3"/>
  <c r="B1437" i="3"/>
  <c r="B1439" i="3"/>
  <c r="B1441" i="3"/>
  <c r="B1443" i="3"/>
  <c r="B1445" i="3"/>
  <c r="B1447" i="3"/>
  <c r="B1449" i="3"/>
  <c r="B1451" i="3"/>
  <c r="B1453" i="3"/>
  <c r="B1455" i="3"/>
  <c r="B1457" i="3"/>
  <c r="B1459" i="3"/>
  <c r="B1461" i="3"/>
  <c r="B1463" i="3"/>
  <c r="B1465" i="3"/>
  <c r="B1467" i="3"/>
  <c r="B1469" i="3"/>
  <c r="B1471" i="3"/>
  <c r="B1473" i="3"/>
  <c r="B1475" i="3"/>
  <c r="B1477" i="3"/>
  <c r="B1479" i="3"/>
  <c r="B1481" i="3"/>
  <c r="B1483" i="3"/>
  <c r="B1485" i="3"/>
  <c r="B1487" i="3"/>
  <c r="B1489" i="3"/>
  <c r="B1491" i="3"/>
  <c r="B1494" i="3"/>
  <c r="B1496" i="3"/>
  <c r="B1498" i="3"/>
  <c r="B1500" i="3"/>
  <c r="B1502" i="3"/>
  <c r="B1504" i="3"/>
  <c r="B1506" i="3"/>
  <c r="B1508" i="3"/>
  <c r="B1510" i="3"/>
  <c r="B1512" i="3"/>
  <c r="B1514" i="3"/>
  <c r="B1516" i="3"/>
  <c r="B1518" i="3"/>
  <c r="B1520" i="3"/>
  <c r="B1522" i="3"/>
  <c r="B1524" i="3"/>
  <c r="B1526" i="3"/>
  <c r="B1528" i="3"/>
  <c r="B1530" i="3"/>
  <c r="B1532" i="3"/>
  <c r="B1534" i="3"/>
  <c r="B1536" i="3"/>
  <c r="B1538" i="3"/>
  <c r="B1540" i="3"/>
  <c r="B1542" i="3"/>
  <c r="B1544" i="3"/>
  <c r="B1546" i="3"/>
  <c r="B1548" i="3"/>
  <c r="B1550" i="3"/>
  <c r="B1552" i="3"/>
  <c r="B1554" i="3"/>
  <c r="B1556" i="3"/>
  <c r="B1558" i="3"/>
  <c r="B1560" i="3"/>
  <c r="B1562" i="3"/>
  <c r="B1564" i="3"/>
  <c r="B1566" i="3"/>
  <c r="B1568" i="3"/>
  <c r="B1570" i="3"/>
  <c r="B1573" i="3"/>
  <c r="B1575" i="3"/>
  <c r="B1577" i="3"/>
  <c r="B1579" i="3"/>
  <c r="B1581" i="3"/>
  <c r="B1583" i="3"/>
  <c r="B1585" i="3"/>
  <c r="B1587" i="3"/>
  <c r="B1589" i="3"/>
  <c r="B1591" i="3"/>
  <c r="B1593" i="3"/>
  <c r="B1595" i="3"/>
  <c r="B1597" i="3"/>
  <c r="B1599" i="3"/>
  <c r="B1601" i="3"/>
  <c r="B1603" i="3"/>
  <c r="B1605" i="3"/>
  <c r="B1607" i="3"/>
  <c r="B1609" i="3"/>
  <c r="B1611" i="3"/>
  <c r="B1613" i="3"/>
  <c r="B1615" i="3"/>
  <c r="B1617" i="3"/>
  <c r="B1619" i="3"/>
  <c r="B1621" i="3"/>
  <c r="B1623" i="3"/>
  <c r="B1625" i="3"/>
  <c r="B1627" i="3"/>
  <c r="B1629" i="3"/>
  <c r="B1631" i="3"/>
  <c r="B1633" i="3"/>
  <c r="B1635" i="3"/>
  <c r="B1637" i="3"/>
  <c r="B1639" i="3"/>
  <c r="B1641" i="3"/>
  <c r="B1643" i="3"/>
  <c r="B1645" i="3"/>
  <c r="B1647" i="3"/>
  <c r="B1649" i="3"/>
  <c r="B1651" i="3"/>
  <c r="B1653" i="3"/>
  <c r="B1655" i="3"/>
  <c r="B1657" i="3"/>
  <c r="B1659" i="3"/>
  <c r="B1661" i="3"/>
  <c r="B1663" i="3"/>
  <c r="B1665" i="3"/>
  <c r="B1667" i="3"/>
  <c r="B1669" i="3"/>
  <c r="B1671" i="3"/>
  <c r="B1673" i="3"/>
  <c r="B1675" i="3"/>
  <c r="B1677" i="3"/>
  <c r="B1679" i="3"/>
  <c r="B1681" i="3"/>
  <c r="B1683" i="3"/>
  <c r="B1685" i="3"/>
  <c r="B1687" i="3"/>
  <c r="B1689" i="3"/>
  <c r="B1691" i="3"/>
  <c r="B1693" i="3"/>
  <c r="B1695" i="3"/>
  <c r="B1697" i="3"/>
  <c r="B1699" i="3"/>
  <c r="B1701" i="3"/>
  <c r="B1703" i="3"/>
  <c r="B1705" i="3"/>
  <c r="B1707" i="3"/>
  <c r="B1709" i="3"/>
  <c r="B1711" i="3"/>
  <c r="B1714" i="3"/>
  <c r="B1716" i="3"/>
  <c r="B1718" i="3"/>
  <c r="B1720" i="3"/>
  <c r="B1722" i="3"/>
  <c r="B1724" i="3"/>
  <c r="B1726" i="3"/>
  <c r="B1728" i="3"/>
  <c r="B1730" i="3"/>
  <c r="B1732" i="3"/>
  <c r="B1734" i="3"/>
  <c r="B1736" i="3"/>
  <c r="B1738" i="3"/>
  <c r="B1740" i="3"/>
  <c r="B1742" i="3"/>
  <c r="B1744" i="3"/>
  <c r="B1746" i="3"/>
  <c r="B1748" i="3"/>
  <c r="B1750" i="3"/>
  <c r="B1752" i="3"/>
  <c r="B1754" i="3"/>
  <c r="B1757" i="3"/>
  <c r="B1759" i="3"/>
  <c r="B1761" i="3"/>
  <c r="B1763" i="3"/>
  <c r="B1765" i="3"/>
  <c r="B1767" i="3"/>
  <c r="B1769" i="3"/>
  <c r="B1771" i="3"/>
  <c r="B1773" i="3"/>
  <c r="B1775" i="3"/>
  <c r="B1777" i="3"/>
  <c r="B1779" i="3"/>
  <c r="B1781" i="3"/>
  <c r="B1783" i="3"/>
  <c r="B1785" i="3"/>
  <c r="B1787" i="3"/>
  <c r="B1789" i="3"/>
  <c r="B1791" i="3"/>
  <c r="B1793" i="3"/>
  <c r="B1795" i="3"/>
  <c r="B1797" i="3"/>
  <c r="B1799" i="3"/>
  <c r="B1801" i="3"/>
  <c r="B1803" i="3"/>
  <c r="B1805" i="3"/>
  <c r="B1807" i="3"/>
  <c r="B1809" i="3"/>
  <c r="B1811" i="3"/>
  <c r="B1813" i="3"/>
  <c r="B1815" i="3"/>
  <c r="B1817" i="3"/>
  <c r="B1819" i="3"/>
  <c r="B1821" i="3"/>
  <c r="B1823" i="3"/>
  <c r="B1825" i="3"/>
  <c r="B1827" i="3"/>
  <c r="B1829" i="3"/>
  <c r="B1831" i="3"/>
  <c r="B1833" i="3"/>
  <c r="B1835" i="3"/>
  <c r="B1837" i="3"/>
  <c r="B1839" i="3"/>
  <c r="B1841" i="3"/>
  <c r="B1843" i="3"/>
  <c r="B1845" i="3"/>
  <c r="B1847" i="3"/>
  <c r="B1849" i="3"/>
  <c r="B1851" i="3"/>
  <c r="B1853" i="3"/>
  <c r="B1855" i="3"/>
  <c r="B1857" i="3"/>
  <c r="B1859" i="3"/>
  <c r="B1861" i="3"/>
  <c r="B1863" i="3"/>
  <c r="B1865" i="3"/>
  <c r="B1867" i="3"/>
  <c r="B1869" i="3"/>
  <c r="B1871" i="3"/>
  <c r="B1873" i="3"/>
  <c r="B1875" i="3"/>
  <c r="B1877" i="3"/>
  <c r="B1879" i="3"/>
  <c r="B1881" i="3"/>
  <c r="B1883" i="3"/>
  <c r="B1885" i="3"/>
  <c r="B1887" i="3"/>
  <c r="B1889" i="3"/>
  <c r="B1891" i="3"/>
  <c r="B1893" i="3"/>
  <c r="B1895" i="3"/>
  <c r="B1897" i="3"/>
  <c r="B1899" i="3"/>
  <c r="B1901" i="3"/>
  <c r="B1903" i="3"/>
  <c r="B1905" i="3"/>
  <c r="B1907" i="3"/>
  <c r="B1909" i="3"/>
  <c r="B1911" i="3"/>
  <c r="B1913" i="3"/>
  <c r="B1915" i="3"/>
  <c r="B1917" i="3"/>
  <c r="B1919" i="3"/>
  <c r="B1921" i="3"/>
  <c r="B1923" i="3"/>
  <c r="B1925" i="3"/>
  <c r="B1927" i="3"/>
  <c r="B1929" i="3"/>
  <c r="B1931" i="3"/>
  <c r="B1933" i="3"/>
  <c r="B1935" i="3"/>
  <c r="B1937" i="3"/>
  <c r="B1939" i="3"/>
  <c r="B1941" i="3"/>
  <c r="B1943" i="3"/>
  <c r="B1945" i="3"/>
  <c r="B1947" i="3"/>
  <c r="B1949" i="3"/>
  <c r="B1951" i="3"/>
  <c r="B1953" i="3"/>
  <c r="B1955" i="3"/>
  <c r="B1957" i="3"/>
  <c r="B1959" i="3"/>
  <c r="B1961" i="3"/>
  <c r="B1963" i="3"/>
  <c r="B1965" i="3"/>
  <c r="B1967" i="3"/>
  <c r="B1969" i="3"/>
  <c r="B1971" i="3"/>
  <c r="B1973" i="3"/>
  <c r="B1975" i="3"/>
  <c r="B1977" i="3"/>
  <c r="B1979" i="3"/>
  <c r="B1981" i="3"/>
  <c r="B1983" i="3"/>
  <c r="B1985" i="3"/>
  <c r="B1987" i="3"/>
  <c r="B1989" i="3"/>
  <c r="B1991" i="3"/>
  <c r="B1993" i="3"/>
  <c r="B1995" i="3"/>
  <c r="B1997" i="3"/>
  <c r="B1999" i="3"/>
  <c r="B2001" i="3"/>
  <c r="B2003" i="3"/>
  <c r="B2005" i="3"/>
  <c r="B2007" i="3"/>
  <c r="B2009" i="3"/>
  <c r="B2011" i="3"/>
  <c r="B2013" i="3"/>
  <c r="B2015" i="3"/>
  <c r="B2017" i="3"/>
  <c r="B2019" i="3"/>
  <c r="B2021" i="3"/>
  <c r="B2023" i="3"/>
  <c r="B2025" i="3"/>
  <c r="B2027" i="3"/>
  <c r="B2029" i="3"/>
  <c r="B2031" i="3"/>
  <c r="B2033" i="3"/>
  <c r="B2035" i="3"/>
  <c r="B2037" i="3"/>
  <c r="B2039" i="3"/>
  <c r="B2041" i="3"/>
  <c r="B2043" i="3"/>
  <c r="B2045" i="3"/>
  <c r="B2047" i="3"/>
  <c r="B2049" i="3"/>
  <c r="B2051" i="3"/>
  <c r="B2053" i="3"/>
  <c r="B2055" i="3"/>
  <c r="B2057" i="3"/>
  <c r="B2059" i="3"/>
  <c r="B2061" i="3"/>
  <c r="B2063" i="3"/>
  <c r="B2065" i="3"/>
  <c r="B2067" i="3"/>
  <c r="B2069" i="3"/>
  <c r="B2071" i="3"/>
  <c r="B2073" i="3"/>
  <c r="B2075" i="3"/>
  <c r="B2077" i="3"/>
  <c r="B2079" i="3"/>
  <c r="B2081" i="3"/>
  <c r="B2083" i="3"/>
  <c r="B2085" i="3"/>
  <c r="B2087" i="3"/>
  <c r="B2089" i="3"/>
  <c r="B2091" i="3"/>
  <c r="B2093" i="3"/>
  <c r="B2095" i="3"/>
  <c r="B2097" i="3"/>
  <c r="B2099" i="3"/>
  <c r="B2101" i="3"/>
  <c r="B2103" i="3"/>
  <c r="B2105" i="3"/>
  <c r="B2107" i="3"/>
  <c r="B2109" i="3"/>
  <c r="B2111" i="3"/>
  <c r="B2113" i="3"/>
  <c r="B2115" i="3"/>
  <c r="B2117" i="3"/>
  <c r="B2119" i="3"/>
  <c r="B2121" i="3"/>
  <c r="B2123" i="3"/>
  <c r="B2125" i="3"/>
  <c r="B2127" i="3"/>
  <c r="B2129" i="3"/>
  <c r="B2131" i="3"/>
  <c r="B2133" i="3"/>
  <c r="B2135" i="3"/>
  <c r="B2137" i="3"/>
  <c r="B2139" i="3"/>
  <c r="B2141" i="3"/>
  <c r="B2143" i="3"/>
  <c r="B2145" i="3"/>
  <c r="B2147" i="3"/>
  <c r="B2149" i="3"/>
  <c r="B2151" i="3"/>
  <c r="B2153" i="3"/>
  <c r="B2155" i="3"/>
  <c r="B2157" i="3"/>
  <c r="B2159" i="3"/>
  <c r="B2161" i="3"/>
  <c r="B2163" i="3"/>
  <c r="B2165" i="3"/>
  <c r="B2167" i="3"/>
  <c r="B2169" i="3"/>
  <c r="B2171" i="3"/>
  <c r="B2173" i="3"/>
  <c r="B2177" i="3"/>
  <c r="B2179" i="3"/>
  <c r="B2181" i="3"/>
  <c r="B2183" i="3"/>
  <c r="B2185" i="3"/>
  <c r="B2187" i="3"/>
  <c r="B2189" i="3"/>
  <c r="B2191" i="3"/>
  <c r="B2193" i="3"/>
  <c r="B2195" i="3"/>
  <c r="B2197" i="3"/>
  <c r="B2199" i="3"/>
  <c r="B2201" i="3"/>
  <c r="B2203" i="3"/>
  <c r="B2205" i="3"/>
  <c r="B2207" i="3"/>
  <c r="B2209" i="3"/>
  <c r="B2211" i="3"/>
  <c r="B2213" i="3"/>
  <c r="B2215" i="3"/>
  <c r="B2217" i="3"/>
  <c r="B2219" i="3"/>
  <c r="B2221" i="3"/>
  <c r="B2223" i="3"/>
  <c r="B2226" i="3"/>
  <c r="B2228" i="3"/>
  <c r="B2230" i="3"/>
  <c r="B2232" i="3"/>
  <c r="B2234" i="3"/>
  <c r="B2236" i="3"/>
  <c r="B2238" i="3"/>
  <c r="B2240" i="3"/>
  <c r="B2242" i="3"/>
  <c r="B2244" i="3"/>
  <c r="B2246" i="3"/>
  <c r="B2248" i="3"/>
  <c r="B2250" i="3"/>
  <c r="B2252" i="3"/>
  <c r="B2254" i="3"/>
  <c r="B2256" i="3"/>
  <c r="B2258" i="3"/>
  <c r="B2260" i="3"/>
  <c r="B2262" i="3"/>
  <c r="B2264" i="3"/>
  <c r="B2266" i="3"/>
  <c r="B2268" i="3"/>
  <c r="B2270" i="3"/>
  <c r="B2272" i="3"/>
  <c r="B2274" i="3"/>
  <c r="B2276" i="3"/>
  <c r="B2278" i="3"/>
  <c r="B2280" i="3"/>
  <c r="B2282" i="3"/>
  <c r="B2284" i="3"/>
  <c r="B2286" i="3"/>
  <c r="B2288" i="3"/>
  <c r="B2290" i="3"/>
  <c r="B2292" i="3"/>
  <c r="B2294" i="3"/>
  <c r="B2296" i="3"/>
  <c r="B2298" i="3"/>
  <c r="B2300" i="3"/>
  <c r="B2302" i="3"/>
  <c r="B2304" i="3"/>
  <c r="B2306" i="3"/>
  <c r="B2308" i="3"/>
  <c r="B2310" i="3"/>
  <c r="B2312" i="3"/>
  <c r="B2314" i="3"/>
  <c r="B2316" i="3"/>
  <c r="B2318" i="3"/>
  <c r="B2320" i="3"/>
  <c r="B2322" i="3"/>
  <c r="B2324" i="3"/>
  <c r="B2326" i="3"/>
  <c r="B2328" i="3"/>
  <c r="B2330" i="3"/>
  <c r="B2332" i="3"/>
  <c r="B2334" i="3"/>
  <c r="B2336" i="3"/>
  <c r="B2338" i="3"/>
  <c r="B2340" i="3"/>
  <c r="B2342" i="3"/>
  <c r="B2344" i="3"/>
  <c r="B2346" i="3"/>
  <c r="B2348" i="3"/>
  <c r="B2350" i="3"/>
  <c r="B2352" i="3"/>
  <c r="B2354" i="3"/>
  <c r="B2356" i="3"/>
  <c r="B2358" i="3"/>
  <c r="B2360" i="3"/>
  <c r="B2362" i="3"/>
  <c r="B2364" i="3"/>
  <c r="B2366" i="3"/>
  <c r="B2368" i="3"/>
  <c r="B2371" i="3"/>
  <c r="B2373" i="3"/>
  <c r="B2375" i="3"/>
  <c r="B2377" i="3"/>
  <c r="B2379" i="3"/>
  <c r="B2381" i="3"/>
  <c r="B2383" i="3"/>
  <c r="B2385" i="3"/>
  <c r="B2387" i="3"/>
  <c r="B2389" i="3"/>
  <c r="B2391" i="3"/>
  <c r="B2393" i="3"/>
  <c r="B2395" i="3"/>
  <c r="B2397" i="3"/>
  <c r="B2399" i="3"/>
  <c r="B2401" i="3"/>
  <c r="B2403" i="3"/>
  <c r="B2405" i="3"/>
  <c r="B2407" i="3"/>
  <c r="B2409" i="3"/>
  <c r="B2411" i="3"/>
  <c r="B2413" i="3"/>
  <c r="B2415" i="3"/>
  <c r="B2417" i="3"/>
  <c r="B2419" i="3"/>
  <c r="B2421" i="3"/>
  <c r="B2423" i="3"/>
  <c r="B2425" i="3"/>
  <c r="B2427" i="3"/>
  <c r="B2429" i="3"/>
  <c r="B2431" i="3"/>
  <c r="B2433" i="3"/>
  <c r="B2435" i="3"/>
  <c r="B2437" i="3"/>
  <c r="B2439" i="3"/>
  <c r="B2441" i="3"/>
  <c r="B2443" i="3"/>
  <c r="B2445" i="3"/>
  <c r="B2447" i="3"/>
  <c r="B2449" i="3"/>
  <c r="B2451" i="3"/>
  <c r="B2453" i="3"/>
  <c r="B2455" i="3"/>
  <c r="B2457" i="3"/>
  <c r="B2459" i="3"/>
  <c r="B2461" i="3"/>
  <c r="B2463" i="3"/>
  <c r="B2465" i="3"/>
  <c r="B2467" i="3"/>
  <c r="B339" i="3"/>
  <c r="B343" i="3"/>
  <c r="B345" i="3"/>
  <c r="B349" i="3"/>
  <c r="B353" i="3"/>
  <c r="B355" i="3"/>
  <c r="B357" i="3"/>
  <c r="B359" i="3"/>
  <c r="B363" i="3"/>
  <c r="B377" i="3"/>
  <c r="B385" i="3"/>
  <c r="B387" i="3"/>
  <c r="B393" i="3"/>
  <c r="B399" i="3"/>
  <c r="B401" i="3"/>
  <c r="B415" i="3"/>
  <c r="B421" i="3"/>
  <c r="B425" i="3"/>
  <c r="B431" i="3"/>
  <c r="B449" i="3"/>
  <c r="B457" i="3"/>
  <c r="B458" i="3"/>
  <c r="B460" i="3"/>
  <c r="B462" i="3"/>
  <c r="B466" i="3"/>
  <c r="B468" i="3"/>
  <c r="B470" i="3"/>
  <c r="B478" i="3"/>
  <c r="B484" i="3"/>
  <c r="B498" i="3"/>
  <c r="B504" i="3"/>
  <c r="B510" i="3"/>
  <c r="B347" i="3"/>
  <c r="B351" i="3"/>
  <c r="B365" i="3"/>
  <c r="B369" i="3"/>
  <c r="B375" i="3"/>
  <c r="B379" i="3"/>
  <c r="B381" i="3"/>
  <c r="B383" i="3"/>
  <c r="B389" i="3"/>
  <c r="B391" i="3"/>
  <c r="B395" i="3"/>
  <c r="B397" i="3"/>
  <c r="B403" i="3"/>
  <c r="B405" i="3"/>
  <c r="B407" i="3"/>
  <c r="B409" i="3"/>
  <c r="B411" i="3"/>
  <c r="B419" i="3"/>
  <c r="B429" i="3"/>
  <c r="B433" i="3"/>
  <c r="B435" i="3"/>
  <c r="B439" i="3"/>
  <c r="B441" i="3"/>
  <c r="B443" i="3"/>
  <c r="B447" i="3"/>
  <c r="B451" i="3"/>
  <c r="B453" i="3"/>
  <c r="B455" i="3"/>
  <c r="B472" i="3"/>
  <c r="B474" i="3"/>
  <c r="B476" i="3"/>
  <c r="B480" i="3"/>
  <c r="B482" i="3"/>
  <c r="B494" i="3"/>
  <c r="B500" i="3"/>
  <c r="B506" i="3"/>
  <c r="B508" i="3"/>
  <c r="B340" i="3"/>
  <c r="B342" i="3"/>
  <c r="B344" i="3"/>
  <c r="B346" i="3"/>
  <c r="B348" i="3"/>
  <c r="B350" i="3"/>
  <c r="B352" i="3"/>
  <c r="B354" i="3"/>
  <c r="B356" i="3"/>
  <c r="B358" i="3"/>
  <c r="B360" i="3"/>
  <c r="B362" i="3"/>
  <c r="B364" i="3"/>
  <c r="B366" i="3"/>
  <c r="B368" i="3"/>
  <c r="B370" i="3"/>
  <c r="B372" i="3"/>
  <c r="B374" i="3"/>
  <c r="B376" i="3"/>
  <c r="B378" i="3"/>
  <c r="B380" i="3"/>
  <c r="B382" i="3"/>
  <c r="B384" i="3"/>
  <c r="B386" i="3"/>
  <c r="B388" i="3"/>
  <c r="B390" i="3"/>
  <c r="B392" i="3"/>
  <c r="B394" i="3"/>
  <c r="B396" i="3"/>
  <c r="B398" i="3"/>
  <c r="B400" i="3"/>
  <c r="B402" i="3"/>
  <c r="B404" i="3"/>
  <c r="B406" i="3"/>
  <c r="B408" i="3"/>
  <c r="B410" i="3"/>
  <c r="B412" i="3"/>
  <c r="B414" i="3"/>
  <c r="B416" i="3"/>
  <c r="B418" i="3"/>
  <c r="B420" i="3"/>
  <c r="B422" i="3"/>
  <c r="B424" i="3"/>
  <c r="B426" i="3"/>
  <c r="B428" i="3"/>
  <c r="B430" i="3"/>
  <c r="B432" i="3"/>
  <c r="B434" i="3"/>
  <c r="B436" i="3"/>
  <c r="B438" i="3"/>
  <c r="B440" i="3"/>
  <c r="B442" i="3"/>
  <c r="B444" i="3"/>
  <c r="B446" i="3"/>
  <c r="B448" i="3"/>
  <c r="B450" i="3"/>
  <c r="B452" i="3"/>
  <c r="B454" i="3"/>
  <c r="B456" i="3"/>
  <c r="B1134" i="3"/>
  <c r="B1136" i="3"/>
  <c r="B1138" i="3"/>
  <c r="B1140" i="3"/>
  <c r="B1142" i="3"/>
  <c r="B1144" i="3"/>
  <c r="B1146" i="3"/>
  <c r="B1148" i="3"/>
  <c r="B1150" i="3"/>
  <c r="B1152" i="3"/>
  <c r="B1154" i="3"/>
  <c r="B1156" i="3"/>
  <c r="B1158" i="3"/>
  <c r="B1160" i="3"/>
  <c r="B1162" i="3"/>
  <c r="B1164" i="3"/>
  <c r="B1166" i="3"/>
  <c r="B1168" i="3"/>
  <c r="B1170" i="3"/>
  <c r="B1172" i="3"/>
  <c r="B1174" i="3"/>
  <c r="B1176" i="3"/>
  <c r="B1178" i="3"/>
  <c r="B1180" i="3"/>
  <c r="B1182" i="3"/>
  <c r="B1184" i="3"/>
  <c r="B1186" i="3"/>
  <c r="B1188" i="3"/>
  <c r="B1191" i="3"/>
  <c r="B1193" i="3"/>
  <c r="B1195" i="3"/>
  <c r="B1197" i="3"/>
  <c r="B1200" i="3"/>
  <c r="B1202" i="3"/>
  <c r="B1204" i="3"/>
  <c r="B1206" i="3"/>
  <c r="B1208" i="3"/>
  <c r="B1210" i="3"/>
  <c r="B1212" i="3"/>
  <c r="B1214" i="3"/>
  <c r="B1216" i="3"/>
  <c r="B1218" i="3"/>
  <c r="B1220" i="3"/>
  <c r="B1222" i="3"/>
  <c r="B1224" i="3"/>
  <c r="B1226" i="3"/>
  <c r="B1228" i="3"/>
  <c r="B1230" i="3"/>
  <c r="B1232" i="3"/>
  <c r="B1234" i="3"/>
  <c r="B1236" i="3"/>
  <c r="B1238" i="3"/>
  <c r="B1240" i="3"/>
  <c r="B1242" i="3"/>
  <c r="B1244" i="3"/>
  <c r="B1246" i="3"/>
  <c r="B1248" i="3"/>
  <c r="B1250" i="3"/>
  <c r="B1252" i="3"/>
  <c r="B1254" i="3"/>
  <c r="B1256" i="3"/>
  <c r="B1258" i="3"/>
  <c r="B1260" i="3"/>
  <c r="B1262" i="3"/>
  <c r="B1264" i="3"/>
  <c r="B1266" i="3"/>
  <c r="B1268" i="3"/>
  <c r="B1270" i="3"/>
  <c r="B1272" i="3"/>
  <c r="B1274" i="3"/>
  <c r="B1276" i="3"/>
  <c r="B1278" i="3"/>
  <c r="B1280" i="3"/>
  <c r="B1282" i="3"/>
  <c r="B1284" i="3"/>
  <c r="B1286" i="3"/>
  <c r="B1288" i="3"/>
  <c r="B1290" i="3"/>
  <c r="B1292" i="3"/>
  <c r="B1294" i="3"/>
  <c r="B1296" i="3"/>
  <c r="B1298" i="3"/>
  <c r="B1300" i="3"/>
  <c r="B1302" i="3"/>
  <c r="B1304" i="3"/>
  <c r="B1306" i="3"/>
  <c r="B1308" i="3"/>
  <c r="B1310" i="3"/>
  <c r="B1312" i="3"/>
  <c r="B1314" i="3"/>
  <c r="B1316" i="3"/>
  <c r="B1318" i="3"/>
  <c r="B1320" i="3"/>
  <c r="B1322" i="3"/>
  <c r="B1324" i="3"/>
  <c r="B1326" i="3"/>
  <c r="B1328" i="3"/>
  <c r="B1330" i="3"/>
  <c r="B1332" i="3"/>
  <c r="B1334" i="3"/>
  <c r="B1336" i="3"/>
  <c r="B1338" i="3"/>
  <c r="B1340" i="3"/>
  <c r="B1342" i="3"/>
  <c r="B1344" i="3"/>
  <c r="B1346" i="3"/>
  <c r="B1348" i="3"/>
  <c r="B1350" i="3"/>
  <c r="B1352" i="3"/>
  <c r="B1354" i="3"/>
  <c r="B1356" i="3"/>
  <c r="B1359" i="3"/>
  <c r="B1361" i="3"/>
  <c r="B1363" i="3"/>
  <c r="B1365" i="3"/>
  <c r="B1367" i="3"/>
  <c r="B1370" i="3"/>
  <c r="B1372" i="3"/>
  <c r="B1374" i="3"/>
  <c r="B1376" i="3"/>
  <c r="B1378" i="3"/>
  <c r="B1380" i="3"/>
  <c r="B1382" i="3"/>
  <c r="B1384" i="3"/>
  <c r="B1386" i="3"/>
  <c r="B1388" i="3"/>
  <c r="B1390" i="3"/>
  <c r="B1392" i="3"/>
  <c r="B1394" i="3"/>
  <c r="B1396" i="3"/>
  <c r="B1398" i="3"/>
  <c r="B1400" i="3"/>
  <c r="B1402" i="3"/>
  <c r="B1404" i="3"/>
  <c r="B1406" i="3"/>
  <c r="B1408" i="3"/>
  <c r="B1410" i="3"/>
  <c r="B1412" i="3"/>
  <c r="B1414" i="3"/>
  <c r="B1416" i="3"/>
  <c r="B1418" i="3"/>
  <c r="B1420" i="3"/>
  <c r="B1422" i="3"/>
  <c r="B1424" i="3"/>
  <c r="B1426" i="3"/>
  <c r="B1428" i="3"/>
  <c r="B1430" i="3"/>
  <c r="B1432" i="3"/>
  <c r="B1434" i="3"/>
  <c r="B1436" i="3"/>
  <c r="B1438" i="3"/>
  <c r="B1440" i="3"/>
  <c r="B1442" i="3"/>
  <c r="B1444" i="3"/>
  <c r="B1446" i="3"/>
  <c r="B1448" i="3"/>
  <c r="B1450" i="3"/>
  <c r="B1452" i="3"/>
  <c r="B1454" i="3"/>
  <c r="B1456" i="3"/>
  <c r="B1458" i="3"/>
  <c r="B1460" i="3"/>
  <c r="B1462" i="3"/>
  <c r="B1464" i="3"/>
  <c r="B1466" i="3"/>
  <c r="B1468" i="3"/>
  <c r="B1470" i="3"/>
  <c r="B1472" i="3"/>
  <c r="B1474" i="3"/>
  <c r="B1476" i="3"/>
  <c r="B1478" i="3"/>
  <c r="B1480" i="3"/>
  <c r="B1482" i="3"/>
  <c r="B1484" i="3"/>
  <c r="B1486" i="3"/>
  <c r="B1488" i="3"/>
  <c r="B1490" i="3"/>
  <c r="B1493" i="3"/>
  <c r="B1495" i="3"/>
  <c r="B1497" i="3"/>
  <c r="B1499" i="3"/>
  <c r="B1501" i="3"/>
  <c r="B1503" i="3"/>
  <c r="B1505" i="3"/>
  <c r="B1507" i="3"/>
  <c r="B1509" i="3"/>
  <c r="B1511" i="3"/>
  <c r="B1513" i="3"/>
  <c r="B1515" i="3"/>
  <c r="B1517" i="3"/>
  <c r="B1519" i="3"/>
  <c r="B1521" i="3"/>
  <c r="B1523" i="3"/>
  <c r="B1525" i="3"/>
  <c r="B1527" i="3"/>
  <c r="B1529" i="3"/>
  <c r="B1531" i="3"/>
  <c r="B1533" i="3"/>
  <c r="B1535" i="3"/>
  <c r="B1537" i="3"/>
  <c r="B1539" i="3"/>
  <c r="B1541" i="3"/>
  <c r="B1543" i="3"/>
  <c r="B1545" i="3"/>
  <c r="B1547" i="3"/>
  <c r="B1549" i="3"/>
  <c r="B1551" i="3"/>
  <c r="B1553" i="3"/>
  <c r="B1555" i="3"/>
  <c r="B1557" i="3"/>
  <c r="B1559" i="3"/>
  <c r="B1561" i="3"/>
  <c r="B1563" i="3"/>
  <c r="B1565" i="3"/>
  <c r="B1567" i="3"/>
  <c r="B1569" i="3"/>
  <c r="B1572" i="3"/>
  <c r="B1574" i="3"/>
  <c r="B1576" i="3"/>
  <c r="B1578" i="3"/>
  <c r="B1580" i="3"/>
  <c r="B1582" i="3"/>
  <c r="B1584" i="3"/>
  <c r="B1586" i="3"/>
  <c r="B1588" i="3"/>
  <c r="B1590" i="3"/>
  <c r="B1592" i="3"/>
  <c r="B1594" i="3"/>
  <c r="B1596" i="3"/>
  <c r="B1598" i="3"/>
  <c r="B1600" i="3"/>
  <c r="B1602" i="3"/>
  <c r="B1604" i="3"/>
  <c r="B1606" i="3"/>
  <c r="B1608" i="3"/>
  <c r="B1610" i="3"/>
  <c r="B1612" i="3"/>
  <c r="B1614" i="3"/>
  <c r="B1616" i="3"/>
  <c r="B1618" i="3"/>
  <c r="B1620" i="3"/>
  <c r="B1622" i="3"/>
  <c r="B1624" i="3"/>
  <c r="B1626" i="3"/>
  <c r="B1628" i="3"/>
  <c r="B1630" i="3"/>
  <c r="B1632" i="3"/>
  <c r="B1634" i="3"/>
  <c r="B1636" i="3"/>
  <c r="B1638" i="3"/>
  <c r="B1640" i="3"/>
  <c r="B1642" i="3"/>
  <c r="B1644" i="3"/>
  <c r="B1646" i="3"/>
  <c r="B1648" i="3"/>
  <c r="B1650" i="3"/>
  <c r="B1652" i="3"/>
  <c r="B1654" i="3"/>
  <c r="B1656" i="3"/>
  <c r="B1658" i="3"/>
  <c r="B1660" i="3"/>
  <c r="B1662" i="3"/>
  <c r="B1664" i="3"/>
  <c r="B1666" i="3"/>
  <c r="B1668" i="3"/>
  <c r="B1670" i="3"/>
  <c r="B1672" i="3"/>
  <c r="B1674" i="3"/>
  <c r="B1676" i="3"/>
  <c r="B1678" i="3"/>
  <c r="B1680" i="3"/>
  <c r="B1682" i="3"/>
  <c r="B1684" i="3"/>
  <c r="B1686" i="3"/>
  <c r="B1688" i="3"/>
  <c r="B1690" i="3"/>
  <c r="B1692" i="3"/>
  <c r="B1694" i="3"/>
  <c r="B1696" i="3"/>
  <c r="B1698" i="3"/>
  <c r="B1700" i="3"/>
  <c r="B1702" i="3"/>
  <c r="B1704" i="3"/>
  <c r="B1706" i="3"/>
  <c r="B1708" i="3"/>
  <c r="B1710" i="3"/>
  <c r="B1712" i="3"/>
  <c r="B1715" i="3"/>
  <c r="B1717" i="3"/>
  <c r="B1719" i="3"/>
  <c r="B1721" i="3"/>
  <c r="B1723" i="3"/>
  <c r="B1725" i="3"/>
  <c r="B1727" i="3"/>
  <c r="B1729" i="3"/>
  <c r="B1731" i="3"/>
  <c r="B1733" i="3"/>
  <c r="B1735" i="3"/>
  <c r="B1737" i="3"/>
  <c r="B1739" i="3"/>
  <c r="B1741" i="3"/>
  <c r="B1743" i="3"/>
  <c r="B1745" i="3"/>
  <c r="B1747" i="3"/>
  <c r="B1749" i="3"/>
  <c r="B1751" i="3"/>
  <c r="B1753" i="3"/>
  <c r="B1756" i="3"/>
  <c r="B1758" i="3"/>
  <c r="B1760" i="3"/>
  <c r="B1762" i="3"/>
  <c r="B1764" i="3"/>
  <c r="B1766" i="3"/>
  <c r="B1768" i="3"/>
  <c r="B1770" i="3"/>
  <c r="B1772" i="3"/>
  <c r="B1774" i="3"/>
  <c r="B1776" i="3"/>
  <c r="B1778" i="3"/>
  <c r="B1780" i="3"/>
  <c r="B1782" i="3"/>
  <c r="B1784" i="3"/>
  <c r="B1786" i="3"/>
  <c r="B1788" i="3"/>
  <c r="B1790" i="3"/>
  <c r="B1792" i="3"/>
  <c r="B1794" i="3"/>
  <c r="B1796" i="3"/>
  <c r="B1798" i="3"/>
  <c r="B1800" i="3"/>
  <c r="B1802" i="3"/>
  <c r="B1804" i="3"/>
  <c r="B1806" i="3"/>
  <c r="B1808" i="3"/>
  <c r="B1810" i="3"/>
  <c r="B1812" i="3"/>
  <c r="B1814" i="3"/>
  <c r="B1816" i="3"/>
  <c r="B1818" i="3"/>
  <c r="B1820" i="3"/>
  <c r="B1822" i="3"/>
  <c r="B1824" i="3"/>
  <c r="B1826" i="3"/>
  <c r="B1828" i="3"/>
  <c r="B1830" i="3"/>
  <c r="B1832" i="3"/>
  <c r="B1834" i="3"/>
  <c r="B1836" i="3"/>
  <c r="B1838" i="3"/>
  <c r="B1840" i="3"/>
  <c r="B1842" i="3"/>
  <c r="B1844" i="3"/>
  <c r="B1846" i="3"/>
  <c r="B1848" i="3"/>
  <c r="B1850" i="3"/>
  <c r="B1852" i="3"/>
  <c r="B1854" i="3"/>
  <c r="B1856" i="3"/>
  <c r="B1858" i="3"/>
  <c r="B1860" i="3"/>
  <c r="B1862" i="3"/>
  <c r="B1864" i="3"/>
  <c r="B1866" i="3"/>
  <c r="B1868" i="3"/>
  <c r="B1870" i="3"/>
  <c r="B1872" i="3"/>
  <c r="B1874" i="3"/>
  <c r="B1876" i="3"/>
  <c r="B1878" i="3"/>
  <c r="B1880" i="3"/>
  <c r="B1882" i="3"/>
  <c r="B1884" i="3"/>
  <c r="B1886" i="3"/>
  <c r="B1888" i="3"/>
  <c r="B1890" i="3"/>
  <c r="B1892" i="3"/>
  <c r="B1894" i="3"/>
  <c r="B1896" i="3"/>
  <c r="B1898" i="3"/>
  <c r="B1900" i="3"/>
  <c r="B1902" i="3"/>
  <c r="B1904" i="3"/>
  <c r="B1906" i="3"/>
  <c r="B1908" i="3"/>
  <c r="B1910" i="3"/>
  <c r="B1912" i="3"/>
  <c r="B1914" i="3"/>
  <c r="B1916" i="3"/>
  <c r="B1918" i="3"/>
  <c r="B1920" i="3"/>
  <c r="B1922" i="3"/>
  <c r="B1924" i="3"/>
  <c r="B1926" i="3"/>
  <c r="B1928" i="3"/>
  <c r="B1930" i="3"/>
  <c r="B1932" i="3"/>
  <c r="B1934" i="3"/>
  <c r="B1936" i="3"/>
  <c r="B1938" i="3"/>
  <c r="B1940" i="3"/>
  <c r="B1942" i="3"/>
  <c r="B1944" i="3"/>
  <c r="B1946" i="3"/>
  <c r="B1948" i="3"/>
  <c r="B1950" i="3"/>
  <c r="B1952" i="3"/>
  <c r="B1954" i="3"/>
  <c r="B1956" i="3"/>
  <c r="B1958" i="3"/>
  <c r="B1960" i="3"/>
  <c r="B1962" i="3"/>
  <c r="B1964" i="3"/>
  <c r="B1966" i="3"/>
  <c r="B1968" i="3"/>
  <c r="B1970" i="3"/>
  <c r="B1972" i="3"/>
  <c r="B1974" i="3"/>
  <c r="B1976" i="3"/>
  <c r="B1978" i="3"/>
  <c r="B1980" i="3"/>
  <c r="B1982" i="3"/>
  <c r="B1984" i="3"/>
  <c r="B1986" i="3"/>
  <c r="B1988" i="3"/>
  <c r="B1990" i="3"/>
  <c r="B1992" i="3"/>
  <c r="B1994" i="3"/>
  <c r="B1996" i="3"/>
  <c r="B1998" i="3"/>
  <c r="B2000" i="3"/>
  <c r="B2002" i="3"/>
  <c r="B2004" i="3"/>
  <c r="B2006" i="3"/>
  <c r="B2008" i="3"/>
  <c r="B2010" i="3"/>
  <c r="B2012" i="3"/>
  <c r="B2014" i="3"/>
  <c r="B2016" i="3"/>
  <c r="B2018" i="3"/>
  <c r="B2020" i="3"/>
  <c r="B2022" i="3"/>
  <c r="B2024" i="3"/>
  <c r="B2026" i="3"/>
  <c r="B2028" i="3"/>
  <c r="B2030" i="3"/>
  <c r="B2032" i="3"/>
  <c r="B2034" i="3"/>
  <c r="B2036" i="3"/>
  <c r="B2038" i="3"/>
  <c r="B2040" i="3"/>
  <c r="B2042" i="3"/>
  <c r="B2044" i="3"/>
  <c r="B2046" i="3"/>
  <c r="B2048" i="3"/>
  <c r="B2050" i="3"/>
  <c r="B2052" i="3"/>
  <c r="B2054" i="3"/>
  <c r="B2056" i="3"/>
  <c r="B2058" i="3"/>
  <c r="B2060" i="3"/>
  <c r="B2062" i="3"/>
  <c r="B2064" i="3"/>
  <c r="B2066" i="3"/>
  <c r="B2068" i="3"/>
  <c r="B2070" i="3"/>
  <c r="B2072" i="3"/>
  <c r="B2074" i="3"/>
  <c r="B2076" i="3"/>
  <c r="B2078" i="3"/>
  <c r="B2080" i="3"/>
  <c r="B2082" i="3"/>
  <c r="B2084" i="3"/>
  <c r="B2086" i="3"/>
  <c r="B2088" i="3"/>
  <c r="B2090" i="3"/>
  <c r="B2092" i="3"/>
  <c r="B2094" i="3"/>
  <c r="B2096" i="3"/>
  <c r="B2098" i="3"/>
  <c r="B2100" i="3"/>
  <c r="B2102" i="3"/>
  <c r="B2104" i="3"/>
  <c r="B2106" i="3"/>
  <c r="B2108" i="3"/>
  <c r="B2110" i="3"/>
  <c r="B2112" i="3"/>
  <c r="B2114" i="3"/>
  <c r="B2116" i="3"/>
  <c r="B2118" i="3"/>
  <c r="B2120" i="3"/>
  <c r="B2122" i="3"/>
  <c r="B2124" i="3"/>
  <c r="B2126" i="3"/>
  <c r="B2128" i="3"/>
  <c r="B2130" i="3"/>
  <c r="B2132" i="3"/>
  <c r="B2134" i="3"/>
  <c r="B2136" i="3"/>
  <c r="B2138" i="3"/>
  <c r="B2140" i="3"/>
  <c r="B2142" i="3"/>
  <c r="B2144" i="3"/>
  <c r="B2146" i="3"/>
  <c r="B2148" i="3"/>
  <c r="B2150" i="3"/>
  <c r="B2152" i="3"/>
  <c r="B2154" i="3"/>
  <c r="B2156" i="3"/>
  <c r="B2158" i="3"/>
  <c r="B2160" i="3"/>
  <c r="B2162" i="3"/>
  <c r="B2164" i="3"/>
  <c r="B2166" i="3"/>
  <c r="B2168" i="3"/>
  <c r="B2170" i="3"/>
  <c r="B2172" i="3"/>
  <c r="B2176" i="3"/>
  <c r="B2178" i="3"/>
  <c r="B2180" i="3"/>
  <c r="B2182" i="3"/>
  <c r="B2184" i="3"/>
  <c r="B2186" i="3"/>
  <c r="B2188" i="3"/>
  <c r="B2190" i="3"/>
  <c r="B2192" i="3"/>
  <c r="B2194" i="3"/>
  <c r="B2196" i="3"/>
  <c r="B2198" i="3"/>
  <c r="B2200" i="3"/>
  <c r="B2202" i="3"/>
  <c r="B2204" i="3"/>
  <c r="B2206" i="3"/>
  <c r="B2208" i="3"/>
  <c r="B2210" i="3"/>
  <c r="B2212" i="3"/>
  <c r="B2214" i="3"/>
  <c r="B2216" i="3"/>
  <c r="B2218" i="3"/>
  <c r="B2220" i="3"/>
  <c r="B2222" i="3"/>
  <c r="B2225" i="3"/>
  <c r="B2227" i="3"/>
  <c r="B2229" i="3"/>
  <c r="B2231" i="3"/>
  <c r="B2233" i="3"/>
  <c r="B2235" i="3"/>
  <c r="B2237" i="3"/>
  <c r="B2239" i="3"/>
  <c r="B2241" i="3"/>
  <c r="B2243" i="3"/>
  <c r="B2245" i="3"/>
  <c r="B2247" i="3"/>
  <c r="B2249" i="3"/>
  <c r="B2251" i="3"/>
  <c r="B2253" i="3"/>
  <c r="B2255" i="3"/>
  <c r="B2257" i="3"/>
  <c r="B2259" i="3"/>
  <c r="B2261" i="3"/>
  <c r="B2263" i="3"/>
  <c r="B2265" i="3"/>
  <c r="B2267" i="3"/>
  <c r="B2269" i="3"/>
  <c r="B2271" i="3"/>
  <c r="B2273" i="3"/>
  <c r="B2275" i="3"/>
  <c r="B2277" i="3"/>
  <c r="B2279" i="3"/>
  <c r="B2281" i="3"/>
  <c r="B2283" i="3"/>
  <c r="B2285" i="3"/>
  <c r="B2287" i="3"/>
  <c r="B2289" i="3"/>
  <c r="B2291" i="3"/>
  <c r="B2293" i="3"/>
  <c r="B2295" i="3"/>
  <c r="B2297" i="3"/>
  <c r="B2299" i="3"/>
  <c r="B2301" i="3"/>
  <c r="B2303" i="3"/>
  <c r="B2305" i="3"/>
  <c r="B2307" i="3"/>
  <c r="B2309" i="3"/>
  <c r="B2311" i="3"/>
  <c r="B2313" i="3"/>
  <c r="B2315" i="3"/>
  <c r="B2317" i="3"/>
  <c r="B2319" i="3"/>
  <c r="B2321" i="3"/>
  <c r="B2323" i="3"/>
  <c r="B2325" i="3"/>
  <c r="B2327" i="3"/>
  <c r="B2329" i="3"/>
  <c r="B2331" i="3"/>
  <c r="B2333" i="3"/>
  <c r="B2335" i="3"/>
  <c r="B2337" i="3"/>
  <c r="B2339" i="3"/>
  <c r="B2341" i="3"/>
  <c r="B2343" i="3"/>
  <c r="B2345" i="3"/>
  <c r="B2347" i="3"/>
  <c r="B2349" i="3"/>
  <c r="B2351" i="3"/>
  <c r="B2353" i="3"/>
  <c r="B2355" i="3"/>
  <c r="B2357" i="3"/>
  <c r="B2359" i="3"/>
  <c r="B2361" i="3"/>
  <c r="B2363" i="3"/>
  <c r="B2365" i="3"/>
  <c r="B2367" i="3"/>
  <c r="B2370" i="3"/>
  <c r="B2372" i="3"/>
  <c r="B2374" i="3"/>
  <c r="B2376" i="3"/>
  <c r="B2378" i="3"/>
  <c r="B2380" i="3"/>
  <c r="B2382" i="3"/>
  <c r="B2384" i="3"/>
  <c r="B2386" i="3"/>
  <c r="B2388" i="3"/>
  <c r="B2390" i="3"/>
  <c r="B2392" i="3"/>
  <c r="B2394" i="3"/>
  <c r="B2396" i="3"/>
  <c r="B2398" i="3"/>
  <c r="B2400" i="3"/>
  <c r="B2402" i="3"/>
  <c r="B2404" i="3"/>
  <c r="B2406" i="3"/>
  <c r="B2408" i="3"/>
  <c r="B2410" i="3"/>
  <c r="B2412" i="3"/>
  <c r="B2414" i="3"/>
  <c r="B2416" i="3"/>
  <c r="B2418" i="3"/>
  <c r="B2420" i="3"/>
  <c r="B2422" i="3"/>
  <c r="B2424" i="3"/>
  <c r="B2426" i="3"/>
  <c r="B2428" i="3"/>
  <c r="B2430" i="3"/>
  <c r="B2432" i="3"/>
  <c r="B2434" i="3"/>
  <c r="B2436" i="3"/>
  <c r="B2438" i="3"/>
  <c r="B2440" i="3"/>
  <c r="B2442" i="3"/>
  <c r="B2444" i="3"/>
  <c r="B2446" i="3"/>
  <c r="B2448" i="3"/>
  <c r="B2450" i="3"/>
  <c r="B2452" i="3"/>
  <c r="B2454" i="3"/>
  <c r="B2456" i="3"/>
  <c r="B2458" i="3"/>
  <c r="B2460" i="3"/>
  <c r="B2462" i="3"/>
  <c r="B2464" i="3"/>
  <c r="B2466" i="3"/>
  <c r="B341" i="3"/>
  <c r="B361" i="3"/>
  <c r="B367" i="3"/>
  <c r="B371" i="3"/>
  <c r="B373" i="3"/>
  <c r="B413" i="3"/>
  <c r="B417" i="3"/>
  <c r="B423" i="3"/>
  <c r="B427" i="3"/>
  <c r="B437" i="3"/>
  <c r="B445" i="3"/>
  <c r="B464" i="3"/>
  <c r="B486" i="3"/>
  <c r="B488" i="3"/>
  <c r="B490" i="3"/>
  <c r="B492" i="3"/>
  <c r="B496" i="3"/>
  <c r="B502" i="3"/>
  <c r="B459" i="3"/>
  <c r="B461" i="3"/>
  <c r="B463" i="3"/>
  <c r="B465" i="3"/>
  <c r="B467" i="3"/>
  <c r="B469" i="3"/>
  <c r="B471" i="3"/>
  <c r="B473" i="3"/>
  <c r="B475" i="3"/>
  <c r="B477" i="3"/>
  <c r="B479" i="3"/>
  <c r="B481" i="3"/>
  <c r="B483" i="3"/>
  <c r="B485" i="3"/>
  <c r="B487" i="3"/>
  <c r="B489" i="3"/>
  <c r="B491" i="3"/>
  <c r="B493" i="3"/>
  <c r="B495" i="3"/>
  <c r="B497" i="3"/>
  <c r="B499" i="3"/>
  <c r="B501" i="3"/>
  <c r="B503" i="3"/>
  <c r="B505" i="3"/>
  <c r="B507" i="3"/>
  <c r="B509" i="3"/>
  <c r="B511" i="3"/>
  <c r="B513" i="3"/>
  <c r="B515" i="3"/>
  <c r="B517" i="3"/>
  <c r="B519" i="3"/>
  <c r="B521" i="3"/>
  <c r="B523" i="3"/>
  <c r="B525" i="3"/>
  <c r="B527" i="3"/>
  <c r="B529" i="3"/>
  <c r="B531" i="3"/>
  <c r="B533" i="3"/>
  <c r="B535" i="3"/>
  <c r="B537" i="3"/>
  <c r="B539" i="3"/>
  <c r="B541" i="3"/>
  <c r="B543" i="3"/>
  <c r="B545" i="3"/>
  <c r="B547" i="3"/>
  <c r="B549" i="3"/>
  <c r="B551" i="3"/>
  <c r="B553" i="3"/>
  <c r="B555" i="3"/>
  <c r="B557" i="3"/>
  <c r="B559" i="3"/>
  <c r="B561" i="3"/>
  <c r="B563" i="3"/>
  <c r="B565" i="3"/>
  <c r="B567" i="3"/>
  <c r="B569" i="3"/>
  <c r="B571" i="3"/>
  <c r="B573" i="3"/>
  <c r="B575" i="3"/>
  <c r="B577" i="3"/>
  <c r="B579" i="3"/>
  <c r="B581" i="3"/>
  <c r="B583" i="3"/>
  <c r="B585" i="3"/>
  <c r="B587" i="3"/>
  <c r="B589" i="3"/>
  <c r="B591" i="3"/>
  <c r="B593" i="3"/>
  <c r="B595" i="3"/>
  <c r="B597" i="3"/>
  <c r="B599" i="3"/>
  <c r="B601" i="3"/>
  <c r="B603" i="3"/>
  <c r="B605" i="3"/>
  <c r="B607" i="3"/>
  <c r="B609" i="3"/>
  <c r="B611" i="3"/>
  <c r="B613" i="3"/>
  <c r="B615" i="3"/>
  <c r="B617" i="3"/>
  <c r="B619" i="3"/>
  <c r="B621" i="3"/>
  <c r="B623" i="3"/>
  <c r="B625" i="3"/>
  <c r="B627" i="3"/>
  <c r="B629" i="3"/>
  <c r="B631" i="3"/>
  <c r="B633" i="3"/>
  <c r="B635" i="3"/>
  <c r="B637" i="3"/>
  <c r="B640" i="3"/>
  <c r="B642" i="3"/>
  <c r="B644" i="3"/>
  <c r="B646" i="3"/>
  <c r="B648" i="3"/>
  <c r="B650" i="3"/>
  <c r="B652" i="3"/>
  <c r="B654" i="3"/>
  <c r="B656" i="3"/>
  <c r="B658" i="3"/>
  <c r="B660" i="3"/>
  <c r="B662" i="3"/>
  <c r="B664" i="3"/>
  <c r="B666" i="3"/>
  <c r="B668" i="3"/>
  <c r="B670" i="3"/>
  <c r="B672" i="3"/>
  <c r="B674" i="3"/>
  <c r="B676" i="3"/>
  <c r="B678" i="3"/>
  <c r="B680" i="3"/>
  <c r="B682" i="3"/>
  <c r="B684" i="3"/>
  <c r="B686" i="3"/>
  <c r="B688" i="3"/>
  <c r="B690" i="3"/>
  <c r="B692" i="3"/>
  <c r="B694" i="3"/>
  <c r="B696" i="3"/>
  <c r="B698" i="3"/>
  <c r="B700" i="3"/>
  <c r="B702" i="3"/>
  <c r="B704" i="3"/>
  <c r="B706" i="3"/>
  <c r="B708" i="3"/>
  <c r="B710" i="3"/>
  <c r="B712" i="3"/>
  <c r="B714" i="3"/>
  <c r="B716" i="3"/>
  <c r="B718" i="3"/>
  <c r="B720" i="3"/>
  <c r="B722" i="3"/>
  <c r="B724" i="3"/>
  <c r="B726" i="3"/>
  <c r="B728" i="3"/>
  <c r="B730" i="3"/>
  <c r="B732" i="3"/>
  <c r="B734" i="3"/>
  <c r="B736" i="3"/>
  <c r="B738" i="3"/>
  <c r="B740" i="3"/>
  <c r="B742" i="3"/>
  <c r="B744" i="3"/>
  <c r="B746" i="3"/>
  <c r="B748" i="3"/>
  <c r="B750" i="3"/>
  <c r="B752" i="3"/>
  <c r="B754" i="3"/>
  <c r="B756" i="3"/>
  <c r="B758" i="3"/>
  <c r="B760" i="3"/>
  <c r="B762" i="3"/>
  <c r="B764" i="3"/>
  <c r="B766" i="3"/>
  <c r="B768" i="3"/>
  <c r="B770" i="3"/>
  <c r="B772" i="3"/>
  <c r="B774" i="3"/>
  <c r="B776" i="3"/>
  <c r="B778" i="3"/>
  <c r="B780" i="3"/>
  <c r="B782" i="3"/>
  <c r="B784" i="3"/>
  <c r="B786" i="3"/>
  <c r="B788" i="3"/>
  <c r="B790" i="3"/>
  <c r="B792" i="3"/>
  <c r="B794" i="3"/>
  <c r="B796" i="3"/>
  <c r="B798" i="3"/>
  <c r="B800" i="3"/>
  <c r="B802" i="3"/>
  <c r="B804" i="3"/>
  <c r="B809" i="3"/>
  <c r="B811" i="3"/>
  <c r="B813" i="3"/>
  <c r="B815" i="3"/>
  <c r="B817" i="3"/>
  <c r="B819" i="3"/>
  <c r="B821" i="3"/>
  <c r="B823" i="3"/>
  <c r="B825" i="3"/>
  <c r="B827" i="3"/>
  <c r="B829" i="3"/>
  <c r="B831" i="3"/>
  <c r="B833" i="3"/>
  <c r="B835" i="3"/>
  <c r="B837" i="3"/>
  <c r="B839" i="3"/>
  <c r="B841" i="3"/>
  <c r="B843" i="3"/>
  <c r="B845" i="3"/>
  <c r="B847" i="3"/>
  <c r="B849" i="3"/>
  <c r="B851" i="3"/>
  <c r="B853" i="3"/>
  <c r="B855" i="3"/>
  <c r="B857" i="3"/>
  <c r="B860" i="3"/>
  <c r="B862" i="3"/>
  <c r="B864" i="3"/>
  <c r="B866" i="3"/>
  <c r="B868" i="3"/>
  <c r="B870" i="3"/>
  <c r="B872" i="3"/>
  <c r="B874" i="3"/>
  <c r="B876" i="3"/>
  <c r="B878" i="3"/>
  <c r="B880" i="3"/>
  <c r="B882" i="3"/>
  <c r="B884" i="3"/>
  <c r="B886" i="3"/>
  <c r="B888" i="3"/>
  <c r="B890" i="3"/>
  <c r="B892" i="3"/>
  <c r="B894" i="3"/>
  <c r="B896" i="3"/>
  <c r="B898" i="3"/>
  <c r="B900" i="3"/>
  <c r="B902" i="3"/>
  <c r="B904" i="3"/>
  <c r="B906" i="3"/>
  <c r="B908" i="3"/>
  <c r="B910" i="3"/>
  <c r="B912" i="3"/>
  <c r="B914" i="3"/>
  <c r="B916" i="3"/>
  <c r="B918" i="3"/>
  <c r="B920" i="3"/>
  <c r="B922" i="3"/>
  <c r="B924" i="3"/>
  <c r="B926" i="3"/>
  <c r="B928" i="3"/>
  <c r="B930" i="3"/>
  <c r="B932" i="3"/>
  <c r="B934" i="3"/>
  <c r="B936" i="3"/>
  <c r="B938" i="3"/>
  <c r="B940" i="3"/>
  <c r="B942" i="3"/>
  <c r="B944" i="3"/>
  <c r="B946" i="3"/>
  <c r="B948" i="3"/>
  <c r="B950" i="3"/>
  <c r="B952" i="3"/>
  <c r="B954" i="3"/>
  <c r="B956" i="3"/>
  <c r="B958" i="3"/>
  <c r="B960" i="3"/>
  <c r="B962" i="3"/>
  <c r="B964" i="3"/>
  <c r="B966" i="3"/>
  <c r="B968" i="3"/>
  <c r="B970" i="3"/>
  <c r="B972" i="3"/>
  <c r="B974" i="3"/>
  <c r="B976" i="3"/>
  <c r="B978" i="3"/>
  <c r="B980" i="3"/>
  <c r="B982" i="3"/>
  <c r="B984" i="3"/>
  <c r="B986" i="3"/>
  <c r="B988" i="3"/>
  <c r="B990" i="3"/>
  <c r="B992" i="3"/>
  <c r="B994" i="3"/>
  <c r="B996" i="3"/>
  <c r="B998" i="3"/>
  <c r="B1000" i="3"/>
  <c r="B1002" i="3"/>
  <c r="B1004" i="3"/>
  <c r="B1006" i="3"/>
  <c r="B1008" i="3"/>
  <c r="B1010" i="3"/>
  <c r="B1012" i="3"/>
  <c r="B1014" i="3"/>
  <c r="B1016" i="3"/>
  <c r="B1018" i="3"/>
  <c r="B1020" i="3"/>
  <c r="B1022" i="3"/>
  <c r="B1024" i="3"/>
  <c r="B1026" i="3"/>
  <c r="B1028" i="3"/>
  <c r="B1030" i="3"/>
  <c r="B1032" i="3"/>
  <c r="B1034" i="3"/>
  <c r="B1036" i="3"/>
  <c r="B1038" i="3"/>
  <c r="B1040" i="3"/>
  <c r="B1042" i="3"/>
  <c r="B1044" i="3"/>
  <c r="B1046" i="3"/>
  <c r="B1048" i="3"/>
  <c r="B1050" i="3"/>
  <c r="B1052" i="3"/>
  <c r="B1054" i="3"/>
  <c r="B1056" i="3"/>
  <c r="B1058" i="3"/>
  <c r="B1060" i="3"/>
  <c r="B1062" i="3"/>
  <c r="B1064" i="3"/>
  <c r="B1066" i="3"/>
  <c r="B1068" i="3"/>
  <c r="B1070" i="3"/>
  <c r="B1072" i="3"/>
  <c r="B1074" i="3"/>
  <c r="B1076" i="3"/>
  <c r="B1078" i="3"/>
  <c r="B1080" i="3"/>
  <c r="B1082" i="3"/>
  <c r="B1084" i="3"/>
  <c r="B1086" i="3"/>
  <c r="B1088" i="3"/>
  <c r="B1090" i="3"/>
  <c r="B1092" i="3"/>
  <c r="B1094" i="3"/>
  <c r="B1096" i="3"/>
  <c r="B1098" i="3"/>
  <c r="B1100" i="3"/>
  <c r="B1102" i="3"/>
  <c r="B1104" i="3"/>
  <c r="B1106" i="3"/>
  <c r="B1108" i="3"/>
  <c r="B1110" i="3"/>
  <c r="B1112" i="3"/>
  <c r="B1114" i="3"/>
  <c r="B1116" i="3"/>
  <c r="B1118" i="3"/>
  <c r="B1120" i="3"/>
  <c r="B1122" i="3"/>
  <c r="B1124" i="3"/>
  <c r="B1126" i="3"/>
  <c r="B1128" i="3"/>
  <c r="B1130" i="3"/>
  <c r="B1132" i="3"/>
  <c r="B807" i="3"/>
  <c r="B805" i="3"/>
  <c r="B1190" i="3"/>
  <c r="B1492" i="3"/>
  <c r="B1713" i="3"/>
  <c r="B2175" i="3"/>
  <c r="B2224" i="3"/>
  <c r="B518" i="3"/>
  <c r="B520" i="3"/>
  <c r="B522" i="3"/>
  <c r="B528" i="3"/>
  <c r="B532" i="3"/>
  <c r="B536" i="3"/>
  <c r="B544" i="3"/>
  <c r="B546" i="3"/>
  <c r="B562" i="3"/>
  <c r="B564" i="3"/>
  <c r="B578" i="3"/>
  <c r="B584" i="3"/>
  <c r="B602" i="3"/>
  <c r="B608" i="3"/>
  <c r="B622" i="3"/>
  <c r="B628" i="3"/>
  <c r="B638" i="3"/>
  <c r="B647" i="3"/>
  <c r="B649" i="3"/>
  <c r="B653" i="3"/>
  <c r="B657" i="3"/>
  <c r="B659" i="3"/>
  <c r="B665" i="3"/>
  <c r="B671" i="3"/>
  <c r="B675" i="3"/>
  <c r="B679" i="3"/>
  <c r="B693" i="3"/>
  <c r="B695" i="3"/>
  <c r="B703" i="3"/>
  <c r="B705" i="3"/>
  <c r="B709" i="3"/>
  <c r="B725" i="3"/>
  <c r="B727" i="3"/>
  <c r="B737" i="3"/>
  <c r="B741" i="3"/>
  <c r="B743" i="3"/>
  <c r="B747" i="3"/>
  <c r="B749" i="3"/>
  <c r="B751" i="3"/>
  <c r="B755" i="3"/>
  <c r="B759" i="3"/>
  <c r="B761" i="3"/>
  <c r="B763" i="3"/>
  <c r="B769" i="3"/>
  <c r="B771" i="3"/>
  <c r="B775" i="3"/>
  <c r="B777" i="3"/>
  <c r="B779" i="3"/>
  <c r="B785" i="3"/>
  <c r="B787" i="3"/>
  <c r="B791" i="3"/>
  <c r="B795" i="3"/>
  <c r="B799" i="3"/>
  <c r="B808" i="3"/>
  <c r="B812" i="3"/>
  <c r="B814" i="3"/>
  <c r="B834" i="3"/>
  <c r="B842" i="3"/>
  <c r="B844" i="3"/>
  <c r="B854" i="3"/>
  <c r="B856" i="3"/>
  <c r="B861" i="3"/>
  <c r="B869" i="3"/>
  <c r="B873" i="3"/>
  <c r="B883" i="3"/>
  <c r="B891" i="3"/>
  <c r="B895" i="3"/>
  <c r="B899" i="3"/>
  <c r="B907" i="3"/>
  <c r="B923" i="3"/>
  <c r="B935" i="3"/>
  <c r="B953" i="3"/>
  <c r="B963" i="3"/>
  <c r="B967" i="3"/>
  <c r="B971" i="3"/>
  <c r="B985" i="3"/>
  <c r="B987" i="3"/>
  <c r="B997" i="3"/>
  <c r="B999" i="3"/>
  <c r="B1009" i="3"/>
  <c r="B1013" i="3"/>
  <c r="B1017" i="3"/>
  <c r="B1021" i="3"/>
  <c r="B1043" i="3"/>
  <c r="B1045" i="3"/>
  <c r="B1059" i="3"/>
  <c r="B1065" i="3"/>
  <c r="B1069" i="3"/>
  <c r="B1079" i="3"/>
  <c r="B1083" i="3"/>
  <c r="B1087" i="3"/>
  <c r="B1089" i="3"/>
  <c r="B1093" i="3"/>
  <c r="B1099" i="3"/>
  <c r="B1103" i="3"/>
  <c r="B1111" i="3"/>
  <c r="B1113" i="3"/>
  <c r="B1117" i="3"/>
  <c r="B1125" i="3"/>
  <c r="B1127" i="3"/>
  <c r="B1131" i="3"/>
  <c r="B514" i="3"/>
  <c r="B524" i="3"/>
  <c r="B534" i="3"/>
  <c r="B540" i="3"/>
  <c r="B548" i="3"/>
  <c r="B550" i="3"/>
  <c r="B554" i="3"/>
  <c r="B556" i="3"/>
  <c r="B560" i="3"/>
  <c r="B566" i="3"/>
  <c r="B568" i="3"/>
  <c r="B572" i="3"/>
  <c r="B580" i="3"/>
  <c r="B582" i="3"/>
  <c r="B586" i="3"/>
  <c r="B588" i="3"/>
  <c r="B592" i="3"/>
  <c r="B600" i="3"/>
  <c r="B604" i="3"/>
  <c r="B612" i="3"/>
  <c r="B616" i="3"/>
  <c r="B618" i="3"/>
  <c r="B634" i="3"/>
  <c r="B636" i="3"/>
  <c r="B641" i="3"/>
  <c r="B651" i="3"/>
  <c r="B655" i="3"/>
  <c r="B661" i="3"/>
  <c r="B663" i="3"/>
  <c r="B667" i="3"/>
  <c r="B677" i="3"/>
  <c r="B681" i="3"/>
  <c r="B683" i="3"/>
  <c r="B687" i="3"/>
  <c r="B691" i="3"/>
  <c r="B697" i="3"/>
  <c r="B701" i="3"/>
  <c r="B707" i="3"/>
  <c r="B713" i="3"/>
  <c r="B715" i="3"/>
  <c r="B719" i="3"/>
  <c r="B729" i="3"/>
  <c r="B733" i="3"/>
  <c r="B735" i="3"/>
  <c r="B739" i="3"/>
  <c r="B745" i="3"/>
  <c r="B753" i="3"/>
  <c r="B767" i="3"/>
  <c r="B783" i="3"/>
  <c r="B793" i="3"/>
  <c r="B797" i="3"/>
  <c r="B810" i="3"/>
  <c r="B820" i="3"/>
  <c r="B828" i="3"/>
  <c r="B832" i="3"/>
  <c r="B836" i="3"/>
  <c r="B840" i="3"/>
  <c r="B846" i="3"/>
  <c r="B850" i="3"/>
  <c r="B859" i="3"/>
  <c r="B863" i="3"/>
  <c r="B867" i="3"/>
  <c r="B871" i="3"/>
  <c r="B879" i="3"/>
  <c r="B887" i="3"/>
  <c r="B893" i="3"/>
  <c r="B897" i="3"/>
  <c r="B903" i="3"/>
  <c r="B905" i="3"/>
  <c r="B909" i="3"/>
  <c r="B913" i="3"/>
  <c r="B917" i="3"/>
  <c r="B921" i="3"/>
  <c r="B925" i="3"/>
  <c r="B927" i="3"/>
  <c r="B929" i="3"/>
  <c r="B937" i="3"/>
  <c r="B941" i="3"/>
  <c r="B947" i="3"/>
  <c r="B955" i="3"/>
  <c r="B959" i="3"/>
  <c r="B961" i="3"/>
  <c r="B983" i="3"/>
  <c r="B989" i="3"/>
  <c r="B1001" i="3"/>
  <c r="B1003" i="3"/>
  <c r="B1019" i="3"/>
  <c r="B1027" i="3"/>
  <c r="B1029" i="3"/>
  <c r="B1035" i="3"/>
  <c r="B1039" i="3"/>
  <c r="B1041" i="3"/>
  <c r="B1049" i="3"/>
  <c r="B1051" i="3"/>
  <c r="B1055" i="3"/>
  <c r="B1061" i="3"/>
  <c r="B1067" i="3"/>
  <c r="B1077" i="3"/>
  <c r="B1081" i="3"/>
  <c r="B1091" i="3"/>
  <c r="B1095" i="3"/>
  <c r="B1097" i="3"/>
  <c r="B1101" i="3"/>
  <c r="B1105" i="3"/>
  <c r="B1109" i="3"/>
  <c r="B1115" i="3"/>
  <c r="B1121" i="3"/>
  <c r="B1123" i="3"/>
  <c r="B1358" i="3"/>
  <c r="B639" i="3"/>
  <c r="B806" i="3"/>
  <c r="B858" i="3"/>
  <c r="B1199" i="3"/>
  <c r="B1369" i="3"/>
  <c r="B1571" i="3"/>
  <c r="B1755" i="3"/>
  <c r="B2174" i="3"/>
  <c r="B2369" i="3"/>
  <c r="B512" i="3"/>
  <c r="B516" i="3"/>
  <c r="B526" i="3"/>
  <c r="B530" i="3"/>
  <c r="B538" i="3"/>
  <c r="B542" i="3"/>
  <c r="B552" i="3"/>
  <c r="B558" i="3"/>
  <c r="B570" i="3"/>
  <c r="B574" i="3"/>
  <c r="B576" i="3"/>
  <c r="B590" i="3"/>
  <c r="B594" i="3"/>
  <c r="B596" i="3"/>
  <c r="B598" i="3"/>
  <c r="B606" i="3"/>
  <c r="B610" i="3"/>
  <c r="B614" i="3"/>
  <c r="B620" i="3"/>
  <c r="B624" i="3"/>
  <c r="B626" i="3"/>
  <c r="B630" i="3"/>
  <c r="B632" i="3"/>
  <c r="B643" i="3"/>
  <c r="B645" i="3"/>
  <c r="B669" i="3"/>
  <c r="B673" i="3"/>
  <c r="B685" i="3"/>
  <c r="B689" i="3"/>
  <c r="B699" i="3"/>
  <c r="B711" i="3"/>
  <c r="B717" i="3"/>
  <c r="B721" i="3"/>
  <c r="B723" i="3"/>
  <c r="B731" i="3"/>
  <c r="B757" i="3"/>
  <c r="B765" i="3"/>
  <c r="B773" i="3"/>
  <c r="B781" i="3"/>
  <c r="B789" i="3"/>
  <c r="B801" i="3"/>
  <c r="B803" i="3"/>
  <c r="B816" i="3"/>
  <c r="B818" i="3"/>
  <c r="B822" i="3"/>
  <c r="B824" i="3"/>
  <c r="B826" i="3"/>
  <c r="B830" i="3"/>
  <c r="B838" i="3"/>
  <c r="B848" i="3"/>
  <c r="B852" i="3"/>
  <c r="B865" i="3"/>
  <c r="B875" i="3"/>
  <c r="B877" i="3"/>
  <c r="B881" i="3"/>
  <c r="B885" i="3"/>
  <c r="B889" i="3"/>
  <c r="B901" i="3"/>
  <c r="B911" i="3"/>
  <c r="B915" i="3"/>
  <c r="B919" i="3"/>
  <c r="B931" i="3"/>
  <c r="B933" i="3"/>
  <c r="B939" i="3"/>
  <c r="B943" i="3"/>
  <c r="B945" i="3"/>
  <c r="B949" i="3"/>
  <c r="B951" i="3"/>
  <c r="B957" i="3"/>
  <c r="B965" i="3"/>
  <c r="B969" i="3"/>
  <c r="B973" i="3"/>
  <c r="B975" i="3"/>
  <c r="B977" i="3"/>
  <c r="B979" i="3"/>
  <c r="B981" i="3"/>
  <c r="B991" i="3"/>
  <c r="B993" i="3"/>
  <c r="B995" i="3"/>
  <c r="B1005" i="3"/>
  <c r="B1007" i="3"/>
  <c r="B1011" i="3"/>
  <c r="B1015" i="3"/>
  <c r="B1023" i="3"/>
  <c r="B1025" i="3"/>
  <c r="B1031" i="3"/>
  <c r="B1033" i="3"/>
  <c r="B1037" i="3"/>
  <c r="B1047" i="3"/>
  <c r="B1053" i="3"/>
  <c r="B1057" i="3"/>
  <c r="B1063" i="3"/>
  <c r="B1071" i="3"/>
  <c r="B1073" i="3"/>
  <c r="B1075" i="3"/>
  <c r="B1085" i="3"/>
  <c r="B1107" i="3"/>
  <c r="B1119" i="3"/>
  <c r="B1129" i="3"/>
  <c r="B2468" i="3"/>
  <c r="B2470" i="3"/>
  <c r="B2472" i="3"/>
  <c r="B2474" i="3"/>
  <c r="B2476" i="3"/>
  <c r="B2478" i="3"/>
  <c r="B2480" i="3"/>
  <c r="B2482" i="3"/>
  <c r="B2484" i="3"/>
  <c r="B2486" i="3"/>
  <c r="B2488" i="3"/>
  <c r="B2490" i="3"/>
  <c r="B2492" i="3"/>
  <c r="B2494" i="3"/>
  <c r="B2496" i="3"/>
  <c r="B2498" i="3"/>
  <c r="B2500" i="3"/>
  <c r="B2502" i="3"/>
  <c r="B2504" i="3"/>
  <c r="B2506" i="3"/>
  <c r="B2508" i="3"/>
  <c r="B2510" i="3"/>
  <c r="B2512" i="3"/>
  <c r="B2514" i="3"/>
  <c r="B2516" i="3"/>
  <c r="B2518" i="3"/>
  <c r="B2520" i="3"/>
  <c r="B2522" i="3"/>
  <c r="B2524" i="3"/>
  <c r="B2526" i="3"/>
  <c r="B2528" i="3"/>
  <c r="B2530" i="3"/>
  <c r="B2532" i="3"/>
  <c r="B2534" i="3"/>
  <c r="B2536" i="3"/>
  <c r="B2538" i="3"/>
  <c r="B2540" i="3"/>
  <c r="B2542" i="3"/>
  <c r="B2544" i="3"/>
  <c r="B2546" i="3"/>
  <c r="B2548" i="3"/>
  <c r="B2550" i="3"/>
  <c r="B2552" i="3"/>
  <c r="B2554" i="3"/>
  <c r="B2556" i="3"/>
  <c r="B2558" i="3"/>
  <c r="B2560" i="3"/>
  <c r="B2562" i="3"/>
  <c r="B2564" i="3"/>
  <c r="B2566" i="3"/>
  <c r="B2568" i="3"/>
  <c r="B2570" i="3"/>
  <c r="B2572" i="3"/>
  <c r="B2574" i="3"/>
  <c r="B2576" i="3"/>
  <c r="B2578" i="3"/>
  <c r="B2580" i="3"/>
  <c r="B2582" i="3"/>
  <c r="B2584" i="3"/>
  <c r="B2586" i="3"/>
  <c r="B2588" i="3"/>
  <c r="B2590" i="3"/>
  <c r="B2592" i="3"/>
  <c r="B2594" i="3"/>
  <c r="B2596" i="3"/>
  <c r="B2598" i="3"/>
  <c r="B2600" i="3"/>
  <c r="B2602" i="3"/>
  <c r="B2604" i="3"/>
  <c r="B2606" i="3"/>
  <c r="B2608" i="3"/>
  <c r="B2610" i="3"/>
  <c r="B2612" i="3"/>
  <c r="B2614" i="3"/>
  <c r="B2616" i="3"/>
  <c r="B2618" i="3"/>
  <c r="B2620" i="3"/>
  <c r="B2622" i="3"/>
  <c r="B2624" i="3"/>
  <c r="B2626" i="3"/>
  <c r="B2628" i="3"/>
  <c r="B2630" i="3"/>
  <c r="B2632" i="3"/>
  <c r="B2634" i="3"/>
  <c r="B2636" i="3"/>
  <c r="B2638" i="3"/>
  <c r="B2640" i="3"/>
  <c r="B2642" i="3"/>
  <c r="B2644" i="3"/>
  <c r="B2646" i="3"/>
  <c r="B2648" i="3"/>
  <c r="B2650" i="3"/>
  <c r="B2652" i="3"/>
  <c r="B2654" i="3"/>
  <c r="B2656" i="3"/>
  <c r="B2658" i="3"/>
  <c r="B2660" i="3"/>
  <c r="B2662" i="3"/>
  <c r="B2664" i="3"/>
  <c r="B2666" i="3"/>
  <c r="B2668" i="3"/>
  <c r="B2670" i="3"/>
  <c r="B2672" i="3"/>
  <c r="B2674" i="3"/>
  <c r="B2676" i="3"/>
  <c r="B2678" i="3"/>
  <c r="B2680" i="3"/>
  <c r="B2682" i="3"/>
  <c r="B2684" i="3"/>
  <c r="B2686" i="3"/>
  <c r="B2688" i="3"/>
  <c r="B2690" i="3"/>
  <c r="B2692" i="3"/>
  <c r="B2694" i="3"/>
  <c r="B2696" i="3"/>
  <c r="B2698" i="3"/>
  <c r="B2700" i="3"/>
  <c r="B2702" i="3"/>
  <c r="B2704" i="3"/>
  <c r="B2706" i="3"/>
  <c r="B2708" i="3"/>
  <c r="B2710" i="3"/>
  <c r="B2712" i="3"/>
  <c r="B2714" i="3"/>
  <c r="B2716" i="3"/>
  <c r="B2718" i="3"/>
  <c r="B2720" i="3"/>
  <c r="B2722" i="3"/>
  <c r="B2469" i="3"/>
  <c r="B2471" i="3"/>
  <c r="B2473" i="3"/>
  <c r="B2475" i="3"/>
  <c r="B2477" i="3"/>
  <c r="B2479" i="3"/>
  <c r="B2481" i="3"/>
  <c r="B2483" i="3"/>
  <c r="B2485" i="3"/>
  <c r="B2487" i="3"/>
  <c r="B2489" i="3"/>
  <c r="B2491" i="3"/>
  <c r="B2493" i="3"/>
  <c r="B2495" i="3"/>
  <c r="B2497" i="3"/>
  <c r="B2499" i="3"/>
  <c r="B2501" i="3"/>
  <c r="B2503" i="3"/>
  <c r="B2505" i="3"/>
  <c r="B2507" i="3"/>
  <c r="B2509" i="3"/>
  <c r="B2511" i="3"/>
  <c r="B2513" i="3"/>
  <c r="B2515" i="3"/>
  <c r="B2517" i="3"/>
  <c r="B2519" i="3"/>
  <c r="B2521" i="3"/>
  <c r="B2523" i="3"/>
  <c r="B2525" i="3"/>
  <c r="B2527" i="3"/>
  <c r="B2529" i="3"/>
  <c r="B2531" i="3"/>
  <c r="B2533" i="3"/>
  <c r="B2535" i="3"/>
  <c r="B2537" i="3"/>
  <c r="B2539" i="3"/>
  <c r="B2541" i="3"/>
  <c r="B2543" i="3"/>
  <c r="B2545" i="3"/>
  <c r="B2547" i="3"/>
  <c r="B2549" i="3"/>
  <c r="B2551" i="3"/>
  <c r="B2553" i="3"/>
  <c r="B2555" i="3"/>
  <c r="B2557" i="3"/>
  <c r="B2559" i="3"/>
  <c r="B2561" i="3"/>
  <c r="B2563" i="3"/>
  <c r="B2565" i="3"/>
  <c r="B2567" i="3"/>
  <c r="B2569" i="3"/>
  <c r="B2571" i="3"/>
  <c r="B2573" i="3"/>
  <c r="B2575" i="3"/>
  <c r="B2577" i="3"/>
  <c r="B2579" i="3"/>
  <c r="B2581" i="3"/>
  <c r="B2583" i="3"/>
  <c r="B2585" i="3"/>
  <c r="B2587" i="3"/>
  <c r="B2589" i="3"/>
  <c r="B2591" i="3"/>
  <c r="B2593" i="3"/>
  <c r="B2595" i="3"/>
  <c r="B2597" i="3"/>
  <c r="B2599" i="3"/>
  <c r="B2601" i="3"/>
  <c r="B2603" i="3"/>
  <c r="B2605" i="3"/>
  <c r="B2607" i="3"/>
  <c r="B2609" i="3"/>
  <c r="B2611" i="3"/>
  <c r="B2613" i="3"/>
  <c r="B2615" i="3"/>
  <c r="B2617" i="3"/>
  <c r="B2619" i="3"/>
  <c r="B2621" i="3"/>
  <c r="B2623" i="3"/>
  <c r="B2625" i="3"/>
  <c r="B2627" i="3"/>
  <c r="B2629" i="3"/>
  <c r="B2631" i="3"/>
  <c r="B2633" i="3"/>
  <c r="B2635" i="3"/>
  <c r="B2637" i="3"/>
  <c r="B2639" i="3"/>
  <c r="B2641" i="3"/>
  <c r="B2643" i="3"/>
  <c r="B2645" i="3"/>
  <c r="B2647" i="3"/>
  <c r="B2649" i="3"/>
  <c r="B2651" i="3"/>
  <c r="B2653" i="3"/>
  <c r="B2655" i="3"/>
  <c r="B2657" i="3"/>
  <c r="B2659" i="3"/>
  <c r="B2661" i="3"/>
  <c r="B2663" i="3"/>
  <c r="B2665" i="3"/>
  <c r="B2667" i="3"/>
  <c r="B2669" i="3"/>
  <c r="B2671" i="3"/>
  <c r="B2673" i="3"/>
  <c r="B2675" i="3"/>
  <c r="B2677" i="3"/>
  <c r="B2679" i="3"/>
  <c r="B2681" i="3"/>
  <c r="B2683" i="3"/>
  <c r="B2685" i="3"/>
  <c r="B2687" i="3"/>
  <c r="B2689" i="3"/>
  <c r="B2691" i="3"/>
  <c r="B2693" i="3"/>
  <c r="B2695" i="3"/>
  <c r="B2697" i="3"/>
  <c r="B2699" i="3"/>
  <c r="B2701" i="3"/>
  <c r="B2703" i="3"/>
  <c r="B2705" i="3"/>
  <c r="B2707" i="3"/>
  <c r="B2709" i="3"/>
  <c r="B2711" i="3"/>
  <c r="B2713" i="3"/>
  <c r="B2715" i="3"/>
  <c r="B2717" i="3"/>
  <c r="B2719" i="3"/>
  <c r="B2721" i="3"/>
</calcChain>
</file>

<file path=xl/sharedStrings.xml><?xml version="1.0" encoding="utf-8"?>
<sst xmlns="http://schemas.openxmlformats.org/spreadsheetml/2006/main" count="75380" uniqueCount="12144">
  <si>
    <t>​​Manufacturer</t>
  </si>
  <si>
    <t>​Model</t>
  </si>
  <si>
    <t>​Type Designator</t>
  </si>
  <si>
    <t>​Description</t>
  </si>
  <si>
    <t>​Engine Type</t>
  </si>
  <si>
    <t>​Engine Count</t>
  </si>
  <si>
    <t>​​WTC</t>
  </si>
  <si>
    <t>328 SUPPORT SERVICES</t>
  </si>
  <si>
    <t>Dornier 328JET</t>
  </si>
  <si>
    <t>J328</t>
  </si>
  <si>
    <t>LandPlane</t>
  </si>
  <si>
    <t>Jet</t>
  </si>
  <si>
    <t>M</t>
  </si>
  <si>
    <t>3XTRIM</t>
  </si>
  <si>
    <t>450 Ultra</t>
  </si>
  <si>
    <t>UL45</t>
  </si>
  <si>
    <t>Piston</t>
  </si>
  <si>
    <t>L</t>
  </si>
  <si>
    <t>Ultra</t>
  </si>
  <si>
    <t>550 Trener</t>
  </si>
  <si>
    <t>TR55</t>
  </si>
  <si>
    <t>Trener</t>
  </si>
  <si>
    <t>3X-47 Ultra</t>
  </si>
  <si>
    <t>3X-55 Trener</t>
  </si>
  <si>
    <t>3X-LS Navigator 600</t>
  </si>
  <si>
    <t>Navigator 600</t>
  </si>
  <si>
    <t>A-41</t>
  </si>
  <si>
    <t>VNS-41</t>
  </si>
  <si>
    <t>CE22</t>
  </si>
  <si>
    <t>Amphibian</t>
  </si>
  <si>
    <t>A2 CZ</t>
  </si>
  <si>
    <t>Ellipse Spirit</t>
  </si>
  <si>
    <t>ELSP</t>
  </si>
  <si>
    <t>AAC</t>
  </si>
  <si>
    <t>SeaStar</t>
  </si>
  <si>
    <t>PETR</t>
  </si>
  <si>
    <t>AAK</t>
  </si>
  <si>
    <t>Bushman</t>
  </si>
  <si>
    <t>BMAN</t>
  </si>
  <si>
    <t>Hornet</t>
  </si>
  <si>
    <t>HRNT</t>
  </si>
  <si>
    <t>Wasp</t>
  </si>
  <si>
    <t>WSP</t>
  </si>
  <si>
    <t>Flamingo</t>
  </si>
  <si>
    <t>FMGO</t>
  </si>
  <si>
    <t>AAMSA</t>
  </si>
  <si>
    <t>A-9 Quail</t>
  </si>
  <si>
    <t>A9</t>
  </si>
  <si>
    <t>Quail</t>
  </si>
  <si>
    <t>AASI</t>
  </si>
  <si>
    <t>Jetcruzer</t>
  </si>
  <si>
    <t>JCRU</t>
  </si>
  <si>
    <t>Turboprop/Turboshaft</t>
  </si>
  <si>
    <t>ABHCO</t>
  </si>
  <si>
    <t>Gazelle</t>
  </si>
  <si>
    <t>GAZL</t>
  </si>
  <si>
    <t>Helicopter</t>
  </si>
  <si>
    <t>SA-342 Gazelle</t>
  </si>
  <si>
    <t>ABS</t>
  </si>
  <si>
    <t>RF-9</t>
  </si>
  <si>
    <t>RF9</t>
  </si>
  <si>
    <t>ABS AEROLIGHT</t>
  </si>
  <si>
    <t>Xenon</t>
  </si>
  <si>
    <t>XNON</t>
  </si>
  <si>
    <t>Gyrocopter</t>
  </si>
  <si>
    <t>ACBA</t>
  </si>
  <si>
    <t>ACBA-8 Midour 2</t>
  </si>
  <si>
    <t>MIDR</t>
  </si>
  <si>
    <t>Midour 2</t>
  </si>
  <si>
    <t>ACE</t>
  </si>
  <si>
    <t>Junior Ace</t>
  </si>
  <si>
    <t>JACE</t>
  </si>
  <si>
    <t>Super Ace</t>
  </si>
  <si>
    <t>SACE</t>
  </si>
  <si>
    <t>ACEAIR</t>
  </si>
  <si>
    <t>A-200 Aeriks 200</t>
  </si>
  <si>
    <t>ARKS</t>
  </si>
  <si>
    <t>A-200 Aeris 200</t>
  </si>
  <si>
    <t>Aeriks 200</t>
  </si>
  <si>
    <t>Aeris 200</t>
  </si>
  <si>
    <t>ACES HIGH</t>
  </si>
  <si>
    <t>Cuby 2</t>
  </si>
  <si>
    <t>CUB2</t>
  </si>
  <si>
    <t>ACRO SPORT</t>
  </si>
  <si>
    <t>Acro-Sport 1</t>
  </si>
  <si>
    <t>ACRO</t>
  </si>
  <si>
    <t>Acro-Sport 2</t>
  </si>
  <si>
    <t>ACR2</t>
  </si>
  <si>
    <t>Cougar</t>
  </si>
  <si>
    <t>COUG</t>
  </si>
  <si>
    <t>Super Acro-Sport</t>
  </si>
  <si>
    <t>ACS</t>
  </si>
  <si>
    <t>ACS-100 Sora</t>
  </si>
  <si>
    <t>SORA</t>
  </si>
  <si>
    <t>Sora</t>
  </si>
  <si>
    <t>AD AEROSPACE</t>
  </si>
  <si>
    <t>T-211</t>
  </si>
  <si>
    <t>T211</t>
  </si>
  <si>
    <t>ADA</t>
  </si>
  <si>
    <t>LCA Tejas</t>
  </si>
  <si>
    <t>LCA</t>
  </si>
  <si>
    <t>Tejas</t>
  </si>
  <si>
    <t>ADAM (1)</t>
  </si>
  <si>
    <t>Loisirs</t>
  </si>
  <si>
    <t>RA14</t>
  </si>
  <si>
    <t>RA-14 Loisirs</t>
  </si>
  <si>
    <t>RA-17</t>
  </si>
  <si>
    <t>RA17</t>
  </si>
  <si>
    <t>ADAM (2)</t>
  </si>
  <si>
    <t>A-500</t>
  </si>
  <si>
    <t>A500</t>
  </si>
  <si>
    <t>A-500 CarbonAero</t>
  </si>
  <si>
    <t>A-700 AdamJet</t>
  </si>
  <si>
    <t>A700</t>
  </si>
  <si>
    <t>AdamJet</t>
  </si>
  <si>
    <t>CarbonAero</t>
  </si>
  <si>
    <t>ADAMS</t>
  </si>
  <si>
    <t>ADVANCED AEROMARINE</t>
  </si>
  <si>
    <t>Mallard</t>
  </si>
  <si>
    <t>BUCA</t>
  </si>
  <si>
    <t>ADVANCED AIRCRAFT</t>
  </si>
  <si>
    <t>Regent 1500</t>
  </si>
  <si>
    <t>C21T</t>
  </si>
  <si>
    <t>Spirit 750</t>
  </si>
  <si>
    <t>C10T</t>
  </si>
  <si>
    <t>Turbine P210</t>
  </si>
  <si>
    <t>ADVANCED AVIATION</t>
  </si>
  <si>
    <t>Buccaneer</t>
  </si>
  <si>
    <t>ADVENTURE AIR</t>
  </si>
  <si>
    <t>Adventurer</t>
  </si>
  <si>
    <t>ADVN</t>
  </si>
  <si>
    <t>AEA</t>
  </si>
  <si>
    <t>Explorer 500T</t>
  </si>
  <si>
    <t>EX5T</t>
  </si>
  <si>
    <t>Maverick</t>
  </si>
  <si>
    <t>MAVR</t>
  </si>
  <si>
    <t>AERFER-AERMACCHI</t>
  </si>
  <si>
    <t>AM-3</t>
  </si>
  <si>
    <t>AM3</t>
  </si>
  <si>
    <t>AERITALIA</t>
  </si>
  <si>
    <t>AMX Ghibli</t>
  </si>
  <si>
    <t>AMX</t>
  </si>
  <si>
    <t>G-222</t>
  </si>
  <si>
    <t>G222</t>
  </si>
  <si>
    <t>Ghibli</t>
  </si>
  <si>
    <t>Tornado</t>
  </si>
  <si>
    <t>TOR</t>
  </si>
  <si>
    <t>AERITALIA-AERMACCHI</t>
  </si>
  <si>
    <t>AERMACCHI</t>
  </si>
  <si>
    <t>AL-60</t>
  </si>
  <si>
    <t>LA60</t>
  </si>
  <si>
    <t>AL-60 Conestoga</t>
  </si>
  <si>
    <t>AL-60 Trojan</t>
  </si>
  <si>
    <t>Conestoga</t>
  </si>
  <si>
    <t>F-260F</t>
  </si>
  <si>
    <t>F260</t>
  </si>
  <si>
    <t>M-290TP Redigo</t>
  </si>
  <si>
    <t>L90</t>
  </si>
  <si>
    <t>MB-326</t>
  </si>
  <si>
    <t>M326</t>
  </si>
  <si>
    <t>MB-339</t>
  </si>
  <si>
    <t>M339</t>
  </si>
  <si>
    <t>Redigo</t>
  </si>
  <si>
    <t>T-260</t>
  </si>
  <si>
    <t>Trojan</t>
  </si>
  <si>
    <t>F-260E</t>
  </si>
  <si>
    <t>SF-260E</t>
  </si>
  <si>
    <t>SF-260F</t>
  </si>
  <si>
    <t>SF-260T</t>
  </si>
  <si>
    <t>F26T</t>
  </si>
  <si>
    <t>M-346 Master</t>
  </si>
  <si>
    <t>M346</t>
  </si>
  <si>
    <t>T-346 Master</t>
  </si>
  <si>
    <t>Master</t>
  </si>
  <si>
    <t>AL-60 Loadmaster</t>
  </si>
  <si>
    <t>AL-60 Turbine Grizzly</t>
  </si>
  <si>
    <t>LA6T</t>
  </si>
  <si>
    <t>Loadmaster</t>
  </si>
  <si>
    <t>Turbine Grizzly</t>
  </si>
  <si>
    <t>AERO (1)</t>
  </si>
  <si>
    <t>Alti Cruiser</t>
  </si>
  <si>
    <t>AC72</t>
  </si>
  <si>
    <t>Commander 500</t>
  </si>
  <si>
    <t>AC50</t>
  </si>
  <si>
    <t>Commander 520</t>
  </si>
  <si>
    <t>AC52</t>
  </si>
  <si>
    <t>Commander 560</t>
  </si>
  <si>
    <t>AC56</t>
  </si>
  <si>
    <t>Commander 680 Super</t>
  </si>
  <si>
    <t>AC68</t>
  </si>
  <si>
    <t>Commander 680E</t>
  </si>
  <si>
    <t>Commander 680F</t>
  </si>
  <si>
    <t>Commander 720 Alti Cruiser</t>
  </si>
  <si>
    <t>L-26B Commander 560</t>
  </si>
  <si>
    <t>L-26C Commander 680 Super</t>
  </si>
  <si>
    <t>U-4A Commander 560</t>
  </si>
  <si>
    <t>U-4B Commander 680 Super</t>
  </si>
  <si>
    <t>U-9 Commander 680 Super</t>
  </si>
  <si>
    <t>AERO (2)</t>
  </si>
  <si>
    <t>AE45</t>
  </si>
  <si>
    <t>Albatros</t>
  </si>
  <si>
    <t>L39</t>
  </si>
  <si>
    <t>Albatros 2</t>
  </si>
  <si>
    <t>L159</t>
  </si>
  <si>
    <t>Brigadyr</t>
  </si>
  <si>
    <t>L60</t>
  </si>
  <si>
    <t>C-104</t>
  </si>
  <si>
    <t>BU31</t>
  </si>
  <si>
    <t>CS-102</t>
  </si>
  <si>
    <t>MG15</t>
  </si>
  <si>
    <t>Delfin</t>
  </si>
  <si>
    <t>L29</t>
  </si>
  <si>
    <t>L-29 Delfin</t>
  </si>
  <si>
    <t>L-39 Albatros</t>
  </si>
  <si>
    <t>L-59</t>
  </si>
  <si>
    <t>L59</t>
  </si>
  <si>
    <t>L-60 Brigadyr</t>
  </si>
  <si>
    <t>L-139 Albatros</t>
  </si>
  <si>
    <t>L-159</t>
  </si>
  <si>
    <t>L-159  Albatros 2</t>
  </si>
  <si>
    <t>S-102</t>
  </si>
  <si>
    <t>S-103</t>
  </si>
  <si>
    <t>Z-131</t>
  </si>
  <si>
    <t>Ae-270 Propjet</t>
  </si>
  <si>
    <t>A270</t>
  </si>
  <si>
    <t>Propjet</t>
  </si>
  <si>
    <t>AERO (3)</t>
  </si>
  <si>
    <t>AT-4</t>
  </si>
  <si>
    <t>AAT4</t>
  </si>
  <si>
    <t>AT-3</t>
  </si>
  <si>
    <t>AAT3</t>
  </si>
  <si>
    <t>P-220-AT1</t>
  </si>
  <si>
    <t>P220</t>
  </si>
  <si>
    <t>P-220-AT2</t>
  </si>
  <si>
    <t>AERO ADVENTURE</t>
  </si>
  <si>
    <t>Aventura 2</t>
  </si>
  <si>
    <t>AVTR</t>
  </si>
  <si>
    <t>Toucan</t>
  </si>
  <si>
    <t>ZEP2</t>
  </si>
  <si>
    <t>AERO BOERO</t>
  </si>
  <si>
    <t>AB-95</t>
  </si>
  <si>
    <t>AB95</t>
  </si>
  <si>
    <t>AB-115</t>
  </si>
  <si>
    <t>AB11</t>
  </si>
  <si>
    <t>AB-150</t>
  </si>
  <si>
    <t>AB15</t>
  </si>
  <si>
    <t>AB-180</t>
  </si>
  <si>
    <t>AB18</t>
  </si>
  <si>
    <t>AERO COMMANDER</t>
  </si>
  <si>
    <t>100 Commander 100</t>
  </si>
  <si>
    <t>VO10</t>
  </si>
  <si>
    <t>200 Commander 200</t>
  </si>
  <si>
    <t>M200</t>
  </si>
  <si>
    <t>500 Commander 500</t>
  </si>
  <si>
    <t>560 Commander 560</t>
  </si>
  <si>
    <t>680F Commander 680F</t>
  </si>
  <si>
    <t>680FL Grand Commander</t>
  </si>
  <si>
    <t>AC6L</t>
  </si>
  <si>
    <t>680FP Commander 680FP</t>
  </si>
  <si>
    <t>680T Turbo Commander</t>
  </si>
  <si>
    <t>AC80</t>
  </si>
  <si>
    <t>680V Turbo Commander</t>
  </si>
  <si>
    <t>1121 Jet Commander</t>
  </si>
  <si>
    <t>JCOM</t>
  </si>
  <si>
    <t>A-9 Ag Commander</t>
  </si>
  <si>
    <t>Ag Commander (A-9)</t>
  </si>
  <si>
    <t>Ag Commander (B-1)</t>
  </si>
  <si>
    <t>CLB1</t>
  </si>
  <si>
    <t>Ag Commander (S-2)</t>
  </si>
  <si>
    <t>SS2P</t>
  </si>
  <si>
    <t>B-1 Ag Commander</t>
  </si>
  <si>
    <t>Commander 100</t>
  </si>
  <si>
    <t>Commander 200</t>
  </si>
  <si>
    <t>Commander 680FP</t>
  </si>
  <si>
    <t>Grand Commander</t>
  </si>
  <si>
    <t>Jet Commander</t>
  </si>
  <si>
    <t>S-2 Ag Commander</t>
  </si>
  <si>
    <t>Turbo Commander (680)</t>
  </si>
  <si>
    <t>AERO DESIGNS</t>
  </si>
  <si>
    <t>Pulsar</t>
  </si>
  <si>
    <t>PULS</t>
  </si>
  <si>
    <t>AERO ELI</t>
  </si>
  <si>
    <t>Yo-Yo</t>
  </si>
  <si>
    <t>R22</t>
  </si>
  <si>
    <t>AERO GARE</t>
  </si>
  <si>
    <t>Sea Hawker</t>
  </si>
  <si>
    <t>AGSH</t>
  </si>
  <si>
    <t>AERO ITBA</t>
  </si>
  <si>
    <t>Petrel</t>
  </si>
  <si>
    <t>PETL</t>
  </si>
  <si>
    <t>AERO JAEN</t>
  </si>
  <si>
    <t>RF-5 Serrania</t>
  </si>
  <si>
    <t>RF5</t>
  </si>
  <si>
    <t>Serrania</t>
  </si>
  <si>
    <t>AERO KUHLMANN</t>
  </si>
  <si>
    <t>Scub</t>
  </si>
  <si>
    <t>SCUB</t>
  </si>
  <si>
    <t>AERO MERCANTIL</t>
  </si>
  <si>
    <t>358 Gavilan</t>
  </si>
  <si>
    <t>GAVI</t>
  </si>
  <si>
    <t>Gavilan</t>
  </si>
  <si>
    <t>AERO MIRAGE</t>
  </si>
  <si>
    <t>TC-2</t>
  </si>
  <si>
    <t>TC2</t>
  </si>
  <si>
    <t>AERO MOD</t>
  </si>
  <si>
    <t>G-164 Super Ag Max</t>
  </si>
  <si>
    <t>G164</t>
  </si>
  <si>
    <t>Super Ag Max</t>
  </si>
  <si>
    <t>AERO SERVICES</t>
  </si>
  <si>
    <t>Guepard</t>
  </si>
  <si>
    <t>GUEP</t>
  </si>
  <si>
    <t>Guepy</t>
  </si>
  <si>
    <t>Super Guepard</t>
  </si>
  <si>
    <t>Guêpe</t>
  </si>
  <si>
    <t>GEPE</t>
  </si>
  <si>
    <t>AERO SPACELINES</t>
  </si>
  <si>
    <t>377SGT Super Guppy</t>
  </si>
  <si>
    <t>SGUP</t>
  </si>
  <si>
    <t>Super Guppy</t>
  </si>
  <si>
    <t>AERO-ASTRA</t>
  </si>
  <si>
    <t>Okhotnik</t>
  </si>
  <si>
    <t>OKHO</t>
  </si>
  <si>
    <t>AERO-COMPOSITES</t>
  </si>
  <si>
    <t>AERO-DIFUSION</t>
  </si>
  <si>
    <t>Compostela</t>
  </si>
  <si>
    <t>D11</t>
  </si>
  <si>
    <t>D-112 Popuplane</t>
  </si>
  <si>
    <t>D-119 Popuplane</t>
  </si>
  <si>
    <t>D-1190S Compostela</t>
  </si>
  <si>
    <t>Popuplane</t>
  </si>
  <si>
    <t>AERO-EAST-EUROPE</t>
  </si>
  <si>
    <t>MPX-158 Embera</t>
  </si>
  <si>
    <t>MX58</t>
  </si>
  <si>
    <t>Embera</t>
  </si>
  <si>
    <t>MXP-155 Tayrona</t>
  </si>
  <si>
    <t>MX1T</t>
  </si>
  <si>
    <t>Tayrona</t>
  </si>
  <si>
    <t>SILA-450</t>
  </si>
  <si>
    <t>S450</t>
  </si>
  <si>
    <t>AERO-JODEL</t>
  </si>
  <si>
    <t>D-11</t>
  </si>
  <si>
    <t>AERO-KROS</t>
  </si>
  <si>
    <t>MP-02 Czajka</t>
  </si>
  <si>
    <t>MP02</t>
  </si>
  <si>
    <t>Czajka</t>
  </si>
  <si>
    <t>AEROALCOOL</t>
  </si>
  <si>
    <t>Quasar Lite</t>
  </si>
  <si>
    <t>QUAS</t>
  </si>
  <si>
    <t>AEROANDINA</t>
  </si>
  <si>
    <t>Fantasy</t>
  </si>
  <si>
    <t>MX80</t>
  </si>
  <si>
    <t>MXP-800 Fantasy</t>
  </si>
  <si>
    <t>MXP-1000 Tayrona</t>
  </si>
  <si>
    <t>MXP-158 Embera</t>
  </si>
  <si>
    <t>MXP-150 Kimbaya</t>
  </si>
  <si>
    <t>Kimbaya</t>
  </si>
  <si>
    <t>AEROBRAVO</t>
  </si>
  <si>
    <t>Bravo</t>
  </si>
  <si>
    <t>CH70</t>
  </si>
  <si>
    <t>AEROCAD</t>
  </si>
  <si>
    <t>AeroCanard</t>
  </si>
  <si>
    <t>COZY</t>
  </si>
  <si>
    <t>AEROCAR</t>
  </si>
  <si>
    <t>Aerocar</t>
  </si>
  <si>
    <t>CAR</t>
  </si>
  <si>
    <t>Coot</t>
  </si>
  <si>
    <t>COOT</t>
  </si>
  <si>
    <t>Mini-Imp</t>
  </si>
  <si>
    <t>MIMP</t>
  </si>
  <si>
    <t>Super Coot</t>
  </si>
  <si>
    <t>AEROCOMP</t>
  </si>
  <si>
    <t>CA-3 Comp Air 3</t>
  </si>
  <si>
    <t>CA3</t>
  </si>
  <si>
    <t>CA-4 Comp Air 4</t>
  </si>
  <si>
    <t>CA4</t>
  </si>
  <si>
    <t>CA-4 Comp Monster</t>
  </si>
  <si>
    <t>CA-6 Comp Air 6</t>
  </si>
  <si>
    <t>CA6</t>
  </si>
  <si>
    <t>CA-7P Comp Air 7P</t>
  </si>
  <si>
    <t>CA7P</t>
  </si>
  <si>
    <t>CA-7SL Comp Air 7SL</t>
  </si>
  <si>
    <t>CA-7SLX Comp Air 7SLX</t>
  </si>
  <si>
    <t>CA7T</t>
  </si>
  <si>
    <t>CA-7T Comp Air 7T</t>
  </si>
  <si>
    <t>CA-8 Comp Air 8</t>
  </si>
  <si>
    <t>CA8</t>
  </si>
  <si>
    <t>CA-10 Comp Air 10</t>
  </si>
  <si>
    <t>CA1P</t>
  </si>
  <si>
    <t>CA-10T  Comp Air 10T</t>
  </si>
  <si>
    <t>CA1T</t>
  </si>
  <si>
    <t>CA-10XLT Comp Air 10XLT</t>
  </si>
  <si>
    <t>CA-J Comp Air Jet</t>
  </si>
  <si>
    <t>CAJ</t>
  </si>
  <si>
    <t>Comp Air 3</t>
  </si>
  <si>
    <t>Comp Air 4</t>
  </si>
  <si>
    <t>Comp Air 6</t>
  </si>
  <si>
    <t>Comp Air 7P</t>
  </si>
  <si>
    <t>Comp Air 7SL</t>
  </si>
  <si>
    <t>Comp Air 7SLX</t>
  </si>
  <si>
    <t>Comp Air 7T</t>
  </si>
  <si>
    <t>Comp Air 8</t>
  </si>
  <si>
    <t>Comp Air 10</t>
  </si>
  <si>
    <t>Comp Air 10T</t>
  </si>
  <si>
    <t>Comp Air Jet</t>
  </si>
  <si>
    <t>Comp Monster</t>
  </si>
  <si>
    <t>E-Z Flyer</t>
  </si>
  <si>
    <t>EZFL</t>
  </si>
  <si>
    <t>Merlin</t>
  </si>
  <si>
    <t>MAME</t>
  </si>
  <si>
    <t>AERODIS</t>
  </si>
  <si>
    <t>G-802 Orion</t>
  </si>
  <si>
    <t>G800</t>
  </si>
  <si>
    <t>Orion</t>
  </si>
  <si>
    <t>AERODYNOS</t>
  </si>
  <si>
    <t>Evolution</t>
  </si>
  <si>
    <t>J177</t>
  </si>
  <si>
    <t>JA-177 Evolution</t>
  </si>
  <si>
    <t>JA-177 Pingouin</t>
  </si>
  <si>
    <t>Pingouin</t>
  </si>
  <si>
    <t>AEROJAMES</t>
  </si>
  <si>
    <t>01 Isatis</t>
  </si>
  <si>
    <t>ISAT</t>
  </si>
  <si>
    <t>Isatis</t>
  </si>
  <si>
    <t>AEROKOPTER</t>
  </si>
  <si>
    <t>AK-1</t>
  </si>
  <si>
    <t>ZA6</t>
  </si>
  <si>
    <t>ZA-6 Sanka</t>
  </si>
  <si>
    <t>Sanka</t>
  </si>
  <si>
    <t>AEROLAB</t>
  </si>
  <si>
    <t>LoCamp</t>
  </si>
  <si>
    <t>LOCA</t>
  </si>
  <si>
    <t>AEROLITES</t>
  </si>
  <si>
    <t>AeroSkiff</t>
  </si>
  <si>
    <t>SKIF</t>
  </si>
  <si>
    <t>AEROMERE</t>
  </si>
  <si>
    <t>F-8L Falco</t>
  </si>
  <si>
    <t>F8L</t>
  </si>
  <si>
    <t>Falco</t>
  </si>
  <si>
    <t>AEROMOT</t>
  </si>
  <si>
    <t>AMT-100 Ximango</t>
  </si>
  <si>
    <t>RF10</t>
  </si>
  <si>
    <t>AMT-200 Super Ximango</t>
  </si>
  <si>
    <t>AMT-300 Turbo Ximango Shark</t>
  </si>
  <si>
    <t>AMT-600 Guri</t>
  </si>
  <si>
    <t>GURI</t>
  </si>
  <si>
    <t>Guri</t>
  </si>
  <si>
    <t>Super Ximango</t>
  </si>
  <si>
    <t>TG-14 Super Ximango</t>
  </si>
  <si>
    <t>Turbo Ximango Shark</t>
  </si>
  <si>
    <t>Ximango</t>
  </si>
  <si>
    <t>AERONCA</t>
  </si>
  <si>
    <t>7AC Champion</t>
  </si>
  <si>
    <t>CH7A</t>
  </si>
  <si>
    <t>7BCM</t>
  </si>
  <si>
    <t>7CC Champion</t>
  </si>
  <si>
    <t>7CCM</t>
  </si>
  <si>
    <t>7DC Champion</t>
  </si>
  <si>
    <t>7EC Traveler</t>
  </si>
  <si>
    <t>11 Chief</t>
  </si>
  <si>
    <t>AR11</t>
  </si>
  <si>
    <t>15 Sedan</t>
  </si>
  <si>
    <t>AR15</t>
  </si>
  <si>
    <t>Champion</t>
  </si>
  <si>
    <t>L-16</t>
  </si>
  <si>
    <t>Sedan</t>
  </si>
  <si>
    <t>Traveler</t>
  </si>
  <si>
    <t>Chief (11)</t>
  </si>
  <si>
    <t>K Scout</t>
  </si>
  <si>
    <t>AERK</t>
  </si>
  <si>
    <t>K Sea Scout</t>
  </si>
  <si>
    <t>CF Scout</t>
  </si>
  <si>
    <t>Scout</t>
  </si>
  <si>
    <t>Sea  Scout</t>
  </si>
  <si>
    <t>50 Chief</t>
  </si>
  <si>
    <t>AR50</t>
  </si>
  <si>
    <t>Chief (50)</t>
  </si>
  <si>
    <t>65 Super Chief</t>
  </si>
  <si>
    <t>AR65</t>
  </si>
  <si>
    <t>Super Chief</t>
  </si>
  <si>
    <t>50 Tandem</t>
  </si>
  <si>
    <t>AR5T</t>
  </si>
  <si>
    <t>Tandem (50)</t>
  </si>
  <si>
    <t>60 Tandem</t>
  </si>
  <si>
    <t>AR6T</t>
  </si>
  <si>
    <t>Tandem (60)</t>
  </si>
  <si>
    <t>65 Tandem</t>
  </si>
  <si>
    <t>Tandem (65)</t>
  </si>
  <si>
    <t>65 Defender</t>
  </si>
  <si>
    <t>Defender</t>
  </si>
  <si>
    <t>YO-58 Grasshopper</t>
  </si>
  <si>
    <t>O-58 Grasshopper</t>
  </si>
  <si>
    <t>L-3 Grasshopper</t>
  </si>
  <si>
    <t>Grasshopper</t>
  </si>
  <si>
    <t>AERONIX</t>
  </si>
  <si>
    <t>Airelle</t>
  </si>
  <si>
    <t>AIRL</t>
  </si>
  <si>
    <t>AEROPLASTIKA</t>
  </si>
  <si>
    <t>LAK-X</t>
  </si>
  <si>
    <t>LAKX</t>
  </si>
  <si>
    <t>AEROPRACT</t>
  </si>
  <si>
    <t>A-19</t>
  </si>
  <si>
    <t>A19</t>
  </si>
  <si>
    <t>A-21 Solo</t>
  </si>
  <si>
    <t>A21</t>
  </si>
  <si>
    <t>A-23 Dragon</t>
  </si>
  <si>
    <t>A23</t>
  </si>
  <si>
    <t>A-25 Breeze</t>
  </si>
  <si>
    <t>A25</t>
  </si>
  <si>
    <t>A-27</t>
  </si>
  <si>
    <t>A27</t>
  </si>
  <si>
    <t>A-33</t>
  </si>
  <si>
    <t>A33</t>
  </si>
  <si>
    <t>A-37</t>
  </si>
  <si>
    <t>AA37</t>
  </si>
  <si>
    <t>Breeze</t>
  </si>
  <si>
    <t>Dragon</t>
  </si>
  <si>
    <t>Solo</t>
  </si>
  <si>
    <t>AEROPRAKT</t>
  </si>
  <si>
    <t>A-20</t>
  </si>
  <si>
    <t>AP20</t>
  </si>
  <si>
    <t>A-20 Sky Cruiser</t>
  </si>
  <si>
    <t>A-20 Super Cruiser</t>
  </si>
  <si>
    <t>A-20 Varlet</t>
  </si>
  <si>
    <t>A-20 Vista</t>
  </si>
  <si>
    <t>A-22</t>
  </si>
  <si>
    <t>AP22</t>
  </si>
  <si>
    <t>A-22 Foxbat</t>
  </si>
  <si>
    <t>A-22 Valor</t>
  </si>
  <si>
    <t>A-22 Vision</t>
  </si>
  <si>
    <t>A-24 Viking</t>
  </si>
  <si>
    <t>AP24</t>
  </si>
  <si>
    <t>A-26 Twin Vista</t>
  </si>
  <si>
    <t>AP26</t>
  </si>
  <si>
    <t>A-28 Victor</t>
  </si>
  <si>
    <t>AP28</t>
  </si>
  <si>
    <t>A-36 Vulcan</t>
  </si>
  <si>
    <t>AP36</t>
  </si>
  <si>
    <t>Foxbat</t>
  </si>
  <si>
    <t>SA-20 Vista</t>
  </si>
  <si>
    <t>SA-26 Twin Vista</t>
  </si>
  <si>
    <t>SA-28 Victor</t>
  </si>
  <si>
    <t>Sky Cruiser</t>
  </si>
  <si>
    <t>Super Cruiser</t>
  </si>
  <si>
    <t>Twin Vista</t>
  </si>
  <si>
    <t>Valor</t>
  </si>
  <si>
    <t>Varlet</t>
  </si>
  <si>
    <t>Victor</t>
  </si>
  <si>
    <t>Viking</t>
  </si>
  <si>
    <t>Vision</t>
  </si>
  <si>
    <t>Vista</t>
  </si>
  <si>
    <t>Vulcan</t>
  </si>
  <si>
    <t>A-32 Vixxen</t>
  </si>
  <si>
    <t>AP32</t>
  </si>
  <si>
    <t>Vixxen</t>
  </si>
  <si>
    <t>A-22 Sharik</t>
  </si>
  <si>
    <t>Sharik</t>
  </si>
  <si>
    <t>A-22 Kelpie</t>
  </si>
  <si>
    <t>Kelpie</t>
  </si>
  <si>
    <t>AEROPRO</t>
  </si>
  <si>
    <t>Eurofox</t>
  </si>
  <si>
    <t>EFOX</t>
  </si>
  <si>
    <t>AEROPROGRESS</t>
  </si>
  <si>
    <t>Aist-2</t>
  </si>
  <si>
    <t>T411</t>
  </si>
  <si>
    <t>Grach</t>
  </si>
  <si>
    <t>T101</t>
  </si>
  <si>
    <t>T-101 Grach</t>
  </si>
  <si>
    <t>T-411 Aist-2</t>
  </si>
  <si>
    <t>AEROPUP</t>
  </si>
  <si>
    <t>Aeropup</t>
  </si>
  <si>
    <t>APUP</t>
  </si>
  <si>
    <t>AERORIC</t>
  </si>
  <si>
    <t>Dingo</t>
  </si>
  <si>
    <t>DNGO</t>
  </si>
  <si>
    <t>AEROS</t>
  </si>
  <si>
    <t>UL2F</t>
  </si>
  <si>
    <t>UL-2000 Flamingo</t>
  </si>
  <si>
    <t>AEROSAMARA</t>
  </si>
  <si>
    <t>Katran</t>
  </si>
  <si>
    <t>KATR</t>
  </si>
  <si>
    <t>F-41 El'brus</t>
  </si>
  <si>
    <t>F41E</t>
  </si>
  <si>
    <t>El'brus</t>
  </si>
  <si>
    <t>AEROSETTE</t>
  </si>
  <si>
    <t>Eclipse</t>
  </si>
  <si>
    <t>MH46</t>
  </si>
  <si>
    <t>MH-46 Eclipse</t>
  </si>
  <si>
    <t>AEROSPATIALE</t>
  </si>
  <si>
    <t>Alouette 2</t>
  </si>
  <si>
    <t>ALO2</t>
  </si>
  <si>
    <t>Alouette 3</t>
  </si>
  <si>
    <t>ALO3</t>
  </si>
  <si>
    <t>AS-332B1 Super Puma</t>
  </si>
  <si>
    <t>AS32</t>
  </si>
  <si>
    <t>AS-332B Super Puma</t>
  </si>
  <si>
    <t>AS-332C Super Puma</t>
  </si>
  <si>
    <t>AS-332F1 Super Puma</t>
  </si>
  <si>
    <t>AS-332L1 Super Puma</t>
  </si>
  <si>
    <t>AS-332L2 Super Puma Mk2</t>
  </si>
  <si>
    <t>AS3B</t>
  </si>
  <si>
    <t>AS-332L Super Puma</t>
  </si>
  <si>
    <t>AS-332L Tiger</t>
  </si>
  <si>
    <t>AS-332M1 Super Puma</t>
  </si>
  <si>
    <t>AS-332M Super Puma</t>
  </si>
  <si>
    <t>AS-350 AStar</t>
  </si>
  <si>
    <t>AS50</t>
  </si>
  <si>
    <t>AS-350 Ecureuil</t>
  </si>
  <si>
    <t>AS-350 SuperStar</t>
  </si>
  <si>
    <t>AS-355 Ecureuil 2</t>
  </si>
  <si>
    <t>AS55</t>
  </si>
  <si>
    <t>AS-355 TwinStar</t>
  </si>
  <si>
    <t>AS-365 Dauphin 2</t>
  </si>
  <si>
    <t>AS65</t>
  </si>
  <si>
    <t>AS-366 Dolphin</t>
  </si>
  <si>
    <t>AS-532A2 Cougar Mk2</t>
  </si>
  <si>
    <t>AS-532SC Cougar</t>
  </si>
  <si>
    <t>AS-532U2 Cougar Mk2</t>
  </si>
  <si>
    <t>AS-532UC Cougar</t>
  </si>
  <si>
    <t>AS-532UL Cougar</t>
  </si>
  <si>
    <t>AS-550 Fennec</t>
  </si>
  <si>
    <t>AS-555 Fennec</t>
  </si>
  <si>
    <t>AS-565 Panther</t>
  </si>
  <si>
    <t>AStar</t>
  </si>
  <si>
    <t>CH-33 Puma</t>
  </si>
  <si>
    <t>PUMA</t>
  </si>
  <si>
    <t>CM-170R Magister</t>
  </si>
  <si>
    <t>FOUG</t>
  </si>
  <si>
    <t>Corvette</t>
  </si>
  <si>
    <t>S601</t>
  </si>
  <si>
    <t>Cougar Mk2</t>
  </si>
  <si>
    <t>Dauphin</t>
  </si>
  <si>
    <t>S360</t>
  </si>
  <si>
    <t>Dauphin 2 (AS-365, SA-365F/N)</t>
  </si>
  <si>
    <t>Dauphin 2 (SA-365C)</t>
  </si>
  <si>
    <t>S65C</t>
  </si>
  <si>
    <t>Dolphin</t>
  </si>
  <si>
    <t>Ecureuil</t>
  </si>
  <si>
    <t>Ecureuil 2</t>
  </si>
  <si>
    <t>Epsilon</t>
  </si>
  <si>
    <t>TB30</t>
  </si>
  <si>
    <t>Fennec (AS-550)</t>
  </si>
  <si>
    <t>Fennec (AS-555)</t>
  </si>
  <si>
    <t>Frégate</t>
  </si>
  <si>
    <t>N262</t>
  </si>
  <si>
    <t>HH-65 Dolphin</t>
  </si>
  <si>
    <t>Hkp10 Super Puma</t>
  </si>
  <si>
    <t>Lama</t>
  </si>
  <si>
    <t>LAMA</t>
  </si>
  <si>
    <t>Magister</t>
  </si>
  <si>
    <t>Mohawk 298</t>
  </si>
  <si>
    <t>N-262</t>
  </si>
  <si>
    <t>N-262 Frégate</t>
  </si>
  <si>
    <t>Panther</t>
  </si>
  <si>
    <t>Puma</t>
  </si>
  <si>
    <t>SA-315 Lama</t>
  </si>
  <si>
    <t>SA-316 Alouette 3</t>
  </si>
  <si>
    <t>SA-318 Alouette 2</t>
  </si>
  <si>
    <t>SA-319 Alouette 3</t>
  </si>
  <si>
    <t>SA-321 Super Frelon</t>
  </si>
  <si>
    <t>FREL</t>
  </si>
  <si>
    <t>SA-330 Puma</t>
  </si>
  <si>
    <t>SA-341 Gazelle</t>
  </si>
  <si>
    <t>SA-360 Dauphin</t>
  </si>
  <si>
    <t>SA-361 Dauphin</t>
  </si>
  <si>
    <t>SA-365C Dauphin 2</t>
  </si>
  <si>
    <t>SA-365F Dauphin 2</t>
  </si>
  <si>
    <t>SA-365K Panther</t>
  </si>
  <si>
    <t>SA-365M Panther</t>
  </si>
  <si>
    <t>SA-365N Dauphin 2</t>
  </si>
  <si>
    <t>SA-366 Dolphin</t>
  </si>
  <si>
    <t>SN-601 Corvette</t>
  </si>
  <si>
    <t>Super Frelon</t>
  </si>
  <si>
    <t>Super Puma</t>
  </si>
  <si>
    <t>Super Puma Mk2</t>
  </si>
  <si>
    <t>SuperStar</t>
  </si>
  <si>
    <t>TB-30 Epsilon</t>
  </si>
  <si>
    <t>Tiger</t>
  </si>
  <si>
    <t>TwinStar</t>
  </si>
  <si>
    <t>AEROSPOOL</t>
  </si>
  <si>
    <t>Dynamic</t>
  </si>
  <si>
    <t>WT9</t>
  </si>
  <si>
    <t>WT-9 Dynamic</t>
  </si>
  <si>
    <t>AEROSPORT</t>
  </si>
  <si>
    <t>QAIL</t>
  </si>
  <si>
    <t>Rail</t>
  </si>
  <si>
    <t>RAIL</t>
  </si>
  <si>
    <t>Scamp</t>
  </si>
  <si>
    <t>SCAM</t>
  </si>
  <si>
    <t>Woody Pusher</t>
  </si>
  <si>
    <t>WOPU</t>
  </si>
  <si>
    <t>AEROSTAR (1)</t>
  </si>
  <si>
    <t>M10</t>
  </si>
  <si>
    <t>M20P</t>
  </si>
  <si>
    <t>AEST</t>
  </si>
  <si>
    <t>FJ-100</t>
  </si>
  <si>
    <t>FJ10</t>
  </si>
  <si>
    <t>AEROSTAR (2)</t>
  </si>
  <si>
    <t>01 Festival</t>
  </si>
  <si>
    <t>FEST</t>
  </si>
  <si>
    <t>Festival</t>
  </si>
  <si>
    <t>Iak-52</t>
  </si>
  <si>
    <t>YK52</t>
  </si>
  <si>
    <t>Lancer</t>
  </si>
  <si>
    <t>MG21</t>
  </si>
  <si>
    <t>MiG-21 Lancer</t>
  </si>
  <si>
    <t>Wild Thing</t>
  </si>
  <si>
    <t>WILT</t>
  </si>
  <si>
    <t>WT-01 Wild Thing</t>
  </si>
  <si>
    <t>WT-02 Wild Thing</t>
  </si>
  <si>
    <t>Yak-52</t>
  </si>
  <si>
    <t>Yak-54</t>
  </si>
  <si>
    <t>R40S Festival</t>
  </si>
  <si>
    <t>AEROSTRUCTURE</t>
  </si>
  <si>
    <t>RF-10</t>
  </si>
  <si>
    <t>AEROSTYLE</t>
  </si>
  <si>
    <t>Breezer</t>
  </si>
  <si>
    <t>BREZ</t>
  </si>
  <si>
    <t>AEROTEC (1)</t>
  </si>
  <si>
    <t>A-122 Uirapuru</t>
  </si>
  <si>
    <t>A122</t>
  </si>
  <si>
    <t>T-23 Uirapuru</t>
  </si>
  <si>
    <t>Uirapuru</t>
  </si>
  <si>
    <t>AEROTEC (2)</t>
  </si>
  <si>
    <t>Amigo</t>
  </si>
  <si>
    <t>MX65</t>
  </si>
  <si>
    <t>Aventura</t>
  </si>
  <si>
    <t>MX10</t>
  </si>
  <si>
    <t>MXP-100 Aventura</t>
  </si>
  <si>
    <t>MXP-650 Amigo</t>
  </si>
  <si>
    <t>MXP-740 Savannah</t>
  </si>
  <si>
    <t>SVNH</t>
  </si>
  <si>
    <t>Savannah</t>
  </si>
  <si>
    <t>AEROTECH</t>
  </si>
  <si>
    <t>AEROTECHNIK</t>
  </si>
  <si>
    <t>Koala</t>
  </si>
  <si>
    <t>L-13S Super Vivat</t>
  </si>
  <si>
    <t>L13S</t>
  </si>
  <si>
    <t>L-13S Vivat</t>
  </si>
  <si>
    <t>P-220 Koala</t>
  </si>
  <si>
    <t>Super Vivat</t>
  </si>
  <si>
    <t>Vivat</t>
  </si>
  <si>
    <t>AEROTEK (1)</t>
  </si>
  <si>
    <t>Pitts S-1 Special</t>
  </si>
  <si>
    <t>PTS1</t>
  </si>
  <si>
    <t>Pitts S-2 Special</t>
  </si>
  <si>
    <t>PTS2</t>
  </si>
  <si>
    <t>AEROTEK (2)</t>
  </si>
  <si>
    <t>Hummingbird</t>
  </si>
  <si>
    <t>HUMM</t>
  </si>
  <si>
    <t>AEROTEK (3)</t>
  </si>
  <si>
    <t>Turbo Grizzly</t>
  </si>
  <si>
    <t>GRIZ</t>
  </si>
  <si>
    <t>AEROTREK</t>
  </si>
  <si>
    <t>A-220</t>
  </si>
  <si>
    <t>A-240</t>
  </si>
  <si>
    <t>AEROVOLGA</t>
  </si>
  <si>
    <t>L-6</t>
  </si>
  <si>
    <t>L6</t>
  </si>
  <si>
    <t>LA-8 Flagman</t>
  </si>
  <si>
    <t>LA8</t>
  </si>
  <si>
    <t>Flagman</t>
  </si>
  <si>
    <t>AESL</t>
  </si>
  <si>
    <t>Airtourer</t>
  </si>
  <si>
    <t>TOUR</t>
  </si>
  <si>
    <t>Airtrainer</t>
  </si>
  <si>
    <t>CT4</t>
  </si>
  <si>
    <t>CT-4 Airtrainer</t>
  </si>
  <si>
    <t>AFIC</t>
  </si>
  <si>
    <t>Falcon</t>
  </si>
  <si>
    <t>OSCR</t>
  </si>
  <si>
    <t>RSA-200 Falcon</t>
  </si>
  <si>
    <t>AG-CAT</t>
  </si>
  <si>
    <t>G-164 Super Turbine</t>
  </si>
  <si>
    <t>G64T</t>
  </si>
  <si>
    <t>Super Turbine</t>
  </si>
  <si>
    <t>AGRO-COPTEROS</t>
  </si>
  <si>
    <t>AGROLOT</t>
  </si>
  <si>
    <t>Mrówka</t>
  </si>
  <si>
    <t>PZ26</t>
  </si>
  <si>
    <t>PZL-126 Mrówka</t>
  </si>
  <si>
    <t>AGUSTA</t>
  </si>
  <si>
    <t>A-109</t>
  </si>
  <si>
    <t>A109</t>
  </si>
  <si>
    <t>A-109 Grand</t>
  </si>
  <si>
    <t>A-109 Power</t>
  </si>
  <si>
    <t>A-119 Koala</t>
  </si>
  <si>
    <t>A119</t>
  </si>
  <si>
    <t>A-129 Mangusta</t>
  </si>
  <si>
    <t>A129</t>
  </si>
  <si>
    <t>AB-47G</t>
  </si>
  <si>
    <t>B47G</t>
  </si>
  <si>
    <t>AB-47J</t>
  </si>
  <si>
    <t>B47J</t>
  </si>
  <si>
    <t>AB-204</t>
  </si>
  <si>
    <t>UH1</t>
  </si>
  <si>
    <t>AB-205</t>
  </si>
  <si>
    <t>AB-206 JetRanger</t>
  </si>
  <si>
    <t>B06</t>
  </si>
  <si>
    <t>AB-206 LongRanger</t>
  </si>
  <si>
    <t>AB-212</t>
  </si>
  <si>
    <t>B212</t>
  </si>
  <si>
    <t>AB-412</t>
  </si>
  <si>
    <t>B412</t>
  </si>
  <si>
    <t>AB-412 Griffon</t>
  </si>
  <si>
    <t>AS-61A</t>
  </si>
  <si>
    <t>S61</t>
  </si>
  <si>
    <t>AS-61N</t>
  </si>
  <si>
    <t>AS-61R</t>
  </si>
  <si>
    <t>S61R</t>
  </si>
  <si>
    <t>ASH-61</t>
  </si>
  <si>
    <t>AW-119 Koala</t>
  </si>
  <si>
    <t>AW-139</t>
  </si>
  <si>
    <t>A139</t>
  </si>
  <si>
    <t>Grand</t>
  </si>
  <si>
    <t>Griffon</t>
  </si>
  <si>
    <t>GrandNew</t>
  </si>
  <si>
    <t>AW-109 Da Vinci</t>
  </si>
  <si>
    <t>Da Vinci</t>
  </si>
  <si>
    <t>HH-3</t>
  </si>
  <si>
    <t>Hkp3</t>
  </si>
  <si>
    <t>Hkp6 JetRanger</t>
  </si>
  <si>
    <t>Hkp11</t>
  </si>
  <si>
    <t>Hkp15</t>
  </si>
  <si>
    <t>JetRanger</t>
  </si>
  <si>
    <t>LongRanger</t>
  </si>
  <si>
    <t>Mangusta</t>
  </si>
  <si>
    <t>MH-68 Stingray</t>
  </si>
  <si>
    <t>NH-500</t>
  </si>
  <si>
    <t>H500</t>
  </si>
  <si>
    <t>Power</t>
  </si>
  <si>
    <t>SH-3</t>
  </si>
  <si>
    <t>Stingray</t>
  </si>
  <si>
    <t>AW-109</t>
  </si>
  <si>
    <t>AW-109 GrandNew</t>
  </si>
  <si>
    <t>AW-109 Power</t>
  </si>
  <si>
    <t>AW-109 Grand</t>
  </si>
  <si>
    <t>Nexus</t>
  </si>
  <si>
    <t>AW-149</t>
  </si>
  <si>
    <t>A149</t>
  </si>
  <si>
    <t>A-109 Nexus</t>
  </si>
  <si>
    <t>AW-109 Nexus</t>
  </si>
  <si>
    <t>AW-129</t>
  </si>
  <si>
    <t>T-129</t>
  </si>
  <si>
    <t>UH-139</t>
  </si>
  <si>
    <t>AW-109 Trekker</t>
  </si>
  <si>
    <t>Trekker</t>
  </si>
  <si>
    <t>ESC-2</t>
  </si>
  <si>
    <t>AGUSTAWESTLAND</t>
  </si>
  <si>
    <t>EH-101 Merlin</t>
  </si>
  <si>
    <t>EH10</t>
  </si>
  <si>
    <t>SH-101</t>
  </si>
  <si>
    <t>UH-101</t>
  </si>
  <si>
    <t>HH-101 Caesar</t>
  </si>
  <si>
    <t>Caesar</t>
  </si>
  <si>
    <t>HH-139</t>
  </si>
  <si>
    <t>VH-139</t>
  </si>
  <si>
    <t>WG-13 Super Lynx</t>
  </si>
  <si>
    <t>LYNX</t>
  </si>
  <si>
    <t>Super Lynx</t>
  </si>
  <si>
    <t>AW-159 Wildcat</t>
  </si>
  <si>
    <t>Wildcat</t>
  </si>
  <si>
    <t>MCH-101</t>
  </si>
  <si>
    <t>AW-101  Merlin Joint Supporter</t>
  </si>
  <si>
    <t>AW-101</t>
  </si>
  <si>
    <t>EH-101</t>
  </si>
  <si>
    <t>EH-101 Merlin Joint Supporter</t>
  </si>
  <si>
    <t>Merlin Joint Supporter</t>
  </si>
  <si>
    <t>AW-169</t>
  </si>
  <si>
    <t>A169</t>
  </si>
  <si>
    <t>AW-189</t>
  </si>
  <si>
    <t>A189</t>
  </si>
  <si>
    <t>AW-609</t>
  </si>
  <si>
    <t>B609</t>
  </si>
  <si>
    <t>Tiltrotor</t>
  </si>
  <si>
    <t>ICH-47 Chinook</t>
  </si>
  <si>
    <t>H47</t>
  </si>
  <si>
    <t>Chinook</t>
  </si>
  <si>
    <t>AW-159 Lynx Wildcat</t>
  </si>
  <si>
    <t>Lynx Wildcat</t>
  </si>
  <si>
    <t>AI(R)</t>
  </si>
  <si>
    <t>Avroliner (RJ-70)</t>
  </si>
  <si>
    <t>RJ70</t>
  </si>
  <si>
    <t>Avroliner (RJ-85)</t>
  </si>
  <si>
    <t>RJ85</t>
  </si>
  <si>
    <t>Avroliner (RJ-100)</t>
  </si>
  <si>
    <t>RJ1H</t>
  </si>
  <si>
    <t>BAe-4100 Jetstream 41</t>
  </si>
  <si>
    <t>JS41</t>
  </si>
  <si>
    <t>Jetstream 41</t>
  </si>
  <si>
    <t>RJ-70 Avroliner</t>
  </si>
  <si>
    <t>RJ-85 Avroliner</t>
  </si>
  <si>
    <t>RJ-100 Avroliner</t>
  </si>
  <si>
    <t>AIAA</t>
  </si>
  <si>
    <t>SV-4</t>
  </si>
  <si>
    <t>SV4</t>
  </si>
  <si>
    <t>AICSA</t>
  </si>
  <si>
    <t>Aerostar</t>
  </si>
  <si>
    <t>An-2</t>
  </si>
  <si>
    <t>AN2</t>
  </si>
  <si>
    <t>Archer 2</t>
  </si>
  <si>
    <t>P28A</t>
  </si>
  <si>
    <t>Cherokee (PA-28-140/180)</t>
  </si>
  <si>
    <t>Cherokee (PA-28-235)</t>
  </si>
  <si>
    <t>P28B</t>
  </si>
  <si>
    <t>Cherokee Archer</t>
  </si>
  <si>
    <t>Cherokee Archer 2</t>
  </si>
  <si>
    <t>Cherokee Arrow</t>
  </si>
  <si>
    <t>P28R</t>
  </si>
  <si>
    <t>Cherokee Arrow 2</t>
  </si>
  <si>
    <t>Cherokee Charger</t>
  </si>
  <si>
    <t>Cherokee Cruiser</t>
  </si>
  <si>
    <t>Cherokee Pathfinder</t>
  </si>
  <si>
    <t>Cherokee Six</t>
  </si>
  <si>
    <t>PA32</t>
  </si>
  <si>
    <t>Cherokee Warrior 2</t>
  </si>
  <si>
    <t>Cheyenne 2</t>
  </si>
  <si>
    <t>PAY2</t>
  </si>
  <si>
    <t>Cheyenne 2XL</t>
  </si>
  <si>
    <t>Cheyenne 3</t>
  </si>
  <si>
    <t>PAY3</t>
  </si>
  <si>
    <t>Chieftain</t>
  </si>
  <si>
    <t>PA31</t>
  </si>
  <si>
    <t>Dakota</t>
  </si>
  <si>
    <t>Lance</t>
  </si>
  <si>
    <t>P32R</t>
  </si>
  <si>
    <t>Navajo</t>
  </si>
  <si>
    <t>Navajo Chieftain</t>
  </si>
  <si>
    <t>Navajo CR</t>
  </si>
  <si>
    <t>PA-28-140 Cherokee</t>
  </si>
  <si>
    <t>PA-28-140 Cherokee Cruiser</t>
  </si>
  <si>
    <t>PA-28-161 Cherokee Warrior 2</t>
  </si>
  <si>
    <t>PA-28-161 Warrior 2</t>
  </si>
  <si>
    <t>PA-28-180 Cherokee</t>
  </si>
  <si>
    <t>PA-28-180 Cherokee Archer</t>
  </si>
  <si>
    <t>PA-28-181 Archer 2</t>
  </si>
  <si>
    <t>PA-28-181 Cherokee Archer 2</t>
  </si>
  <si>
    <t>PA-28-201T Turbo Dakota</t>
  </si>
  <si>
    <t>PA-28-235 Cherokee</t>
  </si>
  <si>
    <t>PA-28-235 Cherokee Charger</t>
  </si>
  <si>
    <t>PA-28-235 Cherokee Pathfinder</t>
  </si>
  <si>
    <t>PA-28-236 Dakota</t>
  </si>
  <si>
    <t>PA-28R-180 Cherokee Arrow</t>
  </si>
  <si>
    <t>PA-28R-200 Cherokee Arrow 2</t>
  </si>
  <si>
    <t>PA-30 Twin Comanche</t>
  </si>
  <si>
    <t>PA30</t>
  </si>
  <si>
    <t>PA-31-310 Navajo</t>
  </si>
  <si>
    <t>PA-31-325 Navajo CR</t>
  </si>
  <si>
    <t>PA-31-350 Chieftain</t>
  </si>
  <si>
    <t>PA-31-350 Navajo Chieftain</t>
  </si>
  <si>
    <t>PA-31T2-620 Cheyenne 2XL</t>
  </si>
  <si>
    <t>PA-31T-620 Cheyenne 2</t>
  </si>
  <si>
    <t>PA-32 Cherokee Six</t>
  </si>
  <si>
    <t>PA-32 Saratoga</t>
  </si>
  <si>
    <t>PA-32 Six</t>
  </si>
  <si>
    <t>PA-32 Turbo Saratoga</t>
  </si>
  <si>
    <t>PA-32R-300 Lance</t>
  </si>
  <si>
    <t>PA-32R-301T Turbo Saratoga SP</t>
  </si>
  <si>
    <t>PA-32RT Turbo Lance 2</t>
  </si>
  <si>
    <t>P32T</t>
  </si>
  <si>
    <t>PA-34 Seneca</t>
  </si>
  <si>
    <t>PA34</t>
  </si>
  <si>
    <t>PA-36 Pawnee Brave</t>
  </si>
  <si>
    <t>PA36</t>
  </si>
  <si>
    <t>PA-38 Tomahawk</t>
  </si>
  <si>
    <t>PA38</t>
  </si>
  <si>
    <t>PA-42-720 Cheyenne 3</t>
  </si>
  <si>
    <t>PA-44 Seminole</t>
  </si>
  <si>
    <t>PA44</t>
  </si>
  <si>
    <t>Pawnee Brave</t>
  </si>
  <si>
    <t>Saratoga</t>
  </si>
  <si>
    <t>Seminole</t>
  </si>
  <si>
    <t>Seneca</t>
  </si>
  <si>
    <t>Six</t>
  </si>
  <si>
    <t>Tomahawk</t>
  </si>
  <si>
    <t>Turbo Dakota</t>
  </si>
  <si>
    <t>Turbo Saratoga</t>
  </si>
  <si>
    <t>Turbo Saratoga SP</t>
  </si>
  <si>
    <t>Twin Comanche</t>
  </si>
  <si>
    <t>Warrior 2</t>
  </si>
  <si>
    <t>PA-28R-201T Turbo Cherokee Arrow 3</t>
  </si>
  <si>
    <t>P28S</t>
  </si>
  <si>
    <t>Turbo Arrow 4</t>
  </si>
  <si>
    <t>P28U</t>
  </si>
  <si>
    <t>PA-28R-201T Turbo Arrow 3</t>
  </si>
  <si>
    <t>Turbo Cherokee Arrow 3</t>
  </si>
  <si>
    <t>Turbo Arrow 3</t>
  </si>
  <si>
    <t>PA-28RT-201T Turbo Arrow 4</t>
  </si>
  <si>
    <t>AIDC</t>
  </si>
  <si>
    <t>A-CH-1 Chung-Tsing</t>
  </si>
  <si>
    <t>CH1</t>
  </si>
  <si>
    <t>AT-3 Tzu-Chung</t>
  </si>
  <si>
    <t>AT3</t>
  </si>
  <si>
    <t>Ching-Kuo</t>
  </si>
  <si>
    <t>CKUO</t>
  </si>
  <si>
    <t>Chung-Cheng</t>
  </si>
  <si>
    <t>F5</t>
  </si>
  <si>
    <t>Chung-Tsing</t>
  </si>
  <si>
    <t>F-5 Chung-Cheng</t>
  </si>
  <si>
    <t>F-CK-1 Ching-Kuo</t>
  </si>
  <si>
    <t>R-CH-1 Chung-Tsing</t>
  </si>
  <si>
    <t>T-CH-1 Chung-Tsing</t>
  </si>
  <si>
    <t>Tzu-Chung</t>
  </si>
  <si>
    <t>UH-1</t>
  </si>
  <si>
    <t>AIEP</t>
  </si>
  <si>
    <t>Air Beetle</t>
  </si>
  <si>
    <t>RV6</t>
  </si>
  <si>
    <t>AII</t>
  </si>
  <si>
    <t>AVA-202</t>
  </si>
  <si>
    <t>AVA-303</t>
  </si>
  <si>
    <t>M18</t>
  </si>
  <si>
    <t>AIL</t>
  </si>
  <si>
    <t>A748</t>
  </si>
  <si>
    <t>AIR</t>
  </si>
  <si>
    <t>Epic Dynasty</t>
  </si>
  <si>
    <t>EPIC</t>
  </si>
  <si>
    <t>Epic Elite</t>
  </si>
  <si>
    <t>ELIT</t>
  </si>
  <si>
    <t>Epic Escape</t>
  </si>
  <si>
    <t>ESCA</t>
  </si>
  <si>
    <t>Epic LT</t>
  </si>
  <si>
    <t>Epic Victory</t>
  </si>
  <si>
    <t>EVIC</t>
  </si>
  <si>
    <t>AIR &amp; SPACE</t>
  </si>
  <si>
    <t>UM18</t>
  </si>
  <si>
    <t>Twinstar</t>
  </si>
  <si>
    <t>TSTR</t>
  </si>
  <si>
    <t>AIR COMMAND</t>
  </si>
  <si>
    <t>Commander 147</t>
  </si>
  <si>
    <t>CMD1</t>
  </si>
  <si>
    <t>Commander  Elite Tandem</t>
  </si>
  <si>
    <t>CMDT</t>
  </si>
  <si>
    <t>Commander Elite Side-by-Side</t>
  </si>
  <si>
    <t>CMDE</t>
  </si>
  <si>
    <t>AIR PARTS</t>
  </si>
  <si>
    <t>Fletcher FU-24</t>
  </si>
  <si>
    <t>FU24</t>
  </si>
  <si>
    <t>AIR PRODUCTS</t>
  </si>
  <si>
    <t>Aircoupe</t>
  </si>
  <si>
    <t>ERCO</t>
  </si>
  <si>
    <t>F-1 Aircoupe</t>
  </si>
  <si>
    <t>AIR TRACTOR</t>
  </si>
  <si>
    <t>AT-300</t>
  </si>
  <si>
    <t>AT3P</t>
  </si>
  <si>
    <t>AT-301</t>
  </si>
  <si>
    <t>AT-302</t>
  </si>
  <si>
    <t>AT3T</t>
  </si>
  <si>
    <t>AT-400</t>
  </si>
  <si>
    <t>AT-401</t>
  </si>
  <si>
    <t>AT-402</t>
  </si>
  <si>
    <t>AT-501</t>
  </si>
  <si>
    <t>AT5P</t>
  </si>
  <si>
    <t>AT-502</t>
  </si>
  <si>
    <t>AT5T</t>
  </si>
  <si>
    <t>AT-503</t>
  </si>
  <si>
    <t>AT-602</t>
  </si>
  <si>
    <t>AT6T</t>
  </si>
  <si>
    <t>AT-802</t>
  </si>
  <si>
    <t>AT8T</t>
  </si>
  <si>
    <t>L/M</t>
  </si>
  <si>
    <t>AT-802 Fire Boss</t>
  </si>
  <si>
    <t>Fire Boss</t>
  </si>
  <si>
    <t>AT-504</t>
  </si>
  <si>
    <t>AT-250</t>
  </si>
  <si>
    <t>AT2P</t>
  </si>
  <si>
    <t>AIR-FOUGA</t>
  </si>
  <si>
    <t>AIR-LIGHT</t>
  </si>
  <si>
    <t>AIRBUS</t>
  </si>
  <si>
    <t>KC-30</t>
  </si>
  <si>
    <t>A332</t>
  </si>
  <si>
    <t>H</t>
  </si>
  <si>
    <t>A-330-900</t>
  </si>
  <si>
    <t>A339</t>
  </si>
  <si>
    <t>A-319neo</t>
  </si>
  <si>
    <t>A19N</t>
  </si>
  <si>
    <t>A-320neo</t>
  </si>
  <si>
    <t>A20N</t>
  </si>
  <si>
    <t>A-321neo</t>
  </si>
  <si>
    <t>A21N</t>
  </si>
  <si>
    <t>E-Fan</t>
  </si>
  <si>
    <t>EFAN</t>
  </si>
  <si>
    <t>Electric</t>
  </si>
  <si>
    <t>A-330-200 Voyager</t>
  </si>
  <si>
    <t>Voyager</t>
  </si>
  <si>
    <t>A-400M Atlas</t>
  </si>
  <si>
    <t>A400</t>
  </si>
  <si>
    <t>Grizzly</t>
  </si>
  <si>
    <t>Atlas</t>
  </si>
  <si>
    <t>C-295</t>
  </si>
  <si>
    <t>C295</t>
  </si>
  <si>
    <t>C-295 Persuader</t>
  </si>
  <si>
    <t>Persuader (C-295)</t>
  </si>
  <si>
    <t>SC-105 Amazonas</t>
  </si>
  <si>
    <t>Amazonas</t>
  </si>
  <si>
    <t>CN-235</t>
  </si>
  <si>
    <t>CN35</t>
  </si>
  <si>
    <t>CN-235 Persuader</t>
  </si>
  <si>
    <t>Persuader (CN-235)</t>
  </si>
  <si>
    <t>HC-144 Ocean Sentry</t>
  </si>
  <si>
    <t>Ocean Sentry</t>
  </si>
  <si>
    <t>A-350-1000 XWB</t>
  </si>
  <si>
    <t>A35K</t>
  </si>
  <si>
    <t>A-350-1000 XWB Prestige</t>
  </si>
  <si>
    <t>Prestige (A-350-1000)</t>
  </si>
  <si>
    <t>VC-1 ACJ</t>
  </si>
  <si>
    <t>A319</t>
  </si>
  <si>
    <t>A-400M Grizzly</t>
  </si>
  <si>
    <t>A-318 Elite</t>
  </si>
  <si>
    <t>A318</t>
  </si>
  <si>
    <t>A-320 Prestige</t>
  </si>
  <si>
    <t>A320</t>
  </si>
  <si>
    <t>A-330-200 Prestige</t>
  </si>
  <si>
    <t>A-340-200 Prestige</t>
  </si>
  <si>
    <t>A342</t>
  </si>
  <si>
    <t>A-340-300 Prestige</t>
  </si>
  <si>
    <t>A343</t>
  </si>
  <si>
    <t>A-340-500 Prestige</t>
  </si>
  <si>
    <t>A345</t>
  </si>
  <si>
    <t>A-340-600 Prestige</t>
  </si>
  <si>
    <t>A346</t>
  </si>
  <si>
    <t>A-380-800 Prestige</t>
  </si>
  <si>
    <t>A388</t>
  </si>
  <si>
    <t>J</t>
  </si>
  <si>
    <t>Prestige (A-320)</t>
  </si>
  <si>
    <t>Prestige (A-330-200)</t>
  </si>
  <si>
    <t>Prestige (A-340-200)</t>
  </si>
  <si>
    <t>Prestige (A-340-300)</t>
  </si>
  <si>
    <t>Prestige (A-340-500)</t>
  </si>
  <si>
    <t>Prestige (A-340-600)</t>
  </si>
  <si>
    <t>Prestige (A-380-800)</t>
  </si>
  <si>
    <t>Elite</t>
  </si>
  <si>
    <t>A-330-700 Beluga XL</t>
  </si>
  <si>
    <t>A337</t>
  </si>
  <si>
    <t>Beluga XL</t>
  </si>
  <si>
    <t>A-330-800</t>
  </si>
  <si>
    <t>A338</t>
  </si>
  <si>
    <t>A-220-100</t>
  </si>
  <si>
    <t>BCS1</t>
  </si>
  <si>
    <t>A-220-300</t>
  </si>
  <si>
    <t>BCS3</t>
  </si>
  <si>
    <t>A-220-100 ACJ TwoTwenty</t>
  </si>
  <si>
    <t>ACJ TwoTwenty</t>
  </si>
  <si>
    <t>ACJ (A-319)</t>
  </si>
  <si>
    <t>ACJ-319 neo</t>
  </si>
  <si>
    <t>ACJ-320neo</t>
  </si>
  <si>
    <t>ACJ-330-800</t>
  </si>
  <si>
    <t>ACJ-330-900</t>
  </si>
  <si>
    <t>ACJ-350-900</t>
  </si>
  <si>
    <t>A359</t>
  </si>
  <si>
    <t>ACJ-350-1000</t>
  </si>
  <si>
    <t>A-300B2</t>
  </si>
  <si>
    <t>A30B</t>
  </si>
  <si>
    <t>A-300B2-1</t>
  </si>
  <si>
    <t>A-300B2-100</t>
  </si>
  <si>
    <t>A-300B2-200</t>
  </si>
  <si>
    <t>A-300B2K-3</t>
  </si>
  <si>
    <t>A-300B4-2</t>
  </si>
  <si>
    <t>A-300B4-100</t>
  </si>
  <si>
    <t>A-300B4-200</t>
  </si>
  <si>
    <t>A-300B4-600</t>
  </si>
  <si>
    <t>A306</t>
  </si>
  <si>
    <t>A-300C4-200</t>
  </si>
  <si>
    <t>A-300C4-600</t>
  </si>
  <si>
    <t>A-300F4-200</t>
  </si>
  <si>
    <t>A-300F4-600</t>
  </si>
  <si>
    <t>A-300ST Beluga</t>
  </si>
  <si>
    <t>A3ST</t>
  </si>
  <si>
    <t>A-300ST Super Transporter</t>
  </si>
  <si>
    <t>A-310</t>
  </si>
  <si>
    <t>A310</t>
  </si>
  <si>
    <t>A-318</t>
  </si>
  <si>
    <t>A-319</t>
  </si>
  <si>
    <t>A-319 ACJ</t>
  </si>
  <si>
    <t>A-320</t>
  </si>
  <si>
    <t>A-321</t>
  </si>
  <si>
    <t>A321</t>
  </si>
  <si>
    <t>A-330-200</t>
  </si>
  <si>
    <t>A-330-300</t>
  </si>
  <si>
    <t>A333</t>
  </si>
  <si>
    <t>A-340-200</t>
  </si>
  <si>
    <t>A-340-300</t>
  </si>
  <si>
    <t>A-340-500</t>
  </si>
  <si>
    <t>A-340-600</t>
  </si>
  <si>
    <t>A-380-800</t>
  </si>
  <si>
    <t>Beluga</t>
  </si>
  <si>
    <t>CC-150 Polaris</t>
  </si>
  <si>
    <t>Polaris</t>
  </si>
  <si>
    <t>Super Transporter</t>
  </si>
  <si>
    <t>A-350-900 XWB</t>
  </si>
  <si>
    <t>A-350-900 XWB Prestige</t>
  </si>
  <si>
    <t>Prestige (A-350-900)</t>
  </si>
  <si>
    <t>C-212</t>
  </si>
  <si>
    <t>C212</t>
  </si>
  <si>
    <t>AIRBUS HELICOPTERS</t>
  </si>
  <si>
    <t>H-160</t>
  </si>
  <si>
    <t>H160</t>
  </si>
  <si>
    <t>EC-665 Tigre</t>
  </si>
  <si>
    <t>TIGR</t>
  </si>
  <si>
    <t>EC-665 Tiger</t>
  </si>
  <si>
    <t>Super Puma Mk2+</t>
  </si>
  <si>
    <t>EC25</t>
  </si>
  <si>
    <t>Fennec</t>
  </si>
  <si>
    <t>EC-130</t>
  </si>
  <si>
    <t>EC30</t>
  </si>
  <si>
    <t>Dauphin 2</t>
  </si>
  <si>
    <t>EC-155</t>
  </si>
  <si>
    <t>EC55</t>
  </si>
  <si>
    <t>EC-135</t>
  </si>
  <si>
    <t>EC35</t>
  </si>
  <si>
    <t>EC-635</t>
  </si>
  <si>
    <t>EC-120 Colibri</t>
  </si>
  <si>
    <t>EC20</t>
  </si>
  <si>
    <t>Colibri</t>
  </si>
  <si>
    <t>AS-532AL Cougar</t>
  </si>
  <si>
    <t>EC-725 Cougar Mk2+</t>
  </si>
  <si>
    <t>EC-225 Super Puma Mk2+</t>
  </si>
  <si>
    <t>Cougar Mk2+</t>
  </si>
  <si>
    <t>H-120 Colibri</t>
  </si>
  <si>
    <t>H-125 Ecureuil</t>
  </si>
  <si>
    <t>H-125 SuperStar</t>
  </si>
  <si>
    <t>H-125 Fennec</t>
  </si>
  <si>
    <t>H-130</t>
  </si>
  <si>
    <t>H-135</t>
  </si>
  <si>
    <t>H-155</t>
  </si>
  <si>
    <t>H-225 Cougar Mk2+</t>
  </si>
  <si>
    <t>H-225 Super Puma Mk2+</t>
  </si>
  <si>
    <t>EC-135 Bluecopter</t>
  </si>
  <si>
    <t>Bluecopter</t>
  </si>
  <si>
    <t>Tigre</t>
  </si>
  <si>
    <t>AIRBUS HELICOPTERS-HARBIN</t>
  </si>
  <si>
    <t>H-175</t>
  </si>
  <si>
    <t>EC75</t>
  </si>
  <si>
    <t>EC-175</t>
  </si>
  <si>
    <t>Z-15</t>
  </si>
  <si>
    <t>AIRBUS HELICOPTERS-KAWASAKI</t>
  </si>
  <si>
    <t>BK-117C-2</t>
  </si>
  <si>
    <t>EC45</t>
  </si>
  <si>
    <t>EC-145</t>
  </si>
  <si>
    <t>UH-72 Lakota</t>
  </si>
  <si>
    <t>Lakota</t>
  </si>
  <si>
    <t>EC-645</t>
  </si>
  <si>
    <t>H-145</t>
  </si>
  <si>
    <t>BK-117D</t>
  </si>
  <si>
    <t>BK-117D Jupiter</t>
  </si>
  <si>
    <t>H-145 Jupiter</t>
  </si>
  <si>
    <t>Jupiter</t>
  </si>
  <si>
    <t>AIRCONCEPT</t>
  </si>
  <si>
    <t>Airbuggy</t>
  </si>
  <si>
    <t>VW10</t>
  </si>
  <si>
    <t>VoWi-10 Airbuggy</t>
  </si>
  <si>
    <t>AIRCRAFT DESIGNS</t>
  </si>
  <si>
    <t>Sportster Gyro</t>
  </si>
  <si>
    <t>SPGY</t>
  </si>
  <si>
    <t>Stallion</t>
  </si>
  <si>
    <t>STAL</t>
  </si>
  <si>
    <t>Super Stallion</t>
  </si>
  <si>
    <t>Turbine Stallion</t>
  </si>
  <si>
    <t>STAT</t>
  </si>
  <si>
    <t>AIRCRAFT HYDRO-FORMING</t>
  </si>
  <si>
    <t>Bushmaster 2000</t>
  </si>
  <si>
    <t>BU20</t>
  </si>
  <si>
    <t>AIRCRAFT INDUSTRIES</t>
  </si>
  <si>
    <t>L-410 Turbolet</t>
  </si>
  <si>
    <t>L410</t>
  </si>
  <si>
    <t>Turbolet</t>
  </si>
  <si>
    <t>AIRCRAFT PARTS</t>
  </si>
  <si>
    <t>AIRCRAFT SPRUCE</t>
  </si>
  <si>
    <t>Baby Lakes</t>
  </si>
  <si>
    <t>BLKS</t>
  </si>
  <si>
    <t>Buddy Baby Lakes</t>
  </si>
  <si>
    <t>DR-107 One Design</t>
  </si>
  <si>
    <t>RODS</t>
  </si>
  <si>
    <t>DR-109 Rhino</t>
  </si>
  <si>
    <t>R109</t>
  </si>
  <si>
    <t>One Design</t>
  </si>
  <si>
    <t>Rhino</t>
  </si>
  <si>
    <t>Super Baby Lakes</t>
  </si>
  <si>
    <t>Tailwind</t>
  </si>
  <si>
    <t>TAIL</t>
  </si>
  <si>
    <t>V-Witt</t>
  </si>
  <si>
    <t>VWIT</t>
  </si>
  <si>
    <t>W-10 Tailwind</t>
  </si>
  <si>
    <t>AIRCRAFT TECHNOLOGIES</t>
  </si>
  <si>
    <t>Acro 1</t>
  </si>
  <si>
    <t>ATAC</t>
  </si>
  <si>
    <t>Atlantis</t>
  </si>
  <si>
    <t>ATIS</t>
  </si>
  <si>
    <t>Meyer-360</t>
  </si>
  <si>
    <t>M360</t>
  </si>
  <si>
    <t>AIRDALE</t>
  </si>
  <si>
    <t>Avid Flyer</t>
  </si>
  <si>
    <t>AVID</t>
  </si>
  <si>
    <t>Comet</t>
  </si>
  <si>
    <t>SCOM</t>
  </si>
  <si>
    <t>Flyer</t>
  </si>
  <si>
    <t>Magnum</t>
  </si>
  <si>
    <t>MAGN</t>
  </si>
  <si>
    <t>AIRDROME AEROPLANES</t>
  </si>
  <si>
    <t>Sopwith Pup Replica</t>
  </si>
  <si>
    <t>SPUP</t>
  </si>
  <si>
    <t>AIRFRAMES-DAKOTA CUB</t>
  </si>
  <si>
    <t>Super 18</t>
  </si>
  <si>
    <t>PA18</t>
  </si>
  <si>
    <t>S-18 Super 18</t>
  </si>
  <si>
    <t>AIRLONY</t>
  </si>
  <si>
    <t>Skylane</t>
  </si>
  <si>
    <t>ALSL</t>
  </si>
  <si>
    <t>AIRMASTER</t>
  </si>
  <si>
    <t>Avalon 680</t>
  </si>
  <si>
    <t>AVLN</t>
  </si>
  <si>
    <t>AIRMAX</t>
  </si>
  <si>
    <t>SeaMax</t>
  </si>
  <si>
    <t>SMAX</t>
  </si>
  <si>
    <t>M-22 SeaMax</t>
  </si>
  <si>
    <t>AIRNET</t>
  </si>
  <si>
    <t>One</t>
  </si>
  <si>
    <t>ONE</t>
  </si>
  <si>
    <t>AIRO</t>
  </si>
  <si>
    <t>JFOX</t>
  </si>
  <si>
    <t>UF10</t>
  </si>
  <si>
    <t>AIRPLANE FACTORY</t>
  </si>
  <si>
    <t>Sling 4 TSi</t>
  </si>
  <si>
    <t>SLG4</t>
  </si>
  <si>
    <t>Sling LSA</t>
  </si>
  <si>
    <t>SLG2</t>
  </si>
  <si>
    <t>Sling 2</t>
  </si>
  <si>
    <t>Sling 4</t>
  </si>
  <si>
    <t>AIRSPORT</t>
  </si>
  <si>
    <t>Sonata</t>
  </si>
  <si>
    <t>SNTA</t>
  </si>
  <si>
    <t>AIRTECH (1)</t>
  </si>
  <si>
    <t>Beaver</t>
  </si>
  <si>
    <t>DHC2</t>
  </si>
  <si>
    <t>DHC-2-PZL3S Beaver</t>
  </si>
  <si>
    <t>DHC-3-1000 Otter</t>
  </si>
  <si>
    <t>DHC3</t>
  </si>
  <si>
    <t>DHC-3-PZL3S Otter</t>
  </si>
  <si>
    <t>Otter</t>
  </si>
  <si>
    <t>AIRTECH (2)</t>
  </si>
  <si>
    <t>Persuader</t>
  </si>
  <si>
    <t>AISA</t>
  </si>
  <si>
    <t>I-11B Peque</t>
  </si>
  <si>
    <t>I11B</t>
  </si>
  <si>
    <t>I-115</t>
  </si>
  <si>
    <t>I115</t>
  </si>
  <si>
    <t>Peque</t>
  </si>
  <si>
    <t>AJEP</t>
  </si>
  <si>
    <t>W-8 Tailwind</t>
  </si>
  <si>
    <t>AJI</t>
  </si>
  <si>
    <t>Turbo Star 402</t>
  </si>
  <si>
    <t>C02T</t>
  </si>
  <si>
    <t>Turbo Star 414</t>
  </si>
  <si>
    <t>C14T</t>
  </si>
  <si>
    <t>AKAFLIEG BERLIN</t>
  </si>
  <si>
    <t>B-13</t>
  </si>
  <si>
    <t>B13</t>
  </si>
  <si>
    <t>AKAFLIEG DARMSTADT</t>
  </si>
  <si>
    <t>D-39</t>
  </si>
  <si>
    <t>D39</t>
  </si>
  <si>
    <t>AKAFLIEG KARLSRUHE</t>
  </si>
  <si>
    <t>AK1</t>
  </si>
  <si>
    <t>AKAFLIEG MUNCHEN</t>
  </si>
  <si>
    <t>Mü-23 Saurier</t>
  </si>
  <si>
    <t>MU23</t>
  </si>
  <si>
    <t>Mü-30 Schlacro</t>
  </si>
  <si>
    <t>SCRO</t>
  </si>
  <si>
    <t>Saurier</t>
  </si>
  <si>
    <t>Schlacro</t>
  </si>
  <si>
    <t>AKRON</t>
  </si>
  <si>
    <t>Funk B</t>
  </si>
  <si>
    <t>FNKB</t>
  </si>
  <si>
    <t>AKROTECH</t>
  </si>
  <si>
    <t>G-200</t>
  </si>
  <si>
    <t>G200</t>
  </si>
  <si>
    <t>G-202</t>
  </si>
  <si>
    <t>G202</t>
  </si>
  <si>
    <t>G-300</t>
  </si>
  <si>
    <t>G300</t>
  </si>
  <si>
    <t>AKROTECH EUROPE</t>
  </si>
  <si>
    <t>CAP-10</t>
  </si>
  <si>
    <t>CP10</t>
  </si>
  <si>
    <t>CAP-222</t>
  </si>
  <si>
    <t>CP22</t>
  </si>
  <si>
    <t>CAP-232</t>
  </si>
  <si>
    <t>CP23</t>
  </si>
  <si>
    <t>ALANNE</t>
  </si>
  <si>
    <t>Moottori-Lerche</t>
  </si>
  <si>
    <t>MLER</t>
  </si>
  <si>
    <t>ALENIA</t>
  </si>
  <si>
    <t>AV-8 Harrier</t>
  </si>
  <si>
    <t>HAR</t>
  </si>
  <si>
    <t>C-27A Spartan</t>
  </si>
  <si>
    <t>C-27J Spartan</t>
  </si>
  <si>
    <t>C27J</t>
  </si>
  <si>
    <t>Eurofighter 2000</t>
  </si>
  <si>
    <t>EUFI</t>
  </si>
  <si>
    <t>Harrier</t>
  </si>
  <si>
    <t>Spartan (C-27A)</t>
  </si>
  <si>
    <t>Spartan (C-27J)</t>
  </si>
  <si>
    <t>Typhoon</t>
  </si>
  <si>
    <t>HC-27J Spartan</t>
  </si>
  <si>
    <t>ALENIA AERMACCHI</t>
  </si>
  <si>
    <t>MC-27J Praetorian</t>
  </si>
  <si>
    <t>Praetorian</t>
  </si>
  <si>
    <t>Spartan</t>
  </si>
  <si>
    <t>ALEXANDRIA</t>
  </si>
  <si>
    <t>17 Super Viking</t>
  </si>
  <si>
    <t>BL17</t>
  </si>
  <si>
    <t>Super Viking</t>
  </si>
  <si>
    <t>ALFA-M</t>
  </si>
  <si>
    <t>A-211</t>
  </si>
  <si>
    <t>A211</t>
  </si>
  <si>
    <t>ALLISON</t>
  </si>
  <si>
    <t>36 Turbine Bonanza</t>
  </si>
  <si>
    <t>B36T</t>
  </si>
  <si>
    <t>Turbine Bonanza</t>
  </si>
  <si>
    <t>ALMS</t>
  </si>
  <si>
    <t>ADV-01 Papango</t>
  </si>
  <si>
    <t>PAGO</t>
  </si>
  <si>
    <t>J-300 Joker</t>
  </si>
  <si>
    <t>J300</t>
  </si>
  <si>
    <t>Joker</t>
  </si>
  <si>
    <t>Papango</t>
  </si>
  <si>
    <t>Callao</t>
  </si>
  <si>
    <t>SAVG</t>
  </si>
  <si>
    <t>ALON</t>
  </si>
  <si>
    <t>A-2 Aircoupe</t>
  </si>
  <si>
    <t>ALPAERO</t>
  </si>
  <si>
    <t>Choucas</t>
  </si>
  <si>
    <t>CHCS</t>
  </si>
  <si>
    <t>ALPAVIA</t>
  </si>
  <si>
    <t>D-117</t>
  </si>
  <si>
    <t>RF-3</t>
  </si>
  <si>
    <t>RF3</t>
  </si>
  <si>
    <t>RF-4</t>
  </si>
  <si>
    <t>RF4</t>
  </si>
  <si>
    <t>ALPHA</t>
  </si>
  <si>
    <t>J-5 Marco</t>
  </si>
  <si>
    <t>JAJ5</t>
  </si>
  <si>
    <t>Marco</t>
  </si>
  <si>
    <t>ALPHA AVIATION</t>
  </si>
  <si>
    <t>Alpha 160</t>
  </si>
  <si>
    <t>R200</t>
  </si>
  <si>
    <t>R-2160 Alpha 160</t>
  </si>
  <si>
    <t>Alpha 120</t>
  </si>
  <si>
    <t>R-2120 Alpha 120</t>
  </si>
  <si>
    <t>ALPI</t>
  </si>
  <si>
    <t>Pioneer 400</t>
  </si>
  <si>
    <t>PNR4</t>
  </si>
  <si>
    <t>AH-130 Syton</t>
  </si>
  <si>
    <t>ES11</t>
  </si>
  <si>
    <t>Syton</t>
  </si>
  <si>
    <t>Pioneer 230</t>
  </si>
  <si>
    <t>PNR2</t>
  </si>
  <si>
    <t>Pioneer 200</t>
  </si>
  <si>
    <t>Pioneer 300</t>
  </si>
  <si>
    <t>PNR3</t>
  </si>
  <si>
    <t>Pioneer 330</t>
  </si>
  <si>
    <t>ALPLA</t>
  </si>
  <si>
    <t>AVO-68 Samburo</t>
  </si>
  <si>
    <t>AV68</t>
  </si>
  <si>
    <t>Samburo</t>
  </si>
  <si>
    <t>ALTAIR COELHO</t>
  </si>
  <si>
    <t>AC-11</t>
  </si>
  <si>
    <t>ALC1</t>
  </si>
  <si>
    <t>ALTURAIR</t>
  </si>
  <si>
    <t>BD-5B Micro</t>
  </si>
  <si>
    <t>BD5</t>
  </si>
  <si>
    <t>BD-5G Micro</t>
  </si>
  <si>
    <t>BD-5J Micro</t>
  </si>
  <si>
    <t>BD5J</t>
  </si>
  <si>
    <t>Micro (BD-5B/G)</t>
  </si>
  <si>
    <t>Micro (BD-5J)</t>
  </si>
  <si>
    <t>ALVAREZ</t>
  </si>
  <si>
    <t>Polliwagen</t>
  </si>
  <si>
    <t>POLI</t>
  </si>
  <si>
    <t>AMAX</t>
  </si>
  <si>
    <t>Double Eagle</t>
  </si>
  <si>
    <t>DEAG</t>
  </si>
  <si>
    <t>J-6 Karatoo</t>
  </si>
  <si>
    <t>KTOO</t>
  </si>
  <si>
    <t>Karatoo</t>
  </si>
  <si>
    <t>Sport 1700</t>
  </si>
  <si>
    <t>SPOR</t>
  </si>
  <si>
    <t>Vixen</t>
  </si>
  <si>
    <t>VIXN</t>
  </si>
  <si>
    <t>AMBROSINI</t>
  </si>
  <si>
    <t>F-4 Rondone</t>
  </si>
  <si>
    <t>ROND</t>
  </si>
  <si>
    <t>Rondone</t>
  </si>
  <si>
    <t>AMC</t>
  </si>
  <si>
    <t>Texas Bullet 205</t>
  </si>
  <si>
    <t>TB05</t>
  </si>
  <si>
    <t>AMD</t>
  </si>
  <si>
    <t>Alarus</t>
  </si>
  <si>
    <t>CH2T</t>
  </si>
  <si>
    <t>CH-601 Zodiac</t>
  </si>
  <si>
    <t>CH60</t>
  </si>
  <si>
    <t>CH-2000 Alarus</t>
  </si>
  <si>
    <t>CH-2000 Zénith</t>
  </si>
  <si>
    <t>Patriot</t>
  </si>
  <si>
    <t>Zénith</t>
  </si>
  <si>
    <t>CH-750 Cruzer</t>
  </si>
  <si>
    <t>CH75</t>
  </si>
  <si>
    <t>Cruzer</t>
  </si>
  <si>
    <t>CH-650 Zodiac</t>
  </si>
  <si>
    <t>CH65</t>
  </si>
  <si>
    <t>CH-750 Stol</t>
  </si>
  <si>
    <t>MXP-150 Patriot</t>
  </si>
  <si>
    <t>Stol</t>
  </si>
  <si>
    <t>Zodiac (CH-601)</t>
  </si>
  <si>
    <t>Zodiac (CH-650)</t>
  </si>
  <si>
    <t>AMEAGLE</t>
  </si>
  <si>
    <t>American Eaglet</t>
  </si>
  <si>
    <t>EAGT</t>
  </si>
  <si>
    <t>AMERICAN</t>
  </si>
  <si>
    <t>AA-1 Tr2</t>
  </si>
  <si>
    <t>AA1</t>
  </si>
  <si>
    <t>AA-1 Trainer</t>
  </si>
  <si>
    <t>AA-1 Yankee</t>
  </si>
  <si>
    <t>AA-5 Traveler</t>
  </si>
  <si>
    <t>AA5</t>
  </si>
  <si>
    <t>Tr2</t>
  </si>
  <si>
    <t>Trainer</t>
  </si>
  <si>
    <t>Yankee</t>
  </si>
  <si>
    <t>AMERICAN AFFORDABLE</t>
  </si>
  <si>
    <t>VSON</t>
  </si>
  <si>
    <t>AMERICAN AIRCRAFT</t>
  </si>
  <si>
    <t>Falcon XP</t>
  </si>
  <si>
    <t>FALC</t>
  </si>
  <si>
    <t>AMERICAN AUTOGYRO</t>
  </si>
  <si>
    <t>SparrowHawk</t>
  </si>
  <si>
    <t>SPHA</t>
  </si>
  <si>
    <t>Spinus</t>
  </si>
  <si>
    <t>AMERICAN CHAMPION</t>
  </si>
  <si>
    <t>Citabria  Ultimate Adventure</t>
  </si>
  <si>
    <t>CH7B</t>
  </si>
  <si>
    <t>Citabria High Country Explorer</t>
  </si>
  <si>
    <t>7GCAA Citabria Ultimate Adventure</t>
  </si>
  <si>
    <t>7GCBC Citabria High Country Explorer</t>
  </si>
  <si>
    <t>7EC Champ</t>
  </si>
  <si>
    <t>7ECA Citabria Aurora</t>
  </si>
  <si>
    <t>7GCAA Citabria Adventure</t>
  </si>
  <si>
    <t>7GCBC Citabria Explorer</t>
  </si>
  <si>
    <t>8 Scout</t>
  </si>
  <si>
    <t>BL8</t>
  </si>
  <si>
    <t>8 Super Decathlon</t>
  </si>
  <si>
    <t>Champ</t>
  </si>
  <si>
    <t>Citabria Adventure</t>
  </si>
  <si>
    <t>Citabria Aurora</t>
  </si>
  <si>
    <t>Citabria Explorer</t>
  </si>
  <si>
    <t>Super Decathlon</t>
  </si>
  <si>
    <t>AMERICAN EAGLE</t>
  </si>
  <si>
    <t>A-1</t>
  </si>
  <si>
    <t>AEA1</t>
  </si>
  <si>
    <t>A-101</t>
  </si>
  <si>
    <t>AMERICAN GENERAL</t>
  </si>
  <si>
    <t>AG-5 Tiger</t>
  </si>
  <si>
    <t>AMERICAN HOMEBUILTS</t>
  </si>
  <si>
    <t>John Doe</t>
  </si>
  <si>
    <t>JDOE</t>
  </si>
  <si>
    <t>AMERICAN LEGEND</t>
  </si>
  <si>
    <t>AL-3C Legend Cub</t>
  </si>
  <si>
    <t>J3</t>
  </si>
  <si>
    <t>AL-11C Legend Cub Special</t>
  </si>
  <si>
    <t>PA11</t>
  </si>
  <si>
    <t>Legend Cub</t>
  </si>
  <si>
    <t>Legend Cub Special</t>
  </si>
  <si>
    <t>AL-18 Super Legend</t>
  </si>
  <si>
    <t>Super Legend</t>
  </si>
  <si>
    <t>AL-18 MOAC</t>
  </si>
  <si>
    <t>MOAC</t>
  </si>
  <si>
    <t>AMERICAN SPORTSCOPTER</t>
  </si>
  <si>
    <t>Ultrasport 496</t>
  </si>
  <si>
    <t>ULTS</t>
  </si>
  <si>
    <t>AMEUR</t>
  </si>
  <si>
    <t>Altania</t>
  </si>
  <si>
    <t>BLBU</t>
  </si>
  <si>
    <t>Balbuzard</t>
  </si>
  <si>
    <t>Baljims</t>
  </si>
  <si>
    <t>AMS-FLIGHT</t>
  </si>
  <si>
    <t>Carat</t>
  </si>
  <si>
    <t>TFK2</t>
  </si>
  <si>
    <t>ANAHUAC</t>
  </si>
  <si>
    <t>Tauro</t>
  </si>
  <si>
    <t>TARO</t>
  </si>
  <si>
    <t>ANDERSON</t>
  </si>
  <si>
    <t>EA-1 Kingfisher</t>
  </si>
  <si>
    <t>KFIS</t>
  </si>
  <si>
    <t>Kingfisher</t>
  </si>
  <si>
    <t>ANDERSON-GREENWOOD</t>
  </si>
  <si>
    <t>Aries</t>
  </si>
  <si>
    <t>T250</t>
  </si>
  <si>
    <t>T-250 Aries</t>
  </si>
  <si>
    <t>ANDREASSON</t>
  </si>
  <si>
    <t>BA-7</t>
  </si>
  <si>
    <t>JUNR</t>
  </si>
  <si>
    <t>MFI-9</t>
  </si>
  <si>
    <t>ANGEL</t>
  </si>
  <si>
    <t>44 Angel</t>
  </si>
  <si>
    <t>ANGL</t>
  </si>
  <si>
    <t>Angel</t>
  </si>
  <si>
    <t>ANGLIN</t>
  </si>
  <si>
    <t>Space Walker 1</t>
  </si>
  <si>
    <t>SWAK</t>
  </si>
  <si>
    <t>Space Walker 2</t>
  </si>
  <si>
    <t>ANGLO NORMANDY</t>
  </si>
  <si>
    <t>BN-2A Mk3 Trislander</t>
  </si>
  <si>
    <t>TRIS</t>
  </si>
  <si>
    <t>Trislander</t>
  </si>
  <si>
    <t>ANTONIEWSKI</t>
  </si>
  <si>
    <t>P-220S-AT1</t>
  </si>
  <si>
    <t>P-220S-AT2</t>
  </si>
  <si>
    <t>P-220S-AT3</t>
  </si>
  <si>
    <t>ANTONOV</t>
  </si>
  <si>
    <t>An-3</t>
  </si>
  <si>
    <t>AN3</t>
  </si>
  <si>
    <t>An-8</t>
  </si>
  <si>
    <t>AN8</t>
  </si>
  <si>
    <t>An-12</t>
  </si>
  <si>
    <t>AN12</t>
  </si>
  <si>
    <t>An-22 Antheus</t>
  </si>
  <si>
    <t>AN22</t>
  </si>
  <si>
    <t>An-24</t>
  </si>
  <si>
    <t>AN24</t>
  </si>
  <si>
    <t>An-26</t>
  </si>
  <si>
    <t>AN26</t>
  </si>
  <si>
    <t>An-28</t>
  </si>
  <si>
    <t>AN28</t>
  </si>
  <si>
    <t>An-30</t>
  </si>
  <si>
    <t>AN30</t>
  </si>
  <si>
    <t>An-32</t>
  </si>
  <si>
    <t>AN32</t>
  </si>
  <si>
    <t>An-32 Firekiller</t>
  </si>
  <si>
    <t>An-32 Sutlej</t>
  </si>
  <si>
    <t>An-38</t>
  </si>
  <si>
    <t>AN38</t>
  </si>
  <si>
    <t>An-70</t>
  </si>
  <si>
    <t>AN70</t>
  </si>
  <si>
    <t>An-72</t>
  </si>
  <si>
    <t>AN72</t>
  </si>
  <si>
    <t>An-74-100</t>
  </si>
  <si>
    <t>An-74-200</t>
  </si>
  <si>
    <t>An-74-300</t>
  </si>
  <si>
    <t>A743</t>
  </si>
  <si>
    <t>An-124 Ruslan</t>
  </si>
  <si>
    <t>A124</t>
  </si>
  <si>
    <t>An-140</t>
  </si>
  <si>
    <t>A140</t>
  </si>
  <si>
    <t>An-148</t>
  </si>
  <si>
    <t>A148</t>
  </si>
  <si>
    <t>An-225 Mriya</t>
  </si>
  <si>
    <t>A225</t>
  </si>
  <si>
    <t>Antheus</t>
  </si>
  <si>
    <t>Firekiller</t>
  </si>
  <si>
    <t>Mriya</t>
  </si>
  <si>
    <t>Ruslan</t>
  </si>
  <si>
    <t>Sutlej</t>
  </si>
  <si>
    <t>An-158</t>
  </si>
  <si>
    <t>A158</t>
  </si>
  <si>
    <t>An-178</t>
  </si>
  <si>
    <t>A178</t>
  </si>
  <si>
    <t>AOI</t>
  </si>
  <si>
    <t>Alpha Jet</t>
  </si>
  <si>
    <t>AJET</t>
  </si>
  <si>
    <t>EMB-312 Tucano</t>
  </si>
  <si>
    <t>TUCA</t>
  </si>
  <si>
    <t>Tucano</t>
  </si>
  <si>
    <t>APPLEBAY</t>
  </si>
  <si>
    <t>Zia</t>
  </si>
  <si>
    <t>ZIA</t>
  </si>
  <si>
    <t>APPLEGATE &amp; WEYANT</t>
  </si>
  <si>
    <t>Dart GC</t>
  </si>
  <si>
    <t>DRTG</t>
  </si>
  <si>
    <t>AQUILA</t>
  </si>
  <si>
    <t>A-210</t>
  </si>
  <si>
    <t>A210</t>
  </si>
  <si>
    <t>AT-01</t>
  </si>
  <si>
    <t>A-212</t>
  </si>
  <si>
    <t>ARADO</t>
  </si>
  <si>
    <t>Ar-79</t>
  </si>
  <si>
    <t>AR79</t>
  </si>
  <si>
    <t>ARC ATLANTIQUE</t>
  </si>
  <si>
    <t>RF-47</t>
  </si>
  <si>
    <t>RF47</t>
  </si>
  <si>
    <t>ARC-41</t>
  </si>
  <si>
    <t>ARCTIC</t>
  </si>
  <si>
    <t>Arctic Tern</t>
  </si>
  <si>
    <t>S1</t>
  </si>
  <si>
    <t>Privateer</t>
  </si>
  <si>
    <t>S4</t>
  </si>
  <si>
    <t>S-1 Arctic Tern</t>
  </si>
  <si>
    <t>S-4 Privateer</t>
  </si>
  <si>
    <t>ARDC</t>
  </si>
  <si>
    <t>Layang</t>
  </si>
  <si>
    <t>ARION</t>
  </si>
  <si>
    <t>Lightning</t>
  </si>
  <si>
    <t>ALIG</t>
  </si>
  <si>
    <t>LS-1 Lightning</t>
  </si>
  <si>
    <t>ARMSTRONG WHITWORTH</t>
  </si>
  <si>
    <t>Meteor</t>
  </si>
  <si>
    <t>METR</t>
  </si>
  <si>
    <t>Sea Hawk</t>
  </si>
  <si>
    <t>SHAW</t>
  </si>
  <si>
    <t>ARNET PEREYRA</t>
  </si>
  <si>
    <t>Sabre 2</t>
  </si>
  <si>
    <t>SAB2</t>
  </si>
  <si>
    <t>Zephyr 2</t>
  </si>
  <si>
    <t>ARROW (1)</t>
  </si>
  <si>
    <t>F Sport</t>
  </si>
  <si>
    <t>ARWF</t>
  </si>
  <si>
    <t>Sport</t>
  </si>
  <si>
    <t>ARROW (2)</t>
  </si>
  <si>
    <t>Yarrow Arrow</t>
  </si>
  <si>
    <t>YARR</t>
  </si>
  <si>
    <t>ARV</t>
  </si>
  <si>
    <t>ARV-1 Super 2</t>
  </si>
  <si>
    <t>ARV1</t>
  </si>
  <si>
    <t>Super 2</t>
  </si>
  <si>
    <t>ASAP</t>
  </si>
  <si>
    <t>BEVR</t>
  </si>
  <si>
    <t>CHIN</t>
  </si>
  <si>
    <t>ASL</t>
  </si>
  <si>
    <t>ARV-1 Opus 280</t>
  </si>
  <si>
    <t>Opus 280</t>
  </si>
  <si>
    <t>ASSO AEREI</t>
  </si>
  <si>
    <t>Asso 4 Whisky</t>
  </si>
  <si>
    <t>ASO4</t>
  </si>
  <si>
    <t>ASSOCIATED AIR</t>
  </si>
  <si>
    <t>Liberty 181</t>
  </si>
  <si>
    <t>L181</t>
  </si>
  <si>
    <t>ASTA</t>
  </si>
  <si>
    <t>S-70 Seahawk</t>
  </si>
  <si>
    <t>H60</t>
  </si>
  <si>
    <t>Seahawk</t>
  </si>
  <si>
    <t>F18H</t>
  </si>
  <si>
    <t>AF-18 Hornet</t>
  </si>
  <si>
    <t>ATF-18 Hornet</t>
  </si>
  <si>
    <t>Patriot 2</t>
  </si>
  <si>
    <t>PAT2</t>
  </si>
  <si>
    <t>ATEC</t>
  </si>
  <si>
    <t>122 Zephyr</t>
  </si>
  <si>
    <t>ZEPH</t>
  </si>
  <si>
    <t>321 Faeta</t>
  </si>
  <si>
    <t>FAET</t>
  </si>
  <si>
    <t>Faeta</t>
  </si>
  <si>
    <t>Zephyr</t>
  </si>
  <si>
    <t>322 Faeta</t>
  </si>
  <si>
    <t>ATG</t>
  </si>
  <si>
    <t>ATG-1 Javelin</t>
  </si>
  <si>
    <t>ATG1</t>
  </si>
  <si>
    <t>Javelin</t>
  </si>
  <si>
    <t>ATLAS</t>
  </si>
  <si>
    <t>AL-60 Kudu</t>
  </si>
  <si>
    <t>AM-3 Bosbok</t>
  </si>
  <si>
    <t>Astra</t>
  </si>
  <si>
    <t>PC7</t>
  </si>
  <si>
    <t>Bosbok</t>
  </si>
  <si>
    <t>Cheetah</t>
  </si>
  <si>
    <t>MIRA</t>
  </si>
  <si>
    <t>CSH-2 Rooivalk</t>
  </si>
  <si>
    <t>RVAL</t>
  </si>
  <si>
    <t>Impala</t>
  </si>
  <si>
    <t>Kudu</t>
  </si>
  <si>
    <t>MB-326 Impala</t>
  </si>
  <si>
    <t>Oryx</t>
  </si>
  <si>
    <t>PC-7 Astra</t>
  </si>
  <si>
    <t>Rooivalk</t>
  </si>
  <si>
    <t>SA-330 Oryx</t>
  </si>
  <si>
    <t>ATR</t>
  </si>
  <si>
    <t>ATR-42-300</t>
  </si>
  <si>
    <t>AT43</t>
  </si>
  <si>
    <t>ATR-42-320</t>
  </si>
  <si>
    <t>ATR-42-400</t>
  </si>
  <si>
    <t>AT44</t>
  </si>
  <si>
    <t>ATR-42-400 Surveyor</t>
  </si>
  <si>
    <t>ATR-42-500</t>
  </si>
  <si>
    <t>AT45</t>
  </si>
  <si>
    <t>ATR-42-500 Surveyor</t>
  </si>
  <si>
    <t>Surveyor (ATR-42-400)</t>
  </si>
  <si>
    <t>Surveyor (ATR-42-500)</t>
  </si>
  <si>
    <t>ATR-42-600</t>
  </si>
  <si>
    <t>AT46</t>
  </si>
  <si>
    <t>ATR-72-201</t>
  </si>
  <si>
    <t>AT72</t>
  </si>
  <si>
    <t>ATR-72-202</t>
  </si>
  <si>
    <t>ATR-72-211</t>
  </si>
  <si>
    <t>AT73</t>
  </si>
  <si>
    <t>ATR-72-500</t>
  </si>
  <si>
    <t>AT75</t>
  </si>
  <si>
    <t>ATR-72-600</t>
  </si>
  <si>
    <t>AT76</t>
  </si>
  <si>
    <t>ATR P-72</t>
  </si>
  <si>
    <t>ATR-72-212A (600)</t>
  </si>
  <si>
    <t>ATR-72-212</t>
  </si>
  <si>
    <t>ATR-72-212A (500)</t>
  </si>
  <si>
    <t>AUSTER</t>
  </si>
  <si>
    <t>Autocrat</t>
  </si>
  <si>
    <t>J1</t>
  </si>
  <si>
    <t>B5</t>
  </si>
  <si>
    <t>AUS9</t>
  </si>
  <si>
    <t>D-4</t>
  </si>
  <si>
    <t>D4</t>
  </si>
  <si>
    <t>D-5</t>
  </si>
  <si>
    <t>D5</t>
  </si>
  <si>
    <t>D-6</t>
  </si>
  <si>
    <t>D6</t>
  </si>
  <si>
    <t>AUS5</t>
  </si>
  <si>
    <t>J-1 Aiglet</t>
  </si>
  <si>
    <t>J-1 Alpha</t>
  </si>
  <si>
    <t>J-1 Autocrat</t>
  </si>
  <si>
    <t>J-1 Kingsland</t>
  </si>
  <si>
    <t>J-1 Workmaster</t>
  </si>
  <si>
    <t>J-2 Arrow</t>
  </si>
  <si>
    <t>AUJ2</t>
  </si>
  <si>
    <t>J-4 Archer</t>
  </si>
  <si>
    <t>AUJ4</t>
  </si>
  <si>
    <t>J-5 Adventurer</t>
  </si>
  <si>
    <t>ADVE</t>
  </si>
  <si>
    <t>J-5B Autocar</t>
  </si>
  <si>
    <t>ACAR</t>
  </si>
  <si>
    <t>J-5E Autocar</t>
  </si>
  <si>
    <t>J-5F Aiglet Trainer</t>
  </si>
  <si>
    <t>AIGT</t>
  </si>
  <si>
    <t>J-5G Autocar</t>
  </si>
  <si>
    <t>J-5H Autocar</t>
  </si>
  <si>
    <t>J-5K Aiglet Trainer</t>
  </si>
  <si>
    <t>J-5L Aiglet Trainer</t>
  </si>
  <si>
    <t>J-5P Autocar</t>
  </si>
  <si>
    <t>J-5Q Alpine</t>
  </si>
  <si>
    <t>J-5R Alpine</t>
  </si>
  <si>
    <t>J-5T Autocar</t>
  </si>
  <si>
    <t>J-5V Autocar</t>
  </si>
  <si>
    <t>K</t>
  </si>
  <si>
    <t>AUS6</t>
  </si>
  <si>
    <t>Kingsland</t>
  </si>
  <si>
    <t>Q</t>
  </si>
  <si>
    <t>AUS7</t>
  </si>
  <si>
    <t>Workmaster</t>
  </si>
  <si>
    <t>6A</t>
  </si>
  <si>
    <t>Aiglet</t>
  </si>
  <si>
    <t>Aiglet Trainer</t>
  </si>
  <si>
    <t>Alpha</t>
  </si>
  <si>
    <t>Alpine</t>
  </si>
  <si>
    <t>Archer</t>
  </si>
  <si>
    <t>Arrow</t>
  </si>
  <si>
    <t>Auster 5</t>
  </si>
  <si>
    <t>Auster 5 Alpha</t>
  </si>
  <si>
    <t>Auster AOP6</t>
  </si>
  <si>
    <t>Auster AOP9</t>
  </si>
  <si>
    <t>Auster T7</t>
  </si>
  <si>
    <t>Autocar</t>
  </si>
  <si>
    <t>AUSTFLIGHT</t>
  </si>
  <si>
    <t>Drifter</t>
  </si>
  <si>
    <t>DRIF</t>
  </si>
  <si>
    <t>AUSTRALIAN AEROSPACE</t>
  </si>
  <si>
    <t>MRH-90</t>
  </si>
  <si>
    <t>NH90</t>
  </si>
  <si>
    <t>AUSTRALITE</t>
  </si>
  <si>
    <t>Ultrabat</t>
  </si>
  <si>
    <t>UBAT</t>
  </si>
  <si>
    <t>AUTOGYRO</t>
  </si>
  <si>
    <t>MT-03</t>
  </si>
  <si>
    <t>MT</t>
  </si>
  <si>
    <t>MTOSport</t>
  </si>
  <si>
    <t>Calidus</t>
  </si>
  <si>
    <t>CDUS</t>
  </si>
  <si>
    <t>Cavalon</t>
  </si>
  <si>
    <t>CLON</t>
  </si>
  <si>
    <t>AVANTAGE</t>
  </si>
  <si>
    <t>A-29</t>
  </si>
  <si>
    <t>A29</t>
  </si>
  <si>
    <t>A-31 Spectrum</t>
  </si>
  <si>
    <t>A31</t>
  </si>
  <si>
    <t>A-35 Scanner</t>
  </si>
  <si>
    <t>A35</t>
  </si>
  <si>
    <t>Scanner</t>
  </si>
  <si>
    <t>Spectrum</t>
  </si>
  <si>
    <t>AVCRAFT</t>
  </si>
  <si>
    <t>AVEKO</t>
  </si>
  <si>
    <t>VL-3 Flamingo</t>
  </si>
  <si>
    <t>VL3</t>
  </si>
  <si>
    <t>VL-3</t>
  </si>
  <si>
    <t>VL-3 Sprint</t>
  </si>
  <si>
    <t>Sprint</t>
  </si>
  <si>
    <t>AVIA (1)</t>
  </si>
  <si>
    <t>Aviastarlet</t>
  </si>
  <si>
    <t>FL3</t>
  </si>
  <si>
    <t>L-3 Aviastarlet</t>
  </si>
  <si>
    <t>AVIA (2)</t>
  </si>
  <si>
    <t>Av-14</t>
  </si>
  <si>
    <t>IL14</t>
  </si>
  <si>
    <t>AVIA (3)</t>
  </si>
  <si>
    <t>Accord</t>
  </si>
  <si>
    <t>ACRD</t>
  </si>
  <si>
    <t>AVIA BALTIKA</t>
  </si>
  <si>
    <t>AVIABELLANCA</t>
  </si>
  <si>
    <t>19 Skyrocket</t>
  </si>
  <si>
    <t>BL19</t>
  </si>
  <si>
    <t>Skyrocket</t>
  </si>
  <si>
    <t>AVIADESIGN</t>
  </si>
  <si>
    <t>A-16 Sport Falcon</t>
  </si>
  <si>
    <t>A16</t>
  </si>
  <si>
    <t>AVIAIMPEX</t>
  </si>
  <si>
    <t>KT-112 Yanhol</t>
  </si>
  <si>
    <t>YNHL</t>
  </si>
  <si>
    <t>Yanhol</t>
  </si>
  <si>
    <t>AVIAKIT</t>
  </si>
  <si>
    <t>Vega 3000</t>
  </si>
  <si>
    <t>VG3T</t>
  </si>
  <si>
    <t>AVIAMILANO</t>
  </si>
  <si>
    <t>F-14 Nibbio</t>
  </si>
  <si>
    <t>NIBB</t>
  </si>
  <si>
    <t>Nibbio</t>
  </si>
  <si>
    <t>P-19 Scricciolo</t>
  </si>
  <si>
    <t>P19</t>
  </si>
  <si>
    <t>Scricciolo</t>
  </si>
  <si>
    <t>AVIASTROITEL</t>
  </si>
  <si>
    <t>AC-5M</t>
  </si>
  <si>
    <t>AC5M</t>
  </si>
  <si>
    <t>AVIAT</t>
  </si>
  <si>
    <t>110 Special</t>
  </si>
  <si>
    <t>M110</t>
  </si>
  <si>
    <t>A-1 Husky</t>
  </si>
  <si>
    <t>HUSK</t>
  </si>
  <si>
    <t>A-1 Husky Pup</t>
  </si>
  <si>
    <t>Eagle</t>
  </si>
  <si>
    <t>EAGL</t>
  </si>
  <si>
    <t>Husky</t>
  </si>
  <si>
    <t>Husky Pup</t>
  </si>
  <si>
    <t>S-1-11 Super Stinker</t>
  </si>
  <si>
    <t>PTSS</t>
  </si>
  <si>
    <t>Special</t>
  </si>
  <si>
    <t>Super Stinker</t>
  </si>
  <si>
    <t>AVIATECH</t>
  </si>
  <si>
    <t>Super Cyclone</t>
  </si>
  <si>
    <t>C185</t>
  </si>
  <si>
    <t>AVIATIK-ALYANS</t>
  </si>
  <si>
    <t>Aleks-251</t>
  </si>
  <si>
    <t>A251</t>
  </si>
  <si>
    <t>AVIATIKA</t>
  </si>
  <si>
    <t>Acrobat</t>
  </si>
  <si>
    <t>A900</t>
  </si>
  <si>
    <t>MAI-890</t>
  </si>
  <si>
    <t>A890</t>
  </si>
  <si>
    <t>MAI-900 Acrobat</t>
  </si>
  <si>
    <t>MAI-910</t>
  </si>
  <si>
    <t>A910</t>
  </si>
  <si>
    <t>MAI-960</t>
  </si>
  <si>
    <t>AVIATION DEVELOPMENT</t>
  </si>
  <si>
    <t>Alaskan Bushmaster</t>
  </si>
  <si>
    <t>ALBU</t>
  </si>
  <si>
    <t>AVIATION ENTERPRISES</t>
  </si>
  <si>
    <t>MGNM</t>
  </si>
  <si>
    <t>AVIATION FARM</t>
  </si>
  <si>
    <t>AVIATION SCOTLAND</t>
  </si>
  <si>
    <t>AVIATION TRADERS</t>
  </si>
  <si>
    <t>ATL-98 Carvair</t>
  </si>
  <si>
    <t>CARV</t>
  </si>
  <si>
    <t>Carvair</t>
  </si>
  <si>
    <t>AVIATON</t>
  </si>
  <si>
    <t>Merkury</t>
  </si>
  <si>
    <t>MERK</t>
  </si>
  <si>
    <t>AVICOPTER</t>
  </si>
  <si>
    <t>AC-301</t>
  </si>
  <si>
    <t>AC-311</t>
  </si>
  <si>
    <t>AC31</t>
  </si>
  <si>
    <t>AC-313</t>
  </si>
  <si>
    <t>AC33</t>
  </si>
  <si>
    <t>Avid Amphibian</t>
  </si>
  <si>
    <t>AVAM</t>
  </si>
  <si>
    <t>Avid Commuter</t>
  </si>
  <si>
    <t>Catalina</t>
  </si>
  <si>
    <t>AVIOANE</t>
  </si>
  <si>
    <t>IAR-99 Soim</t>
  </si>
  <si>
    <t>IR99</t>
  </si>
  <si>
    <t>IAR-109 Swift</t>
  </si>
  <si>
    <t>Soim</t>
  </si>
  <si>
    <t>Swift</t>
  </si>
  <si>
    <t>AVION</t>
  </si>
  <si>
    <t>F-1 Favorit</t>
  </si>
  <si>
    <t>F1FV</t>
  </si>
  <si>
    <t>Favorit</t>
  </si>
  <si>
    <t>AVIONES COLOMBIA</t>
  </si>
  <si>
    <t>C150</t>
  </si>
  <si>
    <t>C152</t>
  </si>
  <si>
    <t>C172</t>
  </si>
  <si>
    <t>172RG</t>
  </si>
  <si>
    <t>C72R</t>
  </si>
  <si>
    <t>177RG</t>
  </si>
  <si>
    <t>C77R</t>
  </si>
  <si>
    <t>C182</t>
  </si>
  <si>
    <t>C188</t>
  </si>
  <si>
    <t>C206</t>
  </si>
  <si>
    <t>C210</t>
  </si>
  <si>
    <t>C310</t>
  </si>
  <si>
    <t>C337</t>
  </si>
  <si>
    <t>C340</t>
  </si>
  <si>
    <t>C402</t>
  </si>
  <si>
    <t>C414</t>
  </si>
  <si>
    <t>AC-05 AgWagon</t>
  </si>
  <si>
    <t>AgTrainer</t>
  </si>
  <si>
    <t>P210</t>
  </si>
  <si>
    <t>Pijao</t>
  </si>
  <si>
    <t>R182</t>
  </si>
  <si>
    <t>C82R</t>
  </si>
  <si>
    <t>T303</t>
  </si>
  <si>
    <t>C303</t>
  </si>
  <si>
    <t>AVIONS FAIREY</t>
  </si>
  <si>
    <t>BN-2A Defender</t>
  </si>
  <si>
    <t>BN2P</t>
  </si>
  <si>
    <t>BN-2A Islander</t>
  </si>
  <si>
    <t>BN-2A Maritime Defender</t>
  </si>
  <si>
    <t>BN-2B Islander</t>
  </si>
  <si>
    <t>Islander</t>
  </si>
  <si>
    <t>Maritime Defender</t>
  </si>
  <si>
    <t>Nipper</t>
  </si>
  <si>
    <t>NIPR</t>
  </si>
  <si>
    <t>T-66 Nipper</t>
  </si>
  <si>
    <t>Tipsy B</t>
  </si>
  <si>
    <t>TIPB</t>
  </si>
  <si>
    <t>Tipsy BC</t>
  </si>
  <si>
    <t>Tipsy Belfair</t>
  </si>
  <si>
    <t>Tipsy Junior</t>
  </si>
  <si>
    <t>TIJU</t>
  </si>
  <si>
    <t>Tipsy Trainer</t>
  </si>
  <si>
    <t>AVIOTECHNICA</t>
  </si>
  <si>
    <t>Leshii</t>
  </si>
  <si>
    <t>SL90</t>
  </si>
  <si>
    <t>SL-90 Leshii</t>
  </si>
  <si>
    <t>AVIOTECNICA</t>
  </si>
  <si>
    <t>ES-101 Exec</t>
  </si>
  <si>
    <t>ES-101 Raven</t>
  </si>
  <si>
    <t>Exec</t>
  </si>
  <si>
    <t>Raven</t>
  </si>
  <si>
    <t>AVIPRO</t>
  </si>
  <si>
    <t>Bearhawk</t>
  </si>
  <si>
    <t>BEAR</t>
  </si>
  <si>
    <t>RB-4 Bearhawk</t>
  </si>
  <si>
    <t>AVRO</t>
  </si>
  <si>
    <t>A504</t>
  </si>
  <si>
    <t>504 Replica</t>
  </si>
  <si>
    <t>594 Avian</t>
  </si>
  <si>
    <t>AVIN</t>
  </si>
  <si>
    <t>616 Avian</t>
  </si>
  <si>
    <t>621 Tutor</t>
  </si>
  <si>
    <t>TUTR</t>
  </si>
  <si>
    <t>652 Anson</t>
  </si>
  <si>
    <t>ANSN</t>
  </si>
  <si>
    <t>683 Lancaster</t>
  </si>
  <si>
    <t>LANC</t>
  </si>
  <si>
    <t>696 Shackleton</t>
  </si>
  <si>
    <t>SHAC</t>
  </si>
  <si>
    <t>Anson</t>
  </si>
  <si>
    <t>Avian</t>
  </si>
  <si>
    <t>C-91</t>
  </si>
  <si>
    <t>Lancaster</t>
  </si>
  <si>
    <t>Shackleton</t>
  </si>
  <si>
    <t>Tutor</t>
  </si>
  <si>
    <t>AVTEK</t>
  </si>
  <si>
    <t>AVK4</t>
  </si>
  <si>
    <t>AYRES</t>
  </si>
  <si>
    <t>Bull Thrush</t>
  </si>
  <si>
    <t>S-2R-600 Thrush</t>
  </si>
  <si>
    <t>S-2R-G Turbo Thrush</t>
  </si>
  <si>
    <t>SS2T</t>
  </si>
  <si>
    <t>S-2RHG-T34 Turbo Thrush</t>
  </si>
  <si>
    <t>S-2RHG-T65 Turbo Thrush</t>
  </si>
  <si>
    <t>S-2R-R3S Thrush</t>
  </si>
  <si>
    <t>S-2R-R1340 Thrush</t>
  </si>
  <si>
    <t>S-2R-R1820 Bull Thrush</t>
  </si>
  <si>
    <t>S-2R-T11 Turbo Thrush</t>
  </si>
  <si>
    <t>S-2R-T15 Turbo Thrush</t>
  </si>
  <si>
    <t>S-2R-T34 Turbo Thrush</t>
  </si>
  <si>
    <t>S-2R-T41 Turbo Thrush</t>
  </si>
  <si>
    <t>S-2R-T45 Turbo Thrush</t>
  </si>
  <si>
    <t>S-2R-T65 Turbo Thrush</t>
  </si>
  <si>
    <t>S-2R-T660 Turbo Thrush</t>
  </si>
  <si>
    <t>A660</t>
  </si>
  <si>
    <t>Thrush</t>
  </si>
  <si>
    <t>Turbo Thrush (S-2R-G/T except T660)</t>
  </si>
  <si>
    <t>Turbo Thrush (S-2R-T660)</t>
  </si>
  <si>
    <t>V-1 Vigilante</t>
  </si>
  <si>
    <t>Vigilante</t>
  </si>
  <si>
    <t>B &amp; F TECHNIK</t>
  </si>
  <si>
    <t>FK12</t>
  </si>
  <si>
    <t>FK-9</t>
  </si>
  <si>
    <t>FK9</t>
  </si>
  <si>
    <t>FK-12 Comet</t>
  </si>
  <si>
    <t>FK-14 Polaris</t>
  </si>
  <si>
    <t>FK14</t>
  </si>
  <si>
    <t>BAC</t>
  </si>
  <si>
    <t>111 One-Eleven</t>
  </si>
  <si>
    <t>BA11</t>
  </si>
  <si>
    <t>145 Jet Provost</t>
  </si>
  <si>
    <t>JPRO</t>
  </si>
  <si>
    <t>Canberra</t>
  </si>
  <si>
    <t>CNBR</t>
  </si>
  <si>
    <t>Jet Provost</t>
  </si>
  <si>
    <t>LTNG</t>
  </si>
  <si>
    <t>One-Eleven</t>
  </si>
  <si>
    <t>Strikemaster</t>
  </si>
  <si>
    <t>STRK</t>
  </si>
  <si>
    <t>167 Strikemaster</t>
  </si>
  <si>
    <t>BACAU</t>
  </si>
  <si>
    <t>BACKCOUNTRY</t>
  </si>
  <si>
    <t>Super Cub</t>
  </si>
  <si>
    <t>PA12</t>
  </si>
  <si>
    <t>PA-18 Super Cub</t>
  </si>
  <si>
    <t>PA-12 Super Cruiser</t>
  </si>
  <si>
    <t>Mackey SQ-2</t>
  </si>
  <si>
    <t>MSQ2</t>
  </si>
  <si>
    <t>BAE SYSTEMS</t>
  </si>
  <si>
    <t>Avro RJ-70</t>
  </si>
  <si>
    <t>Avro RJ-85</t>
  </si>
  <si>
    <t>Avro RJ-100</t>
  </si>
  <si>
    <t>CT-155  Hawk</t>
  </si>
  <si>
    <t>HAWK</t>
  </si>
  <si>
    <t>Goshawk</t>
  </si>
  <si>
    <t>Hawk</t>
  </si>
  <si>
    <t>T-45 Goshawk</t>
  </si>
  <si>
    <t>BAE SYSTEMS AUSTRALIA</t>
  </si>
  <si>
    <t>BAKENG</t>
  </si>
  <si>
    <t>Duce</t>
  </si>
  <si>
    <t>DUCE</t>
  </si>
  <si>
    <t>BARNETT</t>
  </si>
  <si>
    <t>BRC-540</t>
  </si>
  <si>
    <t>BR54</t>
  </si>
  <si>
    <t>J4B2</t>
  </si>
  <si>
    <t>BARR</t>
  </si>
  <si>
    <t>BarrSix</t>
  </si>
  <si>
    <t>BAR6</t>
  </si>
  <si>
    <t>BASLER</t>
  </si>
  <si>
    <t>BT-67 Turbo 67</t>
  </si>
  <si>
    <t>DC3T</t>
  </si>
  <si>
    <t>Turbo 67</t>
  </si>
  <si>
    <t>BAYLES</t>
  </si>
  <si>
    <t>WH4</t>
  </si>
  <si>
    <t>BD-MICRO</t>
  </si>
  <si>
    <t>BD-5T Micro</t>
  </si>
  <si>
    <t>BD5T</t>
  </si>
  <si>
    <t>Micro (BD-5B)</t>
  </si>
  <si>
    <t>Micro (BD-5T)</t>
  </si>
  <si>
    <t>BEACHNER</t>
  </si>
  <si>
    <t>V8SP</t>
  </si>
  <si>
    <t>V-8 Special</t>
  </si>
  <si>
    <t>BEAGLE</t>
  </si>
  <si>
    <t>A-61 Terrier</t>
  </si>
  <si>
    <t>A-61 Tugmaster</t>
  </si>
  <si>
    <t>A-109 Airedale</t>
  </si>
  <si>
    <t>AIRD</t>
  </si>
  <si>
    <t>Airedale</t>
  </si>
  <si>
    <t>B-121 Pup</t>
  </si>
  <si>
    <t>PUP</t>
  </si>
  <si>
    <t>B-125 Bulldog</t>
  </si>
  <si>
    <t>BDOG</t>
  </si>
  <si>
    <t>B-206</t>
  </si>
  <si>
    <t>BASS</t>
  </si>
  <si>
    <t>Basset</t>
  </si>
  <si>
    <t>Bulldog</t>
  </si>
  <si>
    <t>D-5 Husky</t>
  </si>
  <si>
    <t>Pup</t>
  </si>
  <si>
    <t>Terrier</t>
  </si>
  <si>
    <t>Tugmaster</t>
  </si>
  <si>
    <t>BEAGLE-AUSTER</t>
  </si>
  <si>
    <t>Auster AOP11</t>
  </si>
  <si>
    <t>AU11</t>
  </si>
  <si>
    <t>E-3 Auster AOP11</t>
  </si>
  <si>
    <t>BEDE</t>
  </si>
  <si>
    <t>BD-4</t>
  </si>
  <si>
    <t>BD4</t>
  </si>
  <si>
    <t>BD-5D Micro</t>
  </si>
  <si>
    <t>BD-5TP Micro</t>
  </si>
  <si>
    <t>BD-10</t>
  </si>
  <si>
    <t>BD10</t>
  </si>
  <si>
    <t>BD-12</t>
  </si>
  <si>
    <t>BD12</t>
  </si>
  <si>
    <t>BD-17 Nuggett</t>
  </si>
  <si>
    <t>BD17</t>
  </si>
  <si>
    <t>Micro (BD-5B/D/G)</t>
  </si>
  <si>
    <t>Micro (BD-5TP)</t>
  </si>
  <si>
    <t>Nuggett</t>
  </si>
  <si>
    <t>BEECH</t>
  </si>
  <si>
    <t>17 Staggerwing</t>
  </si>
  <si>
    <t>BE17</t>
  </si>
  <si>
    <t>18 (piston)</t>
  </si>
  <si>
    <t>BE18</t>
  </si>
  <si>
    <t>18 (turbine)</t>
  </si>
  <si>
    <t>B18T</t>
  </si>
  <si>
    <t>19 Musketeer Sport</t>
  </si>
  <si>
    <t>BE19</t>
  </si>
  <si>
    <t>19 Sport</t>
  </si>
  <si>
    <t>23 Musketeer</t>
  </si>
  <si>
    <t>BE23</t>
  </si>
  <si>
    <t>23 Sundowner</t>
  </si>
  <si>
    <t>24 Musketeer Super</t>
  </si>
  <si>
    <t>BE24</t>
  </si>
  <si>
    <t>24 Sierra</t>
  </si>
  <si>
    <t>33 Bonanza</t>
  </si>
  <si>
    <t>BE33</t>
  </si>
  <si>
    <t>33 Debonair</t>
  </si>
  <si>
    <t>35 Bonanza</t>
  </si>
  <si>
    <t>BE35</t>
  </si>
  <si>
    <t>36 Bonanza (turbine)</t>
  </si>
  <si>
    <t>45 Mentor</t>
  </si>
  <si>
    <t>T34P</t>
  </si>
  <si>
    <t>50 Twin Bonanza</t>
  </si>
  <si>
    <t>BE50</t>
  </si>
  <si>
    <t>55 Baron</t>
  </si>
  <si>
    <t>BE55</t>
  </si>
  <si>
    <t>56 Turbo Baron</t>
  </si>
  <si>
    <t>BE56</t>
  </si>
  <si>
    <t>58 Baron</t>
  </si>
  <si>
    <t>BE58</t>
  </si>
  <si>
    <t>60 Duke</t>
  </si>
  <si>
    <t>BE60</t>
  </si>
  <si>
    <t>65 Queen Air</t>
  </si>
  <si>
    <t>BE65</t>
  </si>
  <si>
    <t>70 Queen Air</t>
  </si>
  <si>
    <t>BE70</t>
  </si>
  <si>
    <t>76 Duchess</t>
  </si>
  <si>
    <t>BE76</t>
  </si>
  <si>
    <t>77 Skipper</t>
  </si>
  <si>
    <t>BE77</t>
  </si>
  <si>
    <t>80 Queen Air</t>
  </si>
  <si>
    <t>BE80</t>
  </si>
  <si>
    <t>80 Zamir</t>
  </si>
  <si>
    <t>88 Queen Air</t>
  </si>
  <si>
    <t>BE88</t>
  </si>
  <si>
    <t>90 (A90-1) Ute</t>
  </si>
  <si>
    <t>U21</t>
  </si>
  <si>
    <t>90 (A90-2) Ute</t>
  </si>
  <si>
    <t>90 (A90-3) Ute</t>
  </si>
  <si>
    <t>90 (A90-4) Ute</t>
  </si>
  <si>
    <t>90 (A90) King Air</t>
  </si>
  <si>
    <t>BE9L</t>
  </si>
  <si>
    <t>90 (B90) King Air</t>
  </si>
  <si>
    <t>90 (C90) King Air</t>
  </si>
  <si>
    <t>90 (D90) King Air</t>
  </si>
  <si>
    <t>90 (E90) King Air</t>
  </si>
  <si>
    <t>90 (F90) King Air</t>
  </si>
  <si>
    <t>BE9T</t>
  </si>
  <si>
    <t>90 King Air</t>
  </si>
  <si>
    <t>95 Travel Air</t>
  </si>
  <si>
    <t>BE95</t>
  </si>
  <si>
    <t>99 Airliner</t>
  </si>
  <si>
    <t>BE99</t>
  </si>
  <si>
    <t>100 King Air</t>
  </si>
  <si>
    <t>BE10</t>
  </si>
  <si>
    <t>200 Super King Air</t>
  </si>
  <si>
    <t>BE20</t>
  </si>
  <si>
    <t>300 (B300) Super King Air 350</t>
  </si>
  <si>
    <t>B350</t>
  </si>
  <si>
    <t>300 Super King Air</t>
  </si>
  <si>
    <t>BE30</t>
  </si>
  <si>
    <t>400 Beechjet</t>
  </si>
  <si>
    <t>BE40</t>
  </si>
  <si>
    <t>U22</t>
  </si>
  <si>
    <t>1300 Commuter</t>
  </si>
  <si>
    <t>B190</t>
  </si>
  <si>
    <t>2000 Starship</t>
  </si>
  <si>
    <t>STAR</t>
  </si>
  <si>
    <t>Airliner</t>
  </si>
  <si>
    <t>AT-7 Navigator</t>
  </si>
  <si>
    <t>AT-11 Kansan</t>
  </si>
  <si>
    <t>Baron (55)</t>
  </si>
  <si>
    <t>Baron (58)</t>
  </si>
  <si>
    <t>Bonanza (33)</t>
  </si>
  <si>
    <t>Bonanza (35)</t>
  </si>
  <si>
    <t>A36 Bonanza 36</t>
  </si>
  <si>
    <t>BE36</t>
  </si>
  <si>
    <t>A36AT Bonanza 36</t>
  </si>
  <si>
    <t>Bonanza (36, turbine)</t>
  </si>
  <si>
    <t>C-12A Huron</t>
  </si>
  <si>
    <t>C-12C Huron</t>
  </si>
  <si>
    <t>C-12D Huron</t>
  </si>
  <si>
    <t>C-12E Huron</t>
  </si>
  <si>
    <t>C-12F Huron</t>
  </si>
  <si>
    <t>C-12J</t>
  </si>
  <si>
    <t>C-12L Huron</t>
  </si>
  <si>
    <t>C-12R Huron</t>
  </si>
  <si>
    <t>C-45 Expeditor</t>
  </si>
  <si>
    <t>C-55 Baron</t>
  </si>
  <si>
    <t>Cochise</t>
  </si>
  <si>
    <t>Commuter</t>
  </si>
  <si>
    <t>Debonair</t>
  </si>
  <si>
    <t>Duchess</t>
  </si>
  <si>
    <t>Duke</t>
  </si>
  <si>
    <t>EU-21 Ute</t>
  </si>
  <si>
    <t>Expeditor</t>
  </si>
  <si>
    <t>FWC-12 Tzufit</t>
  </si>
  <si>
    <t>Huron</t>
  </si>
  <si>
    <t>Jayhawk</t>
  </si>
  <si>
    <t>JC-12 Huron</t>
  </si>
  <si>
    <t>JRB Expeditor</t>
  </si>
  <si>
    <t>JU-21 Ute</t>
  </si>
  <si>
    <t>Kansan</t>
  </si>
  <si>
    <t>King Air (90, A90 to E90)</t>
  </si>
  <si>
    <t>King Air (100)</t>
  </si>
  <si>
    <t>King Air (F90)</t>
  </si>
  <si>
    <t>Mentor</t>
  </si>
  <si>
    <t>Musketeer</t>
  </si>
  <si>
    <t>Musketeer Sport</t>
  </si>
  <si>
    <t>Musketeer Super</t>
  </si>
  <si>
    <t>Navigator</t>
  </si>
  <si>
    <t>NC-12 Huron</t>
  </si>
  <si>
    <t>QU-22</t>
  </si>
  <si>
    <t>Queen Air (65)</t>
  </si>
  <si>
    <t>Queen Air (70)</t>
  </si>
  <si>
    <t>Queen Air (80)</t>
  </si>
  <si>
    <t>Queen Air (88)</t>
  </si>
  <si>
    <t>RC-12 Huron</t>
  </si>
  <si>
    <t>RC-45 Expeditor</t>
  </si>
  <si>
    <t>RU-8 Seminole</t>
  </si>
  <si>
    <t>RU-21 Ute</t>
  </si>
  <si>
    <t>Seminole (U-8D/E/G)</t>
  </si>
  <si>
    <t>Seminole (U-8F)</t>
  </si>
  <si>
    <t>Sierra</t>
  </si>
  <si>
    <t>Skipper</t>
  </si>
  <si>
    <t>SNB Expeditor</t>
  </si>
  <si>
    <t>Staggerwing</t>
  </si>
  <si>
    <t>Starship</t>
  </si>
  <si>
    <t>Sundowner</t>
  </si>
  <si>
    <t>Super King Air 350</t>
  </si>
  <si>
    <t>Super King Air (200)</t>
  </si>
  <si>
    <t>Super King Air (300)</t>
  </si>
  <si>
    <t>T-1 Jayhawk</t>
  </si>
  <si>
    <t>T-34A Mentor</t>
  </si>
  <si>
    <t>T-34B Mentor</t>
  </si>
  <si>
    <t>T-34C Turbo Mentor</t>
  </si>
  <si>
    <t>T34T</t>
  </si>
  <si>
    <t>T-42 Cochise</t>
  </si>
  <si>
    <t>T-44 King Air</t>
  </si>
  <si>
    <t>TC-12 Huron</t>
  </si>
  <si>
    <t>TC-45 Expeditor</t>
  </si>
  <si>
    <t>Travel Air</t>
  </si>
  <si>
    <t>Turbo Baron</t>
  </si>
  <si>
    <t>Turbo Mentor</t>
  </si>
  <si>
    <t>Twin Bonanza</t>
  </si>
  <si>
    <t>Tzufit</t>
  </si>
  <si>
    <t>U-8D Seminole</t>
  </si>
  <si>
    <t>60 Royal Turbine Duke</t>
  </si>
  <si>
    <t>B60T</t>
  </si>
  <si>
    <t>Royal Turbine Duke</t>
  </si>
  <si>
    <t>Bonanza 36</t>
  </si>
  <si>
    <t>U-8E Seminole</t>
  </si>
  <si>
    <t>U-8F Seminole</t>
  </si>
  <si>
    <t>U-8G Seminole</t>
  </si>
  <si>
    <t>U-21A Ute</t>
  </si>
  <si>
    <t>U-21F Ute</t>
  </si>
  <si>
    <t>U-21G Ute</t>
  </si>
  <si>
    <t>UC-12 Huron</t>
  </si>
  <si>
    <t>UC-43 Traveler</t>
  </si>
  <si>
    <t>UC-45 Expeditor</t>
  </si>
  <si>
    <t>Ute (U-21A/G)</t>
  </si>
  <si>
    <t>Ute (U-21F)</t>
  </si>
  <si>
    <t>VC-6 King Air</t>
  </si>
  <si>
    <t>YC-43 Traveler</t>
  </si>
  <si>
    <t>Zamir</t>
  </si>
  <si>
    <t>A36TC Bonanza</t>
  </si>
  <si>
    <t>BT36</t>
  </si>
  <si>
    <t>B36TC Bonanza</t>
  </si>
  <si>
    <t>Bonanza (A36TC/B36TC)</t>
  </si>
  <si>
    <t>58P Pressurized Baron</t>
  </si>
  <si>
    <t>B58T</t>
  </si>
  <si>
    <t>Pressurized Baron</t>
  </si>
  <si>
    <t>58TC Baron</t>
  </si>
  <si>
    <t>Baron (58TC)</t>
  </si>
  <si>
    <t>400A Beechjet</t>
  </si>
  <si>
    <t>400T Jayhawk</t>
  </si>
  <si>
    <t>400T TX</t>
  </si>
  <si>
    <t>TX</t>
  </si>
  <si>
    <t>T-400</t>
  </si>
  <si>
    <t>Beechjet (400/400A)</t>
  </si>
  <si>
    <t>Beechjet (400XT/400XPR)</t>
  </si>
  <si>
    <t>BE4W</t>
  </si>
  <si>
    <t>400XT Beechjet</t>
  </si>
  <si>
    <t>400XPR Beechjet</t>
  </si>
  <si>
    <t>36 Bonanza 36</t>
  </si>
  <si>
    <t>BEECH-SFERMA</t>
  </si>
  <si>
    <t>60 Marquis</t>
  </si>
  <si>
    <t>BS60</t>
  </si>
  <si>
    <t>Marquis</t>
  </si>
  <si>
    <t>BEECHCRAFT</t>
  </si>
  <si>
    <t>King Air 360</t>
  </si>
  <si>
    <t>300 (B300) King Air 360</t>
  </si>
  <si>
    <t>220 Denali</t>
  </si>
  <si>
    <t>BE22</t>
  </si>
  <si>
    <t>Denali</t>
  </si>
  <si>
    <t>Baron</t>
  </si>
  <si>
    <t>90 King Air 90</t>
  </si>
  <si>
    <t>King Air 90</t>
  </si>
  <si>
    <t>200 King Air 250</t>
  </si>
  <si>
    <t>King Air 250</t>
  </si>
  <si>
    <t>300 (B300) King Air 350</t>
  </si>
  <si>
    <t>King Air 350</t>
  </si>
  <si>
    <t>T-6 Texan 2</t>
  </si>
  <si>
    <t>TEX2</t>
  </si>
  <si>
    <t>AT-6 Texan 2</t>
  </si>
  <si>
    <t>3000 Texan 2</t>
  </si>
  <si>
    <t>Texan 2</t>
  </si>
  <si>
    <t>AT-6 Wolverine</t>
  </si>
  <si>
    <t>Wolverine</t>
  </si>
  <si>
    <t>Bonanza (G36)</t>
  </si>
  <si>
    <t>G36 Bonanza</t>
  </si>
  <si>
    <t>BEETS</t>
  </si>
  <si>
    <t>GB Special</t>
  </si>
  <si>
    <t>GBSP</t>
  </si>
  <si>
    <t>BEIJING KEYUAN</t>
  </si>
  <si>
    <t>AD-200</t>
  </si>
  <si>
    <t>AD20</t>
  </si>
  <si>
    <t>BEL-AIRE</t>
  </si>
  <si>
    <t>TVLB</t>
  </si>
  <si>
    <t>BELL</t>
  </si>
  <si>
    <t>47D</t>
  </si>
  <si>
    <t>47G</t>
  </si>
  <si>
    <t>47G Trooper</t>
  </si>
  <si>
    <t>47H</t>
  </si>
  <si>
    <t>47J Ranger</t>
  </si>
  <si>
    <t>206A JetRanger</t>
  </si>
  <si>
    <t>206B JetRanger</t>
  </si>
  <si>
    <t>206L LongRanger</t>
  </si>
  <si>
    <t>206LT TwinRanger</t>
  </si>
  <si>
    <t>B06T</t>
  </si>
  <si>
    <t>209 HueyCobra</t>
  </si>
  <si>
    <t>HUCO</t>
  </si>
  <si>
    <t>209 SuperCobra</t>
  </si>
  <si>
    <t>SUCO</t>
  </si>
  <si>
    <t>212 Twin Two-Twelve</t>
  </si>
  <si>
    <t>214A Isfahan</t>
  </si>
  <si>
    <t>B214</t>
  </si>
  <si>
    <t>214B</t>
  </si>
  <si>
    <t>214C BigLifter</t>
  </si>
  <si>
    <t>214ST SuperTransport</t>
  </si>
  <si>
    <t>BSTP</t>
  </si>
  <si>
    <t>B222</t>
  </si>
  <si>
    <t>B230</t>
  </si>
  <si>
    <t>XV15</t>
  </si>
  <si>
    <t>406 Combat Scout</t>
  </si>
  <si>
    <t>B407</t>
  </si>
  <si>
    <t>412 Arapaho</t>
  </si>
  <si>
    <t>412 Sentinel</t>
  </si>
  <si>
    <t>B427</t>
  </si>
  <si>
    <t>429 GlobalRanger</t>
  </si>
  <si>
    <t>B429</t>
  </si>
  <si>
    <t>B430</t>
  </si>
  <si>
    <t>449 SuperCobra</t>
  </si>
  <si>
    <t>AH-1E HueyCobra</t>
  </si>
  <si>
    <t>AH-1F HueyCobra</t>
  </si>
  <si>
    <t>AH-1P HueyCobra</t>
  </si>
  <si>
    <t>AH-1S HueyCobra</t>
  </si>
  <si>
    <t>AH-1W SuperCobra</t>
  </si>
  <si>
    <t>AH-1Z SuperCobra</t>
  </si>
  <si>
    <t>Airacobra</t>
  </si>
  <si>
    <t>P39</t>
  </si>
  <si>
    <t>BigLifter</t>
  </si>
  <si>
    <t>CH-118</t>
  </si>
  <si>
    <t>CH-136</t>
  </si>
  <si>
    <t>CH-139</t>
  </si>
  <si>
    <t>CH-146 Griffon</t>
  </si>
  <si>
    <t>COH-58</t>
  </si>
  <si>
    <t>Combat Scout</t>
  </si>
  <si>
    <t>Creek</t>
  </si>
  <si>
    <t>CUH-1H</t>
  </si>
  <si>
    <t>EH-1 Iroquois</t>
  </si>
  <si>
    <t>GlobalRanger</t>
  </si>
  <si>
    <t>Griffin</t>
  </si>
  <si>
    <t>HH-1 Iroquois</t>
  </si>
  <si>
    <t>Arapaho (412)</t>
  </si>
  <si>
    <t>Arapaho (RH-70)</t>
  </si>
  <si>
    <t>HH-13</t>
  </si>
  <si>
    <t>Huey</t>
  </si>
  <si>
    <t>HueyCobra</t>
  </si>
  <si>
    <t>Iroquois</t>
  </si>
  <si>
    <t>Isfahan</t>
  </si>
  <si>
    <t>Kingcobra</t>
  </si>
  <si>
    <t>P63</t>
  </si>
  <si>
    <t>Kiowa</t>
  </si>
  <si>
    <t>Kiowa Warrior</t>
  </si>
  <si>
    <t>OH-13 Sioux</t>
  </si>
  <si>
    <t>OH-58 Kiowa</t>
  </si>
  <si>
    <t>OH-58 Kiowa Warrior</t>
  </si>
  <si>
    <t>P-39 Airacobra</t>
  </si>
  <si>
    <t>P-63 Kingcobra</t>
  </si>
  <si>
    <t>Ranger</t>
  </si>
  <si>
    <t>SeaRanger</t>
  </si>
  <si>
    <t>Sentinel</t>
  </si>
  <si>
    <t>SH-1 Iroquois</t>
  </si>
  <si>
    <t>Sioux</t>
  </si>
  <si>
    <t>SuperCobra</t>
  </si>
  <si>
    <t>SuperTransport</t>
  </si>
  <si>
    <t>TAH-1 HueyCobra</t>
  </si>
  <si>
    <t>TH-1E Iroquois</t>
  </si>
  <si>
    <t>ARH-70 Arapaho</t>
  </si>
  <si>
    <t>YRH-70 Arapaho</t>
  </si>
  <si>
    <t>TH-1F Iroquois</t>
  </si>
  <si>
    <t>TH-1H Iroquois</t>
  </si>
  <si>
    <t>TH-1L Iroquois</t>
  </si>
  <si>
    <t>TH-1S HueyCobra</t>
  </si>
  <si>
    <t>TH-13N</t>
  </si>
  <si>
    <t>TH-13T</t>
  </si>
  <si>
    <t>TH-57 SeaRanger</t>
  </si>
  <si>
    <t>TH-67 Creek</t>
  </si>
  <si>
    <t>TH-206</t>
  </si>
  <si>
    <t>Trooper</t>
  </si>
  <si>
    <t>Twin Two-Twelve</t>
  </si>
  <si>
    <t>TwinRanger</t>
  </si>
  <si>
    <t>UH-1A Iroquois</t>
  </si>
  <si>
    <t>UH-1B Iroquois</t>
  </si>
  <si>
    <t>UH-1C Iroquois</t>
  </si>
  <si>
    <t>UH-1D Iroquois</t>
  </si>
  <si>
    <t>UH-1E Iroquois</t>
  </si>
  <si>
    <t>UH-1F Iroquois</t>
  </si>
  <si>
    <t>UH-1H Iroquois</t>
  </si>
  <si>
    <t>UH-1L Iroquois</t>
  </si>
  <si>
    <t>UH-1M Iroquois</t>
  </si>
  <si>
    <t>UH-1N</t>
  </si>
  <si>
    <t>UH-1V Iroquois</t>
  </si>
  <si>
    <t>UH-1Y</t>
  </si>
  <si>
    <t>UH1Y</t>
  </si>
  <si>
    <t>UH-13H</t>
  </si>
  <si>
    <t>UH-13J</t>
  </si>
  <si>
    <t>UH-13P</t>
  </si>
  <si>
    <t>UH-13R</t>
  </si>
  <si>
    <t>VH-1</t>
  </si>
  <si>
    <t>VH-4 JetRanger</t>
  </si>
  <si>
    <t>XV-15</t>
  </si>
  <si>
    <t>505 Jet Ranger X</t>
  </si>
  <si>
    <t>B505</t>
  </si>
  <si>
    <t>Jet Ranger X</t>
  </si>
  <si>
    <t>412 Griffin</t>
  </si>
  <si>
    <t>525 Relentless</t>
  </si>
  <si>
    <t>B525</t>
  </si>
  <si>
    <t>Relentless</t>
  </si>
  <si>
    <t>V-280 Valor</t>
  </si>
  <si>
    <t>V280</t>
  </si>
  <si>
    <t>BELL-AGUSTA</t>
  </si>
  <si>
    <t>AB-139</t>
  </si>
  <si>
    <t>BA-609</t>
  </si>
  <si>
    <t>BELL-BOEING</t>
  </si>
  <si>
    <t>901 Osprey</t>
  </si>
  <si>
    <t>V22</t>
  </si>
  <si>
    <t>CV-22 Osprey</t>
  </si>
  <si>
    <t>MV-22 Osprey</t>
  </si>
  <si>
    <t>Osprey</t>
  </si>
  <si>
    <t>V-22 Osprey</t>
  </si>
  <si>
    <t>BELLANCA</t>
  </si>
  <si>
    <t>7ACA Champ</t>
  </si>
  <si>
    <t>7ECA Citabria</t>
  </si>
  <si>
    <t>7GCBC Citabria</t>
  </si>
  <si>
    <t>7KCAB Citabria</t>
  </si>
  <si>
    <t>8 Decathlon</t>
  </si>
  <si>
    <t>14 Bellanca 260A</t>
  </si>
  <si>
    <t>B14C</t>
  </si>
  <si>
    <t>14 Bellanca 260B</t>
  </si>
  <si>
    <t>14 Bellanca 260C</t>
  </si>
  <si>
    <t>14 Cruisair</t>
  </si>
  <si>
    <t>B14A</t>
  </si>
  <si>
    <t>14 Cruisair Senior</t>
  </si>
  <si>
    <t>14 Cruisemaster</t>
  </si>
  <si>
    <t>14 Junior</t>
  </si>
  <si>
    <t>17 Turbo Super Viking</t>
  </si>
  <si>
    <t>17 Turbo Viking</t>
  </si>
  <si>
    <t>17 Viking</t>
  </si>
  <si>
    <t>Bellanca 260A</t>
  </si>
  <si>
    <t>Bellanca 260B</t>
  </si>
  <si>
    <t>Bellanca 260C</t>
  </si>
  <si>
    <t>Citabria (7ECA)</t>
  </si>
  <si>
    <t>Citabria (7GCBC/7KCAB)</t>
  </si>
  <si>
    <t>Cruisair</t>
  </si>
  <si>
    <t>Cruisair Senior</t>
  </si>
  <si>
    <t>Cruisemaster</t>
  </si>
  <si>
    <t>Decathlon</t>
  </si>
  <si>
    <t>DW-1 Eagle</t>
  </si>
  <si>
    <t>DW1</t>
  </si>
  <si>
    <t>Junior</t>
  </si>
  <si>
    <t>Turbo Super Viking</t>
  </si>
  <si>
    <t>Turbo Viking</t>
  </si>
  <si>
    <t>CH-300 Pacemaker</t>
  </si>
  <si>
    <t>PACE</t>
  </si>
  <si>
    <t>CH-400 Skyrocket</t>
  </si>
  <si>
    <t>D Skyrocket</t>
  </si>
  <si>
    <t>31 Senior Skyrocket</t>
  </si>
  <si>
    <t>Pacemaker</t>
  </si>
  <si>
    <t>Skyrocket (D)</t>
  </si>
  <si>
    <t>Skyrocket (CH-400)</t>
  </si>
  <si>
    <t>Senior Skyrocket</t>
  </si>
  <si>
    <t>Skyrocket (19)</t>
  </si>
  <si>
    <t>BENGIS</t>
  </si>
  <si>
    <t>Flamingo 3</t>
  </si>
  <si>
    <t>TM-20 Flamingo 3</t>
  </si>
  <si>
    <t>BERIEV</t>
  </si>
  <si>
    <t>A-40 Albatross</t>
  </si>
  <si>
    <t>BER4</t>
  </si>
  <si>
    <t>A-50</t>
  </si>
  <si>
    <t>A50</t>
  </si>
  <si>
    <t>Albatross</t>
  </si>
  <si>
    <t>Altair</t>
  </si>
  <si>
    <t>BER2</t>
  </si>
  <si>
    <t>Be-12 Tchaika</t>
  </si>
  <si>
    <t>BE12</t>
  </si>
  <si>
    <t>Be-30</t>
  </si>
  <si>
    <t>BE32</t>
  </si>
  <si>
    <t>Be-32</t>
  </si>
  <si>
    <t>Be-103 Bekas</t>
  </si>
  <si>
    <t>B103</t>
  </si>
  <si>
    <t>Be-200 Altair</t>
  </si>
  <si>
    <t>Be-976</t>
  </si>
  <si>
    <t>Bekas</t>
  </si>
  <si>
    <t>SA-20</t>
  </si>
  <si>
    <t>SA20</t>
  </si>
  <si>
    <t>Tchaika</t>
  </si>
  <si>
    <t>BERKUT</t>
  </si>
  <si>
    <t>Berkut</t>
  </si>
  <si>
    <t>BKUT</t>
  </si>
  <si>
    <t>BEST OFF</t>
  </si>
  <si>
    <t>Sky Ranger</t>
  </si>
  <si>
    <t>SKRA</t>
  </si>
  <si>
    <t>Nynja</t>
  </si>
  <si>
    <t>NNJA</t>
  </si>
  <si>
    <t>BHARAT</t>
  </si>
  <si>
    <t>LT-1 Swati</t>
  </si>
  <si>
    <t>SWAT</t>
  </si>
  <si>
    <t>LT-2 Swati</t>
  </si>
  <si>
    <t>Swati</t>
  </si>
  <si>
    <t>BILLIE</t>
  </si>
  <si>
    <t>Pétrel</t>
  </si>
  <si>
    <t>BILSAM</t>
  </si>
  <si>
    <t>BISC</t>
  </si>
  <si>
    <t>BINDER (1)</t>
  </si>
  <si>
    <t>CP-301 Smaragd</t>
  </si>
  <si>
    <t>CP30</t>
  </si>
  <si>
    <t>Smaragd</t>
  </si>
  <si>
    <t>BINDER (2)</t>
  </si>
  <si>
    <t>ASH-25EB</t>
  </si>
  <si>
    <t>AS25</t>
  </si>
  <si>
    <t>EB-28</t>
  </si>
  <si>
    <t>EB-29</t>
  </si>
  <si>
    <t>EB29</t>
  </si>
  <si>
    <t>EB-29D</t>
  </si>
  <si>
    <t>EB-29DE</t>
  </si>
  <si>
    <t>E29E</t>
  </si>
  <si>
    <t>Eta</t>
  </si>
  <si>
    <t>ETA</t>
  </si>
  <si>
    <t>BITZ</t>
  </si>
  <si>
    <t>Bü-133 Jungmeister</t>
  </si>
  <si>
    <t>BU33</t>
  </si>
  <si>
    <t>Jungmeister</t>
  </si>
  <si>
    <t>BLACKBURN</t>
  </si>
  <si>
    <t>Swordfish</t>
  </si>
  <si>
    <t>SWOR</t>
  </si>
  <si>
    <t>BLACKSHAPE</t>
  </si>
  <si>
    <t>Bk-100 Prime</t>
  </si>
  <si>
    <t>PRIM</t>
  </si>
  <si>
    <t>Prime</t>
  </si>
  <si>
    <t>Bk-160 Gabriel</t>
  </si>
  <si>
    <t>GABR</t>
  </si>
  <si>
    <t>BS-115 Gabriel</t>
  </si>
  <si>
    <t>Gabriel</t>
  </si>
  <si>
    <t>BLACKWING</t>
  </si>
  <si>
    <t>BW-600</t>
  </si>
  <si>
    <t>BW60</t>
  </si>
  <si>
    <t>BW-635</t>
  </si>
  <si>
    <t>BW6T</t>
  </si>
  <si>
    <t>BLERIOT</t>
  </si>
  <si>
    <t>BL11</t>
  </si>
  <si>
    <t>11 Replica</t>
  </si>
  <si>
    <t>BLUE YONDER</t>
  </si>
  <si>
    <t>E-Z Harvard</t>
  </si>
  <si>
    <t>EZHV</t>
  </si>
  <si>
    <t>E-Z King Cobra</t>
  </si>
  <si>
    <t>EZKC</t>
  </si>
  <si>
    <t>Twin E-Z Flyer</t>
  </si>
  <si>
    <t>EZFT</t>
  </si>
  <si>
    <t>BOEING</t>
  </si>
  <si>
    <t>75 Kaydet</t>
  </si>
  <si>
    <t>ST75</t>
  </si>
  <si>
    <t>707-100</t>
  </si>
  <si>
    <t>B701</t>
  </si>
  <si>
    <t>707-300</t>
  </si>
  <si>
    <t>B703</t>
  </si>
  <si>
    <t>717-200</t>
  </si>
  <si>
    <t>B712</t>
  </si>
  <si>
    <t>717-200 Business Express</t>
  </si>
  <si>
    <t>B720</t>
  </si>
  <si>
    <t>727-100</t>
  </si>
  <si>
    <t>B721</t>
  </si>
  <si>
    <t>727-100RE Super 27</t>
  </si>
  <si>
    <t>R721</t>
  </si>
  <si>
    <t>727-200</t>
  </si>
  <si>
    <t>B722</t>
  </si>
  <si>
    <t>787-10 Dreamliner</t>
  </si>
  <si>
    <t>B78X</t>
  </si>
  <si>
    <t>727-200RE Super 27</t>
  </si>
  <si>
    <t>R722</t>
  </si>
  <si>
    <t>737-200</t>
  </si>
  <si>
    <t>B732</t>
  </si>
  <si>
    <t>737-200 Surveiller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</si>
  <si>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</si>
  <si>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</si>
  <si>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</si>
  <si>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</si>
  <si>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</si>
  <si>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</si>
  <si>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</si>
  <si>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</si>
  <si>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737-700</t>
  </si>
  <si>
    <t>B737</t>
  </si>
  <si>
    <t>737-700 BBJ</t>
  </si>
  <si>
    <t>737-700 Wedgetail</t>
  </si>
  <si>
    <t>E737</t>
  </si>
  <si>
    <t>737-800</t>
  </si>
  <si>
    <t>B738</t>
  </si>
  <si>
    <t>737-800 BBJ2</t>
  </si>
  <si>
    <t>737-900</t>
  </si>
  <si>
    <t>B739</t>
  </si>
  <si>
    <t>737-900 BBJ3</t>
  </si>
  <si>
    <t>747-100</t>
  </si>
  <si>
    <t>B741</t>
  </si>
  <si>
    <t>747-200</t>
  </si>
  <si>
    <t>B742</t>
  </si>
  <si>
    <t>747-300</t>
  </si>
  <si>
    <t>B743</t>
  </si>
  <si>
    <t>747-400LCF Dreamlifter</t>
  </si>
  <si>
    <t>BLCF</t>
  </si>
  <si>
    <t>747SP</t>
  </si>
  <si>
    <t>B74S</t>
  </si>
  <si>
    <t>747SR</t>
  </si>
  <si>
    <t>B74R</t>
  </si>
  <si>
    <t>757-200</t>
  </si>
  <si>
    <t>B752</t>
  </si>
  <si>
    <t>757-300</t>
  </si>
  <si>
    <t>B753</t>
  </si>
  <si>
    <t>767-200</t>
  </si>
  <si>
    <t>B762</t>
  </si>
  <si>
    <t>767-300</t>
  </si>
  <si>
    <t>B763</t>
  </si>
  <si>
    <t>767-400</t>
  </si>
  <si>
    <t>B764</t>
  </si>
  <si>
    <t>777-200</t>
  </si>
  <si>
    <t>B772</t>
  </si>
  <si>
    <t>777-200ER</t>
  </si>
  <si>
    <t>777-200LR</t>
  </si>
  <si>
    <t>B77L</t>
  </si>
  <si>
    <t>777-300</t>
  </si>
  <si>
    <t>B773</t>
  </si>
  <si>
    <t>777-300ER</t>
  </si>
  <si>
    <t>B77W</t>
  </si>
  <si>
    <t>787-8 Dreamliner</t>
  </si>
  <si>
    <t>B788</t>
  </si>
  <si>
    <t>787-9 Dreamliner</t>
  </si>
  <si>
    <t>B789</t>
  </si>
  <si>
    <t>AH-64 Longbow Apache</t>
  </si>
  <si>
    <t>H64</t>
  </si>
  <si>
    <t>B-17 Flying Fortress</t>
  </si>
  <si>
    <t>B17</t>
  </si>
  <si>
    <t>B-29 Superfortress</t>
  </si>
  <si>
    <t>B29</t>
  </si>
  <si>
    <t>B-52 Stratofortress</t>
  </si>
  <si>
    <t>B52</t>
  </si>
  <si>
    <t>BBJ2</t>
  </si>
  <si>
    <t>BBJ3</t>
  </si>
  <si>
    <t>Business Express</t>
  </si>
  <si>
    <t>C-17 Globemaster 3</t>
  </si>
  <si>
    <t>C17</t>
  </si>
  <si>
    <t>C-18</t>
  </si>
  <si>
    <t>C-22</t>
  </si>
  <si>
    <t>C-32</t>
  </si>
  <si>
    <t>C-40</t>
  </si>
  <si>
    <t>C-40 Clipper</t>
  </si>
  <si>
    <t>C-97 Stratofreighter</t>
  </si>
  <si>
    <t>C97</t>
  </si>
  <si>
    <t>C-135FR Stratotanker</t>
  </si>
  <si>
    <t>K35R</t>
  </si>
  <si>
    <t>C-137</t>
  </si>
  <si>
    <t>CH-47 Chinook</t>
  </si>
  <si>
    <t>Clipper</t>
  </si>
  <si>
    <t>CT-43</t>
  </si>
  <si>
    <t>777-F</t>
  </si>
  <si>
    <t>NC-135</t>
  </si>
  <si>
    <t>C135</t>
  </si>
  <si>
    <t>TC-135</t>
  </si>
  <si>
    <t>R135</t>
  </si>
  <si>
    <t>Dreamlifter</t>
  </si>
  <si>
    <t>Dreamliner (Srs.8)</t>
  </si>
  <si>
    <t>Dreamliner (Srs.9)</t>
  </si>
  <si>
    <t>E-3A (CFM56) Sentry</t>
  </si>
  <si>
    <t>E3CF</t>
  </si>
  <si>
    <t>E-3A (TF33) Sentry</t>
  </si>
  <si>
    <t>E3TF</t>
  </si>
  <si>
    <t>E-3B Sentry</t>
  </si>
  <si>
    <t>E-3C Sentry</t>
  </si>
  <si>
    <t>E-3D Sentry</t>
  </si>
  <si>
    <t>E-3F Sentry</t>
  </si>
  <si>
    <t>E-4</t>
  </si>
  <si>
    <t>E-6 Mercury</t>
  </si>
  <si>
    <t>E6</t>
  </si>
  <si>
    <t>E-8 J-Stars</t>
  </si>
  <si>
    <t>E-767</t>
  </si>
  <si>
    <t>E767</t>
  </si>
  <si>
    <t>F15</t>
  </si>
  <si>
    <t>EC-18</t>
  </si>
  <si>
    <t>EC-137</t>
  </si>
  <si>
    <t>Explorer</t>
  </si>
  <si>
    <t>EXPL</t>
  </si>
  <si>
    <t>F-15 Eagle</t>
  </si>
  <si>
    <t>F-15 Ra'am</t>
  </si>
  <si>
    <t>Flying Fortress</t>
  </si>
  <si>
    <t>Globemaster 3</t>
  </si>
  <si>
    <t>FA-18C Hornet</t>
  </si>
  <si>
    <t>HH-47</t>
  </si>
  <si>
    <t>JE-3 Sentry</t>
  </si>
  <si>
    <t>J-Stars</t>
  </si>
  <si>
    <t>Kaydet</t>
  </si>
  <si>
    <t>KC-135E Stratotanker</t>
  </si>
  <si>
    <t>K35E</t>
  </si>
  <si>
    <t>KC-135R Stratotanker</t>
  </si>
  <si>
    <t>KC-135T Stratotanker</t>
  </si>
  <si>
    <t>KC-137</t>
  </si>
  <si>
    <t>KC-767</t>
  </si>
  <si>
    <t>KE-3</t>
  </si>
  <si>
    <t>KE3</t>
  </si>
  <si>
    <t>Lifter</t>
  </si>
  <si>
    <t>Longbow Apache</t>
  </si>
  <si>
    <t>MD-10</t>
  </si>
  <si>
    <t>DC10</t>
  </si>
  <si>
    <t>MD-11</t>
  </si>
  <si>
    <t>MD11</t>
  </si>
  <si>
    <t>MD-81</t>
  </si>
  <si>
    <t>MD81</t>
  </si>
  <si>
    <t>MD-82</t>
  </si>
  <si>
    <t>MD82</t>
  </si>
  <si>
    <t>MD-83</t>
  </si>
  <si>
    <t>MD83</t>
  </si>
  <si>
    <t>MD-87</t>
  </si>
  <si>
    <t>MD87</t>
  </si>
  <si>
    <t>MD-88</t>
  </si>
  <si>
    <t>MD88</t>
  </si>
  <si>
    <t>MD-90</t>
  </si>
  <si>
    <t>MD90</t>
  </si>
  <si>
    <t>MD-500</t>
  </si>
  <si>
    <t>MD-500 Defender</t>
  </si>
  <si>
    <t>MD-500 Nightfox</t>
  </si>
  <si>
    <t>MD-520N</t>
  </si>
  <si>
    <t>MD52</t>
  </si>
  <si>
    <t>MD-530F Lifter</t>
  </si>
  <si>
    <t>MD-530MG Defender</t>
  </si>
  <si>
    <t>MD-530MG Nightfox</t>
  </si>
  <si>
    <t>MD-600N</t>
  </si>
  <si>
    <t>MD60</t>
  </si>
  <si>
    <t>MD-902 Explorer</t>
  </si>
  <si>
    <t>Mercury</t>
  </si>
  <si>
    <t>MH-47 Chinook</t>
  </si>
  <si>
    <t>N2S Kaydet</t>
  </si>
  <si>
    <t>Nightfox</t>
  </si>
  <si>
    <t>OC-135</t>
  </si>
  <si>
    <t>PT-13 Kaydet</t>
  </si>
  <si>
    <t>PT-17 Kaydet</t>
  </si>
  <si>
    <t>PT-18 Kaydet</t>
  </si>
  <si>
    <t>PT-27 Kaydet</t>
  </si>
  <si>
    <t>Ra'am</t>
  </si>
  <si>
    <t>RC-135</t>
  </si>
  <si>
    <t>Sentry (CFM56)</t>
  </si>
  <si>
    <t>Sentry (TF33)</t>
  </si>
  <si>
    <t>Stratofortress</t>
  </si>
  <si>
    <t>Stratofreighter</t>
  </si>
  <si>
    <t>Stratotanker (CFM56 engines)</t>
  </si>
  <si>
    <t>Stratotanker (TF33 engines)</t>
  </si>
  <si>
    <t>Super 27 (100)</t>
  </si>
  <si>
    <t>Super 27 (200)</t>
  </si>
  <si>
    <t>Superfortress</t>
  </si>
  <si>
    <t>Surveiller</t>
  </si>
  <si>
    <t>VC-25</t>
  </si>
  <si>
    <t>VC-96</t>
  </si>
  <si>
    <t>WC-135</t>
  </si>
  <si>
    <t>Wedgetail</t>
  </si>
  <si>
    <t>FA-18D Hornet</t>
  </si>
  <si>
    <t>737-800 Poseidon</t>
  </si>
  <si>
    <t>P8</t>
  </si>
  <si>
    <t>CC-177 Globemaster 3</t>
  </si>
  <si>
    <t>P-8 Poseidon</t>
  </si>
  <si>
    <t>Poseidon</t>
  </si>
  <si>
    <t>F-15 Slam Eagle</t>
  </si>
  <si>
    <t>Slam Eagle</t>
  </si>
  <si>
    <t>JCH-47 Chinook</t>
  </si>
  <si>
    <t>747-8</t>
  </si>
  <si>
    <t>B748</t>
  </si>
  <si>
    <t>737-700 AEWC</t>
  </si>
  <si>
    <t>AH-64 Saraf</t>
  </si>
  <si>
    <t>Saraf</t>
  </si>
  <si>
    <t>Growler</t>
  </si>
  <si>
    <t>F18S</t>
  </si>
  <si>
    <t>EA-18 Growler</t>
  </si>
  <si>
    <t>777-8</t>
  </si>
  <si>
    <t>B778</t>
  </si>
  <si>
    <t>777-9</t>
  </si>
  <si>
    <t>B779</t>
  </si>
  <si>
    <t>Super Hornet</t>
  </si>
  <si>
    <t>FA-18E Super Hornet</t>
  </si>
  <si>
    <t>FA-18F Super Hornet</t>
  </si>
  <si>
    <t>NEA-18 Growler</t>
  </si>
  <si>
    <t>Dreamliner (Srs.10)</t>
  </si>
  <si>
    <t>747-8 BBJ</t>
  </si>
  <si>
    <t>BBJ (747-8)</t>
  </si>
  <si>
    <t>777-200LR BBJ</t>
  </si>
  <si>
    <t>BBJ (777-200LR)</t>
  </si>
  <si>
    <t>777-300ER BBJ</t>
  </si>
  <si>
    <t>BBJ (777-300ER)</t>
  </si>
  <si>
    <t>787-8 BBJ</t>
  </si>
  <si>
    <t>BBJ (787-8)</t>
  </si>
  <si>
    <t>787-9 BBJ</t>
  </si>
  <si>
    <t>BBJ (787-9)</t>
  </si>
  <si>
    <t>737 MAX 7</t>
  </si>
  <si>
    <t>B37M</t>
  </si>
  <si>
    <t>737 MAX 7 BBJ</t>
  </si>
  <si>
    <t>737 MAX 8</t>
  </si>
  <si>
    <t>B38M</t>
  </si>
  <si>
    <t>737 MAX 8 BBJ</t>
  </si>
  <si>
    <t>737 MAX 9</t>
  </si>
  <si>
    <t>B39M</t>
  </si>
  <si>
    <t>737 MAX 9 BBJ</t>
  </si>
  <si>
    <t>737 MAX 8200</t>
  </si>
  <si>
    <t>737-8200</t>
  </si>
  <si>
    <t>451 Scout</t>
  </si>
  <si>
    <t>YL15</t>
  </si>
  <si>
    <t>YL-15 Scout</t>
  </si>
  <si>
    <t>BBJ (737-700)</t>
  </si>
  <si>
    <t>BBJ (737 MAX 7)</t>
  </si>
  <si>
    <t>BBJ (737 MAX 8)</t>
  </si>
  <si>
    <t>BBJ (737 MAX 9)</t>
  </si>
  <si>
    <t>747-400</t>
  </si>
  <si>
    <t>B744</t>
  </si>
  <si>
    <t>BO40</t>
  </si>
  <si>
    <t>KC-46 Pegasus</t>
  </si>
  <si>
    <t>Pegasus</t>
  </si>
  <si>
    <t>T-7 Red Hawk</t>
  </si>
  <si>
    <t>BT7</t>
  </si>
  <si>
    <t>Red Hawk</t>
  </si>
  <si>
    <t>BTX-1</t>
  </si>
  <si>
    <t>737-7</t>
  </si>
  <si>
    <t>737-8</t>
  </si>
  <si>
    <t>737-9</t>
  </si>
  <si>
    <t>737-10</t>
  </si>
  <si>
    <t>B3XM</t>
  </si>
  <si>
    <t>737 MAX 10</t>
  </si>
  <si>
    <t>MQ-25 Stingray</t>
  </si>
  <si>
    <t>Q25</t>
  </si>
  <si>
    <t>BOEING CANADA</t>
  </si>
  <si>
    <t>Canso</t>
  </si>
  <si>
    <t>CAT</t>
  </si>
  <si>
    <t>PBY Catalina</t>
  </si>
  <si>
    <t>BOEING VERTOL</t>
  </si>
  <si>
    <t>H46</t>
  </si>
  <si>
    <t>CH-46 Sea Knight</t>
  </si>
  <si>
    <t>CH-113 Labrador</t>
  </si>
  <si>
    <t>HH-46 Sea Knight</t>
  </si>
  <si>
    <t>Hkp4</t>
  </si>
  <si>
    <t>Labrador</t>
  </si>
  <si>
    <t>Sea Knight</t>
  </si>
  <si>
    <t>UH-46 Sea Knight</t>
  </si>
  <si>
    <t>BOEING-LEONARDO</t>
  </si>
  <si>
    <t>MH-139 Grey Wolf</t>
  </si>
  <si>
    <t>Grey Wolf</t>
  </si>
  <si>
    <t>BOEVE</t>
  </si>
  <si>
    <t>P-51 Mustang</t>
  </si>
  <si>
    <t>MJ7</t>
  </si>
  <si>
    <t>BOISAVIA</t>
  </si>
  <si>
    <t>B-60 Mercurey</t>
  </si>
  <si>
    <t>B60</t>
  </si>
  <si>
    <t>B-601 Mercurey</t>
  </si>
  <si>
    <t>B-602 Mercurey</t>
  </si>
  <si>
    <t>B-603 Mercurey</t>
  </si>
  <si>
    <t>B-604 Mercurey</t>
  </si>
  <si>
    <t>B-605 Mercurey</t>
  </si>
  <si>
    <t>B-606 Mercurey</t>
  </si>
  <si>
    <t>Mercurey</t>
  </si>
  <si>
    <t>BOLKOW</t>
  </si>
  <si>
    <t>BO-105</t>
  </si>
  <si>
    <t>B105</t>
  </si>
  <si>
    <t>BO-208 Junior</t>
  </si>
  <si>
    <t>BO-209 Monsun</t>
  </si>
  <si>
    <t>B209</t>
  </si>
  <si>
    <t>F-207</t>
  </si>
  <si>
    <t>KL07</t>
  </si>
  <si>
    <t>Kl-107</t>
  </si>
  <si>
    <t>Monsun</t>
  </si>
  <si>
    <t>BO-207</t>
  </si>
  <si>
    <t>BOMBARDIER</t>
  </si>
  <si>
    <t>E-11</t>
  </si>
  <si>
    <t>GLEX</t>
  </si>
  <si>
    <t>BD-700 Global 7000</t>
  </si>
  <si>
    <t>GL7T</t>
  </si>
  <si>
    <t>Global 7000</t>
  </si>
  <si>
    <t>BD-100 Challenger 350</t>
  </si>
  <si>
    <t>CL35</t>
  </si>
  <si>
    <t>Challenger 350</t>
  </si>
  <si>
    <t>CL-600 Challenger 650</t>
  </si>
  <si>
    <t>CL60</t>
  </si>
  <si>
    <t>Challenger 650</t>
  </si>
  <si>
    <t>BD-500 CSeries CS100</t>
  </si>
  <si>
    <t>BD-500 CSeries CS300</t>
  </si>
  <si>
    <t>BD-700 Global 5500</t>
  </si>
  <si>
    <t>GL5T</t>
  </si>
  <si>
    <t>BD-700 Global 6500</t>
  </si>
  <si>
    <t>BD-700 Global 7500</t>
  </si>
  <si>
    <t>Global 5500</t>
  </si>
  <si>
    <t>Global 6500</t>
  </si>
  <si>
    <t>Global 7500</t>
  </si>
  <si>
    <t>CL-600  Regional Jet CRJ-550</t>
  </si>
  <si>
    <t>CRJ7</t>
  </si>
  <si>
    <t>Regional Jet CRJ-550</t>
  </si>
  <si>
    <t>CSeries CS100</t>
  </si>
  <si>
    <t>CSeries CS300</t>
  </si>
  <si>
    <t>CS100</t>
  </si>
  <si>
    <t>CS300</t>
  </si>
  <si>
    <t>BD-700  Global 6000</t>
  </si>
  <si>
    <t>Global 6000</t>
  </si>
  <si>
    <t>BD-100 Challenger 300</t>
  </si>
  <si>
    <t>CL30</t>
  </si>
  <si>
    <t>BD-700 Global 5000</t>
  </si>
  <si>
    <t>BD-700 Global Express</t>
  </si>
  <si>
    <t>Challenger 300</t>
  </si>
  <si>
    <t>Global 5000</t>
  </si>
  <si>
    <t>Global Express</t>
  </si>
  <si>
    <t>Regional Jet CRJ-1000</t>
  </si>
  <si>
    <t>CRJX</t>
  </si>
  <si>
    <t>CL-600 Regional Jet  CRJ-1000</t>
  </si>
  <si>
    <t>BOOM</t>
  </si>
  <si>
    <t>XB-1</t>
  </si>
  <si>
    <t>XB1</t>
  </si>
  <si>
    <t>BOT AIRCRAFT</t>
  </si>
  <si>
    <t>SC-07 Speed Cruiser</t>
  </si>
  <si>
    <t>Speed Cruiser</t>
  </si>
  <si>
    <t>BOURDON</t>
  </si>
  <si>
    <t>Kitty Hawk</t>
  </si>
  <si>
    <t>KITH</t>
  </si>
  <si>
    <t>BOWERS</t>
  </si>
  <si>
    <t>Fly Baby 1A</t>
  </si>
  <si>
    <t>FB1A</t>
  </si>
  <si>
    <t>Fly Baby 1B</t>
  </si>
  <si>
    <t>FB1B</t>
  </si>
  <si>
    <t>BRADLEY</t>
  </si>
  <si>
    <t>Aerobat</t>
  </si>
  <si>
    <t>BBAT</t>
  </si>
  <si>
    <t>BA-100 Aerobat</t>
  </si>
  <si>
    <t>BRANDLI</t>
  </si>
  <si>
    <t>BX-2 Cherry</t>
  </si>
  <si>
    <t>BX2</t>
  </si>
  <si>
    <t>Cherry</t>
  </si>
  <si>
    <t>BRANTLY</t>
  </si>
  <si>
    <t>B305</t>
  </si>
  <si>
    <t>B-2</t>
  </si>
  <si>
    <t>BRB2</t>
  </si>
  <si>
    <t>BRANTLY-HYNES</t>
  </si>
  <si>
    <t>BRDITSCHKA</t>
  </si>
  <si>
    <t>HB-3</t>
  </si>
  <si>
    <t>HB3</t>
  </si>
  <si>
    <t>HB-21 Hobbylifter</t>
  </si>
  <si>
    <t>HB21</t>
  </si>
  <si>
    <t>HB-21 Hobbyliner</t>
  </si>
  <si>
    <t>HB-23 Hobbyliner</t>
  </si>
  <si>
    <t>HB23</t>
  </si>
  <si>
    <t>HB-23 Scanliner</t>
  </si>
  <si>
    <t>Hobbylifter</t>
  </si>
  <si>
    <t>Hobbyliner (HB-21)</t>
  </si>
  <si>
    <t>Hobbyliner (HB-23)</t>
  </si>
  <si>
    <t>Scanliner</t>
  </si>
  <si>
    <t>BREDANARDI</t>
  </si>
  <si>
    <t>NH-300</t>
  </si>
  <si>
    <t>H269</t>
  </si>
  <si>
    <t>BREEZER</t>
  </si>
  <si>
    <t>BREGUET</t>
  </si>
  <si>
    <t>14 Replica</t>
  </si>
  <si>
    <t>BR14</t>
  </si>
  <si>
    <t>1050 Alizé</t>
  </si>
  <si>
    <t>ALIZ</t>
  </si>
  <si>
    <t>1150 Atlantic</t>
  </si>
  <si>
    <t>ATLA</t>
  </si>
  <si>
    <t>Alizé</t>
  </si>
  <si>
    <t>Atlantic</t>
  </si>
  <si>
    <t>BRIAN ALLEN</t>
  </si>
  <si>
    <t>BRISTOL</t>
  </si>
  <si>
    <t>149 Blenheim</t>
  </si>
  <si>
    <t>BLEN</t>
  </si>
  <si>
    <t>149 Bolingbroke</t>
  </si>
  <si>
    <t>171 Sycamore</t>
  </si>
  <si>
    <t>SYCA</t>
  </si>
  <si>
    <t>Blenheim</t>
  </si>
  <si>
    <t>Bolingbroke</t>
  </si>
  <si>
    <t>F-2B Fighter</t>
  </si>
  <si>
    <t>BFIT</t>
  </si>
  <si>
    <t>F-2B Fighter Replica</t>
  </si>
  <si>
    <t>Fighter</t>
  </si>
  <si>
    <t>Fighter Replica</t>
  </si>
  <si>
    <t>Sycamore</t>
  </si>
  <si>
    <t>BRITISH AEROSPACE</t>
  </si>
  <si>
    <t>ATP</t>
  </si>
  <si>
    <t>BAC-111 One-Eleven</t>
  </si>
  <si>
    <t>BAe-125-700</t>
  </si>
  <si>
    <t>H25B</t>
  </si>
  <si>
    <t>BAe-125-800</t>
  </si>
  <si>
    <t>BAe-125-1000</t>
  </si>
  <si>
    <t>H25C</t>
  </si>
  <si>
    <t>BAe-146-100</t>
  </si>
  <si>
    <t>B461</t>
  </si>
  <si>
    <t>BAe-146-100 Statesman</t>
  </si>
  <si>
    <t>BAe-146-200</t>
  </si>
  <si>
    <t>B462</t>
  </si>
  <si>
    <t>BAe-146-200 Quiet Trader</t>
  </si>
  <si>
    <t>BAe-146-200 Statesman</t>
  </si>
  <si>
    <t>BAe-146-300</t>
  </si>
  <si>
    <t>B463</t>
  </si>
  <si>
    <t>BAe-748</t>
  </si>
  <si>
    <t>BAe-3100 Jetstream 31</t>
  </si>
  <si>
    <t>JS31</t>
  </si>
  <si>
    <t>BAe-3200 Jetstream Super 31</t>
  </si>
  <si>
    <t>JS32</t>
  </si>
  <si>
    <t>C-29</t>
  </si>
  <si>
    <t>Jetstream 31</t>
  </si>
  <si>
    <t>Jetstream Super 31</t>
  </si>
  <si>
    <t>Jetstream T.Mk.3</t>
  </si>
  <si>
    <t>Quiet Trader</t>
  </si>
  <si>
    <t>RJ-70</t>
  </si>
  <si>
    <t>RJ-85</t>
  </si>
  <si>
    <t>RJ-100</t>
  </si>
  <si>
    <t>SA-3 Bulldog</t>
  </si>
  <si>
    <t>Sea Harrier</t>
  </si>
  <si>
    <t>Statesman (100)</t>
  </si>
  <si>
    <t>Statesman (200)</t>
  </si>
  <si>
    <t>U-125</t>
  </si>
  <si>
    <t>BAC-167 Strikemaster</t>
  </si>
  <si>
    <t>BRITTEN-NORMAN</t>
  </si>
  <si>
    <t>BN-2 Islander</t>
  </si>
  <si>
    <t>BN-2T Defender 4000</t>
  </si>
  <si>
    <t>BN2T</t>
  </si>
  <si>
    <t>BN-2T Turbine Islander</t>
  </si>
  <si>
    <t>Defender 4000</t>
  </si>
  <si>
    <t>Turbine Islander</t>
  </si>
  <si>
    <t>BN-2B Defender</t>
  </si>
  <si>
    <t>BN-2T Turbine Defender</t>
  </si>
  <si>
    <t>Turbine Defender</t>
  </si>
  <si>
    <t>BRM AERO</t>
  </si>
  <si>
    <t>NG-4</t>
  </si>
  <si>
    <t>NG4</t>
  </si>
  <si>
    <t>Bristell NG-5</t>
  </si>
  <si>
    <t>NG5</t>
  </si>
  <si>
    <t>Bristell LSA</t>
  </si>
  <si>
    <t>Bristell E-LSA</t>
  </si>
  <si>
    <t>Bristell S-LSA</t>
  </si>
  <si>
    <t>Bristell TDO</t>
  </si>
  <si>
    <t>Bristell UL</t>
  </si>
  <si>
    <t>Bristell HD</t>
  </si>
  <si>
    <t>Bristell RG</t>
  </si>
  <si>
    <t>Bristell XL8</t>
  </si>
  <si>
    <t>Bristell B23</t>
  </si>
  <si>
    <t>BR23</t>
  </si>
  <si>
    <t>Bristell B23 Energic</t>
  </si>
  <si>
    <t>B23E</t>
  </si>
  <si>
    <t>Bristell B8</t>
  </si>
  <si>
    <t>BR8</t>
  </si>
  <si>
    <t>BROKAW</t>
  </si>
  <si>
    <t>BJ-520 Bullet</t>
  </si>
  <si>
    <t>BULT</t>
  </si>
  <si>
    <t>Bullet</t>
  </si>
  <si>
    <t>BROOKLANDS</t>
  </si>
  <si>
    <t>OA-7 Optica Scout</t>
  </si>
  <si>
    <t>OPCA</t>
  </si>
  <si>
    <t>Optica Scout</t>
  </si>
  <si>
    <t>BRUMBY</t>
  </si>
  <si>
    <t>BR61</t>
  </si>
  <si>
    <t>Brumby</t>
  </si>
  <si>
    <t>BR60</t>
  </si>
  <si>
    <t>610 Evolution</t>
  </si>
  <si>
    <t>BUCHANAN</t>
  </si>
  <si>
    <t>BAC-204 Ozzie Mozzie</t>
  </si>
  <si>
    <t>OZZI</t>
  </si>
  <si>
    <t>Ozzie Mozzie</t>
  </si>
  <si>
    <t>BUCKER</t>
  </si>
  <si>
    <t>Bestmann</t>
  </si>
  <si>
    <t>BU81</t>
  </si>
  <si>
    <t>Bü-131 Jungmann</t>
  </si>
  <si>
    <t>Bü-181 Bestmann</t>
  </si>
  <si>
    <t>Jungmann</t>
  </si>
  <si>
    <t>BUCKER PRADO</t>
  </si>
  <si>
    <t>BUCURESTI</t>
  </si>
  <si>
    <t>Dacic</t>
  </si>
  <si>
    <t>IR27</t>
  </si>
  <si>
    <t>IAR-827 Dacic</t>
  </si>
  <si>
    <t>Rombac 1-11 One-Eleven</t>
  </si>
  <si>
    <t>BUETHE</t>
  </si>
  <si>
    <t>Barracuda</t>
  </si>
  <si>
    <t>BARC</t>
  </si>
  <si>
    <t>BUHL</t>
  </si>
  <si>
    <t>CA-3 Sport Airsedan</t>
  </si>
  <si>
    <t>BCA3</t>
  </si>
  <si>
    <t>Sport Airsedan</t>
  </si>
  <si>
    <t>BUL</t>
  </si>
  <si>
    <t>Zùlù</t>
  </si>
  <si>
    <t>ZULU</t>
  </si>
  <si>
    <t>BUSHBY</t>
  </si>
  <si>
    <t>M-2 Mustang 2</t>
  </si>
  <si>
    <t>MUS2</t>
  </si>
  <si>
    <t>Midget Mustang</t>
  </si>
  <si>
    <t>MIMU</t>
  </si>
  <si>
    <t>MM-1 Midget Mustang</t>
  </si>
  <si>
    <t>Mustang 2</t>
  </si>
  <si>
    <t>BUTTERFLY</t>
  </si>
  <si>
    <t>Golden Butterfly</t>
  </si>
  <si>
    <t>GOBU</t>
  </si>
  <si>
    <t>Super Sky Cycle</t>
  </si>
  <si>
    <t>SSC</t>
  </si>
  <si>
    <t>BYE AEROSPACE</t>
  </si>
  <si>
    <t>eFlyer 2</t>
  </si>
  <si>
    <t>EF2</t>
  </si>
  <si>
    <t>C2P</t>
  </si>
  <si>
    <t>CAARP</t>
  </si>
  <si>
    <t>CAP-20</t>
  </si>
  <si>
    <t>CP20</t>
  </si>
  <si>
    <t>CP-1310 Super Emeraude</t>
  </si>
  <si>
    <t>CP13</t>
  </si>
  <si>
    <t>Super Emeraude</t>
  </si>
  <si>
    <t>CAB</t>
  </si>
  <si>
    <t>GY-20 Minicab</t>
  </si>
  <si>
    <t>GY20</t>
  </si>
  <si>
    <t>GY-30 Supercab</t>
  </si>
  <si>
    <t>GY30</t>
  </si>
  <si>
    <t>Minicab</t>
  </si>
  <si>
    <t>Supercab</t>
  </si>
  <si>
    <t>CABLE-PRICE</t>
  </si>
  <si>
    <t>CABRINHA</t>
  </si>
  <si>
    <t>Free Spirit</t>
  </si>
  <si>
    <t>FREE</t>
  </si>
  <si>
    <t>RC-412 Free Spirit</t>
  </si>
  <si>
    <t>CADCOR</t>
  </si>
  <si>
    <t>Chanute</t>
  </si>
  <si>
    <t>CHAN</t>
  </si>
  <si>
    <t>CAG (1)</t>
  </si>
  <si>
    <t>Toxo</t>
  </si>
  <si>
    <t>TOXO</t>
  </si>
  <si>
    <t>CAG (2)</t>
  </si>
  <si>
    <t>PS-28 Cruiser</t>
  </si>
  <si>
    <t>CRUZ</t>
  </si>
  <si>
    <t>Cruiser</t>
  </si>
  <si>
    <t>SportsCruiser</t>
  </si>
  <si>
    <t>CAIGA</t>
  </si>
  <si>
    <t>AG-600 Kunlong</t>
  </si>
  <si>
    <t>AG60</t>
  </si>
  <si>
    <t>Kunlong</t>
  </si>
  <si>
    <t>AG-100</t>
  </si>
  <si>
    <t>AG10</t>
  </si>
  <si>
    <t>CALLAIR</t>
  </si>
  <si>
    <t>A-2</t>
  </si>
  <si>
    <t>CLA</t>
  </si>
  <si>
    <t>A-3</t>
  </si>
  <si>
    <t>A-4</t>
  </si>
  <si>
    <t>S-1</t>
  </si>
  <si>
    <t>CALUMET</t>
  </si>
  <si>
    <t>636 Snobird Adventurer</t>
  </si>
  <si>
    <t>SNAD</t>
  </si>
  <si>
    <t>Snobird Adventurer</t>
  </si>
  <si>
    <t>CAMAIR</t>
  </si>
  <si>
    <t>480 Twin Navion</t>
  </si>
  <si>
    <t>TNAV</t>
  </si>
  <si>
    <t>Twin Navion</t>
  </si>
  <si>
    <t>CAMERON</t>
  </si>
  <si>
    <t>Grand 51</t>
  </si>
  <si>
    <t>GR51</t>
  </si>
  <si>
    <t>P-51G Grand 51</t>
  </si>
  <si>
    <t>CAMPANA</t>
  </si>
  <si>
    <t>AN-4</t>
  </si>
  <si>
    <t>CAN4</t>
  </si>
  <si>
    <t>CANADA AIR RV</t>
  </si>
  <si>
    <t>GRIF</t>
  </si>
  <si>
    <t>CANADAIR</t>
  </si>
  <si>
    <t>A-10 Catalina</t>
  </si>
  <si>
    <t>C-143 Challenger 604</t>
  </si>
  <si>
    <t>CC-109 Cosmopolitan</t>
  </si>
  <si>
    <t>CVLT</t>
  </si>
  <si>
    <t>CC-144 Challenger 600</t>
  </si>
  <si>
    <t>CC-144B Challenger 601</t>
  </si>
  <si>
    <t>CE-144A Challenger 600</t>
  </si>
  <si>
    <t>CF-5</t>
  </si>
  <si>
    <t>CF-104 Starfighter</t>
  </si>
  <si>
    <t>F104</t>
  </si>
  <si>
    <t>CF-116</t>
  </si>
  <si>
    <t>Challenger 600</t>
  </si>
  <si>
    <t>Challenger 601</t>
  </si>
  <si>
    <t>Challenger 604</t>
  </si>
  <si>
    <t>Challenger 605</t>
  </si>
  <si>
    <t>Challenger 800</t>
  </si>
  <si>
    <t>CRJ2</t>
  </si>
  <si>
    <t>Challenger 850</t>
  </si>
  <si>
    <t>Challenger 870</t>
  </si>
  <si>
    <t>Challenger 890</t>
  </si>
  <si>
    <t>CRJ9</t>
  </si>
  <si>
    <t>CL-1 Catalina</t>
  </si>
  <si>
    <t>CL-13 Sabre</t>
  </si>
  <si>
    <t>F86</t>
  </si>
  <si>
    <t>CL-30 Silver Star</t>
  </si>
  <si>
    <t>T33</t>
  </si>
  <si>
    <t>CL-41 Tutor</t>
  </si>
  <si>
    <t>CL41</t>
  </si>
  <si>
    <t>CL-44-O Guppy</t>
  </si>
  <si>
    <t>CL4G</t>
  </si>
  <si>
    <t>CL-66</t>
  </si>
  <si>
    <t>CL-90 Starfighter</t>
  </si>
  <si>
    <t>CL-201 Starfighter</t>
  </si>
  <si>
    <t>CL-215</t>
  </si>
  <si>
    <t>CL2P</t>
  </si>
  <si>
    <t>CL-215T</t>
  </si>
  <si>
    <t>CL2T</t>
  </si>
  <si>
    <t>CL-219</t>
  </si>
  <si>
    <t>CL-226</t>
  </si>
  <si>
    <t>CL-415</t>
  </si>
  <si>
    <t>CL-415 SuperScooper</t>
  </si>
  <si>
    <t>CL-600 Challenger 600</t>
  </si>
  <si>
    <t>CL-600 Challenger 601</t>
  </si>
  <si>
    <t>CL-600 Challenger 604</t>
  </si>
  <si>
    <t>CL-600 Challenger 605</t>
  </si>
  <si>
    <t>CL-600 Challenger 800</t>
  </si>
  <si>
    <t>CL-600 Challenger 850</t>
  </si>
  <si>
    <t>CL-600 Challenger 870</t>
  </si>
  <si>
    <t>CL-600 Challenger 890</t>
  </si>
  <si>
    <t>CL-600 Corporate Jetliner</t>
  </si>
  <si>
    <t>CL-600 Regional Jet CRJ-100</t>
  </si>
  <si>
    <t>CRJ1</t>
  </si>
  <si>
    <t>CL-600 Regional Jet CRJ-200</t>
  </si>
  <si>
    <t>CL-600 Regional Jet CRJ-440</t>
  </si>
  <si>
    <t>CL-600 Regional Jet CRJ-700</t>
  </si>
  <si>
    <t>CL-600 Regional Jet CRJ-701</t>
  </si>
  <si>
    <t>CL-600 Regional Jet CRJ-705</t>
  </si>
  <si>
    <t>CL-600 Regional Jet CRJ-900</t>
  </si>
  <si>
    <t>CL-600 Regional Jet RJ-100</t>
  </si>
  <si>
    <t>CL-600 Regional Jet RJ-200</t>
  </si>
  <si>
    <t>CL-600 Special Edition</t>
  </si>
  <si>
    <t>Corporate Jetliner</t>
  </si>
  <si>
    <t>Cosmopolitan</t>
  </si>
  <si>
    <t>CT-114 Tutor</t>
  </si>
  <si>
    <t>CT-133 Silver Star</t>
  </si>
  <si>
    <t>CV-580</t>
  </si>
  <si>
    <t>F-104 Starfighter</t>
  </si>
  <si>
    <t>Guppy</t>
  </si>
  <si>
    <t>NF-5</t>
  </si>
  <si>
    <t>OA-10 Catalina</t>
  </si>
  <si>
    <t>Regional Jet CRJ-100</t>
  </si>
  <si>
    <t>Regional Jet CRJ-200</t>
  </si>
  <si>
    <t>Regional Jet CRJ-440</t>
  </si>
  <si>
    <t>Regional Jet CRJ-700</t>
  </si>
  <si>
    <t>Regional Jet CRJ-701</t>
  </si>
  <si>
    <t>Regional Jet CRJ-705</t>
  </si>
  <si>
    <t>Regional Jet CRJ-900</t>
  </si>
  <si>
    <t>Regional Jet RJ-100</t>
  </si>
  <si>
    <t>Regional Jet RJ-200</t>
  </si>
  <si>
    <t>Sabre</t>
  </si>
  <si>
    <t>Silver Star</t>
  </si>
  <si>
    <t>Special Edition</t>
  </si>
  <si>
    <t>Starfighter</t>
  </si>
  <si>
    <t>SuperScooper</t>
  </si>
  <si>
    <t>T-33 Silver Star</t>
  </si>
  <si>
    <t>CANADIAN HOME ROTORS</t>
  </si>
  <si>
    <t>Baby Belle</t>
  </si>
  <si>
    <t>BABY</t>
  </si>
  <si>
    <t>Safari</t>
  </si>
  <si>
    <t>CANADIAN VICKERS</t>
  </si>
  <si>
    <t>PBV Catalina</t>
  </si>
  <si>
    <t>CAP AVIATION</t>
  </si>
  <si>
    <t>CAPELLA</t>
  </si>
  <si>
    <t>Capella</t>
  </si>
  <si>
    <t>CAPL</t>
  </si>
  <si>
    <t>T-Raptor</t>
  </si>
  <si>
    <t>TRAP</t>
  </si>
  <si>
    <t>CAPRONI VIZZOLA</t>
  </si>
  <si>
    <t>C-22J Ventura</t>
  </si>
  <si>
    <t>C22J</t>
  </si>
  <si>
    <t>Ventura</t>
  </si>
  <si>
    <t>CARLSON</t>
  </si>
  <si>
    <t>Skycycle</t>
  </si>
  <si>
    <t>CYCL</t>
  </si>
  <si>
    <t>Sparrow 2</t>
  </si>
  <si>
    <t>SPR2</t>
  </si>
  <si>
    <t>Sparrow-ette</t>
  </si>
  <si>
    <t>CARRIOU</t>
  </si>
  <si>
    <t>CL-8 RSA Club</t>
  </si>
  <si>
    <t>CL8</t>
  </si>
  <si>
    <t>RSA Club</t>
  </si>
  <si>
    <t>CARTER</t>
  </si>
  <si>
    <t>PAV-4</t>
  </si>
  <si>
    <t>PAV4</t>
  </si>
  <si>
    <t>CASA</t>
  </si>
  <si>
    <t>1-131</t>
  </si>
  <si>
    <t>1-133</t>
  </si>
  <si>
    <t>2-111</t>
  </si>
  <si>
    <t>H111</t>
  </si>
  <si>
    <t>223 Flamingo</t>
  </si>
  <si>
    <t>S223</t>
  </si>
  <si>
    <t>352L</t>
  </si>
  <si>
    <t>JU52</t>
  </si>
  <si>
    <t>A-9</t>
  </si>
  <si>
    <t>A-36 Halcón</t>
  </si>
  <si>
    <t>C101</t>
  </si>
  <si>
    <t>AR-9</t>
  </si>
  <si>
    <t>AS-332 Super Puma</t>
  </si>
  <si>
    <t>Aviocar</t>
  </si>
  <si>
    <t>Aviojet</t>
  </si>
  <si>
    <t>BK-117</t>
  </si>
  <si>
    <t>BK17</t>
  </si>
  <si>
    <t>C-41 Aviocar</t>
  </si>
  <si>
    <t>C-101 Aviojet</t>
  </si>
  <si>
    <t>C-105 Amazonas</t>
  </si>
  <si>
    <t>C-127</t>
  </si>
  <si>
    <t>DO27</t>
  </si>
  <si>
    <t>C-212 Aviocar</t>
  </si>
  <si>
    <t>EAV-8 Matador</t>
  </si>
  <si>
    <t>HA-220 Super Saeta</t>
  </si>
  <si>
    <t>SATA</t>
  </si>
  <si>
    <t>Halcón</t>
  </si>
  <si>
    <t>HR-15</t>
  </si>
  <si>
    <t>Matador</t>
  </si>
  <si>
    <t>Mirlo</t>
  </si>
  <si>
    <t>Pillán</t>
  </si>
  <si>
    <t>PILL</t>
  </si>
  <si>
    <t>SF-5</t>
  </si>
  <si>
    <t>SRF-5</t>
  </si>
  <si>
    <t>Super Saeta</t>
  </si>
  <si>
    <t>T-35 Pillán</t>
  </si>
  <si>
    <t>T-36 Aviojet</t>
  </si>
  <si>
    <t>Tamiz</t>
  </si>
  <si>
    <t>Tp89 Aviocar</t>
  </si>
  <si>
    <t>C-101 Mirlo</t>
  </si>
  <si>
    <t>T-35 Tamiz</t>
  </si>
  <si>
    <t>CASSUTT</t>
  </si>
  <si>
    <t>CASS</t>
  </si>
  <si>
    <t>CATA</t>
  </si>
  <si>
    <t>LMK-1 Oryx</t>
  </si>
  <si>
    <t>LMK1</t>
  </si>
  <si>
    <t>CAUDRON</t>
  </si>
  <si>
    <t>C-270 Luciole</t>
  </si>
  <si>
    <t>C270</t>
  </si>
  <si>
    <t>C-272 Luciole</t>
  </si>
  <si>
    <t>C-275 Luciole</t>
  </si>
  <si>
    <t>CR-760 Cyclone Replica</t>
  </si>
  <si>
    <t>JN76</t>
  </si>
  <si>
    <t>Cyclone Replica</t>
  </si>
  <si>
    <t>G-3</t>
  </si>
  <si>
    <t>CG3</t>
  </si>
  <si>
    <t>G-3 Replica</t>
  </si>
  <si>
    <t>JN-760 Cyclone Replica</t>
  </si>
  <si>
    <t>Luciole</t>
  </si>
  <si>
    <t>CCF</t>
  </si>
  <si>
    <t>Harvard</t>
  </si>
  <si>
    <t>T6</t>
  </si>
  <si>
    <t>Norseman</t>
  </si>
  <si>
    <t>NORS</t>
  </si>
  <si>
    <t>T-6 Harvard</t>
  </si>
  <si>
    <t>T-34 Mentor</t>
  </si>
  <si>
    <t>CEA-UFMG</t>
  </si>
  <si>
    <t>CEA-309 Mehari</t>
  </si>
  <si>
    <t>C309</t>
  </si>
  <si>
    <t>Mehari</t>
  </si>
  <si>
    <t>CEA-311 Anequim</t>
  </si>
  <si>
    <t>C311</t>
  </si>
  <si>
    <t>Anequim</t>
  </si>
  <si>
    <t>CEA-306 CB-10 Triathlon</t>
  </si>
  <si>
    <t>C306</t>
  </si>
  <si>
    <t>CB-10 Triathlon</t>
  </si>
  <si>
    <t>Triathlon</t>
  </si>
  <si>
    <t>CEI</t>
  </si>
  <si>
    <t>CELAIR</t>
  </si>
  <si>
    <t>Eagle 300</t>
  </si>
  <si>
    <t>CEGL</t>
  </si>
  <si>
    <t>CELIER</t>
  </si>
  <si>
    <t>CENTRE EST</t>
  </si>
  <si>
    <t>2+2</t>
  </si>
  <si>
    <t>DR22</t>
  </si>
  <si>
    <t>Ambassadeur</t>
  </si>
  <si>
    <t>DR10</t>
  </si>
  <si>
    <t>Capitaine</t>
  </si>
  <si>
    <t>D250</t>
  </si>
  <si>
    <t>Chevalier</t>
  </si>
  <si>
    <t>DR30</t>
  </si>
  <si>
    <t>DR-100 Ambassadeur</t>
  </si>
  <si>
    <t>DR-105 Ambassadeur</t>
  </si>
  <si>
    <t>DR-200</t>
  </si>
  <si>
    <t>DR-220 2+2</t>
  </si>
  <si>
    <t>DR-221 Dauphin</t>
  </si>
  <si>
    <t>DR-250 Capitaine</t>
  </si>
  <si>
    <t>DR-253 Regent</t>
  </si>
  <si>
    <t>D253</t>
  </si>
  <si>
    <t>DR-315 Petit Prince</t>
  </si>
  <si>
    <t>DR-340 Major</t>
  </si>
  <si>
    <t>DR-360 Chevalier</t>
  </si>
  <si>
    <t>DR-380 Prince</t>
  </si>
  <si>
    <t>DR-1050 Ambassadeur</t>
  </si>
  <si>
    <t>DR-1050 Sicile</t>
  </si>
  <si>
    <t>DR-1050 Sicile Record</t>
  </si>
  <si>
    <t>DR-1051 Ambassadeur</t>
  </si>
  <si>
    <t>DR-1051 Sicile</t>
  </si>
  <si>
    <t>DR-1051 Sicile Record</t>
  </si>
  <si>
    <t>Major</t>
  </si>
  <si>
    <t>Petit Prince</t>
  </si>
  <si>
    <t>Prince</t>
  </si>
  <si>
    <t>Regent</t>
  </si>
  <si>
    <t>Sicile</t>
  </si>
  <si>
    <t>Sicile Record</t>
  </si>
  <si>
    <t>CENTURY</t>
  </si>
  <si>
    <t>Jetstream 3</t>
  </si>
  <si>
    <t>JS3</t>
  </si>
  <si>
    <t>CERVA</t>
  </si>
  <si>
    <t>CE-43 Guepard</t>
  </si>
  <si>
    <t>CE43</t>
  </si>
  <si>
    <t>CESSNA</t>
  </si>
  <si>
    <t>C120</t>
  </si>
  <si>
    <t>C140</t>
  </si>
  <si>
    <t>150 Commuter</t>
  </si>
  <si>
    <t>C170</t>
  </si>
  <si>
    <t>172 Cutlass</t>
  </si>
  <si>
    <t>172 Skyhawk</t>
  </si>
  <si>
    <t>172RG Cutlass RG</t>
  </si>
  <si>
    <t>C175</t>
  </si>
  <si>
    <t>175 Skylark</t>
  </si>
  <si>
    <t>C177</t>
  </si>
  <si>
    <t>177 Cardinal</t>
  </si>
  <si>
    <t>177RG Cardinal RG</t>
  </si>
  <si>
    <t>C180</t>
  </si>
  <si>
    <t>162 Skycatcher</t>
  </si>
  <si>
    <t>C162</t>
  </si>
  <si>
    <t>180 Skywagon 180</t>
  </si>
  <si>
    <t>182 Skylane</t>
  </si>
  <si>
    <t>185 Skywagon</t>
  </si>
  <si>
    <t>188 AgPickup</t>
  </si>
  <si>
    <t>188 AgWagon</t>
  </si>
  <si>
    <t>C190</t>
  </si>
  <si>
    <t>C195</t>
  </si>
  <si>
    <t>C205</t>
  </si>
  <si>
    <t>206 (turbine)</t>
  </si>
  <si>
    <t>C06T</t>
  </si>
  <si>
    <t>206 Stationair</t>
  </si>
  <si>
    <t>206 Super Skywagon</t>
  </si>
  <si>
    <t>207 (turbine)</t>
  </si>
  <si>
    <t>C07T</t>
  </si>
  <si>
    <t>207 Skywagon 207</t>
  </si>
  <si>
    <t>C207</t>
  </si>
  <si>
    <t>207 Stationair 7</t>
  </si>
  <si>
    <t>207 Stationair 8</t>
  </si>
  <si>
    <t>208 Caravan 1</t>
  </si>
  <si>
    <t>C208</t>
  </si>
  <si>
    <t>208 Cargomaster</t>
  </si>
  <si>
    <t>208 Grand Caravan</t>
  </si>
  <si>
    <t>208 Super Cargomaster</t>
  </si>
  <si>
    <t>210 Centurion</t>
  </si>
  <si>
    <t>305 Bird Dog</t>
  </si>
  <si>
    <t>O1</t>
  </si>
  <si>
    <t>318A</t>
  </si>
  <si>
    <t>T37</t>
  </si>
  <si>
    <t>318B</t>
  </si>
  <si>
    <t>318C</t>
  </si>
  <si>
    <t>318D Dragonfly</t>
  </si>
  <si>
    <t>A37</t>
  </si>
  <si>
    <t>318E Dragonfly</t>
  </si>
  <si>
    <t>320 Executive Skyknight</t>
  </si>
  <si>
    <t>C320</t>
  </si>
  <si>
    <t>320 Skyknight</t>
  </si>
  <si>
    <t>321 Bird Dog</t>
  </si>
  <si>
    <t>C335</t>
  </si>
  <si>
    <t>336 Skymaster</t>
  </si>
  <si>
    <t>C336</t>
  </si>
  <si>
    <t>337 Super Skymaster</t>
  </si>
  <si>
    <t>402 (turbine)</t>
  </si>
  <si>
    <t>402 Businessliner</t>
  </si>
  <si>
    <t>402 Utililiner</t>
  </si>
  <si>
    <t>404 (turbine)</t>
  </si>
  <si>
    <t>C04T</t>
  </si>
  <si>
    <t>404 Titan</t>
  </si>
  <si>
    <t>C404</t>
  </si>
  <si>
    <t>C411</t>
  </si>
  <si>
    <t>414 (turbine)</t>
  </si>
  <si>
    <t>414 Chancellor</t>
  </si>
  <si>
    <t>C421</t>
  </si>
  <si>
    <t>421 (turbine)</t>
  </si>
  <si>
    <t>421 Executive Commuter</t>
  </si>
  <si>
    <t>421 Golden Eagle</t>
  </si>
  <si>
    <t>425 Conquest 1</t>
  </si>
  <si>
    <t>C425</t>
  </si>
  <si>
    <t>425 Corsair</t>
  </si>
  <si>
    <t>441 Conquest</t>
  </si>
  <si>
    <t>C441</t>
  </si>
  <si>
    <t>441 Conquest 2</t>
  </si>
  <si>
    <t>500 Citation</t>
  </si>
  <si>
    <t>C500</t>
  </si>
  <si>
    <t>500 Citation 1</t>
  </si>
  <si>
    <t>501 Citation 1SP</t>
  </si>
  <si>
    <t>C501</t>
  </si>
  <si>
    <t>510 Citation Mustang</t>
  </si>
  <si>
    <t>C510</t>
  </si>
  <si>
    <t>525 Citation CJ1</t>
  </si>
  <si>
    <t>C525</t>
  </si>
  <si>
    <t>525 CitationJet</t>
  </si>
  <si>
    <t>525A Citation CJ2</t>
  </si>
  <si>
    <t>C25A</t>
  </si>
  <si>
    <t>525B Citation CJ3</t>
  </si>
  <si>
    <t>C25B</t>
  </si>
  <si>
    <t>525C Citation CJ4</t>
  </si>
  <si>
    <t>C25C</t>
  </si>
  <si>
    <t>526 CitationJet</t>
  </si>
  <si>
    <t>C526</t>
  </si>
  <si>
    <t>550 Citation 2</t>
  </si>
  <si>
    <t>C550</t>
  </si>
  <si>
    <t>551 Citation 2SP</t>
  </si>
  <si>
    <t>C551</t>
  </si>
  <si>
    <t>560 Citation 5</t>
  </si>
  <si>
    <t>C560</t>
  </si>
  <si>
    <t>560 Citation Encore</t>
  </si>
  <si>
    <t>550B Citation Bravo</t>
  </si>
  <si>
    <t>C55B</t>
  </si>
  <si>
    <t>Citation Bravo</t>
  </si>
  <si>
    <t>560 Citation Ultra</t>
  </si>
  <si>
    <t>560XL Citation Excel</t>
  </si>
  <si>
    <t>C56X</t>
  </si>
  <si>
    <t>560XL Citation XLS</t>
  </si>
  <si>
    <t>650 Citation 3</t>
  </si>
  <si>
    <t>C650</t>
  </si>
  <si>
    <t>650 Citation 6</t>
  </si>
  <si>
    <t>650 Citation 7</t>
  </si>
  <si>
    <t>680 Citation Sovereign</t>
  </si>
  <si>
    <t>C680</t>
  </si>
  <si>
    <t>750 Citation 10</t>
  </si>
  <si>
    <t>C750</t>
  </si>
  <si>
    <t>A-37 Dragonfly</t>
  </si>
  <si>
    <t>A150 Aerobat</t>
  </si>
  <si>
    <t>A152 Aerobat</t>
  </si>
  <si>
    <t>A185 AgCarryall</t>
  </si>
  <si>
    <t>A185 Skywagon 185</t>
  </si>
  <si>
    <t>A188 AgTruck</t>
  </si>
  <si>
    <t>A188 AgWagon</t>
  </si>
  <si>
    <t>Aerobat (A150)</t>
  </si>
  <si>
    <t>Aerobat (A152)</t>
  </si>
  <si>
    <t>AgCarryall</t>
  </si>
  <si>
    <t>AgHusky</t>
  </si>
  <si>
    <t>AgPickup</t>
  </si>
  <si>
    <t>AgTruck</t>
  </si>
  <si>
    <t>AgWagon</t>
  </si>
  <si>
    <t>Airmaster</t>
  </si>
  <si>
    <t>CMAS</t>
  </si>
  <si>
    <t>AT-8 Bobcat</t>
  </si>
  <si>
    <t>T50</t>
  </si>
  <si>
    <t>AT-17 Bobcat</t>
  </si>
  <si>
    <t>AW</t>
  </si>
  <si>
    <t>CAW</t>
  </si>
  <si>
    <t>Bird Dog</t>
  </si>
  <si>
    <t>Bobcat</t>
  </si>
  <si>
    <t>Businessliner</t>
  </si>
  <si>
    <t>C-34</t>
  </si>
  <si>
    <t>C-37</t>
  </si>
  <si>
    <t>C-38 Airmaster</t>
  </si>
  <si>
    <t>C-98</t>
  </si>
  <si>
    <t>C-145 Airmaster</t>
  </si>
  <si>
    <t>C-165 Airmaster</t>
  </si>
  <si>
    <t>Caravan 1</t>
  </si>
  <si>
    <t>Caravan 2</t>
  </si>
  <si>
    <t>F406</t>
  </si>
  <si>
    <t>Cardinal</t>
  </si>
  <si>
    <t>Cardinal RG</t>
  </si>
  <si>
    <t>Cargomaster</t>
  </si>
  <si>
    <t>Centurion</t>
  </si>
  <si>
    <t>Chancellor</t>
  </si>
  <si>
    <t>Citation</t>
  </si>
  <si>
    <t>Citation 1</t>
  </si>
  <si>
    <t>Citation 1SP</t>
  </si>
  <si>
    <t>Citation 2</t>
  </si>
  <si>
    <t>Citation 2SP</t>
  </si>
  <si>
    <t>Citation 3</t>
  </si>
  <si>
    <t>Citation 5</t>
  </si>
  <si>
    <t>Citation 6</t>
  </si>
  <si>
    <t>Citation 7</t>
  </si>
  <si>
    <t>Citation 10</t>
  </si>
  <si>
    <t>Citation CJ1</t>
  </si>
  <si>
    <t>Citation CJ2</t>
  </si>
  <si>
    <t>Citation CJ3</t>
  </si>
  <si>
    <t>Citation CJ4</t>
  </si>
  <si>
    <t>Citation Encore</t>
  </si>
  <si>
    <t>Citation Excel</t>
  </si>
  <si>
    <t>Citation Mustang</t>
  </si>
  <si>
    <t>Citation S2</t>
  </si>
  <si>
    <t>Citation Sovereign</t>
  </si>
  <si>
    <t>Citation Ultra</t>
  </si>
  <si>
    <t>Citation XLS</t>
  </si>
  <si>
    <t>CitationJet (525)</t>
  </si>
  <si>
    <t>CitationJet (526)</t>
  </si>
  <si>
    <t>Conquest</t>
  </si>
  <si>
    <t>Conquest 1</t>
  </si>
  <si>
    <t>Conquest 2</t>
  </si>
  <si>
    <t>Skywagon</t>
  </si>
  <si>
    <t>Skywagon 180</t>
  </si>
  <si>
    <t>Skywagon 185</t>
  </si>
  <si>
    <t>Skywagon 206</t>
  </si>
  <si>
    <t>Skywagon 207</t>
  </si>
  <si>
    <t>Stationair</t>
  </si>
  <si>
    <t>Stationair 6</t>
  </si>
  <si>
    <t>Stationair 7</t>
  </si>
  <si>
    <t>Stationair 8</t>
  </si>
  <si>
    <t>Super Cargomaster</t>
  </si>
  <si>
    <t>Super Skylane</t>
  </si>
  <si>
    <t>Super Skymaster</t>
  </si>
  <si>
    <t>Super Skywagon</t>
  </si>
  <si>
    <t>T-37</t>
  </si>
  <si>
    <t>T-41 Mescalero</t>
  </si>
  <si>
    <t>T-50 Bobcat</t>
  </si>
  <si>
    <t>T188 AgHusky</t>
  </si>
  <si>
    <t>T207 Turbo Skywagon 207</t>
  </si>
  <si>
    <t>T207 Turbo Stationair 7</t>
  </si>
  <si>
    <t>TP206 Turbo Super Skylane</t>
  </si>
  <si>
    <t>T206</t>
  </si>
  <si>
    <t>TU206 Turbo Super Skywagon</t>
  </si>
  <si>
    <t>TU206 Turbo Skywagon 206</t>
  </si>
  <si>
    <t>TU206 Turbo Stationair</t>
  </si>
  <si>
    <t>TU206 Turbo Stationair 6</t>
  </si>
  <si>
    <t>T210 Turbo Centurion</t>
  </si>
  <si>
    <t>T210</t>
  </si>
  <si>
    <t>Turbo Centurion</t>
  </si>
  <si>
    <t>LC-41</t>
  </si>
  <si>
    <t>COL4</t>
  </si>
  <si>
    <t>LC-41 Corvalis TT</t>
  </si>
  <si>
    <t>T206 Turbo Stationair</t>
  </si>
  <si>
    <t>T206 Stationair TC</t>
  </si>
  <si>
    <t>Turbo Skylane</t>
  </si>
  <si>
    <t>C82S</t>
  </si>
  <si>
    <t>T207 Turbo Stationair 8</t>
  </si>
  <si>
    <t>T303 Crusader</t>
  </si>
  <si>
    <t>T310</t>
  </si>
  <si>
    <t>T337B Turbo Super Skymaster</t>
  </si>
  <si>
    <t>T337C Turbo Super Skymaster</t>
  </si>
  <si>
    <t>T337D Turbo Super Skymaster</t>
  </si>
  <si>
    <t>T337E Turbo Super Skymaster</t>
  </si>
  <si>
    <t>T337F Turbo Super Skymaster</t>
  </si>
  <si>
    <t>T337G Pressurized Skymaster</t>
  </si>
  <si>
    <t>P337</t>
  </si>
  <si>
    <t>T337H Turbo Super Skymaster</t>
  </si>
  <si>
    <t>Titan</t>
  </si>
  <si>
    <t>TL-19 Bird Dog</t>
  </si>
  <si>
    <t>TO-1 Bird Dog</t>
  </si>
  <si>
    <t>Corsair</t>
  </si>
  <si>
    <t>Crane</t>
  </si>
  <si>
    <t>Crusader</t>
  </si>
  <si>
    <t>Cutlass</t>
  </si>
  <si>
    <t>Cutlass RG</t>
  </si>
  <si>
    <t>DC-6</t>
  </si>
  <si>
    <t>CDC6</t>
  </si>
  <si>
    <t>Dragonfly</t>
  </si>
  <si>
    <t>Executive Commuter</t>
  </si>
  <si>
    <t>Executive Skyknight</t>
  </si>
  <si>
    <t>F406 Caravan 2</t>
  </si>
  <si>
    <t>F406 Vigilant</t>
  </si>
  <si>
    <t>Golden Eagle</t>
  </si>
  <si>
    <t>Grand Caravan</t>
  </si>
  <si>
    <t>Hawk XP</t>
  </si>
  <si>
    <t>L-19 Bird Dog</t>
  </si>
  <si>
    <t>L-27</t>
  </si>
  <si>
    <t>LC-126</t>
  </si>
  <si>
    <t>M337 Super Skymaster</t>
  </si>
  <si>
    <t>MC337 Super Skymaster</t>
  </si>
  <si>
    <t>Mescalero</t>
  </si>
  <si>
    <t>NGP</t>
  </si>
  <si>
    <t>CNGP</t>
  </si>
  <si>
    <t>O-1 Bird Dog</t>
  </si>
  <si>
    <t>O-2 Super Skymaster</t>
  </si>
  <si>
    <t>Skycatcher</t>
  </si>
  <si>
    <t>OA-37 Dragonfly</t>
  </si>
  <si>
    <t>OE Bird Dog</t>
  </si>
  <si>
    <t>OT-47 Citation Ultra</t>
  </si>
  <si>
    <t>P172 Skyhawk Powermatic</t>
  </si>
  <si>
    <t>P206 Super Skylane</t>
  </si>
  <si>
    <t>P210 (turbine)</t>
  </si>
  <si>
    <t>P210 Pressurized Centurion</t>
  </si>
  <si>
    <t>P337 Pressurized Skymaster</t>
  </si>
  <si>
    <t>Pressurized Centurion</t>
  </si>
  <si>
    <t>Pressurized Skymaster</t>
  </si>
  <si>
    <t>R172</t>
  </si>
  <si>
    <t>R172 Hawk XP</t>
  </si>
  <si>
    <t>R182 Skylane RG</t>
  </si>
  <si>
    <t>S550 Citation S2</t>
  </si>
  <si>
    <t>Skyhawk</t>
  </si>
  <si>
    <t>Skyhawk Powermatic</t>
  </si>
  <si>
    <t>Skyknight</t>
  </si>
  <si>
    <t>Skylane RG</t>
  </si>
  <si>
    <t>Skylark</t>
  </si>
  <si>
    <t>Skymaster</t>
  </si>
  <si>
    <t>Stationair TC</t>
  </si>
  <si>
    <t>Turbo Stationair</t>
  </si>
  <si>
    <t>Turbo Super Skylane</t>
  </si>
  <si>
    <t>Turbo Super Skywagon</t>
  </si>
  <si>
    <t>Turbo Skylane RG</t>
  </si>
  <si>
    <t>C82T</t>
  </si>
  <si>
    <t>UC-78 Bobcat</t>
  </si>
  <si>
    <t>Utililiner</t>
  </si>
  <si>
    <t>Vigilant</t>
  </si>
  <si>
    <t>680A Citation Latitude</t>
  </si>
  <si>
    <t>C68A</t>
  </si>
  <si>
    <t>LC-42 Corvalis</t>
  </si>
  <si>
    <t>COL3</t>
  </si>
  <si>
    <t>Corvalis</t>
  </si>
  <si>
    <t>Corvalis TT</t>
  </si>
  <si>
    <t>350 Corvalis</t>
  </si>
  <si>
    <t>525 Citation M2</t>
  </si>
  <si>
    <t>C25M</t>
  </si>
  <si>
    <t>Citation M2</t>
  </si>
  <si>
    <t>LC-42</t>
  </si>
  <si>
    <t>400 Corvalis TT</t>
  </si>
  <si>
    <t>T182 Turbo Skylane</t>
  </si>
  <si>
    <t>Turbo Skywagon 207</t>
  </si>
  <si>
    <t>Turbo Stationair 7</t>
  </si>
  <si>
    <t>Turbo Stationair 8</t>
  </si>
  <si>
    <t>Turbo Super Skymaster</t>
  </si>
  <si>
    <t>U-3</t>
  </si>
  <si>
    <t>U-17A</t>
  </si>
  <si>
    <t>U-17B</t>
  </si>
  <si>
    <t>U-17C</t>
  </si>
  <si>
    <t>U-27</t>
  </si>
  <si>
    <t>U206 Skywagon 206</t>
  </si>
  <si>
    <t>U206 Stationair</t>
  </si>
  <si>
    <t>U206 Stationair 6</t>
  </si>
  <si>
    <t>U206 Super Skywagon</t>
  </si>
  <si>
    <t>UC-35 Citation Encore</t>
  </si>
  <si>
    <t>UC-35 Citation Ultra</t>
  </si>
  <si>
    <t>208 Caravan 675</t>
  </si>
  <si>
    <t>T240 Corvalis TTx</t>
  </si>
  <si>
    <t>C240</t>
  </si>
  <si>
    <t>Corvalis TTx</t>
  </si>
  <si>
    <t>T240 TTx</t>
  </si>
  <si>
    <t>TTx</t>
  </si>
  <si>
    <t>TR182 Turbo Skylane RG</t>
  </si>
  <si>
    <t>Turbo Skywagon 206</t>
  </si>
  <si>
    <t>Turbo Stationair 6</t>
  </si>
  <si>
    <t>AC-208 Combat Caravan</t>
  </si>
  <si>
    <t>Caravan 675</t>
  </si>
  <si>
    <t>Combat Caravan</t>
  </si>
  <si>
    <t>Citation Latitude</t>
  </si>
  <si>
    <t>700 Citation Longitude</t>
  </si>
  <si>
    <t>C700</t>
  </si>
  <si>
    <t>Citation Longitude</t>
  </si>
  <si>
    <t>E350</t>
  </si>
  <si>
    <t>E530 Scorpion</t>
  </si>
  <si>
    <t>E530</t>
  </si>
  <si>
    <t>Scorpion</t>
  </si>
  <si>
    <t>T-51</t>
  </si>
  <si>
    <t>408 SkyCourier</t>
  </si>
  <si>
    <t>C408</t>
  </si>
  <si>
    <t>SkyCourier</t>
  </si>
  <si>
    <t>CETC</t>
  </si>
  <si>
    <t>TA-20</t>
  </si>
  <si>
    <t>DT45</t>
  </si>
  <si>
    <t>CFM</t>
  </si>
  <si>
    <t>SA-2 Star Streak</t>
  </si>
  <si>
    <t>STST</t>
  </si>
  <si>
    <t>Star Streak</t>
  </si>
  <si>
    <t>CHAIKA</t>
  </si>
  <si>
    <t>L-4</t>
  </si>
  <si>
    <t>L4</t>
  </si>
  <si>
    <t>L-42</t>
  </si>
  <si>
    <t>L-44</t>
  </si>
  <si>
    <t>CHALARD</t>
  </si>
  <si>
    <t>JRC-01 Julcar</t>
  </si>
  <si>
    <t>JRC1</t>
  </si>
  <si>
    <t>Julcar</t>
  </si>
  <si>
    <t>CHAMPION</t>
  </si>
  <si>
    <t>7FC Tri-Traveler</t>
  </si>
  <si>
    <t>7GC Sky-Trac</t>
  </si>
  <si>
    <t>7GCA Sky-Trac</t>
  </si>
  <si>
    <t>7GCAA</t>
  </si>
  <si>
    <t>7GCB Challenger</t>
  </si>
  <si>
    <t>7GCBA Challenger</t>
  </si>
  <si>
    <t>7HC DX'er</t>
  </si>
  <si>
    <t>7JC Tri-Con</t>
  </si>
  <si>
    <t>7KC Olympia</t>
  </si>
  <si>
    <t>402 Lancer</t>
  </si>
  <si>
    <t>CH40</t>
  </si>
  <si>
    <t>Challenger</t>
  </si>
  <si>
    <t>DX'er</t>
  </si>
  <si>
    <t>Olympia</t>
  </si>
  <si>
    <t>Sky-Trac</t>
  </si>
  <si>
    <t>Tri-Con</t>
  </si>
  <si>
    <t>Tri-Traveler</t>
  </si>
  <si>
    <t>CHANCE VOUGHT</t>
  </si>
  <si>
    <t>AU Corsair</t>
  </si>
  <si>
    <t>CORS</t>
  </si>
  <si>
    <t>F8</t>
  </si>
  <si>
    <t>F4U Corsair</t>
  </si>
  <si>
    <t>F8 Crusader</t>
  </si>
  <si>
    <t>F8U Crusader</t>
  </si>
  <si>
    <t>RF-8 Crusader</t>
  </si>
  <si>
    <t>V-166 Corsair</t>
  </si>
  <si>
    <t>CHANGHE</t>
  </si>
  <si>
    <t>Z-8</t>
  </si>
  <si>
    <t>Z-11</t>
  </si>
  <si>
    <t>WZ-10</t>
  </si>
  <si>
    <t>WZ10</t>
  </si>
  <si>
    <t>CHASLE</t>
  </si>
  <si>
    <t>Tourbillon</t>
  </si>
  <si>
    <t>YC12</t>
  </si>
  <si>
    <t>YC-12 Tourbillon</t>
  </si>
  <si>
    <t>YC-121 Tourbillon</t>
  </si>
  <si>
    <t>YC-122 Tourbillon</t>
  </si>
  <si>
    <t>YC-123 Tourbillon</t>
  </si>
  <si>
    <t>CHAYAIR</t>
  </si>
  <si>
    <t>CHSY</t>
  </si>
  <si>
    <t>CHENGDU</t>
  </si>
  <si>
    <t>Airguard</t>
  </si>
  <si>
    <t>F-7</t>
  </si>
  <si>
    <t>F-7 Airguard</t>
  </si>
  <si>
    <t>F-7 Skybolt</t>
  </si>
  <si>
    <t>F-10</t>
  </si>
  <si>
    <t>J10</t>
  </si>
  <si>
    <t>FC-1 Super 7</t>
  </si>
  <si>
    <t>FC1</t>
  </si>
  <si>
    <t>FC-1 Xiaolong</t>
  </si>
  <si>
    <t>FT-5</t>
  </si>
  <si>
    <t>MG17</t>
  </si>
  <si>
    <t>J-7</t>
  </si>
  <si>
    <t>J-10</t>
  </si>
  <si>
    <t>JF-17 Thunder</t>
  </si>
  <si>
    <t>JJ-5</t>
  </si>
  <si>
    <t>Skybolt</t>
  </si>
  <si>
    <t>Super 7</t>
  </si>
  <si>
    <t>Thunder</t>
  </si>
  <si>
    <t>Xiaolong</t>
  </si>
  <si>
    <t>J-20</t>
  </si>
  <si>
    <t>J20</t>
  </si>
  <si>
    <t>CHERNOV</t>
  </si>
  <si>
    <t>Che-15</t>
  </si>
  <si>
    <t>CE15</t>
  </si>
  <si>
    <t>SeaPlane</t>
  </si>
  <si>
    <t>Che-22 Corvette</t>
  </si>
  <si>
    <t>Che-23</t>
  </si>
  <si>
    <t>CE23</t>
  </si>
  <si>
    <t>Che-25</t>
  </si>
  <si>
    <t>CE25</t>
  </si>
  <si>
    <t>Che-27</t>
  </si>
  <si>
    <t>CE27</t>
  </si>
  <si>
    <t>CHICHESTER-MILES</t>
  </si>
  <si>
    <t>Leopard</t>
  </si>
  <si>
    <t>LEOP</t>
  </si>
  <si>
    <t>CHILTON</t>
  </si>
  <si>
    <t>DW-1</t>
  </si>
  <si>
    <t>CDW1</t>
  </si>
  <si>
    <t>CHINCUL</t>
  </si>
  <si>
    <t>Arrow 3</t>
  </si>
  <si>
    <t>Arrow 4</t>
  </si>
  <si>
    <t>P28T</t>
  </si>
  <si>
    <t>Aztec</t>
  </si>
  <si>
    <t>PA27</t>
  </si>
  <si>
    <t>Cherokee Arrow 3</t>
  </si>
  <si>
    <t>Cherokee Challenger</t>
  </si>
  <si>
    <t>Cherokee Lance</t>
  </si>
  <si>
    <t>Cheyenne 1</t>
  </si>
  <si>
    <t>PAY1</t>
  </si>
  <si>
    <t>Lance 2</t>
  </si>
  <si>
    <t>PA-A-23-250 Aztec</t>
  </si>
  <si>
    <t>PA-A-25 Pawnee</t>
  </si>
  <si>
    <t>PA25</t>
  </si>
  <si>
    <t>PA-A-28-140 Cherokee Cruiser</t>
  </si>
  <si>
    <t>PA-A-28-161 Warrior 2</t>
  </si>
  <si>
    <t>PA-A-28-180 Cherokee Archer</t>
  </si>
  <si>
    <t>PA-A-28-180 Cherokee Challenger</t>
  </si>
  <si>
    <t>PA-A-28-181 Archer 2</t>
  </si>
  <si>
    <t>PA-A-28-181 Cherokee Archer 2</t>
  </si>
  <si>
    <t>PA-A-28-235 Cherokee Charger</t>
  </si>
  <si>
    <t>PA-A-28-235 Cherokee Pathfinder</t>
  </si>
  <si>
    <t>PA-A-28-236 Dakota</t>
  </si>
  <si>
    <t>PA-A-28R-200 Cherokee Arrow 2</t>
  </si>
  <si>
    <t>PA-A-28R-201 Arrow 3</t>
  </si>
  <si>
    <t>PA-A-28R-201 Cherokee Arrow 3</t>
  </si>
  <si>
    <t>PA-A-28RT-201 Arrow 4</t>
  </si>
  <si>
    <t>PA-A-31-310 Navajo</t>
  </si>
  <si>
    <t>PA-A-31-325 Navajo CR</t>
  </si>
  <si>
    <t>PA-A-31-350 Chieftain</t>
  </si>
  <si>
    <t>PA-A-31-350 Navajo Chieftain</t>
  </si>
  <si>
    <t>PA-A-31P-425 Pressurized Navajo</t>
  </si>
  <si>
    <t>PA-A-31T1-500 Cheyenne 1</t>
  </si>
  <si>
    <t>PA-A-31T-620 Cheyenne 2</t>
  </si>
  <si>
    <t>PA-A-32 Cherokee Six</t>
  </si>
  <si>
    <t>PA-A-32R-300 Cherokee Lance</t>
  </si>
  <si>
    <t>PA-A-32R-300 Lance</t>
  </si>
  <si>
    <t>PA-A-32RT-300 Lance 2</t>
  </si>
  <si>
    <t>PA-A-32RT-300T Turbo Lance 2</t>
  </si>
  <si>
    <t>PA-A-34 Seneca</t>
  </si>
  <si>
    <t>PA-A-36 Pawnee Brave</t>
  </si>
  <si>
    <t>PA-A-38 Tomahawk</t>
  </si>
  <si>
    <t>Pawnee</t>
  </si>
  <si>
    <t>Pressurized Navajo</t>
  </si>
  <si>
    <t>Turbo Lance 2</t>
  </si>
  <si>
    <t>PA-A-28RT-201T Turbo Arrow 4</t>
  </si>
  <si>
    <t>PA-A-28R-201T Turbo Arrow 3</t>
  </si>
  <si>
    <t>PA-A-28R-201T Turbo Cherokee Arrow 3</t>
  </si>
  <si>
    <t>CHRIS TENA</t>
  </si>
  <si>
    <t>Mini Coupe</t>
  </si>
  <si>
    <t>MCOU</t>
  </si>
  <si>
    <t>CHRISLEA</t>
  </si>
  <si>
    <t>CH-3 Super Ace</t>
  </si>
  <si>
    <t>CH3</t>
  </si>
  <si>
    <t>CH-3 Skyjeep</t>
  </si>
  <si>
    <t>Skyjeep</t>
  </si>
  <si>
    <t>CHRISTEN</t>
  </si>
  <si>
    <t>CIAC</t>
  </si>
  <si>
    <t>Synergy</t>
  </si>
  <si>
    <t>SNGY</t>
  </si>
  <si>
    <t>T-90 Calima</t>
  </si>
  <si>
    <t>Calima</t>
  </si>
  <si>
    <t>CICARE</t>
  </si>
  <si>
    <t>CH-12</t>
  </si>
  <si>
    <t>CH12</t>
  </si>
  <si>
    <t>CH-14 Aguilucho</t>
  </si>
  <si>
    <t>CH14</t>
  </si>
  <si>
    <t>Aguilucho</t>
  </si>
  <si>
    <t>CIRCA</t>
  </si>
  <si>
    <t>Nieuport 12-7/8</t>
  </si>
  <si>
    <t>CN12</t>
  </si>
  <si>
    <t>CIRRUS</t>
  </si>
  <si>
    <t>SR-20</t>
  </si>
  <si>
    <t>SR20</t>
  </si>
  <si>
    <t>SR-20 SRV</t>
  </si>
  <si>
    <t>SR-22</t>
  </si>
  <si>
    <t>SR22</t>
  </si>
  <si>
    <t>SRV</t>
  </si>
  <si>
    <t>SR-22T</t>
  </si>
  <si>
    <t>S22T</t>
  </si>
  <si>
    <t>T-53</t>
  </si>
  <si>
    <t>SR-22 Turbo</t>
  </si>
  <si>
    <t>SJ-X Vision</t>
  </si>
  <si>
    <t>SF50</t>
  </si>
  <si>
    <t>SF-50 Vision</t>
  </si>
  <si>
    <t>VK-30 Cirrus (piston)</t>
  </si>
  <si>
    <t>VK3P</t>
  </si>
  <si>
    <t>Cirrus (piston)</t>
  </si>
  <si>
    <t>VK-30 Cirrus (turbine)</t>
  </si>
  <si>
    <t>VK3T</t>
  </si>
  <si>
    <t>Cirrus (turbine)</t>
  </si>
  <si>
    <t>CLAASSEN</t>
  </si>
  <si>
    <t>CLASS</t>
  </si>
  <si>
    <t>Bush Caddy L-160</t>
  </si>
  <si>
    <t>CAD4</t>
  </si>
  <si>
    <t>Bush Caddy L-162</t>
  </si>
  <si>
    <t>Bush Caddy L-164</t>
  </si>
  <si>
    <t>Bush Caddy R-80</t>
  </si>
  <si>
    <t>CAD2</t>
  </si>
  <si>
    <t>Bush Caddy R-120</t>
  </si>
  <si>
    <t>CLASSIC</t>
  </si>
  <si>
    <t>Waco Classic</t>
  </si>
  <si>
    <t>WACF</t>
  </si>
  <si>
    <t>CLASSIC SPORT</t>
  </si>
  <si>
    <t>S-18</t>
  </si>
  <si>
    <t>T18</t>
  </si>
  <si>
    <t>CLAUDIUS DORNIER</t>
  </si>
  <si>
    <t>CD-2 Seastar</t>
  </si>
  <si>
    <t>CD2</t>
  </si>
  <si>
    <t>Seastar</t>
  </si>
  <si>
    <t>CLIFFORD AEROWORKS</t>
  </si>
  <si>
    <t>Spad 13 80%</t>
  </si>
  <si>
    <t>ES13</t>
  </si>
  <si>
    <t>CO-Z</t>
  </si>
  <si>
    <t>Cozy</t>
  </si>
  <si>
    <t>CozyJet</t>
  </si>
  <si>
    <t>COZJ</t>
  </si>
  <si>
    <t>COBALT</t>
  </si>
  <si>
    <t>Co-50 Valkyrie</t>
  </si>
  <si>
    <t>CO50</t>
  </si>
  <si>
    <t>Valkyrie</t>
  </si>
  <si>
    <t>COBELAVIA</t>
  </si>
  <si>
    <t>D-158 Nipper</t>
  </si>
  <si>
    <t>COBRA</t>
  </si>
  <si>
    <t>COAR</t>
  </si>
  <si>
    <t>COLEMILL</t>
  </si>
  <si>
    <t>Bearcat</t>
  </si>
  <si>
    <t>Century 600</t>
  </si>
  <si>
    <t>Executive 600</t>
  </si>
  <si>
    <t>Foxstar Baron 55</t>
  </si>
  <si>
    <t>Foxstar Baron 58</t>
  </si>
  <si>
    <t>Panther 2</t>
  </si>
  <si>
    <t>Panther 3</t>
  </si>
  <si>
    <t>Panther Navajo</t>
  </si>
  <si>
    <t>President 600</t>
  </si>
  <si>
    <t>Starfire Bonanza 33</t>
  </si>
  <si>
    <t>Starfire Bonanza 35</t>
  </si>
  <si>
    <t>Starfire Bonanza 36</t>
  </si>
  <si>
    <t>COLLINS</t>
  </si>
  <si>
    <t>Dipper</t>
  </si>
  <si>
    <t>DIPR</t>
  </si>
  <si>
    <t>COLOMBAN</t>
  </si>
  <si>
    <t>Ban-Bi</t>
  </si>
  <si>
    <t>MCR1</t>
  </si>
  <si>
    <t>Cricri</t>
  </si>
  <si>
    <t>MC10</t>
  </si>
  <si>
    <t>MC-10 Cricri</t>
  </si>
  <si>
    <t>MC-12 Cricri</t>
  </si>
  <si>
    <t>MC-15 Cricri</t>
  </si>
  <si>
    <t>MC-100 Ban-Bi</t>
  </si>
  <si>
    <t>COLONIAL</t>
  </si>
  <si>
    <t>C-1 Skimmer</t>
  </si>
  <si>
    <t>SKIM</t>
  </si>
  <si>
    <t>C-2 Skimmer</t>
  </si>
  <si>
    <t>Skimmer</t>
  </si>
  <si>
    <t>COLUMBIA</t>
  </si>
  <si>
    <t>Columbia 350</t>
  </si>
  <si>
    <t>Columbia 400</t>
  </si>
  <si>
    <t>LC-41 Columbia 400</t>
  </si>
  <si>
    <t>LC-42 Columbia 350</t>
  </si>
  <si>
    <t>COLYAER</t>
  </si>
  <si>
    <t>Freedom</t>
  </si>
  <si>
    <t>CFRE</t>
  </si>
  <si>
    <t>Gannet</t>
  </si>
  <si>
    <t>CGAN</t>
  </si>
  <si>
    <t>Martin 3</t>
  </si>
  <si>
    <t>CMA3</t>
  </si>
  <si>
    <t>Mascato</t>
  </si>
  <si>
    <t>COMAC</t>
  </si>
  <si>
    <t>Xiangfeng</t>
  </si>
  <si>
    <t>AJ27</t>
  </si>
  <si>
    <t>ARJ-21-700</t>
  </si>
  <si>
    <t>C-919</t>
  </si>
  <si>
    <t>C919</t>
  </si>
  <si>
    <t>ARJ-21-700 Xiangfeng</t>
  </si>
  <si>
    <t>COMMANDER</t>
  </si>
  <si>
    <t>Commander 114</t>
  </si>
  <si>
    <t>AC11</t>
  </si>
  <si>
    <t>Commander 115</t>
  </si>
  <si>
    <t>COMMONWEALTH (1)</t>
  </si>
  <si>
    <t>BA-206 Kiowa</t>
  </si>
  <si>
    <t>Boomerang</t>
  </si>
  <si>
    <t>CA19</t>
  </si>
  <si>
    <t>CA-13 Boomerang</t>
  </si>
  <si>
    <t>CA-16 Wirraway</t>
  </si>
  <si>
    <t>WIRR</t>
  </si>
  <si>
    <t>CA-18 Mustang</t>
  </si>
  <si>
    <t>P51</t>
  </si>
  <si>
    <t>CA-19 Boomerang</t>
  </si>
  <si>
    <t>CA-25 Winjeel</t>
  </si>
  <si>
    <t>CA25</t>
  </si>
  <si>
    <t>CA-27 Sabre</t>
  </si>
  <si>
    <t>CA-29 Mirage 3</t>
  </si>
  <si>
    <t>CA-30</t>
  </si>
  <si>
    <t>CA-32 Kiowa</t>
  </si>
  <si>
    <t>Mirage 3</t>
  </si>
  <si>
    <t>Mustang</t>
  </si>
  <si>
    <t>Winjeel</t>
  </si>
  <si>
    <t>Wirraway</t>
  </si>
  <si>
    <t>COMMONWEALTH (2)</t>
  </si>
  <si>
    <t>185 Skyranger</t>
  </si>
  <si>
    <t>SKYR</t>
  </si>
  <si>
    <t>Skyranger</t>
  </si>
  <si>
    <t>COMP AIR</t>
  </si>
  <si>
    <t>CA-7SLX  Comp Air 7SLX</t>
  </si>
  <si>
    <t>CA-12 Comp Air 12</t>
  </si>
  <si>
    <t>CA12</t>
  </si>
  <si>
    <t>Comp Air 10XLT</t>
  </si>
  <si>
    <t>Comp Air 12</t>
  </si>
  <si>
    <t>Comp Air 9</t>
  </si>
  <si>
    <t>CA9</t>
  </si>
  <si>
    <t>CA-9 Comp Air 9</t>
  </si>
  <si>
    <t>COMPOSIT AIRPLANES</t>
  </si>
  <si>
    <t>Viva</t>
  </si>
  <si>
    <t>VIVA</t>
  </si>
  <si>
    <t>CONAIR</t>
  </si>
  <si>
    <t>F-27 Firefighter</t>
  </si>
  <si>
    <t>F27</t>
  </si>
  <si>
    <t>Firecat</t>
  </si>
  <si>
    <t>S2P</t>
  </si>
  <si>
    <t>Firefighter</t>
  </si>
  <si>
    <t>Turbo Firecat</t>
  </si>
  <si>
    <t>S2T</t>
  </si>
  <si>
    <t>CONROY</t>
  </si>
  <si>
    <t>CONSOLIDATED</t>
  </si>
  <si>
    <t>28 Catalina</t>
  </si>
  <si>
    <t>B-24 Liberator</t>
  </si>
  <si>
    <t>B24</t>
  </si>
  <si>
    <t>C-87 Liberator Express</t>
  </si>
  <si>
    <t>LB-30 Liberator</t>
  </si>
  <si>
    <t>Liberator</t>
  </si>
  <si>
    <t>Liberator Express</t>
  </si>
  <si>
    <t>CONTINENTAL COPTERS</t>
  </si>
  <si>
    <t>El Tomcat</t>
  </si>
  <si>
    <t>ELTO</t>
  </si>
  <si>
    <t>CONVAIR</t>
  </si>
  <si>
    <t>BT-13 Valiant</t>
  </si>
  <si>
    <t>VALI</t>
  </si>
  <si>
    <t>C-131</t>
  </si>
  <si>
    <t>CVLP</t>
  </si>
  <si>
    <t>C-131 Samaritan</t>
  </si>
  <si>
    <t>C-131H</t>
  </si>
  <si>
    <t>Convairliner</t>
  </si>
  <si>
    <t>CV-240 Convairliner</t>
  </si>
  <si>
    <t>CV-340 Convairliner</t>
  </si>
  <si>
    <t>CV-440 Metropolitan</t>
  </si>
  <si>
    <t>CV-600</t>
  </si>
  <si>
    <t>CV-640</t>
  </si>
  <si>
    <t>Delta Dart</t>
  </si>
  <si>
    <t>F106</t>
  </si>
  <si>
    <t>ET-29</t>
  </si>
  <si>
    <t>HC-131</t>
  </si>
  <si>
    <t>L-13</t>
  </si>
  <si>
    <t>L13</t>
  </si>
  <si>
    <t>Metropolitan</t>
  </si>
  <si>
    <t>P4Y Privateer</t>
  </si>
  <si>
    <t>P4Y</t>
  </si>
  <si>
    <t>PB4Y Privateer</t>
  </si>
  <si>
    <t>QF-106 Delta Dart</t>
  </si>
  <si>
    <t>Samaritan</t>
  </si>
  <si>
    <t>T-29</t>
  </si>
  <si>
    <t>V-54 Valiant</t>
  </si>
  <si>
    <t>Valiant</t>
  </si>
  <si>
    <t>VC-131G</t>
  </si>
  <si>
    <t>VT-29</t>
  </si>
  <si>
    <t>COOPAVIA-MENAVIA</t>
  </si>
  <si>
    <t>CP-301 Emeraude</t>
  </si>
  <si>
    <t>Emeraude</t>
  </si>
  <si>
    <t>CORBEN</t>
  </si>
  <si>
    <t>CORBY</t>
  </si>
  <si>
    <t>CJ-1 Starlet</t>
  </si>
  <si>
    <t>CJ1</t>
  </si>
  <si>
    <t>Starlet</t>
  </si>
  <si>
    <t>CORVUS</t>
  </si>
  <si>
    <t>Corone</t>
  </si>
  <si>
    <t>CORO</t>
  </si>
  <si>
    <t>CA-21 Phantom</t>
  </si>
  <si>
    <t>Phantom</t>
  </si>
  <si>
    <t>CA-41 Racer</t>
  </si>
  <si>
    <t>CA41</t>
  </si>
  <si>
    <t>Racer</t>
  </si>
  <si>
    <t>Fusion</t>
  </si>
  <si>
    <t>FUSI</t>
  </si>
  <si>
    <t>COSY</t>
  </si>
  <si>
    <t>Cosy Classic</t>
  </si>
  <si>
    <t>COUNTRY AIR</t>
  </si>
  <si>
    <t>COUPE</t>
  </si>
  <si>
    <t>JC-01</t>
  </si>
  <si>
    <t>JC01</t>
  </si>
  <si>
    <t>JC-02</t>
  </si>
  <si>
    <t>JC02</t>
  </si>
  <si>
    <t>JC-200</t>
  </si>
  <si>
    <t>CRAE</t>
  </si>
  <si>
    <t>Dragon Fly</t>
  </si>
  <si>
    <t>DRAG</t>
  </si>
  <si>
    <t>CRAIOVA</t>
  </si>
  <si>
    <t>CRANFIELD</t>
  </si>
  <si>
    <t>A-1 Eagle</t>
  </si>
  <si>
    <t>CRA1</t>
  </si>
  <si>
    <t>CREATIVE FLIGHT</t>
  </si>
  <si>
    <t>Aerocat SR</t>
  </si>
  <si>
    <t>CAT1</t>
  </si>
  <si>
    <t>Aerocat TR</t>
  </si>
  <si>
    <t>CAT2</t>
  </si>
  <si>
    <t>MPA Aerocat SR</t>
  </si>
  <si>
    <t>MPA Aerocat TR</t>
  </si>
  <si>
    <t>CROSES</t>
  </si>
  <si>
    <t>Criquet</t>
  </si>
  <si>
    <t>EC6</t>
  </si>
  <si>
    <t>EC-6 Criquet</t>
  </si>
  <si>
    <t>EC-8 Tourisme</t>
  </si>
  <si>
    <t>Tourisme</t>
  </si>
  <si>
    <t>CSA</t>
  </si>
  <si>
    <t>SportCruiser</t>
  </si>
  <si>
    <t>Mermaid</t>
  </si>
  <si>
    <t>MRMD</t>
  </si>
  <si>
    <t>Parrot</t>
  </si>
  <si>
    <t>PROT</t>
  </si>
  <si>
    <t>PiperSport</t>
  </si>
  <si>
    <t>CSS</t>
  </si>
  <si>
    <t>CSS-13</t>
  </si>
  <si>
    <t>PO2</t>
  </si>
  <si>
    <t>CTRM</t>
  </si>
  <si>
    <t>Eagle 150</t>
  </si>
  <si>
    <t>EAGX</t>
  </si>
  <si>
    <t>CUB</t>
  </si>
  <si>
    <t>Cub</t>
  </si>
  <si>
    <t>J-3 Cub</t>
  </si>
  <si>
    <t>J-3 Prospector</t>
  </si>
  <si>
    <t>Prospector</t>
  </si>
  <si>
    <t>CUB CRAFTERS</t>
  </si>
  <si>
    <t>CC-11 Sport Cub</t>
  </si>
  <si>
    <t>CC-18 Top Cub</t>
  </si>
  <si>
    <t>PA-18 Top Cub</t>
  </si>
  <si>
    <t>Sport Cub</t>
  </si>
  <si>
    <t>Top Cub</t>
  </si>
  <si>
    <t>CC-11 Carbon Cub</t>
  </si>
  <si>
    <t>Carbon Cub</t>
  </si>
  <si>
    <t>CC-19 XCub</t>
  </si>
  <si>
    <t>CC19</t>
  </si>
  <si>
    <t>XCub</t>
  </si>
  <si>
    <t>CC-19 NXCub</t>
  </si>
  <si>
    <t>NXCub</t>
  </si>
  <si>
    <t>CULP</t>
  </si>
  <si>
    <t>MonoCulp</t>
  </si>
  <si>
    <t>MOCU</t>
  </si>
  <si>
    <t>Sopwith Pup</t>
  </si>
  <si>
    <t>CPUP</t>
  </si>
  <si>
    <t>CULVER</t>
  </si>
  <si>
    <t>Cadet</t>
  </si>
  <si>
    <t>CUCA</t>
  </si>
  <si>
    <t>Dart G</t>
  </si>
  <si>
    <t>Dart GK</t>
  </si>
  <si>
    <t>Dart GW</t>
  </si>
  <si>
    <t>LAR Cadet</t>
  </si>
  <si>
    <t>LCA Cadet</t>
  </si>
  <si>
    <t>LFA Cadet</t>
  </si>
  <si>
    <t>PQ-8 Cadet</t>
  </si>
  <si>
    <t>PQ-14 Cadet</t>
  </si>
  <si>
    <t>V</t>
  </si>
  <si>
    <t>CULV</t>
  </si>
  <si>
    <t>CURTISS</t>
  </si>
  <si>
    <t>C-46 Commando</t>
  </si>
  <si>
    <t>C46</t>
  </si>
  <si>
    <t>Commando</t>
  </si>
  <si>
    <t>CW-20 Commando</t>
  </si>
  <si>
    <t>Kittyhawk</t>
  </si>
  <si>
    <t>P40</t>
  </si>
  <si>
    <t>P-40 Warhawk</t>
  </si>
  <si>
    <t>TP-40 Warhawk</t>
  </si>
  <si>
    <t>Warhawk</t>
  </si>
  <si>
    <t>50 Robin</t>
  </si>
  <si>
    <t>CRBN</t>
  </si>
  <si>
    <t>Robin</t>
  </si>
  <si>
    <t>P-40 Kittyhawk</t>
  </si>
  <si>
    <t>P-40 Tomahawk</t>
  </si>
  <si>
    <t>CURTISS-ROBERTSON</t>
  </si>
  <si>
    <t>CUSTOM FLIGHT</t>
  </si>
  <si>
    <t>Bright Star</t>
  </si>
  <si>
    <t>BSTR</t>
  </si>
  <si>
    <t>Lite Star</t>
  </si>
  <si>
    <t>LSTR</t>
  </si>
  <si>
    <t>North Star</t>
  </si>
  <si>
    <t>NSTR</t>
  </si>
  <si>
    <t>CVJETKOVIC</t>
  </si>
  <si>
    <t>CA-61 Mini Ace</t>
  </si>
  <si>
    <t>CA61</t>
  </si>
  <si>
    <t>CA-65 Skyfly</t>
  </si>
  <si>
    <t>CA65</t>
  </si>
  <si>
    <t>Mini Ace</t>
  </si>
  <si>
    <t>Skyfly</t>
  </si>
  <si>
    <t>CZAW</t>
  </si>
  <si>
    <t>CH-701 Stol</t>
  </si>
  <si>
    <t>CH-801 Stol</t>
  </si>
  <si>
    <t>CH80</t>
  </si>
  <si>
    <t>Stol (CH-701)</t>
  </si>
  <si>
    <t>Stol (CH-801)</t>
  </si>
  <si>
    <t>Zodiac</t>
  </si>
  <si>
    <t>D'APUZZO</t>
  </si>
  <si>
    <t>D-201 Sportwing</t>
  </si>
  <si>
    <t>D201</t>
  </si>
  <si>
    <t>D-260 Senior Aero Sport</t>
  </si>
  <si>
    <t>SRAS</t>
  </si>
  <si>
    <t>D-295 Senior Aero Sport</t>
  </si>
  <si>
    <t>PJ-260 Senior Aero Sport</t>
  </si>
  <si>
    <t>Senior Aero Sport</t>
  </si>
  <si>
    <t>Sportwing</t>
  </si>
  <si>
    <t>DAC</t>
  </si>
  <si>
    <t>RangeR</t>
  </si>
  <si>
    <t>RNGR</t>
  </si>
  <si>
    <t>DAEWOO</t>
  </si>
  <si>
    <t>KT-1 Woong-Bee</t>
  </si>
  <si>
    <t>KT1</t>
  </si>
  <si>
    <t>KTX-1 Woong-Bee</t>
  </si>
  <si>
    <t>Woong-Bee</t>
  </si>
  <si>
    <t>DAHER</t>
  </si>
  <si>
    <t>TBM-700N (TBM-930)</t>
  </si>
  <si>
    <t>TBM9</t>
  </si>
  <si>
    <t>TBM-930</t>
  </si>
  <si>
    <t>TBM-700N (TBM-910)</t>
  </si>
  <si>
    <t>TBM-910</t>
  </si>
  <si>
    <t>TBM-940</t>
  </si>
  <si>
    <t>TBM-700N (TBM-940)</t>
  </si>
  <si>
    <t>Kodiak 100</t>
  </si>
  <si>
    <t>K100</t>
  </si>
  <si>
    <t>Kodiak 200</t>
  </si>
  <si>
    <t>K200</t>
  </si>
  <si>
    <t>DALLACH</t>
  </si>
  <si>
    <t>D-4 Fascination</t>
  </si>
  <si>
    <t>DAL4</t>
  </si>
  <si>
    <t>D-5 Evolution</t>
  </si>
  <si>
    <t>DAL5</t>
  </si>
  <si>
    <t>Fascination</t>
  </si>
  <si>
    <t>DALLAIR</t>
  </si>
  <si>
    <t>FR-01 Snap</t>
  </si>
  <si>
    <t>SNAP</t>
  </si>
  <si>
    <t>FR-100 Snap</t>
  </si>
  <si>
    <t>Snap</t>
  </si>
  <si>
    <t>DAMOURE-FABRE</t>
  </si>
  <si>
    <t>DFL-6 Saphir</t>
  </si>
  <si>
    <t>DFL6</t>
  </si>
  <si>
    <t>Saphir</t>
  </si>
  <si>
    <t>DART</t>
  </si>
  <si>
    <t>G</t>
  </si>
  <si>
    <t>GK</t>
  </si>
  <si>
    <t>GW</t>
  </si>
  <si>
    <t>DASA</t>
  </si>
  <si>
    <t>DASSAULT</t>
  </si>
  <si>
    <t>Atlantique 2</t>
  </si>
  <si>
    <t>Etendard 4</t>
  </si>
  <si>
    <t>ETAR</t>
  </si>
  <si>
    <t>F-103 Mirage 3</t>
  </si>
  <si>
    <t>Falcon 7X</t>
  </si>
  <si>
    <t>FA7X</t>
  </si>
  <si>
    <t>Falcon 10</t>
  </si>
  <si>
    <t>FA10</t>
  </si>
  <si>
    <t>Falcon 20</t>
  </si>
  <si>
    <t>FA20</t>
  </si>
  <si>
    <t>Falcon 50</t>
  </si>
  <si>
    <t>FA50</t>
  </si>
  <si>
    <t>Falcon 100</t>
  </si>
  <si>
    <t>Falcon 200</t>
  </si>
  <si>
    <t>Falcon 900</t>
  </si>
  <si>
    <t>F900</t>
  </si>
  <si>
    <t>Falcon 2000</t>
  </si>
  <si>
    <t>F2TH</t>
  </si>
  <si>
    <t>Flamant</t>
  </si>
  <si>
    <t>FLAM</t>
  </si>
  <si>
    <t>Gardian</t>
  </si>
  <si>
    <t>Guardian</t>
  </si>
  <si>
    <t>HU-25 Guardian</t>
  </si>
  <si>
    <t>MD-311 Flamant</t>
  </si>
  <si>
    <t>MD-312 Flamant</t>
  </si>
  <si>
    <t>MD-454A Mystère 4A</t>
  </si>
  <si>
    <t>MYS4</t>
  </si>
  <si>
    <t>Mirage 5</t>
  </si>
  <si>
    <t>Mirage 50</t>
  </si>
  <si>
    <t>Mirage 2000</t>
  </si>
  <si>
    <t>MIR2</t>
  </si>
  <si>
    <t>Mirage F1</t>
  </si>
  <si>
    <t>MRF1</t>
  </si>
  <si>
    <t>Mystère 4A</t>
  </si>
  <si>
    <t>Mystère 10</t>
  </si>
  <si>
    <t>Mystère 20</t>
  </si>
  <si>
    <t>Mystère 50</t>
  </si>
  <si>
    <t>Mystère 100</t>
  </si>
  <si>
    <t>Mystère 200</t>
  </si>
  <si>
    <t>Mystère 900</t>
  </si>
  <si>
    <t>Rafale</t>
  </si>
  <si>
    <t>RFAL</t>
  </si>
  <si>
    <t>Super Etendard</t>
  </si>
  <si>
    <t>Super Mystère B2</t>
  </si>
  <si>
    <t>SMB2</t>
  </si>
  <si>
    <t>Vajra</t>
  </si>
  <si>
    <t>Falcon 8X</t>
  </si>
  <si>
    <t>FA8X</t>
  </si>
  <si>
    <t>Falcon 6X</t>
  </si>
  <si>
    <t>FA6X</t>
  </si>
  <si>
    <t>DASSAULT-DORNIER</t>
  </si>
  <si>
    <t>DATWYLER</t>
  </si>
  <si>
    <t>MD-3 Swiss Trainer</t>
  </si>
  <si>
    <t>MD3</t>
  </si>
  <si>
    <t>Swiss Trainer</t>
  </si>
  <si>
    <t>DAVIS</t>
  </si>
  <si>
    <t>DA-2</t>
  </si>
  <si>
    <t>DA2</t>
  </si>
  <si>
    <t>DA-5</t>
  </si>
  <si>
    <t>DA5</t>
  </si>
  <si>
    <t>DE HAVILLAND</t>
  </si>
  <si>
    <t>Chipmunk</t>
  </si>
  <si>
    <t>DHC1</t>
  </si>
  <si>
    <t>Comet Replica</t>
  </si>
  <si>
    <t>DH88</t>
  </si>
  <si>
    <t>Devon</t>
  </si>
  <si>
    <t>DOVE</t>
  </si>
  <si>
    <t>DH-60 Moth</t>
  </si>
  <si>
    <t>DH60</t>
  </si>
  <si>
    <t>DH-60 Moth Major</t>
  </si>
  <si>
    <t>DH-80 Puss Moth</t>
  </si>
  <si>
    <t>DH80</t>
  </si>
  <si>
    <t>DH-82 Queen Bee</t>
  </si>
  <si>
    <t>DH82</t>
  </si>
  <si>
    <t>DH-82 Tiger Moth</t>
  </si>
  <si>
    <t>DH-83 Fox Moth</t>
  </si>
  <si>
    <t>DH83</t>
  </si>
  <si>
    <t>DH-85 Leopard Moth</t>
  </si>
  <si>
    <t>DH85</t>
  </si>
  <si>
    <t>DH-87 Hornet Moth</t>
  </si>
  <si>
    <t>DH87</t>
  </si>
  <si>
    <t>DH-88 Comet Replica</t>
  </si>
  <si>
    <t>DH-89 Dragon Rapide</t>
  </si>
  <si>
    <t>DH89</t>
  </si>
  <si>
    <t>DH-90 Dragonfly</t>
  </si>
  <si>
    <t>DH90</t>
  </si>
  <si>
    <t>DH-94 Moth Minor</t>
  </si>
  <si>
    <t>DH94</t>
  </si>
  <si>
    <t>DH-98 Mosquito</t>
  </si>
  <si>
    <t>MOSQ</t>
  </si>
  <si>
    <t>DH-100 Vampire</t>
  </si>
  <si>
    <t>VAMP</t>
  </si>
  <si>
    <t>DH-104 Dove</t>
  </si>
  <si>
    <t>DH-112 Venom</t>
  </si>
  <si>
    <t>VNOM</t>
  </si>
  <si>
    <t>DH-114 Heron</t>
  </si>
  <si>
    <t>HERN</t>
  </si>
  <si>
    <t>DH-115 Vampire</t>
  </si>
  <si>
    <t>DH-125</t>
  </si>
  <si>
    <t>H25A</t>
  </si>
  <si>
    <t>DHC-1 Chipmunk</t>
  </si>
  <si>
    <t>Dove</t>
  </si>
  <si>
    <t>Dragon Rapide</t>
  </si>
  <si>
    <t>Fox Moth</t>
  </si>
  <si>
    <t>Heron</t>
  </si>
  <si>
    <t>Hornet Moth</t>
  </si>
  <si>
    <t>Leopard Moth</t>
  </si>
  <si>
    <t>Mosquito</t>
  </si>
  <si>
    <t>Moth</t>
  </si>
  <si>
    <t>Moth Major</t>
  </si>
  <si>
    <t>Moth Minor</t>
  </si>
  <si>
    <t>Puss Moth</t>
  </si>
  <si>
    <t>Queen Bee</t>
  </si>
  <si>
    <t>Sea Devon</t>
  </si>
  <si>
    <t>Tiger Moth</t>
  </si>
  <si>
    <t>Vampire</t>
  </si>
  <si>
    <t>Venom</t>
  </si>
  <si>
    <t>DH-84 Dragon</t>
  </si>
  <si>
    <t>DH84</t>
  </si>
  <si>
    <t>DE HAVILLAND AUSTRALIA</t>
  </si>
  <si>
    <t>DHA-3 Drover</t>
  </si>
  <si>
    <t>DHA3</t>
  </si>
  <si>
    <t>Drover</t>
  </si>
  <si>
    <t>DE HAVILLAND CANADA</t>
  </si>
  <si>
    <t>Buffalo</t>
  </si>
  <si>
    <t>DHC5</t>
  </si>
  <si>
    <t>C-7 Caribou</t>
  </si>
  <si>
    <t>DHC4</t>
  </si>
  <si>
    <t>C-8 Buffalo</t>
  </si>
  <si>
    <t>C-115 Buffalo</t>
  </si>
  <si>
    <t>Caribou</t>
  </si>
  <si>
    <t>CC-115 Buffalo</t>
  </si>
  <si>
    <t>CC-138 Twin Otter</t>
  </si>
  <si>
    <t>DHC6</t>
  </si>
  <si>
    <t>CC-142 Dash 8</t>
  </si>
  <si>
    <t>DH8A</t>
  </si>
  <si>
    <t>CS2F Tracker</t>
  </si>
  <si>
    <t>CT-142 Dash 8</t>
  </si>
  <si>
    <t>CV-2 Caribou</t>
  </si>
  <si>
    <t>CV-7 Buffalo</t>
  </si>
  <si>
    <t>Dash 7</t>
  </si>
  <si>
    <t>DHC7</t>
  </si>
  <si>
    <t>Dash 8 (100)</t>
  </si>
  <si>
    <t>Dash 8 (200)</t>
  </si>
  <si>
    <t>DH8B</t>
  </si>
  <si>
    <t>Dash 8 (300)</t>
  </si>
  <si>
    <t>DH8C</t>
  </si>
  <si>
    <t>Dash 8 (400)</t>
  </si>
  <si>
    <t>DH8D</t>
  </si>
  <si>
    <t>DHC-2 Mk1 Beaver</t>
  </si>
  <si>
    <t>DHC-2 Mk3 Turbo Beaver</t>
  </si>
  <si>
    <t>DH2T</t>
  </si>
  <si>
    <t>DHC-3 Otter</t>
  </si>
  <si>
    <t>DHC-3 Turbo Otter</t>
  </si>
  <si>
    <t>DH3T</t>
  </si>
  <si>
    <t>DHC-4 Caribou</t>
  </si>
  <si>
    <t>DHC-5 Buffalo</t>
  </si>
  <si>
    <t>DHC-6 Twin Otter</t>
  </si>
  <si>
    <t>DHC-7 Dash 7</t>
  </si>
  <si>
    <t>DHC-8-100 Dash 8</t>
  </si>
  <si>
    <t>DHC-8-200 Dash 8</t>
  </si>
  <si>
    <t>DHC-8-300 Dash 8</t>
  </si>
  <si>
    <t>DHC-8-400 Dash 8</t>
  </si>
  <si>
    <t>E-9 Dash 8</t>
  </si>
  <si>
    <t>EO-5 Dash 7</t>
  </si>
  <si>
    <t>L-20 Beaver</t>
  </si>
  <si>
    <t>NU-1 Otter</t>
  </si>
  <si>
    <t>O-5 Dash 7</t>
  </si>
  <si>
    <t>RC-7 Dash 7</t>
  </si>
  <si>
    <t>S-2 Tracker</t>
  </si>
  <si>
    <t>Tracker</t>
  </si>
  <si>
    <t>Turbo Beaver</t>
  </si>
  <si>
    <t>Turbo Otter</t>
  </si>
  <si>
    <t>Twin Otter</t>
  </si>
  <si>
    <t>U-1 Otter</t>
  </si>
  <si>
    <t>U-6 Beaver</t>
  </si>
  <si>
    <t>UC Otter</t>
  </si>
  <si>
    <t>UV-18 Twin Otter</t>
  </si>
  <si>
    <t>DHC-4 Turbo Caribou</t>
  </si>
  <si>
    <t>DH4T</t>
  </si>
  <si>
    <t>Turbo Caribou</t>
  </si>
  <si>
    <t>DE SCHELDE</t>
  </si>
  <si>
    <t>91 Safir</t>
  </si>
  <si>
    <t>SB91</t>
  </si>
  <si>
    <t>Safir</t>
  </si>
  <si>
    <t>Sk50 Safir</t>
  </si>
  <si>
    <t>DEAN-WILSON</t>
  </si>
  <si>
    <t>Whitney Boomerang</t>
  </si>
  <si>
    <t>WBOO</t>
  </si>
  <si>
    <t>DW-200 Whitney Boomerang</t>
  </si>
  <si>
    <t>DEBORDE-ROLLAND</t>
  </si>
  <si>
    <t>Cobra</t>
  </si>
  <si>
    <t>COBR</t>
  </si>
  <si>
    <t>DELISLE</t>
  </si>
  <si>
    <t>Cadi</t>
  </si>
  <si>
    <t>DENEL</t>
  </si>
  <si>
    <t>AH-2 Rooivalk</t>
  </si>
  <si>
    <t>DENIZE</t>
  </si>
  <si>
    <t>D-112</t>
  </si>
  <si>
    <t>Raid Driver</t>
  </si>
  <si>
    <t>RD20</t>
  </si>
  <si>
    <t>RD-20 Raid Driver</t>
  </si>
  <si>
    <t>RD-205 Raid Driver</t>
  </si>
  <si>
    <t>DENNEY</t>
  </si>
  <si>
    <t>Kitfox</t>
  </si>
  <si>
    <t>FOX</t>
  </si>
  <si>
    <t>DERAZONA</t>
  </si>
  <si>
    <t>DERRINGER</t>
  </si>
  <si>
    <t>New Derringer</t>
  </si>
  <si>
    <t>D1</t>
  </si>
  <si>
    <t>DESJARDINS</t>
  </si>
  <si>
    <t>D-01 Ibis</t>
  </si>
  <si>
    <t>Ibis</t>
  </si>
  <si>
    <t>DEWOITINE</t>
  </si>
  <si>
    <t>D-26</t>
  </si>
  <si>
    <t>DWD2</t>
  </si>
  <si>
    <t>D-27</t>
  </si>
  <si>
    <t>DF HELICOPTERS</t>
  </si>
  <si>
    <t>DG FLUGZEUGBAU</t>
  </si>
  <si>
    <t>DG-800</t>
  </si>
  <si>
    <t>DG80</t>
  </si>
  <si>
    <t>DG-1000T</t>
  </si>
  <si>
    <t>DG1T</t>
  </si>
  <si>
    <t>LS-10ST</t>
  </si>
  <si>
    <t>LS10</t>
  </si>
  <si>
    <t>LS-8ST</t>
  </si>
  <si>
    <t>LS8</t>
  </si>
  <si>
    <t>DG-1000M</t>
  </si>
  <si>
    <t>DG-1001M</t>
  </si>
  <si>
    <t>DG-1001T</t>
  </si>
  <si>
    <t>DIAMOND</t>
  </si>
  <si>
    <t>DART-450</t>
  </si>
  <si>
    <t>DART-550</t>
  </si>
  <si>
    <t>DA-40 Club Star</t>
  </si>
  <si>
    <t>DA40</t>
  </si>
  <si>
    <t>DA-40 Tundra Star</t>
  </si>
  <si>
    <t>DA-42 Guardian</t>
  </si>
  <si>
    <t>DA42</t>
  </si>
  <si>
    <t>DA-36 E-Star</t>
  </si>
  <si>
    <t>DA36</t>
  </si>
  <si>
    <t>Club Star</t>
  </si>
  <si>
    <t>Tundra Star</t>
  </si>
  <si>
    <t>DJ-1 D-Jet</t>
  </si>
  <si>
    <t>DJET</t>
  </si>
  <si>
    <t>DA-50 Magnum</t>
  </si>
  <si>
    <t>DA50</t>
  </si>
  <si>
    <t>DA-42 Twin Turbo</t>
  </si>
  <si>
    <t>Twin Turbo</t>
  </si>
  <si>
    <t>DA-62</t>
  </si>
  <si>
    <t>DA62</t>
  </si>
  <si>
    <t>DA-20 Eclipse</t>
  </si>
  <si>
    <t>DV20</t>
  </si>
  <si>
    <t>DA-20 Evolution</t>
  </si>
  <si>
    <t>DA-20 Falcon</t>
  </si>
  <si>
    <t>DA-20 Katana</t>
  </si>
  <si>
    <t>DA-22 Speed Katana</t>
  </si>
  <si>
    <t>DA-40 Diamond Star</t>
  </si>
  <si>
    <t>DA-40 Katana</t>
  </si>
  <si>
    <t>DA-42 Twin Star</t>
  </si>
  <si>
    <t>Diamond Star</t>
  </si>
  <si>
    <t>D-Jet</t>
  </si>
  <si>
    <t>DV-20 Katana</t>
  </si>
  <si>
    <t>Eco Dimona</t>
  </si>
  <si>
    <t>DIMO</t>
  </si>
  <si>
    <t>HK-36 Eco Dimona</t>
  </si>
  <si>
    <t>HK-36 Katana Xtreme</t>
  </si>
  <si>
    <t>HK-36 MPX</t>
  </si>
  <si>
    <t>HK-36 Super Dimona</t>
  </si>
  <si>
    <t>HK-36 Turbo Xtreme</t>
  </si>
  <si>
    <t>HK-36 Xtreme</t>
  </si>
  <si>
    <t>Katana (DA-20/DV-20)</t>
  </si>
  <si>
    <t>Katana (DA-40)</t>
  </si>
  <si>
    <t>Katana Xtreme</t>
  </si>
  <si>
    <t>MPX</t>
  </si>
  <si>
    <t>Speed Katana</t>
  </si>
  <si>
    <t>Super Dimona</t>
  </si>
  <si>
    <t>Turbo Xtreme</t>
  </si>
  <si>
    <t>DA-50 SuperStar</t>
  </si>
  <si>
    <t>Twin Star</t>
  </si>
  <si>
    <t>Xtreme</t>
  </si>
  <si>
    <t>DICKEY</t>
  </si>
  <si>
    <t>E-Racer</t>
  </si>
  <si>
    <t>ERAC</t>
  </si>
  <si>
    <t>DIJKMAN-DULKES</t>
  </si>
  <si>
    <t>Dijkhastar 3</t>
  </si>
  <si>
    <t>DIJ3</t>
  </si>
  <si>
    <t>Dijkhastar 4</t>
  </si>
  <si>
    <t>DIJ4</t>
  </si>
  <si>
    <t>DINFIA</t>
  </si>
  <si>
    <t>A-182</t>
  </si>
  <si>
    <t>Guarani 2</t>
  </si>
  <si>
    <t>IA50</t>
  </si>
  <si>
    <t>IA-46 Ranquel</t>
  </si>
  <si>
    <t>IA46</t>
  </si>
  <si>
    <t>IA-46 Super Ranquel</t>
  </si>
  <si>
    <t>IA-50 Guarani 2</t>
  </si>
  <si>
    <t>IA-51 Tehuelche</t>
  </si>
  <si>
    <t>IA51</t>
  </si>
  <si>
    <t>MS-760 Paris</t>
  </si>
  <si>
    <t>MS76</t>
  </si>
  <si>
    <t>Paris</t>
  </si>
  <si>
    <t>Ranquel</t>
  </si>
  <si>
    <t>Super Ranquel</t>
  </si>
  <si>
    <t>Tehuelche</t>
  </si>
  <si>
    <t>DIRECT FLY</t>
  </si>
  <si>
    <t>Alto</t>
  </si>
  <si>
    <t>ALTO</t>
  </si>
  <si>
    <t>DIRGANTARA</t>
  </si>
  <si>
    <t>NAS-332 Super Puma</t>
  </si>
  <si>
    <t>NBell-412</t>
  </si>
  <si>
    <t>NBO-105</t>
  </si>
  <si>
    <t>NC-212 Aviocar</t>
  </si>
  <si>
    <t>DISCOVERY</t>
  </si>
  <si>
    <t>XL-2</t>
  </si>
  <si>
    <t>XL2</t>
  </si>
  <si>
    <t>DISTAR</t>
  </si>
  <si>
    <t>UFM-10 Samba</t>
  </si>
  <si>
    <t>Samba</t>
  </si>
  <si>
    <t>UFM-13 Lambada</t>
  </si>
  <si>
    <t>UF13</t>
  </si>
  <si>
    <t>Lambada</t>
  </si>
  <si>
    <t>DM AEROSPACE</t>
  </si>
  <si>
    <t>DORNA</t>
  </si>
  <si>
    <t>Blue Bird</t>
  </si>
  <si>
    <t>D139</t>
  </si>
  <si>
    <t>D-139 Blue Bird</t>
  </si>
  <si>
    <t>D-139 Free Bird</t>
  </si>
  <si>
    <t>Free Bird</t>
  </si>
  <si>
    <t>D-139 Parandeh Sefid</t>
  </si>
  <si>
    <t>Parandeh Sefid</t>
  </si>
  <si>
    <t>D-139 Parandeh Abi</t>
  </si>
  <si>
    <t>Parandeh Abi</t>
  </si>
  <si>
    <t>DORNIER</t>
  </si>
  <si>
    <t>S-Ray 007</t>
  </si>
  <si>
    <t>SRAY</t>
  </si>
  <si>
    <t>C-146 Wolfhound</t>
  </si>
  <si>
    <t>D328</t>
  </si>
  <si>
    <t>Wolfhound</t>
  </si>
  <si>
    <t>Lerche</t>
  </si>
  <si>
    <t>Skyservant</t>
  </si>
  <si>
    <t>D28D</t>
  </si>
  <si>
    <t>Turbo Skyservant</t>
  </si>
  <si>
    <t>D28T</t>
  </si>
  <si>
    <t>128-2 Skyservant</t>
  </si>
  <si>
    <t>128-6 Turbo Skyservant</t>
  </si>
  <si>
    <t>D228</t>
  </si>
  <si>
    <t>Agur</t>
  </si>
  <si>
    <t>DO28</t>
  </si>
  <si>
    <t>Do-27</t>
  </si>
  <si>
    <t>Do-28A</t>
  </si>
  <si>
    <t>Do-28B</t>
  </si>
  <si>
    <t>Do-28B Agur</t>
  </si>
  <si>
    <t>Do-28D-1 Skyservant</t>
  </si>
  <si>
    <t>Do-28D-2 Skyservant</t>
  </si>
  <si>
    <t>Do-28D-6 Turbo Skyservant</t>
  </si>
  <si>
    <t>Do-28D Skyservant</t>
  </si>
  <si>
    <t>DoBü-131 Jungmann</t>
  </si>
  <si>
    <t>DoBü-131 Lerche</t>
  </si>
  <si>
    <t>DoBü-133 Jungmeister</t>
  </si>
  <si>
    <t>DoBüAPM-131 Jungmann</t>
  </si>
  <si>
    <t>DoBü-R170 Jungmann</t>
  </si>
  <si>
    <t>Fpl53</t>
  </si>
  <si>
    <t>DOUGLAS</t>
  </si>
  <si>
    <t>A-3 Skywarrior</t>
  </si>
  <si>
    <t>A3</t>
  </si>
  <si>
    <t>A-4 Skyhawk</t>
  </si>
  <si>
    <t>A4</t>
  </si>
  <si>
    <t>A-20 Havoc</t>
  </si>
  <si>
    <t>A20</t>
  </si>
  <si>
    <t>A-24 Dauntless</t>
  </si>
  <si>
    <t>SBD</t>
  </si>
  <si>
    <t>A-26 Invader</t>
  </si>
  <si>
    <t>B26</t>
  </si>
  <si>
    <t>AC-47 Skytrain</t>
  </si>
  <si>
    <t>DC3</t>
  </si>
  <si>
    <t>AD Skyraider</t>
  </si>
  <si>
    <t>A1</t>
  </si>
  <si>
    <t>B-23 Dragon</t>
  </si>
  <si>
    <t>B23</t>
  </si>
  <si>
    <t>B-26 Invader</t>
  </si>
  <si>
    <t>C-41</t>
  </si>
  <si>
    <t>C-47 Skytrain</t>
  </si>
  <si>
    <t>C-47A Skytrain</t>
  </si>
  <si>
    <t>C-47B Skytrain</t>
  </si>
  <si>
    <t>C-47D Skytrain</t>
  </si>
  <si>
    <t>C-47H Skytrain</t>
  </si>
  <si>
    <t>C-47J Skytrain</t>
  </si>
  <si>
    <t>C-53 Skytrooper</t>
  </si>
  <si>
    <t>C-54 Skymaster</t>
  </si>
  <si>
    <t>DC4</t>
  </si>
  <si>
    <t>C-117A Skytrooper</t>
  </si>
  <si>
    <t>C-117B Skytrooper</t>
  </si>
  <si>
    <t>C-117C Skytrooper</t>
  </si>
  <si>
    <t>C-117D</t>
  </si>
  <si>
    <t>DC3S</t>
  </si>
  <si>
    <t>C-118 Liftmaster</t>
  </si>
  <si>
    <t>DC6</t>
  </si>
  <si>
    <t>CB-26 Invader</t>
  </si>
  <si>
    <t>Dauntless</t>
  </si>
  <si>
    <t>DC-2</t>
  </si>
  <si>
    <t>DC2</t>
  </si>
  <si>
    <t>DC-3</t>
  </si>
  <si>
    <t>DC-3 (turbine)</t>
  </si>
  <si>
    <t>DC-4</t>
  </si>
  <si>
    <t>DC-7</t>
  </si>
  <si>
    <t>DC7</t>
  </si>
  <si>
    <t>DC-7 Seven Seas</t>
  </si>
  <si>
    <t>DC-8-50</t>
  </si>
  <si>
    <t>DC85</t>
  </si>
  <si>
    <t>DC-8-50 Jet Trader</t>
  </si>
  <si>
    <t>DC-8-60</t>
  </si>
  <si>
    <t>DC86</t>
  </si>
  <si>
    <t>DC-8-70</t>
  </si>
  <si>
    <t>DC87</t>
  </si>
  <si>
    <t>DC-9-10</t>
  </si>
  <si>
    <t>DC91</t>
  </si>
  <si>
    <t>DC-9-20</t>
  </si>
  <si>
    <t>DC92</t>
  </si>
  <si>
    <t>DC-9-30</t>
  </si>
  <si>
    <t>DC93</t>
  </si>
  <si>
    <t>DC-9-40</t>
  </si>
  <si>
    <t>DC94</t>
  </si>
  <si>
    <t>DC-9-50</t>
  </si>
  <si>
    <t>DC95</t>
  </si>
  <si>
    <t>DST</t>
  </si>
  <si>
    <t>EA-1 Skyraider</t>
  </si>
  <si>
    <t>EC-47 Skytrain</t>
  </si>
  <si>
    <t>EC-54 Skymaster</t>
  </si>
  <si>
    <t>ERA-3 Skywarrior</t>
  </si>
  <si>
    <t>Havoc</t>
  </si>
  <si>
    <t>HC-47 Skytrain</t>
  </si>
  <si>
    <t>HC-54 Skymaster</t>
  </si>
  <si>
    <t>Invader</t>
  </si>
  <si>
    <t>Jet Trader</t>
  </si>
  <si>
    <t>LC-47 Skytrain</t>
  </si>
  <si>
    <t>LC-117</t>
  </si>
  <si>
    <t>Liftmaster</t>
  </si>
  <si>
    <t>NRA-3 Skywarrior</t>
  </si>
  <si>
    <t>R4D-1 Skytrain</t>
  </si>
  <si>
    <t>R4D-3 Skytrooper</t>
  </si>
  <si>
    <t>R4D-5 Skytrain</t>
  </si>
  <si>
    <t>R4D-6 Skytrain</t>
  </si>
  <si>
    <t>R4D-7 Skytrain</t>
  </si>
  <si>
    <t>R4D-8</t>
  </si>
  <si>
    <t>R5D Skymaster</t>
  </si>
  <si>
    <t>R6D Liftmaster</t>
  </si>
  <si>
    <t>RB-26 Invader</t>
  </si>
  <si>
    <t>RC-47 Skytrain</t>
  </si>
  <si>
    <t>SBD Dauntless</t>
  </si>
  <si>
    <t>Seven Seas</t>
  </si>
  <si>
    <t>Skyraider</t>
  </si>
  <si>
    <t>Skytrain</t>
  </si>
  <si>
    <t>Skytrooper</t>
  </si>
  <si>
    <t>Skywarrior</t>
  </si>
  <si>
    <t>Super DC-3</t>
  </si>
  <si>
    <t>TA-3 Skywarrior</t>
  </si>
  <si>
    <t>TA-4 Skyhawk</t>
  </si>
  <si>
    <t>TB-26 Invader</t>
  </si>
  <si>
    <t>TC-47 Skytrain</t>
  </si>
  <si>
    <t>TC-54 Skymaster</t>
  </si>
  <si>
    <t>TC-117</t>
  </si>
  <si>
    <t>UB-26 Invader</t>
  </si>
  <si>
    <t>UC-67 Dragon</t>
  </si>
  <si>
    <t>VB-26 Invader</t>
  </si>
  <si>
    <t>VC-47 Skytrain</t>
  </si>
  <si>
    <t>VC-54 Skymaster</t>
  </si>
  <si>
    <t>VC-117</t>
  </si>
  <si>
    <t>VC-118 Liftmaster</t>
  </si>
  <si>
    <t>A-1 Skyraider</t>
  </si>
  <si>
    <t>DOVA</t>
  </si>
  <si>
    <t>DV-2 Infinity</t>
  </si>
  <si>
    <t>DV2</t>
  </si>
  <si>
    <t>Infinity</t>
  </si>
  <si>
    <t>DV-1 Skylark</t>
  </si>
  <si>
    <t>DV1</t>
  </si>
  <si>
    <t>DOWNER</t>
  </si>
  <si>
    <t>14 Bellanca 260</t>
  </si>
  <si>
    <t>B14B</t>
  </si>
  <si>
    <t>Bellanca 260</t>
  </si>
  <si>
    <t>DRAGON FLY</t>
  </si>
  <si>
    <t>DREAM</t>
  </si>
  <si>
    <t>Tundra</t>
  </si>
  <si>
    <t>TNDR</t>
  </si>
  <si>
    <t>DRIGGS</t>
  </si>
  <si>
    <t>DSLK</t>
  </si>
  <si>
    <t>DRUINE</t>
  </si>
  <si>
    <t>Condor</t>
  </si>
  <si>
    <t>D6CR</t>
  </si>
  <si>
    <t>D-5 Turbi</t>
  </si>
  <si>
    <t>D5TU</t>
  </si>
  <si>
    <t>D-31 Turbulent</t>
  </si>
  <si>
    <t>D31</t>
  </si>
  <si>
    <t>D-60 Condor</t>
  </si>
  <si>
    <t>D-61 Condor</t>
  </si>
  <si>
    <t>D-62 Condor</t>
  </si>
  <si>
    <t>Turbi</t>
  </si>
  <si>
    <t>Turbulent</t>
  </si>
  <si>
    <t>DUBNA</t>
  </si>
  <si>
    <t>2 Osa</t>
  </si>
  <si>
    <t>DUB2</t>
  </si>
  <si>
    <t>Osa</t>
  </si>
  <si>
    <t>DURAND</t>
  </si>
  <si>
    <t>Mk5</t>
  </si>
  <si>
    <t>DUR5</t>
  </si>
  <si>
    <t>DURUBLE</t>
  </si>
  <si>
    <t>Edelweiss</t>
  </si>
  <si>
    <t>RD03</t>
  </si>
  <si>
    <t>RD-03 Edelweiss</t>
  </si>
  <si>
    <t>DYKE</t>
  </si>
  <si>
    <t>Delta</t>
  </si>
  <si>
    <t>JD2</t>
  </si>
  <si>
    <t>JD-2 Delta</t>
  </si>
  <si>
    <t>DYN'AERO</t>
  </si>
  <si>
    <t>CR-100</t>
  </si>
  <si>
    <t>CR10</t>
  </si>
  <si>
    <t>CR-110</t>
  </si>
  <si>
    <t>CR-120</t>
  </si>
  <si>
    <t>Lafayette 1 Sportster</t>
  </si>
  <si>
    <t>Lafayette 2 Touring</t>
  </si>
  <si>
    <t>Lafayette 4 Revolution</t>
  </si>
  <si>
    <t>MCR4</t>
  </si>
  <si>
    <t>MCR-4</t>
  </si>
  <si>
    <t>MCR-01</t>
  </si>
  <si>
    <t>MCR-2</t>
  </si>
  <si>
    <t>MCR-R180</t>
  </si>
  <si>
    <t>MCRR</t>
  </si>
  <si>
    <t>Twin-R</t>
  </si>
  <si>
    <t>TWIR</t>
  </si>
  <si>
    <t>DYNALI</t>
  </si>
  <si>
    <t>H-2</t>
  </si>
  <si>
    <t>DYH2</t>
  </si>
  <si>
    <t>E &amp; K</t>
  </si>
  <si>
    <t>Kos</t>
  </si>
  <si>
    <t>SBM3</t>
  </si>
  <si>
    <t>SBM-03 Kos</t>
  </si>
  <si>
    <t>E-7 GROUP</t>
  </si>
  <si>
    <t>E-7 Bush Hog</t>
  </si>
  <si>
    <t>E7BH</t>
  </si>
  <si>
    <t>Bush Hog</t>
  </si>
  <si>
    <t>EAA</t>
  </si>
  <si>
    <t>Biplane</t>
  </si>
  <si>
    <t>BIPL</t>
  </si>
  <si>
    <t>EAC</t>
  </si>
  <si>
    <t>D-127</t>
  </si>
  <si>
    <t>D-128</t>
  </si>
  <si>
    <t>EAGLE</t>
  </si>
  <si>
    <t>EAGLE AIRCRAFT</t>
  </si>
  <si>
    <t>Eagle 100</t>
  </si>
  <si>
    <t>Eagle X-TS</t>
  </si>
  <si>
    <t>EAGLE AVIATION</t>
  </si>
  <si>
    <t>EA-100</t>
  </si>
  <si>
    <t>MAGC</t>
  </si>
  <si>
    <t>EARLY BIRD</t>
  </si>
  <si>
    <t>ECLIPSE</t>
  </si>
  <si>
    <t>Eclipse 500</t>
  </si>
  <si>
    <t>EA50</t>
  </si>
  <si>
    <t>Eclipse 400</t>
  </si>
  <si>
    <t>EA40</t>
  </si>
  <si>
    <t>Eclipse 550</t>
  </si>
  <si>
    <t>ECTOR</t>
  </si>
  <si>
    <t>L-19 Mountaineer</t>
  </si>
  <si>
    <t>L-19 Super Mountaineer</t>
  </si>
  <si>
    <t>Mountaineer</t>
  </si>
  <si>
    <t>Super Mountaineer</t>
  </si>
  <si>
    <t>EDGAR PERCIVAL</t>
  </si>
  <si>
    <t>EP-9</t>
  </si>
  <si>
    <t>EP9</t>
  </si>
  <si>
    <t>EDGLEY</t>
  </si>
  <si>
    <t>EA-7 Optica</t>
  </si>
  <si>
    <t>Optica</t>
  </si>
  <si>
    <t>EDRA</t>
  </si>
  <si>
    <t>Paturi</t>
  </si>
  <si>
    <t>Super Petrel</t>
  </si>
  <si>
    <t>EGVOYAGER</t>
  </si>
  <si>
    <t>VR-202</t>
  </si>
  <si>
    <t>VR20</t>
  </si>
  <si>
    <t>VR-203</t>
  </si>
  <si>
    <t>EHI</t>
  </si>
  <si>
    <t>CH-149 Cormorant</t>
  </si>
  <si>
    <t>Cormorant</t>
  </si>
  <si>
    <t>EICH</t>
  </si>
  <si>
    <t>Gyroplane</t>
  </si>
  <si>
    <t>JE2</t>
  </si>
  <si>
    <t>JE-2 Gyroplane</t>
  </si>
  <si>
    <t>EIRI</t>
  </si>
  <si>
    <t>PIK-20E</t>
  </si>
  <si>
    <t>PK20</t>
  </si>
  <si>
    <t>EIS</t>
  </si>
  <si>
    <t>EKOLOT</t>
  </si>
  <si>
    <t>Beetle</t>
  </si>
  <si>
    <t>JK05</t>
  </si>
  <si>
    <t>JK-05 Beetle</t>
  </si>
  <si>
    <t>JK-05 Pathmaker</t>
  </si>
  <si>
    <t>Pathmaker</t>
  </si>
  <si>
    <t>KR-030 Topaz</t>
  </si>
  <si>
    <t>KR30</t>
  </si>
  <si>
    <t>Topaz</t>
  </si>
  <si>
    <t>JK-05 Junior</t>
  </si>
  <si>
    <t>EKW</t>
  </si>
  <si>
    <t>C-3605</t>
  </si>
  <si>
    <t>C365</t>
  </si>
  <si>
    <t>ELA AVIACION</t>
  </si>
  <si>
    <t>ELA-07</t>
  </si>
  <si>
    <t>ELA7</t>
  </si>
  <si>
    <t>ELA-07 Cougar</t>
  </si>
  <si>
    <t>ELA-07 Scorpion</t>
  </si>
  <si>
    <t>ELA-07 Agro</t>
  </si>
  <si>
    <t>Agro</t>
  </si>
  <si>
    <t>ELA-10 Eclipse</t>
  </si>
  <si>
    <t>EL10</t>
  </si>
  <si>
    <t>ELA-08</t>
  </si>
  <si>
    <t>ELA-G8 Cruser</t>
  </si>
  <si>
    <t>Cruser</t>
  </si>
  <si>
    <t>ELBIT</t>
  </si>
  <si>
    <t>Hermes 900</t>
  </si>
  <si>
    <t>HRM9</t>
  </si>
  <si>
    <t>Kochav</t>
  </si>
  <si>
    <t>ELECTROFLIGHT</t>
  </si>
  <si>
    <t>NXTE</t>
  </si>
  <si>
    <t>ELITAR</t>
  </si>
  <si>
    <t>Elitar</t>
  </si>
  <si>
    <t>ELTR</t>
  </si>
  <si>
    <t>IE-101 Elitar</t>
  </si>
  <si>
    <t>IE-202</t>
  </si>
  <si>
    <t>EL20</t>
  </si>
  <si>
    <t>Sigma</t>
  </si>
  <si>
    <t>SIGM</t>
  </si>
  <si>
    <t>ELIXIR</t>
  </si>
  <si>
    <t>Elixir</t>
  </si>
  <si>
    <t>LXR</t>
  </si>
  <si>
    <t>ELLISON-MAHON</t>
  </si>
  <si>
    <t>Gweduck</t>
  </si>
  <si>
    <t>GDUK</t>
  </si>
  <si>
    <t>ELMWOOD</t>
  </si>
  <si>
    <t>CA-05 Christavia Mk1</t>
  </si>
  <si>
    <t>CHR1</t>
  </si>
  <si>
    <t>CH-8 Christavia Mk4</t>
  </si>
  <si>
    <t>CHR4</t>
  </si>
  <si>
    <t>Christavia Mk1</t>
  </si>
  <si>
    <t>Christavia Mk4</t>
  </si>
  <si>
    <t>EMAIR</t>
  </si>
  <si>
    <t>MA-1 Paymaster</t>
  </si>
  <si>
    <t>MA1</t>
  </si>
  <si>
    <t>Paymaster</t>
  </si>
  <si>
    <t>EMBRAER</t>
  </si>
  <si>
    <t>E170</t>
  </si>
  <si>
    <t>E190</t>
  </si>
  <si>
    <t>A-27 Tucano</t>
  </si>
  <si>
    <t>E314</t>
  </si>
  <si>
    <t>ALX</t>
  </si>
  <si>
    <t>AT-26 Xavante</t>
  </si>
  <si>
    <t>AT-29</t>
  </si>
  <si>
    <t>Bandeirante</t>
  </si>
  <si>
    <t>E110</t>
  </si>
  <si>
    <t>Bandeirulha</t>
  </si>
  <si>
    <t>Brasilia</t>
  </si>
  <si>
    <t>E120</t>
  </si>
  <si>
    <t>C-95 Bandeirante</t>
  </si>
  <si>
    <t>C-99</t>
  </si>
  <si>
    <t>E145</t>
  </si>
  <si>
    <t>Carioca</t>
  </si>
  <si>
    <t>Carioquinha</t>
  </si>
  <si>
    <t>Corisco</t>
  </si>
  <si>
    <t>Corisco 2</t>
  </si>
  <si>
    <t>EMB-550 Legacy 500</t>
  </si>
  <si>
    <t>E550</t>
  </si>
  <si>
    <t>U-19 Ipanema</t>
  </si>
  <si>
    <t>IPAN</t>
  </si>
  <si>
    <t>VC-97 Brasilia</t>
  </si>
  <si>
    <t>VU-9 Xingu</t>
  </si>
  <si>
    <t>E121</t>
  </si>
  <si>
    <t>Xavante</t>
  </si>
  <si>
    <t>Xingu</t>
  </si>
  <si>
    <t>YA-29 Super Tucano</t>
  </si>
  <si>
    <t>EMB-545 Legacy 450</t>
  </si>
  <si>
    <t>E545</t>
  </si>
  <si>
    <t>EMB-312H Super Tucano</t>
  </si>
  <si>
    <t>EMB-314 ALX</t>
  </si>
  <si>
    <t>EMB-314 Super Tucano</t>
  </si>
  <si>
    <t>EMB-326 Xavante</t>
  </si>
  <si>
    <t>EMB-500 Phenom 100</t>
  </si>
  <si>
    <t>E50P</t>
  </si>
  <si>
    <t>EMB-710 Carioca</t>
  </si>
  <si>
    <t>EMB-711B Corisco</t>
  </si>
  <si>
    <t>EMB-711C Corisco</t>
  </si>
  <si>
    <t>EMB-711T Corisco 2</t>
  </si>
  <si>
    <t>EMB-712 Carioquinha</t>
  </si>
  <si>
    <t>EMB-712 Tupi</t>
  </si>
  <si>
    <t>EMB-720 Minuano</t>
  </si>
  <si>
    <t>EMB-721 Sertanejo</t>
  </si>
  <si>
    <t>EMB-810 Seneca</t>
  </si>
  <si>
    <t>EMB-820 Navajo</t>
  </si>
  <si>
    <t>ERJ-135</t>
  </si>
  <si>
    <t>E135</t>
  </si>
  <si>
    <t>ERJ-140</t>
  </si>
  <si>
    <t>ERJ-145EP</t>
  </si>
  <si>
    <t>ERJ-145ER</t>
  </si>
  <si>
    <t>ERJ-145EU</t>
  </si>
  <si>
    <t>ERJ-145LR</t>
  </si>
  <si>
    <t>ERJ-145LU</t>
  </si>
  <si>
    <t>ERJ-145MP</t>
  </si>
  <si>
    <t>ERJ-145XR</t>
  </si>
  <si>
    <t>E45X</t>
  </si>
  <si>
    <t>Ipanema</t>
  </si>
  <si>
    <t>Minuano</t>
  </si>
  <si>
    <t>P-95 Bandeirulha</t>
  </si>
  <si>
    <t>PA-25 Pawnee</t>
  </si>
  <si>
    <t>PA-32RT-300 Lance 2</t>
  </si>
  <si>
    <t>Phenom 100</t>
  </si>
  <si>
    <t>R-95 Bandeirante</t>
  </si>
  <si>
    <t>R-99</t>
  </si>
  <si>
    <t>RT-26 Xavante</t>
  </si>
  <si>
    <t>SC-95 Bandeirante</t>
  </si>
  <si>
    <t>Sertanejo</t>
  </si>
  <si>
    <t>Super Tucano</t>
  </si>
  <si>
    <t>T-27 Tucano</t>
  </si>
  <si>
    <t>Tupi</t>
  </si>
  <si>
    <t>U-7 Seneca</t>
  </si>
  <si>
    <t>EC-9 Xingu</t>
  </si>
  <si>
    <t>EC-95 Bandeirante</t>
  </si>
  <si>
    <t>EMB-110 Bandeirante</t>
  </si>
  <si>
    <t>EMB-111 Bandeirulha</t>
  </si>
  <si>
    <t>EMB-120 Brasilia</t>
  </si>
  <si>
    <t>EMB-121 Xingu</t>
  </si>
  <si>
    <t>EMB-145EP</t>
  </si>
  <si>
    <t>EMB-145ER</t>
  </si>
  <si>
    <t>EMB-145EU</t>
  </si>
  <si>
    <t>EMB-145LR</t>
  </si>
  <si>
    <t>EMB-145LU</t>
  </si>
  <si>
    <t>EMB-145MP</t>
  </si>
  <si>
    <t>EMB-145MP/ASW</t>
  </si>
  <si>
    <t>EMB-145RS</t>
  </si>
  <si>
    <t>EMB-145SA</t>
  </si>
  <si>
    <t>EMB-145XR</t>
  </si>
  <si>
    <t>EMB-200 Ipanema</t>
  </si>
  <si>
    <t>EMB-201 Ipanema</t>
  </si>
  <si>
    <t>EMB-202 Ipanema</t>
  </si>
  <si>
    <t>EMB-312F Tucano</t>
  </si>
  <si>
    <t>ERJ-170-100</t>
  </si>
  <si>
    <t>175 (short wing)</t>
  </si>
  <si>
    <t>E75S</t>
  </si>
  <si>
    <t>175 (long wing)</t>
  </si>
  <si>
    <t>E75L</t>
  </si>
  <si>
    <t>ERJ-170-200 (short wing)</t>
  </si>
  <si>
    <t>ERJ-170-200 (long wing)</t>
  </si>
  <si>
    <t>EMB-505 Phenom 300</t>
  </si>
  <si>
    <t>E55P</t>
  </si>
  <si>
    <t>Phenom 300</t>
  </si>
  <si>
    <t>Lineage 1000</t>
  </si>
  <si>
    <t>ERJ-190 Lineage 1000</t>
  </si>
  <si>
    <t>EMB-135BJ Legacy</t>
  </si>
  <si>
    <t>E35L</t>
  </si>
  <si>
    <t>EMB-135BJ Legacy 600</t>
  </si>
  <si>
    <t>EMB-135BJ Legacy 650</t>
  </si>
  <si>
    <t>E-99</t>
  </si>
  <si>
    <t>VC-99A</t>
  </si>
  <si>
    <t>EMB-145AEW&amp;C</t>
  </si>
  <si>
    <t>EMB-145SM</t>
  </si>
  <si>
    <t>VC-99C</t>
  </si>
  <si>
    <t>VC-99B Legacy</t>
  </si>
  <si>
    <t>VC-99B Legacy 600</t>
  </si>
  <si>
    <t>E195</t>
  </si>
  <si>
    <t>ERJ-190-100</t>
  </si>
  <si>
    <t>ERJ-190-200</t>
  </si>
  <si>
    <t>EMB-135ER</t>
  </si>
  <si>
    <t>EMB-135KE</t>
  </si>
  <si>
    <t>EMB-135KL</t>
  </si>
  <si>
    <t>EMB-135LR</t>
  </si>
  <si>
    <t>Legacy 600</t>
  </si>
  <si>
    <t>Legacy 650</t>
  </si>
  <si>
    <t>EMB-203 Ipanema</t>
  </si>
  <si>
    <t>EMB-550 Praetor 600</t>
  </si>
  <si>
    <t>Praetor 600</t>
  </si>
  <si>
    <t>EMB-545 Praetor 500</t>
  </si>
  <si>
    <t>Praetor 500</t>
  </si>
  <si>
    <t>Legacy 450</t>
  </si>
  <si>
    <t>Legacy 500</t>
  </si>
  <si>
    <t>Legacy (EMB-135BJ)</t>
  </si>
  <si>
    <t>ERJ-190-300</t>
  </si>
  <si>
    <t>E290</t>
  </si>
  <si>
    <t>E190-E2</t>
  </si>
  <si>
    <t>ERJ-190-400</t>
  </si>
  <si>
    <t>E295</t>
  </si>
  <si>
    <t>E195-E2</t>
  </si>
  <si>
    <t>ERJ-190-500</t>
  </si>
  <si>
    <t>E275</t>
  </si>
  <si>
    <t>E175-E2</t>
  </si>
  <si>
    <t>KC-390</t>
  </si>
  <si>
    <t>E390</t>
  </si>
  <si>
    <t>C-390 Millennium</t>
  </si>
  <si>
    <t>Millennium</t>
  </si>
  <si>
    <t>EMB-390</t>
  </si>
  <si>
    <t>EMB-711ST Corisco 2 Turbo</t>
  </si>
  <si>
    <t>Corisco 2 Turbo</t>
  </si>
  <si>
    <t>EMIVEST</t>
  </si>
  <si>
    <t>SJ-30</t>
  </si>
  <si>
    <t>SJ30</t>
  </si>
  <si>
    <t>EMROTH</t>
  </si>
  <si>
    <t>Diablo</t>
  </si>
  <si>
    <t>MA-1 Diablo</t>
  </si>
  <si>
    <t>ENAER</t>
  </si>
  <si>
    <t>50 Pantera</t>
  </si>
  <si>
    <t>Aucán</t>
  </si>
  <si>
    <t>TPIL</t>
  </si>
  <si>
    <t>ECH-02 Namcu</t>
  </si>
  <si>
    <t>NMCU</t>
  </si>
  <si>
    <t>ECH-51 Pillán</t>
  </si>
  <si>
    <t>Namcu</t>
  </si>
  <si>
    <t>Pantera</t>
  </si>
  <si>
    <t>T-35A Pillán</t>
  </si>
  <si>
    <t>T-35B Pillán</t>
  </si>
  <si>
    <t>T-35C Pillán</t>
  </si>
  <si>
    <t>T-35D Pillán</t>
  </si>
  <si>
    <t>T-35DT Turbo Pillán</t>
  </si>
  <si>
    <t>T-35S Pillán</t>
  </si>
  <si>
    <t>T-35TX Aucán</t>
  </si>
  <si>
    <t>Turbo Pillán</t>
  </si>
  <si>
    <t>ENGLISH ELECTRIC</t>
  </si>
  <si>
    <t>ENSTROM</t>
  </si>
  <si>
    <t>280 Shark</t>
  </si>
  <si>
    <t>EN28</t>
  </si>
  <si>
    <t>EN48</t>
  </si>
  <si>
    <t>F-28</t>
  </si>
  <si>
    <t>F-28 Falcon</t>
  </si>
  <si>
    <t>F-28 Sentinel</t>
  </si>
  <si>
    <t>Shark</t>
  </si>
  <si>
    <t>TH-28</t>
  </si>
  <si>
    <t>EPERVIER (1)</t>
  </si>
  <si>
    <t>Epervier</t>
  </si>
  <si>
    <t>EPER</t>
  </si>
  <si>
    <t>EPERVIER (2)</t>
  </si>
  <si>
    <t>X-1</t>
  </si>
  <si>
    <t>EPX1</t>
  </si>
  <si>
    <t>EPIC AIRCRAFT</t>
  </si>
  <si>
    <t>E1000</t>
  </si>
  <si>
    <t>415 Ercoupe</t>
  </si>
  <si>
    <t>Ercoupe</t>
  </si>
  <si>
    <t>ERPALS</t>
  </si>
  <si>
    <t>CP-320 Super Emeraude</t>
  </si>
  <si>
    <t>CP32</t>
  </si>
  <si>
    <t>CP-324 Super Emeraude</t>
  </si>
  <si>
    <t>ETA AIRCRAFT</t>
  </si>
  <si>
    <t>ETHIOPIAN AIRLINES</t>
  </si>
  <si>
    <t>Eshet</t>
  </si>
  <si>
    <t>G-164 Eshet</t>
  </si>
  <si>
    <t>EURO PINGOUIN</t>
  </si>
  <si>
    <t>Pingouin 152</t>
  </si>
  <si>
    <t>JA-177 Pingouin 152</t>
  </si>
  <si>
    <t>EURO-ENAER</t>
  </si>
  <si>
    <t>Eaglet</t>
  </si>
  <si>
    <t>EE-10 Eaglet</t>
  </si>
  <si>
    <t>EURO-FLY</t>
  </si>
  <si>
    <t>FB-5 Star Light</t>
  </si>
  <si>
    <t>FB5</t>
  </si>
  <si>
    <t>Flash</t>
  </si>
  <si>
    <t>FLSH</t>
  </si>
  <si>
    <t>Star Light</t>
  </si>
  <si>
    <t>EUROALA</t>
  </si>
  <si>
    <t>Jet Fox</t>
  </si>
  <si>
    <t>EUROCOPTER</t>
  </si>
  <si>
    <t>EC-725 Caracal</t>
  </si>
  <si>
    <t>AS-350 Stylence</t>
  </si>
  <si>
    <t>AS-355 Stylence</t>
  </si>
  <si>
    <t>EC-120 Stylence</t>
  </si>
  <si>
    <t>EC-130 Stylence</t>
  </si>
  <si>
    <t>Caracal</t>
  </si>
  <si>
    <t>Stylence (AS-350)</t>
  </si>
  <si>
    <t>Stylence (AS-355)</t>
  </si>
  <si>
    <t>Stylence (EC-120)</t>
  </si>
  <si>
    <t>Stylence (EC-130)</t>
  </si>
  <si>
    <t>AS-565 Atalef</t>
  </si>
  <si>
    <t>Atalef</t>
  </si>
  <si>
    <t>BO-105 Super Five</t>
  </si>
  <si>
    <t>HM-1 Panther</t>
  </si>
  <si>
    <t>Squirrel</t>
  </si>
  <si>
    <t>Super Five</t>
  </si>
  <si>
    <t>Twin Squirrel</t>
  </si>
  <si>
    <t>UH-145</t>
  </si>
  <si>
    <t>X-3</t>
  </si>
  <si>
    <t>X3</t>
  </si>
  <si>
    <t>EUROCOPTER-HARBIN</t>
  </si>
  <si>
    <t>EUROCOPTER-KAWASAKI</t>
  </si>
  <si>
    <t>Stylence (EC-145)</t>
  </si>
  <si>
    <t>EC-145 Stylence</t>
  </si>
  <si>
    <t>H-72 Lakota</t>
  </si>
  <si>
    <t>BK-117B</t>
  </si>
  <si>
    <t>BK-117C-1</t>
  </si>
  <si>
    <t>EURODISPLAY</t>
  </si>
  <si>
    <t>SR-01 Magic</t>
  </si>
  <si>
    <t>SR01</t>
  </si>
  <si>
    <t>Magic</t>
  </si>
  <si>
    <t>EUROFIGHTER</t>
  </si>
  <si>
    <t>EURONEF</t>
  </si>
  <si>
    <t>ATTL-1</t>
  </si>
  <si>
    <t>ATTL</t>
  </si>
  <si>
    <t>EUROPA</t>
  </si>
  <si>
    <t>Europa</t>
  </si>
  <si>
    <t>EUPA</t>
  </si>
  <si>
    <t>EUROSPACE</t>
  </si>
  <si>
    <t>Excalibur</t>
  </si>
  <si>
    <t>PICO</t>
  </si>
  <si>
    <t>F-15 Excalibur</t>
  </si>
  <si>
    <t>EVANGEL</t>
  </si>
  <si>
    <t>4500 Evangel</t>
  </si>
  <si>
    <t>EVAN</t>
  </si>
  <si>
    <t>Evangel</t>
  </si>
  <si>
    <t>EVANS</t>
  </si>
  <si>
    <t>Volksplane</t>
  </si>
  <si>
    <t>VP2</t>
  </si>
  <si>
    <t>VP-2 Volksplane</t>
  </si>
  <si>
    <t>EVEKTOR</t>
  </si>
  <si>
    <t>SportStar</t>
  </si>
  <si>
    <t>EVSS</t>
  </si>
  <si>
    <t>VUT1</t>
  </si>
  <si>
    <t>VUT-100 Cobra</t>
  </si>
  <si>
    <t>EV-97 EuroStar</t>
  </si>
  <si>
    <t>EV97</t>
  </si>
  <si>
    <t>Outback</t>
  </si>
  <si>
    <t>EV55</t>
  </si>
  <si>
    <t>EV-97 Harmony</t>
  </si>
  <si>
    <t>EV-55 Outback</t>
  </si>
  <si>
    <t>EuroStar</t>
  </si>
  <si>
    <t>Harmony</t>
  </si>
  <si>
    <t>EXCALIBUR</t>
  </si>
  <si>
    <t>Queenaire 800 (65)</t>
  </si>
  <si>
    <t>Queenaire 800 (80)</t>
  </si>
  <si>
    <t>Queenaire 8800</t>
  </si>
  <si>
    <t>EXCLUSIVE</t>
  </si>
  <si>
    <t>EXPERIMENTAL AVIATION</t>
  </si>
  <si>
    <t>EXPLORER (1)</t>
  </si>
  <si>
    <t>Ellipse</t>
  </si>
  <si>
    <t>ELPS</t>
  </si>
  <si>
    <t>EXPLORER (2)</t>
  </si>
  <si>
    <t>EXPRESS</t>
  </si>
  <si>
    <t>EXPR</t>
  </si>
  <si>
    <t>Express</t>
  </si>
  <si>
    <t>Express 2000</t>
  </si>
  <si>
    <t>Express 2000RG</t>
  </si>
  <si>
    <t>EXTRA</t>
  </si>
  <si>
    <t>EA-200</t>
  </si>
  <si>
    <t>E200</t>
  </si>
  <si>
    <t>EA-230</t>
  </si>
  <si>
    <t>E230</t>
  </si>
  <si>
    <t>EA-300</t>
  </si>
  <si>
    <t>E300</t>
  </si>
  <si>
    <t>EA-330</t>
  </si>
  <si>
    <t>EA-350</t>
  </si>
  <si>
    <t>EA-400</t>
  </si>
  <si>
    <t>E400</t>
  </si>
  <si>
    <t>EA-500</t>
  </si>
  <si>
    <t>E500</t>
  </si>
  <si>
    <t>NG</t>
  </si>
  <si>
    <t>EXNG</t>
  </si>
  <si>
    <t>F+W EMMEN</t>
  </si>
  <si>
    <t>F-5 Tiger 2</t>
  </si>
  <si>
    <t>SE-3160 Alouette 3</t>
  </si>
  <si>
    <t>Tiger 2</t>
  </si>
  <si>
    <t>FAIRCHILD (1)</t>
  </si>
  <si>
    <t>A-10 Thunderbolt 2</t>
  </si>
  <si>
    <t>A10</t>
  </si>
  <si>
    <t>Argus</t>
  </si>
  <si>
    <t>FA24</t>
  </si>
  <si>
    <t>C-26 Metro</t>
  </si>
  <si>
    <t>SW4</t>
  </si>
  <si>
    <t>C-82 Packet</t>
  </si>
  <si>
    <t>C82</t>
  </si>
  <si>
    <t>C-119 Flying Boxcar</t>
  </si>
  <si>
    <t>C119</t>
  </si>
  <si>
    <t>C-123 Provider</t>
  </si>
  <si>
    <t>C123</t>
  </si>
  <si>
    <t>Cornell</t>
  </si>
  <si>
    <t>FA62</t>
  </si>
  <si>
    <t>Expediter</t>
  </si>
  <si>
    <t>F-18 Flymobil</t>
  </si>
  <si>
    <t>F-24 Argus</t>
  </si>
  <si>
    <t>F-27</t>
  </si>
  <si>
    <t>F-78 Flying Boxcar</t>
  </si>
  <si>
    <t>F-78 Packet</t>
  </si>
  <si>
    <t>Fairchild 300</t>
  </si>
  <si>
    <t>SW3</t>
  </si>
  <si>
    <t>FH-1100</t>
  </si>
  <si>
    <t>FH11</t>
  </si>
  <si>
    <t>Flying Boxcar</t>
  </si>
  <si>
    <t>Flymobil</t>
  </si>
  <si>
    <t>Forwarder</t>
  </si>
  <si>
    <t>Heli-Porter</t>
  </si>
  <si>
    <t>PC6T</t>
  </si>
  <si>
    <t>M-62 Cornell</t>
  </si>
  <si>
    <t>Merlin 3</t>
  </si>
  <si>
    <t>Merlin 4</t>
  </si>
  <si>
    <t>Merlin 23</t>
  </si>
  <si>
    <t>Metro</t>
  </si>
  <si>
    <t>OA-10 Thunderbolt 2</t>
  </si>
  <si>
    <t>Packet</t>
  </si>
  <si>
    <t>PC-6 Heli-Porter</t>
  </si>
  <si>
    <t>Provider</t>
  </si>
  <si>
    <t>PT-19 Cornell</t>
  </si>
  <si>
    <t>PT-23 Cornell</t>
  </si>
  <si>
    <t>PT-26 Cornell</t>
  </si>
  <si>
    <t>R4Q Flying Boxcar</t>
  </si>
  <si>
    <t>RC-26 Metro</t>
  </si>
  <si>
    <t>SA-227AC Metro</t>
  </si>
  <si>
    <t>SA-227AT Expediter</t>
  </si>
  <si>
    <t>SA-227AT Merlin 4</t>
  </si>
  <si>
    <t>SA-227BC Metro</t>
  </si>
  <si>
    <t>SA-227CC Metro</t>
  </si>
  <si>
    <t>SA-227DC Expediter</t>
  </si>
  <si>
    <t>SA-227DC Metro</t>
  </si>
  <si>
    <t>SA-227PC Metro</t>
  </si>
  <si>
    <t>SA-227TT Fairchild 300</t>
  </si>
  <si>
    <t>SA-227TT Merlin 3</t>
  </si>
  <si>
    <t>T-19 Cornell</t>
  </si>
  <si>
    <t>Thunderbolt 2</t>
  </si>
  <si>
    <t>UC-26 Merlin 4</t>
  </si>
  <si>
    <t>UC-61 Argus</t>
  </si>
  <si>
    <t>UC-61 Forwarder</t>
  </si>
  <si>
    <t>KR-34</t>
  </si>
  <si>
    <t>KR34</t>
  </si>
  <si>
    <t>KR-31</t>
  </si>
  <si>
    <t>KR31</t>
  </si>
  <si>
    <t>KR-21</t>
  </si>
  <si>
    <t>KR21</t>
  </si>
  <si>
    <t>FAIRCHILD (2)</t>
  </si>
  <si>
    <t>F-11 Husky</t>
  </si>
  <si>
    <t>FA11</t>
  </si>
  <si>
    <t>FAIRCHILD DORNIER</t>
  </si>
  <si>
    <t>328JET</t>
  </si>
  <si>
    <t>328JET Envoy 3</t>
  </si>
  <si>
    <t>Envoy 3</t>
  </si>
  <si>
    <t>FAIRCHILD HILLER</t>
  </si>
  <si>
    <t>AU-23 Peacemaker</t>
  </si>
  <si>
    <t>E4</t>
  </si>
  <si>
    <t>UH12</t>
  </si>
  <si>
    <t>FH-227</t>
  </si>
  <si>
    <t>L3</t>
  </si>
  <si>
    <t>OH-23 Raven</t>
  </si>
  <si>
    <t>Peacemaker</t>
  </si>
  <si>
    <t>SL3</t>
  </si>
  <si>
    <t>SL4</t>
  </si>
  <si>
    <t>UH-12E</t>
  </si>
  <si>
    <t>FAIRCHILD SWEARINGEN</t>
  </si>
  <si>
    <t>SA-226TB Merlin 3</t>
  </si>
  <si>
    <t>SA-226TC Metro</t>
  </si>
  <si>
    <t>FAIREY</t>
  </si>
  <si>
    <t>Firefly</t>
  </si>
  <si>
    <t>FFLY</t>
  </si>
  <si>
    <t>GANT</t>
  </si>
  <si>
    <t>C</t>
  </si>
  <si>
    <t>FAIRTRAVEL</t>
  </si>
  <si>
    <t>Linnet</t>
  </si>
  <si>
    <t>FAJR</t>
  </si>
  <si>
    <t>F-3</t>
  </si>
  <si>
    <t>FJR3</t>
  </si>
  <si>
    <t>FALCOMPOSITE</t>
  </si>
  <si>
    <t>Furio</t>
  </si>
  <si>
    <t>LN27</t>
  </si>
  <si>
    <t>LN-27 Furio</t>
  </si>
  <si>
    <t>FALCON AIR</t>
  </si>
  <si>
    <t>Falcon 402</t>
  </si>
  <si>
    <t>F402</t>
  </si>
  <si>
    <t>Falcon 421</t>
  </si>
  <si>
    <t>F421</t>
  </si>
  <si>
    <t>FALCONAR</t>
  </si>
  <si>
    <t>AMF-S14 Maranda</t>
  </si>
  <si>
    <t>Cubmajor</t>
  </si>
  <si>
    <t>MAJR</t>
  </si>
  <si>
    <t>F-11</t>
  </si>
  <si>
    <t>F-11 Sporty</t>
  </si>
  <si>
    <t>F-12 Cruiser</t>
  </si>
  <si>
    <t>HM-380 Ladybug</t>
  </si>
  <si>
    <t>HM38</t>
  </si>
  <si>
    <t>Ladybug</t>
  </si>
  <si>
    <t>Maranda</t>
  </si>
  <si>
    <t>FS51</t>
  </si>
  <si>
    <t>SAL P-51D Mustang</t>
  </si>
  <si>
    <t>Sporty</t>
  </si>
  <si>
    <t>FAMA</t>
  </si>
  <si>
    <t>K-209 KISS</t>
  </si>
  <si>
    <t>K209</t>
  </si>
  <si>
    <t>KISS</t>
  </si>
  <si>
    <t>FANTASY AIR</t>
  </si>
  <si>
    <t>Allegro</t>
  </si>
  <si>
    <t>ALGR</t>
  </si>
  <si>
    <t>FARIGOUX</t>
  </si>
  <si>
    <t>FG-01 Origan</t>
  </si>
  <si>
    <t>FG01</t>
  </si>
  <si>
    <t>Origan</t>
  </si>
  <si>
    <t>FARNBOROUGH</t>
  </si>
  <si>
    <t>F-1 Kestrel</t>
  </si>
  <si>
    <t>KEST</t>
  </si>
  <si>
    <t>Kestrel</t>
  </si>
  <si>
    <t>FARRINGTON</t>
  </si>
  <si>
    <t>FD-COMPOSITES</t>
  </si>
  <si>
    <t>ArrowCopter</t>
  </si>
  <si>
    <t>AC10</t>
  </si>
  <si>
    <t>FEUGRAY</t>
  </si>
  <si>
    <t>Sirius</t>
  </si>
  <si>
    <t>TR26</t>
  </si>
  <si>
    <t>TR-200</t>
  </si>
  <si>
    <t>TR20</t>
  </si>
  <si>
    <t>TR-260 Sirius</t>
  </si>
  <si>
    <t>FFA</t>
  </si>
  <si>
    <t>AS-202-15 Bravo</t>
  </si>
  <si>
    <t>AS02</t>
  </si>
  <si>
    <t>AS-202-18 Bravo</t>
  </si>
  <si>
    <t>AS-202-18 Wren</t>
  </si>
  <si>
    <t>AS-202-26 Bravo</t>
  </si>
  <si>
    <t>AS-202-32TP Turbine Bravo</t>
  </si>
  <si>
    <t>AS2T</t>
  </si>
  <si>
    <t>Turbine Bravo</t>
  </si>
  <si>
    <t>Wren</t>
  </si>
  <si>
    <t>FFT</t>
  </si>
  <si>
    <t>Eurotrainer 2000</t>
  </si>
  <si>
    <t>EURT</t>
  </si>
  <si>
    <t>SC-01 Speed Canard</t>
  </si>
  <si>
    <t>SC01</t>
  </si>
  <si>
    <t>Speed Canard</t>
  </si>
  <si>
    <t>FIAT</t>
  </si>
  <si>
    <t>G-46</t>
  </si>
  <si>
    <t>G46</t>
  </si>
  <si>
    <t>G-59</t>
  </si>
  <si>
    <t>G59</t>
  </si>
  <si>
    <t>FIESELER</t>
  </si>
  <si>
    <t>Fi-156 Storch</t>
  </si>
  <si>
    <t>F156</t>
  </si>
  <si>
    <t>Storch</t>
  </si>
  <si>
    <t>FIGHTER ESCORT WINGS</t>
  </si>
  <si>
    <t>P-51</t>
  </si>
  <si>
    <t>FE51</t>
  </si>
  <si>
    <t>FIKE</t>
  </si>
  <si>
    <t>D</t>
  </si>
  <si>
    <t>FIKD</t>
  </si>
  <si>
    <t>E</t>
  </si>
  <si>
    <t>FINMECCANICA</t>
  </si>
  <si>
    <t>FLCO</t>
  </si>
  <si>
    <t>FISHER</t>
  </si>
  <si>
    <t>Celebrity</t>
  </si>
  <si>
    <t>CLBR</t>
  </si>
  <si>
    <t>Dakota Hawk</t>
  </si>
  <si>
    <t>DAKH</t>
  </si>
  <si>
    <t>Horizon</t>
  </si>
  <si>
    <t>HORZ</t>
  </si>
  <si>
    <t>R-80 Tiger Moth</t>
  </si>
  <si>
    <t>TMOT</t>
  </si>
  <si>
    <t>RS-80 Tiger Moth</t>
  </si>
  <si>
    <t>FISHER AERO</t>
  </si>
  <si>
    <t>Culex</t>
  </si>
  <si>
    <t>CULX</t>
  </si>
  <si>
    <t>FLAGLOR</t>
  </si>
  <si>
    <t>Scooter</t>
  </si>
  <si>
    <t>SCTR</t>
  </si>
  <si>
    <t>FLAIR</t>
  </si>
  <si>
    <t>FU-24</t>
  </si>
  <si>
    <t>FLARIS</t>
  </si>
  <si>
    <t>LAR-1</t>
  </si>
  <si>
    <t>LAR1</t>
  </si>
  <si>
    <t>FLEET</t>
  </si>
  <si>
    <t>FLE2</t>
  </si>
  <si>
    <t>FLE7</t>
  </si>
  <si>
    <t>7 Fawn</t>
  </si>
  <si>
    <t>FINC</t>
  </si>
  <si>
    <t>16 Finch</t>
  </si>
  <si>
    <t>60 Fort</t>
  </si>
  <si>
    <t>FORT</t>
  </si>
  <si>
    <t>80 Canuck</t>
  </si>
  <si>
    <t>CNUK</t>
  </si>
  <si>
    <t>Canuck</t>
  </si>
  <si>
    <t>Fawn</t>
  </si>
  <si>
    <t>Finch</t>
  </si>
  <si>
    <t>Fort</t>
  </si>
  <si>
    <t>FLEETWINGS</t>
  </si>
  <si>
    <t>F-4 Sea Bird</t>
  </si>
  <si>
    <t>FWSB</t>
  </si>
  <si>
    <t>Sea Bird</t>
  </si>
  <si>
    <t>FLETCHER</t>
  </si>
  <si>
    <t>FLIGHT DESIGN</t>
  </si>
  <si>
    <t>CT</t>
  </si>
  <si>
    <t>FDCT</t>
  </si>
  <si>
    <t>MC</t>
  </si>
  <si>
    <t>FDMC</t>
  </si>
  <si>
    <t>F-2</t>
  </si>
  <si>
    <t>FDF2</t>
  </si>
  <si>
    <t>F-2e</t>
  </si>
  <si>
    <t>FD2E</t>
  </si>
  <si>
    <t>FLIGHT DESIGN-VESSEL</t>
  </si>
  <si>
    <t>KLA-100</t>
  </si>
  <si>
    <t>KL10</t>
  </si>
  <si>
    <t>FLIGHT ENGINEERS</t>
  </si>
  <si>
    <t>Airtruk</t>
  </si>
  <si>
    <t>PL12</t>
  </si>
  <si>
    <t>PL-12 Airtruk</t>
  </si>
  <si>
    <t>FLIGHTWORKS</t>
  </si>
  <si>
    <t>FLITZER</t>
  </si>
  <si>
    <t>Flitzer</t>
  </si>
  <si>
    <t>FLIZ</t>
  </si>
  <si>
    <t>Z-1 Flitzer</t>
  </si>
  <si>
    <t>Z-21 Flitzer</t>
  </si>
  <si>
    <t>FLS</t>
  </si>
  <si>
    <t>OA-7 Optica</t>
  </si>
  <si>
    <t>SAH1</t>
  </si>
  <si>
    <t>FLSZ</t>
  </si>
  <si>
    <t>Der Kricket</t>
  </si>
  <si>
    <t>KRIC</t>
  </si>
  <si>
    <t>DK-1 Der Kricket</t>
  </si>
  <si>
    <t>FLUG WERK</t>
  </si>
  <si>
    <t>Fw-190 Replica</t>
  </si>
  <si>
    <t>FW90</t>
  </si>
  <si>
    <t>FLY SYNTHESIS</t>
  </si>
  <si>
    <t>STCH</t>
  </si>
  <si>
    <t>Texan</t>
  </si>
  <si>
    <t>TEXA</t>
  </si>
  <si>
    <t>Wallaby</t>
  </si>
  <si>
    <t>WLBY</t>
  </si>
  <si>
    <t>Syncro</t>
  </si>
  <si>
    <t>SYNC</t>
  </si>
  <si>
    <t>CTLN</t>
  </si>
  <si>
    <t>FLYER</t>
  </si>
  <si>
    <t>Flyer SS</t>
  </si>
  <si>
    <t>FLSS</t>
  </si>
  <si>
    <t>Flyer NG</t>
  </si>
  <si>
    <t>Pelican</t>
  </si>
  <si>
    <t>PELI</t>
  </si>
  <si>
    <t>FLYGFABRIKEN</t>
  </si>
  <si>
    <t>LN-3 Seagull</t>
  </si>
  <si>
    <t>LN3</t>
  </si>
  <si>
    <t>Seagull</t>
  </si>
  <si>
    <t>FLYING MACHINES</t>
  </si>
  <si>
    <t>FM-250 Vampire</t>
  </si>
  <si>
    <t>FM25</t>
  </si>
  <si>
    <t>FLYITALIA</t>
  </si>
  <si>
    <t>MD-3 Rider</t>
  </si>
  <si>
    <t>MD3R</t>
  </si>
  <si>
    <t>Rider</t>
  </si>
  <si>
    <t>FLYWHALE</t>
  </si>
  <si>
    <t>FW-02 Flywhale</t>
  </si>
  <si>
    <t>FW02</t>
  </si>
  <si>
    <t>Flywhale</t>
  </si>
  <si>
    <t>FLÄMING AIR</t>
  </si>
  <si>
    <t>FA-01 Saphir</t>
  </si>
  <si>
    <t>FA01</t>
  </si>
  <si>
    <t>FA-01 Smaragd</t>
  </si>
  <si>
    <t>FA-02 Smaragd VLA</t>
  </si>
  <si>
    <t>FA02</t>
  </si>
  <si>
    <t>FA-03 Smaragd TMG</t>
  </si>
  <si>
    <t>FA03</t>
  </si>
  <si>
    <t>Smaragd TMG</t>
  </si>
  <si>
    <t>Smaragd VLA</t>
  </si>
  <si>
    <t>FA-04 Peregrine</t>
  </si>
  <si>
    <t>FA04</t>
  </si>
  <si>
    <t>Peregrine</t>
  </si>
  <si>
    <t>FMA</t>
  </si>
  <si>
    <t>20 El Boyero</t>
  </si>
  <si>
    <t>EBOY</t>
  </si>
  <si>
    <t>El Boyero</t>
  </si>
  <si>
    <t>A-150</t>
  </si>
  <si>
    <t>A-A150 Aerobat</t>
  </si>
  <si>
    <t>A-A188 AgTruck</t>
  </si>
  <si>
    <t>Fw-44 Stieglitz</t>
  </si>
  <si>
    <t>FW44</t>
  </si>
  <si>
    <t>IA-58 Pucará</t>
  </si>
  <si>
    <t>IA58</t>
  </si>
  <si>
    <t>IA-63 Pampa</t>
  </si>
  <si>
    <t>IA63</t>
  </si>
  <si>
    <t>P-172</t>
  </si>
  <si>
    <t>Pampa</t>
  </si>
  <si>
    <t>Pucará</t>
  </si>
  <si>
    <t>Stieglitz</t>
  </si>
  <si>
    <t>AT-63 Pampa</t>
  </si>
  <si>
    <t>FMP</t>
  </si>
  <si>
    <t>Qualt</t>
  </si>
  <si>
    <t>QALT</t>
  </si>
  <si>
    <t>FOCKE-WULF</t>
  </si>
  <si>
    <t>FWP-149</t>
  </si>
  <si>
    <t>P149</t>
  </si>
  <si>
    <t>FOKKER</t>
  </si>
  <si>
    <t>F50</t>
  </si>
  <si>
    <t>50 Fokker50Freighter</t>
  </si>
  <si>
    <t>50 Maritime Enforcer</t>
  </si>
  <si>
    <t>F60</t>
  </si>
  <si>
    <t>F70</t>
  </si>
  <si>
    <t>F100</t>
  </si>
  <si>
    <t>C-31 Friendship</t>
  </si>
  <si>
    <t>D-7 Replica</t>
  </si>
  <si>
    <t>D7</t>
  </si>
  <si>
    <t>D-8 Replica</t>
  </si>
  <si>
    <t>D8</t>
  </si>
  <si>
    <t>Dr-1 Replica</t>
  </si>
  <si>
    <t>DR1</t>
  </si>
  <si>
    <t>F-16 Fighting Falcon</t>
  </si>
  <si>
    <t>F16</t>
  </si>
  <si>
    <t>F-27 Friendship</t>
  </si>
  <si>
    <t>F-27 Maritime</t>
  </si>
  <si>
    <t>F-27 Troopship</t>
  </si>
  <si>
    <t>F-28 Fellowship</t>
  </si>
  <si>
    <t>F28</t>
  </si>
  <si>
    <t>Fellowship</t>
  </si>
  <si>
    <t>Fighting Falcon</t>
  </si>
  <si>
    <t>Fokker50Freighter</t>
  </si>
  <si>
    <t>Friendship</t>
  </si>
  <si>
    <t>Instructor</t>
  </si>
  <si>
    <t>S11</t>
  </si>
  <si>
    <t>Maritime</t>
  </si>
  <si>
    <t>Maritime Enforcer</t>
  </si>
  <si>
    <t>S-11 Instructor</t>
  </si>
  <si>
    <t>Super Universal</t>
  </si>
  <si>
    <t>SUNV</t>
  </si>
  <si>
    <t>Troopship</t>
  </si>
  <si>
    <t>D-21 Replica</t>
  </si>
  <si>
    <t>D21</t>
  </si>
  <si>
    <t>FOLLAND</t>
  </si>
  <si>
    <t>Fo-144 Gnat</t>
  </si>
  <si>
    <t>GNAT</t>
  </si>
  <si>
    <t>Gnat</t>
  </si>
  <si>
    <t>FORD</t>
  </si>
  <si>
    <t>4-AT Tri-Motor</t>
  </si>
  <si>
    <t>TRIM</t>
  </si>
  <si>
    <t>5-AT Tri-Motor</t>
  </si>
  <si>
    <t>Tri-Motor</t>
  </si>
  <si>
    <t>FORNAIRE</t>
  </si>
  <si>
    <t>FORNEY</t>
  </si>
  <si>
    <t>FOUGA</t>
  </si>
  <si>
    <t>FOUND</t>
  </si>
  <si>
    <t>100 Centennial</t>
  </si>
  <si>
    <t>CENT</t>
  </si>
  <si>
    <t>Bush Hawk</t>
  </si>
  <si>
    <t>FBA2</t>
  </si>
  <si>
    <t>Centennial</t>
  </si>
  <si>
    <t>FBA-2</t>
  </si>
  <si>
    <t>FBA-2 Bush Hawk</t>
  </si>
  <si>
    <t>FBA-2 Expedition E350</t>
  </si>
  <si>
    <t>Expedition E350</t>
  </si>
  <si>
    <t>FOUR WINDS</t>
  </si>
  <si>
    <t>FW19</t>
  </si>
  <si>
    <t>FX-210</t>
  </si>
  <si>
    <t>FW21</t>
  </si>
  <si>
    <t>FOURNIER</t>
  </si>
  <si>
    <t>RF-5</t>
  </si>
  <si>
    <t>RF-6</t>
  </si>
  <si>
    <t>RF6</t>
  </si>
  <si>
    <t>TZ-5</t>
  </si>
  <si>
    <t>FOXCON</t>
  </si>
  <si>
    <t>TERR</t>
  </si>
  <si>
    <t>FRAKES</t>
  </si>
  <si>
    <t>G-73T Turbo Mallard</t>
  </si>
  <si>
    <t>G73T</t>
  </si>
  <si>
    <t>G-164 Turbo Cat</t>
  </si>
  <si>
    <t>Turbo Cat</t>
  </si>
  <si>
    <t>Turbo Mallard</t>
  </si>
  <si>
    <t>FREE SPIRIT</t>
  </si>
  <si>
    <t>FREEDOM</t>
  </si>
  <si>
    <t>Phoenix</t>
  </si>
  <si>
    <t>PHNX</t>
  </si>
  <si>
    <t>FREEDOM MASTER</t>
  </si>
  <si>
    <t>Air Shark</t>
  </si>
  <si>
    <t>SHAK</t>
  </si>
  <si>
    <t>FM-2 Air Shark</t>
  </si>
  <si>
    <t>FREEWING</t>
  </si>
  <si>
    <t>Freebird Mk5</t>
  </si>
  <si>
    <t>FBIR</t>
  </si>
  <si>
    <t>FRONTIER</t>
  </si>
  <si>
    <t>Frontier MD-2</t>
  </si>
  <si>
    <t>FRON</t>
  </si>
  <si>
    <t>FRY</t>
  </si>
  <si>
    <t>Esprit</t>
  </si>
  <si>
    <t>VF2</t>
  </si>
  <si>
    <t>VF-2 Esprit</t>
  </si>
  <si>
    <t>FUJI</t>
  </si>
  <si>
    <t>Aero Subaru</t>
  </si>
  <si>
    <t>SUBA</t>
  </si>
  <si>
    <t>AH-1 HueyCobra</t>
  </si>
  <si>
    <t>FA-200 Aero Subaru</t>
  </si>
  <si>
    <t>FA-300</t>
  </si>
  <si>
    <t>RC70</t>
  </si>
  <si>
    <t>KM-2</t>
  </si>
  <si>
    <t>KM2</t>
  </si>
  <si>
    <t>KM-2B Mentor</t>
  </si>
  <si>
    <t>KM-2D</t>
  </si>
  <si>
    <t>T5</t>
  </si>
  <si>
    <t>KM-2Kai</t>
  </si>
  <si>
    <t>T-1</t>
  </si>
  <si>
    <t>T1</t>
  </si>
  <si>
    <t>T1F</t>
  </si>
  <si>
    <t>T-3 Mentor</t>
  </si>
  <si>
    <t>T-3Kai</t>
  </si>
  <si>
    <t>T-5</t>
  </si>
  <si>
    <t>T-7</t>
  </si>
  <si>
    <t>T7</t>
  </si>
  <si>
    <t>LM-1 Nikko</t>
  </si>
  <si>
    <t>LM-2 Nikko</t>
  </si>
  <si>
    <t>Nikko</t>
  </si>
  <si>
    <t>FUNK</t>
  </si>
  <si>
    <t>B</t>
  </si>
  <si>
    <t>G1 AVIATION</t>
  </si>
  <si>
    <t>G-1</t>
  </si>
  <si>
    <t>G1</t>
  </si>
  <si>
    <t>G-1 Gélinotte</t>
  </si>
  <si>
    <t>G-1 Goéland</t>
  </si>
  <si>
    <t>G-1 Grive</t>
  </si>
  <si>
    <t>G-1 Spyl</t>
  </si>
  <si>
    <t>Gélinotte</t>
  </si>
  <si>
    <t>Goéland</t>
  </si>
  <si>
    <t>Grive</t>
  </si>
  <si>
    <t>Spyl</t>
  </si>
  <si>
    <t>GAF</t>
  </si>
  <si>
    <t>Floatmaster</t>
  </si>
  <si>
    <t>NOMA</t>
  </si>
  <si>
    <t>Missionmaster</t>
  </si>
  <si>
    <t>N-2 Nomad</t>
  </si>
  <si>
    <t>N-22 Floatmaster</t>
  </si>
  <si>
    <t>N-22 Missionmaster</t>
  </si>
  <si>
    <t>N-22 Nomad</t>
  </si>
  <si>
    <t>N-22 Searchmaster</t>
  </si>
  <si>
    <t>N-24 Nomad</t>
  </si>
  <si>
    <t>Nomad</t>
  </si>
  <si>
    <t>Searchmaster</t>
  </si>
  <si>
    <t>GALILEO</t>
  </si>
  <si>
    <t>GAME COMPOSITES</t>
  </si>
  <si>
    <t>GB-1 GameBird</t>
  </si>
  <si>
    <t>GB1</t>
  </si>
  <si>
    <t>GameBird</t>
  </si>
  <si>
    <t>GANNET</t>
  </si>
  <si>
    <t>G-44 Super Widgeon</t>
  </si>
  <si>
    <t>G44</t>
  </si>
  <si>
    <t>Super Widgeon</t>
  </si>
  <si>
    <t>GANZAVIA</t>
  </si>
  <si>
    <t>Dinó</t>
  </si>
  <si>
    <t>DINO</t>
  </si>
  <si>
    <t>GAK-22 Dinó</t>
  </si>
  <si>
    <t>GARDAN</t>
  </si>
  <si>
    <t>Bagheera</t>
  </si>
  <si>
    <t>GY10</t>
  </si>
  <si>
    <t>GY-80 Horizon</t>
  </si>
  <si>
    <t>GY80</t>
  </si>
  <si>
    <t>GY-100 Bagheera</t>
  </si>
  <si>
    <t>GARLAND</t>
  </si>
  <si>
    <t>GARRISON</t>
  </si>
  <si>
    <t>Melmoth 2</t>
  </si>
  <si>
    <t>MEL2</t>
  </si>
  <si>
    <t>GATARD</t>
  </si>
  <si>
    <t>AG-02 Poussin</t>
  </si>
  <si>
    <t>AG02</t>
  </si>
  <si>
    <t>Poussin</t>
  </si>
  <si>
    <t>GATES LEARJET</t>
  </si>
  <si>
    <t>LJ24</t>
  </si>
  <si>
    <t>LJ25</t>
  </si>
  <si>
    <t>LJ28</t>
  </si>
  <si>
    <t>LJ31</t>
  </si>
  <si>
    <t>LJ35</t>
  </si>
  <si>
    <t>LJ55</t>
  </si>
  <si>
    <t>C-21</t>
  </si>
  <si>
    <t>R-35</t>
  </si>
  <si>
    <t>RC-35</t>
  </si>
  <si>
    <t>RC-36</t>
  </si>
  <si>
    <t>U-36</t>
  </si>
  <si>
    <t>UC-35</t>
  </si>
  <si>
    <t>UC-36</t>
  </si>
  <si>
    <t>GAVILAN</t>
  </si>
  <si>
    <t>EL-1 Gavilan 358</t>
  </si>
  <si>
    <t>Gavilan 358</t>
  </si>
  <si>
    <t>GENERAL AIRCRAFT</t>
  </si>
  <si>
    <t>G1-80 Skyfarer</t>
  </si>
  <si>
    <t>G180</t>
  </si>
  <si>
    <t>Skyfarer</t>
  </si>
  <si>
    <t>GENERAL ATOMICS</t>
  </si>
  <si>
    <t>MQ-1 Predator</t>
  </si>
  <si>
    <t>Q1</t>
  </si>
  <si>
    <t>MQ-1 Warrior</t>
  </si>
  <si>
    <t>RQ-1 Predator</t>
  </si>
  <si>
    <t>MQ-1 Gray Eagle</t>
  </si>
  <si>
    <t>Predator</t>
  </si>
  <si>
    <t>Warrior</t>
  </si>
  <si>
    <t>Grey Eagle</t>
  </si>
  <si>
    <t>MQ-9 Reaper</t>
  </si>
  <si>
    <t>Q9</t>
  </si>
  <si>
    <t>MQ-9 Predator B</t>
  </si>
  <si>
    <t>MQ-9 Guardian</t>
  </si>
  <si>
    <t>MQ-9 Ikhana</t>
  </si>
  <si>
    <t>Predator B</t>
  </si>
  <si>
    <t>Reaper</t>
  </si>
  <si>
    <t>Ikhana</t>
  </si>
  <si>
    <t>GENERAL AVIA</t>
  </si>
  <si>
    <t>Airone</t>
  </si>
  <si>
    <t>ARON</t>
  </si>
  <si>
    <t>CNDR</t>
  </si>
  <si>
    <t>Delfino</t>
  </si>
  <si>
    <t>F-15 Delfino</t>
  </si>
  <si>
    <t>F-15 Picchio</t>
  </si>
  <si>
    <t>F-20 Pegaso</t>
  </si>
  <si>
    <t>PEGA</t>
  </si>
  <si>
    <t>F-20TP Condor</t>
  </si>
  <si>
    <t>F-22 Pinguino</t>
  </si>
  <si>
    <t>PINO</t>
  </si>
  <si>
    <t>F-22 Pinguino Sprint</t>
  </si>
  <si>
    <t>F-220 Airone</t>
  </si>
  <si>
    <t>F-1300 Jet Squalus</t>
  </si>
  <si>
    <t>JSQA</t>
  </si>
  <si>
    <t>Jet Squalus</t>
  </si>
  <si>
    <t>Pegaso</t>
  </si>
  <si>
    <t>Picchio</t>
  </si>
  <si>
    <t>Pinguino</t>
  </si>
  <si>
    <t>Pinguino Sprint</t>
  </si>
  <si>
    <t>GENERAL DYNAMICS</t>
  </si>
  <si>
    <t>Aardvark</t>
  </si>
  <si>
    <t>F111</t>
  </si>
  <si>
    <t>Barak</t>
  </si>
  <si>
    <t>Brakeet</t>
  </si>
  <si>
    <t>EF-111 Raven</t>
  </si>
  <si>
    <t>F-16 Barak</t>
  </si>
  <si>
    <t>F-16 Brakeet</t>
  </si>
  <si>
    <t>F-16 Netz</t>
  </si>
  <si>
    <t>F-111 Aardvark</t>
  </si>
  <si>
    <t>Netz</t>
  </si>
  <si>
    <t>NF-16 Fighting Falcon</t>
  </si>
  <si>
    <t>RF-111 Aardvark</t>
  </si>
  <si>
    <t>TF-16 Fighting Falcon</t>
  </si>
  <si>
    <t>GENERAL MOTORS</t>
  </si>
  <si>
    <t>Avenger</t>
  </si>
  <si>
    <t>TBM</t>
  </si>
  <si>
    <t>FM Wildcat</t>
  </si>
  <si>
    <t>WCAT</t>
  </si>
  <si>
    <t>TBM Avenger</t>
  </si>
  <si>
    <t>GENEVATION</t>
  </si>
  <si>
    <t>GenPro</t>
  </si>
  <si>
    <t>GPRO</t>
  </si>
  <si>
    <t>GERMAN BIANCO</t>
  </si>
  <si>
    <t>MB-308</t>
  </si>
  <si>
    <t>M308</t>
  </si>
  <si>
    <t>GILES</t>
  </si>
  <si>
    <t>GIPPSAERO</t>
  </si>
  <si>
    <t>GA-10</t>
  </si>
  <si>
    <t>GA10</t>
  </si>
  <si>
    <t>GA-8 Airvan</t>
  </si>
  <si>
    <t>GA8</t>
  </si>
  <si>
    <t>Airvan</t>
  </si>
  <si>
    <t>GIPPSLAND</t>
  </si>
  <si>
    <t>Fatman</t>
  </si>
  <si>
    <t>GA20</t>
  </si>
  <si>
    <t>GA-200 Fatman</t>
  </si>
  <si>
    <t>GLASAIR</t>
  </si>
  <si>
    <t>GlaStar</t>
  </si>
  <si>
    <t>GLST</t>
  </si>
  <si>
    <t>Sportsman 2+2</t>
  </si>
  <si>
    <t>Glasair</t>
  </si>
  <si>
    <t>GLAS</t>
  </si>
  <si>
    <t>GLASER-DIRKS</t>
  </si>
  <si>
    <t>DG-400</t>
  </si>
  <si>
    <t>DG40</t>
  </si>
  <si>
    <t>DG-500M</t>
  </si>
  <si>
    <t>DG50</t>
  </si>
  <si>
    <t>DG-600M</t>
  </si>
  <si>
    <t>DG60</t>
  </si>
  <si>
    <t>GLASS</t>
  </si>
  <si>
    <t>SG-70 STOLGlass</t>
  </si>
  <si>
    <t>SG70</t>
  </si>
  <si>
    <t>STOLGlass</t>
  </si>
  <si>
    <t>GLASSIC</t>
  </si>
  <si>
    <t>SQ-2000</t>
  </si>
  <si>
    <t>SQ2T</t>
  </si>
  <si>
    <t>GLOBAL</t>
  </si>
  <si>
    <t>Huey 800</t>
  </si>
  <si>
    <t>GLOBE</t>
  </si>
  <si>
    <t>GC-1 Swift</t>
  </si>
  <si>
    <t>GC1</t>
  </si>
  <si>
    <t>GLOS AIR</t>
  </si>
  <si>
    <t>Glos-Airtourer</t>
  </si>
  <si>
    <t>GLOSTER</t>
  </si>
  <si>
    <t>Gauntlet</t>
  </si>
  <si>
    <t>GAUN</t>
  </si>
  <si>
    <t>Gladiator</t>
  </si>
  <si>
    <t>GLAD</t>
  </si>
  <si>
    <t>GM&amp;T</t>
  </si>
  <si>
    <t>GM&amp;T Pretty Flight</t>
  </si>
  <si>
    <t>PRET</t>
  </si>
  <si>
    <t>GOAIR</t>
  </si>
  <si>
    <t>GT-1 Trainer</t>
  </si>
  <si>
    <t>GOTR</t>
  </si>
  <si>
    <t>GOBOSH</t>
  </si>
  <si>
    <t>G-700</t>
  </si>
  <si>
    <t>G-800</t>
  </si>
  <si>
    <t>GOGETAIR</t>
  </si>
  <si>
    <t>G-600</t>
  </si>
  <si>
    <t>G-750T</t>
  </si>
  <si>
    <t>GOLDEN CAR</t>
  </si>
  <si>
    <t>F-30 Brio</t>
  </si>
  <si>
    <t>F30</t>
  </si>
  <si>
    <t>Brio</t>
  </si>
  <si>
    <t>GOLDEN CIRCLE</t>
  </si>
  <si>
    <t>T-Bird 2 Cargo</t>
  </si>
  <si>
    <t>TBR3</t>
  </si>
  <si>
    <t>T-Bird 3</t>
  </si>
  <si>
    <t>GOMOLZIG</t>
  </si>
  <si>
    <t>GOODYEAR</t>
  </si>
  <si>
    <t>FG Corsair</t>
  </si>
  <si>
    <t>GREAT LAKES</t>
  </si>
  <si>
    <t>2T-1 Sport</t>
  </si>
  <si>
    <t>G2T1</t>
  </si>
  <si>
    <t>2T-1 Sport Trainer</t>
  </si>
  <si>
    <t>Sport Trainer</t>
  </si>
  <si>
    <t>GREAT PLAINS</t>
  </si>
  <si>
    <t>Sonerai</t>
  </si>
  <si>
    <t>SRAI</t>
  </si>
  <si>
    <t>GREGA</t>
  </si>
  <si>
    <t>Aircamper</t>
  </si>
  <si>
    <t>CAMP</t>
  </si>
  <si>
    <t>GN-1 Aircamper</t>
  </si>
  <si>
    <t>GRIFFON</t>
  </si>
  <si>
    <t>Lionheart</t>
  </si>
  <si>
    <t>LION</t>
  </si>
  <si>
    <t>GRIFFON AERO</t>
  </si>
  <si>
    <t>GRFN</t>
  </si>
  <si>
    <t>GRINVALDS</t>
  </si>
  <si>
    <t>G-801 Orion</t>
  </si>
  <si>
    <t>GROB</t>
  </si>
  <si>
    <t>Acro</t>
  </si>
  <si>
    <t>G15T</t>
  </si>
  <si>
    <t>Bavarian</t>
  </si>
  <si>
    <t>G115</t>
  </si>
  <si>
    <t>D-500 Egrett 2</t>
  </si>
  <si>
    <t>EGRT</t>
  </si>
  <si>
    <t>Egrett 2</t>
  </si>
  <si>
    <t>G-103C Twin 3SL</t>
  </si>
  <si>
    <t>G103</t>
  </si>
  <si>
    <t>G-109</t>
  </si>
  <si>
    <t>G109</t>
  </si>
  <si>
    <t>G-109 Ranger</t>
  </si>
  <si>
    <t>G-109 Vigilant</t>
  </si>
  <si>
    <t>G-115</t>
  </si>
  <si>
    <t>G-115A</t>
  </si>
  <si>
    <t>G-115B</t>
  </si>
  <si>
    <t>G-115C</t>
  </si>
  <si>
    <t>G-115D</t>
  </si>
  <si>
    <t>G-115D Bavarian</t>
  </si>
  <si>
    <t>G-115D Heron</t>
  </si>
  <si>
    <t>G-115E</t>
  </si>
  <si>
    <t>G-115E Tutor</t>
  </si>
  <si>
    <t>G-115T Acro</t>
  </si>
  <si>
    <t>G-120</t>
  </si>
  <si>
    <t>G120</t>
  </si>
  <si>
    <t>G-120 Snunit</t>
  </si>
  <si>
    <t>G-140TP</t>
  </si>
  <si>
    <t>G140</t>
  </si>
  <si>
    <t>G-160 Ranger</t>
  </si>
  <si>
    <t>G160</t>
  </si>
  <si>
    <t>G-180 SPn Utility Jet</t>
  </si>
  <si>
    <t>GSPN</t>
  </si>
  <si>
    <t>G-520 Strato 1</t>
  </si>
  <si>
    <t>G-850 Strato 2C</t>
  </si>
  <si>
    <t>G850</t>
  </si>
  <si>
    <t>GF-200</t>
  </si>
  <si>
    <t>GF20</t>
  </si>
  <si>
    <t>Ranger (G-109)</t>
  </si>
  <si>
    <t>Ranger (G-160)</t>
  </si>
  <si>
    <t>Snunit</t>
  </si>
  <si>
    <t>SPn Utility Jet</t>
  </si>
  <si>
    <t>Strato 1</t>
  </si>
  <si>
    <t>Strato 2C</t>
  </si>
  <si>
    <t>Twin 3SL</t>
  </si>
  <si>
    <t>G-120TP</t>
  </si>
  <si>
    <t>G12T</t>
  </si>
  <si>
    <t>GROEN</t>
  </si>
  <si>
    <t>H2X Hawk 3</t>
  </si>
  <si>
    <t>HAW3</t>
  </si>
  <si>
    <t>Hawk 3</t>
  </si>
  <si>
    <t>Hawk 4</t>
  </si>
  <si>
    <t>HW4P</t>
  </si>
  <si>
    <t>Jet Hawk 4T</t>
  </si>
  <si>
    <t>HW4T</t>
  </si>
  <si>
    <t>Revcon 6G</t>
  </si>
  <si>
    <t>REV6</t>
  </si>
  <si>
    <t>GROPPO</t>
  </si>
  <si>
    <t>Trail</t>
  </si>
  <si>
    <t>TRAL</t>
  </si>
  <si>
    <t>G-70</t>
  </si>
  <si>
    <t>G70</t>
  </si>
  <si>
    <t>GROSSO</t>
  </si>
  <si>
    <t>Easy Eagle</t>
  </si>
  <si>
    <t>EAEA</t>
  </si>
  <si>
    <t>GROVE</t>
  </si>
  <si>
    <t>GR-2 Whisper</t>
  </si>
  <si>
    <t>WHIS</t>
  </si>
  <si>
    <t>Whisper</t>
  </si>
  <si>
    <t>GROVER</t>
  </si>
  <si>
    <t>GRUMMAN</t>
  </si>
  <si>
    <t>A-6 Intruder</t>
  </si>
  <si>
    <t>A6</t>
  </si>
  <si>
    <t>Academe</t>
  </si>
  <si>
    <t>G159</t>
  </si>
  <si>
    <t>Ag-Cat</t>
  </si>
  <si>
    <t>U16</t>
  </si>
  <si>
    <t>AO-1 Mohawk</t>
  </si>
  <si>
    <t>V1</t>
  </si>
  <si>
    <t>BCAT</t>
  </si>
  <si>
    <t>C-1 Trader</t>
  </si>
  <si>
    <t>G96</t>
  </si>
  <si>
    <t>C-2 Greyhound</t>
  </si>
  <si>
    <t>C2</t>
  </si>
  <si>
    <t>C-20J Gulfstream 2SP</t>
  </si>
  <si>
    <t>GLF2</t>
  </si>
  <si>
    <t>Daya</t>
  </si>
  <si>
    <t>E2</t>
  </si>
  <si>
    <t>E-2 Daya</t>
  </si>
  <si>
    <t>E-2 Hawkeye</t>
  </si>
  <si>
    <t>EA-6 Prowler</t>
  </si>
  <si>
    <t>F3F Replica</t>
  </si>
  <si>
    <t>F3F</t>
  </si>
  <si>
    <t>F4F Wildcat</t>
  </si>
  <si>
    <t>F6F Hellcat</t>
  </si>
  <si>
    <t>HCAT</t>
  </si>
  <si>
    <t>F7F Tigercat</t>
  </si>
  <si>
    <t>TCAT</t>
  </si>
  <si>
    <t>F8F Bearcat</t>
  </si>
  <si>
    <t>F9F Panther</t>
  </si>
  <si>
    <t>F9F</t>
  </si>
  <si>
    <t>F-14 Tomcat</t>
  </si>
  <si>
    <t>F14</t>
  </si>
  <si>
    <t>G-11 Replica</t>
  </si>
  <si>
    <t>G-21A Goose</t>
  </si>
  <si>
    <t>G21</t>
  </si>
  <si>
    <t>G-32 Replica</t>
  </si>
  <si>
    <t>G-36 Wildcat</t>
  </si>
  <si>
    <t>G-38 Goose</t>
  </si>
  <si>
    <t>G-39 Goose</t>
  </si>
  <si>
    <t>G-40 Avenger</t>
  </si>
  <si>
    <t>G-44 Widgeon</t>
  </si>
  <si>
    <t>G-50 Hellcat</t>
  </si>
  <si>
    <t>G-51 Tigercat</t>
  </si>
  <si>
    <t>G-58 Bearcat</t>
  </si>
  <si>
    <t>G-64 Albatross</t>
  </si>
  <si>
    <t>G-73 Mallard</t>
  </si>
  <si>
    <t>G73</t>
  </si>
  <si>
    <t>G-79 Panther</t>
  </si>
  <si>
    <t>G-89 Tracker</t>
  </si>
  <si>
    <t>G-96 Trader</t>
  </si>
  <si>
    <t>G-111 Albatross</t>
  </si>
  <si>
    <t>G-128 Intruder</t>
  </si>
  <si>
    <t>G-128 Prowler</t>
  </si>
  <si>
    <t>G-134 Mohawk</t>
  </si>
  <si>
    <t>G-159 Gulfstream 1</t>
  </si>
  <si>
    <t>G-164 Ag-Cat</t>
  </si>
  <si>
    <t>G-164 Super Ag-Cat</t>
  </si>
  <si>
    <t>G-164 Turbo Ag-Cat</t>
  </si>
  <si>
    <t>G-1159 Gulfstream 2</t>
  </si>
  <si>
    <t>G-1159 Gulfstream 2SP</t>
  </si>
  <si>
    <t>G-1159B Gulfstream 2B</t>
  </si>
  <si>
    <t>Goose</t>
  </si>
  <si>
    <t>Greyhound</t>
  </si>
  <si>
    <t>Gulfstream 1</t>
  </si>
  <si>
    <t>Gulfstream 2</t>
  </si>
  <si>
    <t>Gulfstream 2B</t>
  </si>
  <si>
    <t>Gulfstream 2SP</t>
  </si>
  <si>
    <t>Hawkeye</t>
  </si>
  <si>
    <t>Hellcat</t>
  </si>
  <si>
    <t>HU-16 Albatross</t>
  </si>
  <si>
    <t>Intruder</t>
  </si>
  <si>
    <t>J4F Widgeon</t>
  </si>
  <si>
    <t>JRF Goose</t>
  </si>
  <si>
    <t>KA-6 Intruder</t>
  </si>
  <si>
    <t>Mohawk</t>
  </si>
  <si>
    <t>OV-1 Mohawk</t>
  </si>
  <si>
    <t>P-16 Tracker</t>
  </si>
  <si>
    <t>Prowler</t>
  </si>
  <si>
    <t>RV-1 Mohawk</t>
  </si>
  <si>
    <t>S-2 Turbo Tracker</t>
  </si>
  <si>
    <t>S2F Tracker</t>
  </si>
  <si>
    <t>SA-16 Albatross</t>
  </si>
  <si>
    <t>Super Ag-Cat</t>
  </si>
  <si>
    <t>TBF Avenger</t>
  </si>
  <si>
    <t>TC-4 Academe</t>
  </si>
  <si>
    <t>TE-2 Hawkeye</t>
  </si>
  <si>
    <t>TF Trader</t>
  </si>
  <si>
    <t>Tigercat</t>
  </si>
  <si>
    <t>Tomcat</t>
  </si>
  <si>
    <t>Trader</t>
  </si>
  <si>
    <t>Turbo Ag-Cat</t>
  </si>
  <si>
    <t>Turbo Tracker</t>
  </si>
  <si>
    <t>UF Albatross</t>
  </si>
  <si>
    <t>VC-4 Gulfstream 1</t>
  </si>
  <si>
    <t>VC-11 Gulfstream 2</t>
  </si>
  <si>
    <t>Widgeon</t>
  </si>
  <si>
    <t>GRUMMAN AMERICAN</t>
  </si>
  <si>
    <t>AA-1 Lynx</t>
  </si>
  <si>
    <t>AA-1 T-Cat</t>
  </si>
  <si>
    <t>AA-5 Cheetah</t>
  </si>
  <si>
    <t>AA-5 Tiger</t>
  </si>
  <si>
    <t>GA7</t>
  </si>
  <si>
    <t>G-1159TT Gulfstream 2TT</t>
  </si>
  <si>
    <t>GA-7 Cougar</t>
  </si>
  <si>
    <t>Gulfstream 2TT</t>
  </si>
  <si>
    <t>Lynx</t>
  </si>
  <si>
    <t>T-Cat</t>
  </si>
  <si>
    <t>GRYF</t>
  </si>
  <si>
    <t>MD-3 SportRider</t>
  </si>
  <si>
    <t>SportRider</t>
  </si>
  <si>
    <t>P-27 Skyster</t>
  </si>
  <si>
    <t>P27</t>
  </si>
  <si>
    <t>Skyster</t>
  </si>
  <si>
    <t>GUERIN</t>
  </si>
  <si>
    <t>GUIMBAL</t>
  </si>
  <si>
    <t>Cabri</t>
  </si>
  <si>
    <t>G2CA</t>
  </si>
  <si>
    <t>G-2 Cabri</t>
  </si>
  <si>
    <t>GUIZHOU</t>
  </si>
  <si>
    <t>F-6</t>
  </si>
  <si>
    <t>MG19</t>
  </si>
  <si>
    <t>FT-7</t>
  </si>
  <si>
    <t>FTC-2000 Shanying</t>
  </si>
  <si>
    <t>JL9</t>
  </si>
  <si>
    <t>J-6</t>
  </si>
  <si>
    <t>JJ-7</t>
  </si>
  <si>
    <t>JL-9 Shanying</t>
  </si>
  <si>
    <t>Shanying</t>
  </si>
  <si>
    <t>GULFSTREAM AEROSPACE</t>
  </si>
  <si>
    <t>690 Jetprop Commander 840</t>
  </si>
  <si>
    <t>AC90</t>
  </si>
  <si>
    <t>690 Jetprop Commander 900</t>
  </si>
  <si>
    <t>695 Jetprop Commander 980</t>
  </si>
  <si>
    <t>AC95</t>
  </si>
  <si>
    <t>695 Jetprop Commander 1000</t>
  </si>
  <si>
    <t>C-20A Gulfstream 3</t>
  </si>
  <si>
    <t>GLF3</t>
  </si>
  <si>
    <t>C-20B Gulfstream 3</t>
  </si>
  <si>
    <t>C-20C Gulfstream 3</t>
  </si>
  <si>
    <t>C-20D Gulfstream 3</t>
  </si>
  <si>
    <t>C-20E Gulfstream 3</t>
  </si>
  <si>
    <t>C-20F Gulfstream 4</t>
  </si>
  <si>
    <t>GLF4</t>
  </si>
  <si>
    <t>C-20G Gulfstream 4</t>
  </si>
  <si>
    <t>C-20H Gulfstream 4</t>
  </si>
  <si>
    <t>C-37 Gulfstream 5</t>
  </si>
  <si>
    <t>GLF5</t>
  </si>
  <si>
    <t>G-4 Gulfstream 4</t>
  </si>
  <si>
    <t>G-4 Gulfstream 4SP</t>
  </si>
  <si>
    <t>G-4 Gulfstream G300</t>
  </si>
  <si>
    <t>G-4 Gulfstream G350</t>
  </si>
  <si>
    <t>G-4 Gulfstream G400</t>
  </si>
  <si>
    <t>G-4 Gulfstream SRA-4</t>
  </si>
  <si>
    <t>G-4X Gulfstream G450</t>
  </si>
  <si>
    <t>G-5 Gulfstream 5</t>
  </si>
  <si>
    <t>G-5SP Gulfstream 5SP</t>
  </si>
  <si>
    <t>G-5SP Gulfstream G500</t>
  </si>
  <si>
    <t>G-5SP Gulfstream G550</t>
  </si>
  <si>
    <t>G-1159A Gulfstream 3</t>
  </si>
  <si>
    <t>G-1159A Gulfstream SRA-1</t>
  </si>
  <si>
    <t>Shavit</t>
  </si>
  <si>
    <t>G-5 Shavit</t>
  </si>
  <si>
    <t>Gulfstream 3</t>
  </si>
  <si>
    <t>Gulfstream 4</t>
  </si>
  <si>
    <t>Gulfstream 4SP</t>
  </si>
  <si>
    <t>Gulfstream 5</t>
  </si>
  <si>
    <t>Gulfstream 5SP</t>
  </si>
  <si>
    <t>Gulfstream G300</t>
  </si>
  <si>
    <t>Gulfstream G350</t>
  </si>
  <si>
    <t>Gulfstream G400</t>
  </si>
  <si>
    <t>Gulfstream G450</t>
  </si>
  <si>
    <t>Gulfstream G550</t>
  </si>
  <si>
    <t>Gulfstream SRA-1</t>
  </si>
  <si>
    <t>Gulfstream SRA-4</t>
  </si>
  <si>
    <t>Jetprop Commander 840</t>
  </si>
  <si>
    <t>Jetprop Commander 900</t>
  </si>
  <si>
    <t>Jetprop Commander 980</t>
  </si>
  <si>
    <t>Jetprop Commander 1000</t>
  </si>
  <si>
    <t>S102 Gulfstream 4</t>
  </si>
  <si>
    <t>G-5SP Eitam</t>
  </si>
  <si>
    <t>Tp102 Gulfstream 4</t>
  </si>
  <si>
    <t>U-4 Gulfstream 4</t>
  </si>
  <si>
    <t>Eitam</t>
  </si>
  <si>
    <t>Gulfstream G650</t>
  </si>
  <si>
    <t>GLF6</t>
  </si>
  <si>
    <t>Gulfstream G280</t>
  </si>
  <si>
    <t>G280</t>
  </si>
  <si>
    <t>Gulfstream G500 (G-5SP)</t>
  </si>
  <si>
    <t>Gulfstream G100</t>
  </si>
  <si>
    <t>ASTR</t>
  </si>
  <si>
    <t>Gulfstream G150</t>
  </si>
  <si>
    <t>G150</t>
  </si>
  <si>
    <t>Gulfstream G200</t>
  </si>
  <si>
    <t>GALX</t>
  </si>
  <si>
    <t>Gulfstream G250</t>
  </si>
  <si>
    <t>G250</t>
  </si>
  <si>
    <t>G-7 Gulfstream G500</t>
  </si>
  <si>
    <t>GA5C</t>
  </si>
  <si>
    <t>G-7 Gulfstream G600</t>
  </si>
  <si>
    <t>GA6C</t>
  </si>
  <si>
    <t>Gulfstream G500 (G-7)</t>
  </si>
  <si>
    <t>Gulfstream G600</t>
  </si>
  <si>
    <t>G-8 Gulfstream G700</t>
  </si>
  <si>
    <t>GA7C</t>
  </si>
  <si>
    <t>Gulfstream G700</t>
  </si>
  <si>
    <t>GULFSTREAM AMERICAN</t>
  </si>
  <si>
    <t>G-1159A Gulfstream SMA-3</t>
  </si>
  <si>
    <t>Gulfstream SMA-3</t>
  </si>
  <si>
    <t>GYROFLUG</t>
  </si>
  <si>
    <t>GÖTAVERKEN</t>
  </si>
  <si>
    <t>GV-38</t>
  </si>
  <si>
    <t>SPST</t>
  </si>
  <si>
    <t>HAGGLUND</t>
  </si>
  <si>
    <t>HAINZ</t>
  </si>
  <si>
    <t>HALBERSTADT</t>
  </si>
  <si>
    <t>D-4 Replica</t>
  </si>
  <si>
    <t>HLD4</t>
  </si>
  <si>
    <t>HALL</t>
  </si>
  <si>
    <t>WH-4 Harpoon</t>
  </si>
  <si>
    <t>WH-6 Harpoon</t>
  </si>
  <si>
    <t>Harpoon</t>
  </si>
  <si>
    <t>HALLEY</t>
  </si>
  <si>
    <t>Apollo Fox</t>
  </si>
  <si>
    <t>AFOX</t>
  </si>
  <si>
    <t>HALSTED</t>
  </si>
  <si>
    <t>Saffire</t>
  </si>
  <si>
    <t>SAFF</t>
  </si>
  <si>
    <t>HAMILTON</t>
  </si>
  <si>
    <t>Little Liner</t>
  </si>
  <si>
    <t>Nomair</t>
  </si>
  <si>
    <t>T28</t>
  </si>
  <si>
    <t>T-28 Nomair</t>
  </si>
  <si>
    <t>Westwind 2</t>
  </si>
  <si>
    <t>Westwind 3</t>
  </si>
  <si>
    <t>HANDLEY PAGE</t>
  </si>
  <si>
    <t>HP-137 Jetstream 1</t>
  </si>
  <si>
    <t>JS1</t>
  </si>
  <si>
    <t>HP-137 Jetstream 200</t>
  </si>
  <si>
    <t>JS20</t>
  </si>
  <si>
    <t>Jetstream 1</t>
  </si>
  <si>
    <t>Jetstream 200</t>
  </si>
  <si>
    <t>Jetstream T.Mk.1</t>
  </si>
  <si>
    <t>Jetstream T.Mk.2</t>
  </si>
  <si>
    <t>HAPI</t>
  </si>
  <si>
    <t>Cygnet</t>
  </si>
  <si>
    <t>SF2</t>
  </si>
  <si>
    <t>SF-2 Cygnet</t>
  </si>
  <si>
    <t>HARBIN</t>
  </si>
  <si>
    <t>H-5</t>
  </si>
  <si>
    <t>IL28</t>
  </si>
  <si>
    <t>H-410 Haitun</t>
  </si>
  <si>
    <t>H-425 Haitun</t>
  </si>
  <si>
    <t>Haitun</t>
  </si>
  <si>
    <t>Harbinger</t>
  </si>
  <si>
    <t>Y12</t>
  </si>
  <si>
    <t>HC-120</t>
  </si>
  <si>
    <t>HJ-5</t>
  </si>
  <si>
    <t>HZ-5</t>
  </si>
  <si>
    <t>PS-5</t>
  </si>
  <si>
    <t>SH5</t>
  </si>
  <si>
    <t>SH-5</t>
  </si>
  <si>
    <t>WZ-9 Haitun</t>
  </si>
  <si>
    <t>Xuanfeng</t>
  </si>
  <si>
    <t>MI4</t>
  </si>
  <si>
    <t>Y-11</t>
  </si>
  <si>
    <t>Y11</t>
  </si>
  <si>
    <t>Z-5</t>
  </si>
  <si>
    <t>Z-5 Xuanfeng</t>
  </si>
  <si>
    <t>Z-9 Haitun</t>
  </si>
  <si>
    <t>EMB-145LI</t>
  </si>
  <si>
    <t>ERJ-145LI</t>
  </si>
  <si>
    <t>Y-12-2</t>
  </si>
  <si>
    <t>Y-12-4</t>
  </si>
  <si>
    <t>Aircar</t>
  </si>
  <si>
    <t>Y12F</t>
  </si>
  <si>
    <t>Y-12C</t>
  </si>
  <si>
    <t>Y-12E Harbinger</t>
  </si>
  <si>
    <t>Y-12F Aircar</t>
  </si>
  <si>
    <t>HARMON (1)</t>
  </si>
  <si>
    <t>1-2 Mister America</t>
  </si>
  <si>
    <t>MRAM</t>
  </si>
  <si>
    <t>Mister America</t>
  </si>
  <si>
    <t>HARMON (2)</t>
  </si>
  <si>
    <t>Rocket</t>
  </si>
  <si>
    <t>HROC</t>
  </si>
  <si>
    <t>HAT</t>
  </si>
  <si>
    <t>LS-2</t>
  </si>
  <si>
    <t>LS2</t>
  </si>
  <si>
    <t>HATZ</t>
  </si>
  <si>
    <t>CB1</t>
  </si>
  <si>
    <t>CB-1 Biplane</t>
  </si>
  <si>
    <t>HAWKER</t>
  </si>
  <si>
    <t>CYGT</t>
  </si>
  <si>
    <t>Cygnet Replica</t>
  </si>
  <si>
    <t>Fury</t>
  </si>
  <si>
    <t>FURY</t>
  </si>
  <si>
    <t>Hind</t>
  </si>
  <si>
    <t>HIND</t>
  </si>
  <si>
    <t>Hunter</t>
  </si>
  <si>
    <t>HUNT</t>
  </si>
  <si>
    <t>Hurricane</t>
  </si>
  <si>
    <t>HURI</t>
  </si>
  <si>
    <t>Sea Fury</t>
  </si>
  <si>
    <t>Sea Hurricane</t>
  </si>
  <si>
    <t>HAWKER BEECHCRAFT</t>
  </si>
  <si>
    <t>200 King Air 200</t>
  </si>
  <si>
    <t>390 Premier 1</t>
  </si>
  <si>
    <t>PRM1</t>
  </si>
  <si>
    <t>4000 Hawker 4000</t>
  </si>
  <si>
    <t>HA4T</t>
  </si>
  <si>
    <t>Hawker 750</t>
  </si>
  <si>
    <t>Hawker 850</t>
  </si>
  <si>
    <t>Hawker 900</t>
  </si>
  <si>
    <t>Hawker 4000</t>
  </si>
  <si>
    <t>King Air 200</t>
  </si>
  <si>
    <t>Premier 1</t>
  </si>
  <si>
    <t>Hawker 800</t>
  </si>
  <si>
    <t>390 Hawker 200</t>
  </si>
  <si>
    <t>Hawker 200</t>
  </si>
  <si>
    <t>300 (B300) Shadow</t>
  </si>
  <si>
    <t>Shadow</t>
  </si>
  <si>
    <t>T-6 Efroni</t>
  </si>
  <si>
    <t>Efroni</t>
  </si>
  <si>
    <t>Hawker 400XP</t>
  </si>
  <si>
    <t>Hawker 400XT</t>
  </si>
  <si>
    <t>Hawker 400XPR</t>
  </si>
  <si>
    <t>400XPR  Beechjet</t>
  </si>
  <si>
    <t>Beechjet (400XPR)</t>
  </si>
  <si>
    <t>MC-12</t>
  </si>
  <si>
    <t>HAWKER DE HAVILLAND</t>
  </si>
  <si>
    <t>Black Hawk</t>
  </si>
  <si>
    <t>PC-9</t>
  </si>
  <si>
    <t>PC9</t>
  </si>
  <si>
    <t>S-70 Black Hawk</t>
  </si>
  <si>
    <t>HAWKER SIDDELEY</t>
  </si>
  <si>
    <t>Andover</t>
  </si>
  <si>
    <t>BUC</t>
  </si>
  <si>
    <t>Dominie</t>
  </si>
  <si>
    <t>EC-93</t>
  </si>
  <si>
    <t>EU-93</t>
  </si>
  <si>
    <t>HS-125-1</t>
  </si>
  <si>
    <t>HS-125-2 Dominie</t>
  </si>
  <si>
    <t>HS-125-3</t>
  </si>
  <si>
    <t>HS-125-400</t>
  </si>
  <si>
    <t>HS-125-600</t>
  </si>
  <si>
    <t>HS-125-700</t>
  </si>
  <si>
    <t>HS-748</t>
  </si>
  <si>
    <t>HS-748 Andover</t>
  </si>
  <si>
    <t>HS-780 Andover</t>
  </si>
  <si>
    <t>TAV-8 Harrier</t>
  </si>
  <si>
    <t>VC-93</t>
  </si>
  <si>
    <t>VU-93</t>
  </si>
  <si>
    <t>HB-AIRCRAFT</t>
  </si>
  <si>
    <t>Fledger</t>
  </si>
  <si>
    <t>H202</t>
  </si>
  <si>
    <t>HB-202 Fledger</t>
  </si>
  <si>
    <t>Hobbyliner</t>
  </si>
  <si>
    <t>HB-FLUGTECHNIK</t>
  </si>
  <si>
    <t>Alfa</t>
  </si>
  <si>
    <t>H207</t>
  </si>
  <si>
    <t>HB-204 Tornado</t>
  </si>
  <si>
    <t>H204</t>
  </si>
  <si>
    <t>HB-207 Alfa</t>
  </si>
  <si>
    <t>HEINKEL</t>
  </si>
  <si>
    <t>He-111</t>
  </si>
  <si>
    <t>HEINTZ</t>
  </si>
  <si>
    <t>CH-200 Zénith</t>
  </si>
  <si>
    <t>CH20</t>
  </si>
  <si>
    <t>HELI-SPORT</t>
  </si>
  <si>
    <t>CH-7 Kompress</t>
  </si>
  <si>
    <t>CH7</t>
  </si>
  <si>
    <t>Kompress</t>
  </si>
  <si>
    <t>HELIBRAS</t>
  </si>
  <si>
    <t>CH-55 Esquilo</t>
  </si>
  <si>
    <t>Esquilo (HB-350)</t>
  </si>
  <si>
    <t>Esquilo (HB-355)</t>
  </si>
  <si>
    <t>Gaviao</t>
  </si>
  <si>
    <t>HA-1 Esquilo</t>
  </si>
  <si>
    <t>HB-315 Gaviao</t>
  </si>
  <si>
    <t>HB-350 Esquilo</t>
  </si>
  <si>
    <t>HB-355 Esquilo</t>
  </si>
  <si>
    <t>UH-12 Esquilo</t>
  </si>
  <si>
    <t>UH-13 Esquilo</t>
  </si>
  <si>
    <t>VH-55 Esquilo</t>
  </si>
  <si>
    <t>H-50 Esquilo</t>
  </si>
  <si>
    <t>HELICOM</t>
  </si>
  <si>
    <t>COMU</t>
  </si>
  <si>
    <t>H-1 Commuter</t>
  </si>
  <si>
    <t>HELIO</t>
  </si>
  <si>
    <t>AU-24 Stallion</t>
  </si>
  <si>
    <t>STLN</t>
  </si>
  <si>
    <t>Courier</t>
  </si>
  <si>
    <t>COUR</t>
  </si>
  <si>
    <t>Courier 2</t>
  </si>
  <si>
    <t>H-250 Courier 2</t>
  </si>
  <si>
    <t>H-295 Super Courier</t>
  </si>
  <si>
    <t>H-391 Courier</t>
  </si>
  <si>
    <t>H-392 Strato-Courier</t>
  </si>
  <si>
    <t>H-395 Courier</t>
  </si>
  <si>
    <t>H-395 Super Courier</t>
  </si>
  <si>
    <t>H-500 Twin Courier</t>
  </si>
  <si>
    <t>TCOU</t>
  </si>
  <si>
    <t>H-700 Courier</t>
  </si>
  <si>
    <t>H-800 Courier</t>
  </si>
  <si>
    <t>HST-550 Stallion</t>
  </si>
  <si>
    <t>HT-295 Super Courier</t>
  </si>
  <si>
    <t>Strato-Courier</t>
  </si>
  <si>
    <t>Super Courier</t>
  </si>
  <si>
    <t>Twin Courier</t>
  </si>
  <si>
    <t>U-5 Twin Courier</t>
  </si>
  <si>
    <t>U-10 Super Courier</t>
  </si>
  <si>
    <t>HELIOPOLIS</t>
  </si>
  <si>
    <t>Gomhouria</t>
  </si>
  <si>
    <t>HELIPRO</t>
  </si>
  <si>
    <t>S-61 Shortsky</t>
  </si>
  <si>
    <t>Shortsky</t>
  </si>
  <si>
    <t>HELIVERT</t>
  </si>
  <si>
    <t>HELOWERKS</t>
  </si>
  <si>
    <t>HX-2 Wasp</t>
  </si>
  <si>
    <t>HX2</t>
  </si>
  <si>
    <t>HELWAN</t>
  </si>
  <si>
    <t>RF-5 Sperber</t>
  </si>
  <si>
    <t>Sperber</t>
  </si>
  <si>
    <t>HENDERSON</t>
  </si>
  <si>
    <t>Little Bear</t>
  </si>
  <si>
    <t>HESA</t>
  </si>
  <si>
    <t>Faraz</t>
  </si>
  <si>
    <t>IRAN-140 Faraz</t>
  </si>
  <si>
    <t>Parastu</t>
  </si>
  <si>
    <t>S-68</t>
  </si>
  <si>
    <t>Shahed 278</t>
  </si>
  <si>
    <t>S278</t>
  </si>
  <si>
    <t>Shahed OH-78</t>
  </si>
  <si>
    <t>Shahed 285</t>
  </si>
  <si>
    <t>S285</t>
  </si>
  <si>
    <t>Shahed AH-85</t>
  </si>
  <si>
    <t>HFB</t>
  </si>
  <si>
    <t>Hansa</t>
  </si>
  <si>
    <t>HF20</t>
  </si>
  <si>
    <t>HFB-320 Hansa</t>
  </si>
  <si>
    <t>HIGHER CLASS</t>
  </si>
  <si>
    <t>SHOR</t>
  </si>
  <si>
    <t>HIGHLANDER</t>
  </si>
  <si>
    <t>Highlander</t>
  </si>
  <si>
    <t>HILLBERG</t>
  </si>
  <si>
    <t>EH1-01 Rotormouse</t>
  </si>
  <si>
    <t>RMOU</t>
  </si>
  <si>
    <t>Rotormouse</t>
  </si>
  <si>
    <t>HILLER</t>
  </si>
  <si>
    <t>H-23 Raven</t>
  </si>
  <si>
    <t>HTE Raven</t>
  </si>
  <si>
    <t>UH-12B</t>
  </si>
  <si>
    <t>UH-12C</t>
  </si>
  <si>
    <t>UH-12E3</t>
  </si>
  <si>
    <t>UH-12E3T</t>
  </si>
  <si>
    <t>H12T</t>
  </si>
  <si>
    <t>UH-12E4</t>
  </si>
  <si>
    <t>UH-12E4T</t>
  </si>
  <si>
    <t>UH-12E5</t>
  </si>
  <si>
    <t>UH-12ET</t>
  </si>
  <si>
    <t>UH-12L3</t>
  </si>
  <si>
    <t>UH-12L4</t>
  </si>
  <si>
    <t>UH-12SL3</t>
  </si>
  <si>
    <t>UH-12SL4</t>
  </si>
  <si>
    <t>HINDUSTAN</t>
  </si>
  <si>
    <t>ALH Dhruv</t>
  </si>
  <si>
    <t>ALH</t>
  </si>
  <si>
    <t>Bahadur</t>
  </si>
  <si>
    <t>MG23</t>
  </si>
  <si>
    <t>Basant</t>
  </si>
  <si>
    <t>HA31</t>
  </si>
  <si>
    <t>Cheetal</t>
  </si>
  <si>
    <t>Chetak</t>
  </si>
  <si>
    <t>Chetan</t>
  </si>
  <si>
    <t>Deepak</t>
  </si>
  <si>
    <t>HT32</t>
  </si>
  <si>
    <t>Dhruv</t>
  </si>
  <si>
    <t>HA-31 Basant</t>
  </si>
  <si>
    <t>HJT-16 Kiran</t>
  </si>
  <si>
    <t>HT16</t>
  </si>
  <si>
    <t>HJT-36 Sitara</t>
  </si>
  <si>
    <t>HT36</t>
  </si>
  <si>
    <t>HPT-32 Deepak</t>
  </si>
  <si>
    <t>HT-2</t>
  </si>
  <si>
    <t>HT2</t>
  </si>
  <si>
    <t>HTT-34</t>
  </si>
  <si>
    <t>HT34</t>
  </si>
  <si>
    <t>HUL-26 Pushpak</t>
  </si>
  <si>
    <t>Jaguar</t>
  </si>
  <si>
    <t>JAGR</t>
  </si>
  <si>
    <t>Kiran</t>
  </si>
  <si>
    <t>MiG-21</t>
  </si>
  <si>
    <t>MiG-27 Bahadur</t>
  </si>
  <si>
    <t>Pushpak</t>
  </si>
  <si>
    <t>SA-315 Cheetah</t>
  </si>
  <si>
    <t>SA-315 Cheetal</t>
  </si>
  <si>
    <t>SA-315 Lancer</t>
  </si>
  <si>
    <t>SA-316 Chetak</t>
  </si>
  <si>
    <t>SA-316 Chetan</t>
  </si>
  <si>
    <t>SE-3160 Chetak</t>
  </si>
  <si>
    <t>Shamsher</t>
  </si>
  <si>
    <t>Sitara</t>
  </si>
  <si>
    <t>Su-30</t>
  </si>
  <si>
    <t>SU27</t>
  </si>
  <si>
    <t>LCH</t>
  </si>
  <si>
    <t>HTT-40</t>
  </si>
  <si>
    <t>HT40</t>
  </si>
  <si>
    <t>HIRTH</t>
  </si>
  <si>
    <t>Acrostar</t>
  </si>
  <si>
    <t>HI27</t>
  </si>
  <si>
    <t>Hi-27 Acrostar</t>
  </si>
  <si>
    <t>HISPANO</t>
  </si>
  <si>
    <t>Buchon</t>
  </si>
  <si>
    <t>ME09</t>
  </si>
  <si>
    <t>HA-200 Saeta</t>
  </si>
  <si>
    <t>HA-1112 Buchon</t>
  </si>
  <si>
    <t>Saeta</t>
  </si>
  <si>
    <t>HISTORICAL AIRCRAFT</t>
  </si>
  <si>
    <t>PZL P-11C</t>
  </si>
  <si>
    <t>HPZL</t>
  </si>
  <si>
    <t>Ryan Trainer</t>
  </si>
  <si>
    <t>HRYA</t>
  </si>
  <si>
    <t>HK</t>
  </si>
  <si>
    <t>Wega</t>
  </si>
  <si>
    <t>HOAC</t>
  </si>
  <si>
    <t>Katana</t>
  </si>
  <si>
    <t>HOFFMANN</t>
  </si>
  <si>
    <t>Dimona</t>
  </si>
  <si>
    <t>H-36 Dimona</t>
  </si>
  <si>
    <t>H-40</t>
  </si>
  <si>
    <t>H40</t>
  </si>
  <si>
    <t>HOLCOMB</t>
  </si>
  <si>
    <t>Perigee</t>
  </si>
  <si>
    <t>PGEE</t>
  </si>
  <si>
    <t>HOLLMANN</t>
  </si>
  <si>
    <t>HA-2 Sportster</t>
  </si>
  <si>
    <t>HA2</t>
  </si>
  <si>
    <t>Sportster</t>
  </si>
  <si>
    <t>HONDA</t>
  </si>
  <si>
    <t>HA-420 HondaJet</t>
  </si>
  <si>
    <t>HDJT</t>
  </si>
  <si>
    <t>HondaJet</t>
  </si>
  <si>
    <t>HONDA-MISSISSIPPI</t>
  </si>
  <si>
    <t>MH-02</t>
  </si>
  <si>
    <t>MH02</t>
  </si>
  <si>
    <t>HONGDU</t>
  </si>
  <si>
    <t>A-5</t>
  </si>
  <si>
    <t>Q5</t>
  </si>
  <si>
    <t>BT-6</t>
  </si>
  <si>
    <t>CJ6</t>
  </si>
  <si>
    <t>CJ-6</t>
  </si>
  <si>
    <t>K-8 Karakorum</t>
  </si>
  <si>
    <t>K8</t>
  </si>
  <si>
    <t>Karakorum</t>
  </si>
  <si>
    <t>N-5</t>
  </si>
  <si>
    <t>N5</t>
  </si>
  <si>
    <t>Q-5</t>
  </si>
  <si>
    <t>JL-8</t>
  </si>
  <si>
    <t>L-15 Lieying</t>
  </si>
  <si>
    <t>L15</t>
  </si>
  <si>
    <t>Lieying</t>
  </si>
  <si>
    <t>HONGDU MD HELICOPTERS</t>
  </si>
  <si>
    <t>HOVEY</t>
  </si>
  <si>
    <t>Beta Bird</t>
  </si>
  <si>
    <t>BBIR</t>
  </si>
  <si>
    <t>HOWARD (1)</t>
  </si>
  <si>
    <t>DGA-15</t>
  </si>
  <si>
    <t>DG15</t>
  </si>
  <si>
    <t>GH Nightingale</t>
  </si>
  <si>
    <t>NH</t>
  </si>
  <si>
    <t>Nightingale</t>
  </si>
  <si>
    <t>HOWARD (2)</t>
  </si>
  <si>
    <t>L18</t>
  </si>
  <si>
    <t>L37</t>
  </si>
  <si>
    <t>HOWARD HUGHES</t>
  </si>
  <si>
    <t>Australian LightWing   GR-912</t>
  </si>
  <si>
    <t>LWIN</t>
  </si>
  <si>
    <t>Australian LightWing  GA-912</t>
  </si>
  <si>
    <t>Australian LightWing GR-582</t>
  </si>
  <si>
    <t>Austalian LightWing Sport 2000</t>
  </si>
  <si>
    <t>Australian LightWing Speed SP-2000</t>
  </si>
  <si>
    <t>LW20</t>
  </si>
  <si>
    <t>Pocket Rocket PR-582</t>
  </si>
  <si>
    <t>PRPR</t>
  </si>
  <si>
    <t>Pocket Rocket PR-XP</t>
  </si>
  <si>
    <t>Pocket Rocket PR-Breeze</t>
  </si>
  <si>
    <t>PRBR</t>
  </si>
  <si>
    <t>Pocket Rocket PR-Bipe</t>
  </si>
  <si>
    <t>PRBP</t>
  </si>
  <si>
    <t>Australian LightWing Speed SP-4000</t>
  </si>
  <si>
    <t>LW40</t>
  </si>
  <si>
    <t>HUGHES</t>
  </si>
  <si>
    <t>269 Sky Knight</t>
  </si>
  <si>
    <t>300 Sky Knight</t>
  </si>
  <si>
    <t>500 Defender</t>
  </si>
  <si>
    <t>530F</t>
  </si>
  <si>
    <t>AH-6C</t>
  </si>
  <si>
    <t>AH-6G</t>
  </si>
  <si>
    <t>AH-64 Apache</t>
  </si>
  <si>
    <t>Apache</t>
  </si>
  <si>
    <t>Cayuse</t>
  </si>
  <si>
    <t>Hkp5</t>
  </si>
  <si>
    <t>JAH-64 Apache</t>
  </si>
  <si>
    <t>MH-6B</t>
  </si>
  <si>
    <t>MH-6C</t>
  </si>
  <si>
    <t>MH-6E</t>
  </si>
  <si>
    <t>MH-6H</t>
  </si>
  <si>
    <t>OH-6 Cayuse</t>
  </si>
  <si>
    <t>Osage</t>
  </si>
  <si>
    <t>Sky Knight</t>
  </si>
  <si>
    <t>TH-55 Osage</t>
  </si>
  <si>
    <t>TH-300</t>
  </si>
  <si>
    <t>77 Apache</t>
  </si>
  <si>
    <t>HUMBERT</t>
  </si>
  <si>
    <t>Tetras</t>
  </si>
  <si>
    <t>TTRS</t>
  </si>
  <si>
    <t>Moto Du Ciel</t>
  </si>
  <si>
    <t>MOTO</t>
  </si>
  <si>
    <t>HUMMEL</t>
  </si>
  <si>
    <t>Hummel Bird</t>
  </si>
  <si>
    <t>HUML</t>
  </si>
  <si>
    <t>HUNTING</t>
  </si>
  <si>
    <t>P-56 Provost</t>
  </si>
  <si>
    <t>PPRO</t>
  </si>
  <si>
    <t>P-66 Pembroke</t>
  </si>
  <si>
    <t>PEMB</t>
  </si>
  <si>
    <t>P-84 Jet Provost</t>
  </si>
  <si>
    <t>Pembroke</t>
  </si>
  <si>
    <t>Provost</t>
  </si>
  <si>
    <t>HUNTING PERCIVAL</t>
  </si>
  <si>
    <t>HUREL-DUBOIS</t>
  </si>
  <si>
    <t>HD-34</t>
  </si>
  <si>
    <t>HD34</t>
  </si>
  <si>
    <t>HUZHOU TAIXIANG</t>
  </si>
  <si>
    <t>EXEC</t>
  </si>
  <si>
    <t>HYDROPLANE</t>
  </si>
  <si>
    <t>Che-22 Pelican</t>
  </si>
  <si>
    <t>Cicada</t>
  </si>
  <si>
    <t>CICA</t>
  </si>
  <si>
    <t>SkyWind</t>
  </si>
  <si>
    <t>HYNES</t>
  </si>
  <si>
    <t>HYUNDAI</t>
  </si>
  <si>
    <t>IAI</t>
  </si>
  <si>
    <t>101 Arava</t>
  </si>
  <si>
    <t>ARVA</t>
  </si>
  <si>
    <t>102 Arava</t>
  </si>
  <si>
    <t>201 Arava</t>
  </si>
  <si>
    <t>202 Arava</t>
  </si>
  <si>
    <t>707 Phalcon</t>
  </si>
  <si>
    <t>1121 Commodore Jet</t>
  </si>
  <si>
    <t>1123 Westwind</t>
  </si>
  <si>
    <t>WW23</t>
  </si>
  <si>
    <t>1124 Sea Scan</t>
  </si>
  <si>
    <t>WW24</t>
  </si>
  <si>
    <t>1124 Westwind</t>
  </si>
  <si>
    <t>1124 Westwind 1</t>
  </si>
  <si>
    <t>1124 Westwind 2</t>
  </si>
  <si>
    <t>1125 Astra</t>
  </si>
  <si>
    <t>1125 Gulfstream G100</t>
  </si>
  <si>
    <t>1126 Galaxy</t>
  </si>
  <si>
    <t>1126 Gulfstream G200</t>
  </si>
  <si>
    <t>Arava</t>
  </si>
  <si>
    <t>C-38 Astra</t>
  </si>
  <si>
    <t>CM-170R Tzukit</t>
  </si>
  <si>
    <t>Commodore Jet</t>
  </si>
  <si>
    <t>Dagger</t>
  </si>
  <si>
    <t>F-4 Kurnass 2000</t>
  </si>
  <si>
    <t>F4</t>
  </si>
  <si>
    <t>F-4 Phantom 2000</t>
  </si>
  <si>
    <t>Galaxy</t>
  </si>
  <si>
    <t>Kfir</t>
  </si>
  <si>
    <t>KFIR</t>
  </si>
  <si>
    <t>Kurnass 2000</t>
  </si>
  <si>
    <t>Phalcon</t>
  </si>
  <si>
    <t>Phantom 2000</t>
  </si>
  <si>
    <t>S-2UP Turbo Tracker</t>
  </si>
  <si>
    <t>Sea Scan</t>
  </si>
  <si>
    <t>Tzukit</t>
  </si>
  <si>
    <t>Westwind 1</t>
  </si>
  <si>
    <t>Westwind (1123)</t>
  </si>
  <si>
    <t>Westwind (1124)</t>
  </si>
  <si>
    <t>HRON</t>
  </si>
  <si>
    <t>Harfang</t>
  </si>
  <si>
    <t>IANNOTTA</t>
  </si>
  <si>
    <t>I-66 San Francisco</t>
  </si>
  <si>
    <t>I66</t>
  </si>
  <si>
    <t>San Francisco</t>
  </si>
  <si>
    <t>IAR</t>
  </si>
  <si>
    <t>IAR-46 Katty</t>
  </si>
  <si>
    <t>IR46</t>
  </si>
  <si>
    <t>IAR-330 Puma</t>
  </si>
  <si>
    <t>IS-28M2</t>
  </si>
  <si>
    <t>IS28</t>
  </si>
  <si>
    <t>Katty</t>
  </si>
  <si>
    <t>IBIS (1)</t>
  </si>
  <si>
    <t>IBIS (2)</t>
  </si>
  <si>
    <t>Grand Magic</t>
  </si>
  <si>
    <t>GMGC</t>
  </si>
  <si>
    <t>Urraco</t>
  </si>
  <si>
    <t>URRA</t>
  </si>
  <si>
    <t>ICA</t>
  </si>
  <si>
    <t>IAR-825TP Triumf</t>
  </si>
  <si>
    <t>IR25</t>
  </si>
  <si>
    <t>IAR-826</t>
  </si>
  <si>
    <t>IR22</t>
  </si>
  <si>
    <t>IAR-828</t>
  </si>
  <si>
    <t>I828</t>
  </si>
  <si>
    <t>IAR-831 Pelican</t>
  </si>
  <si>
    <t>IR31</t>
  </si>
  <si>
    <t>IS-28MA</t>
  </si>
  <si>
    <t>IR28</t>
  </si>
  <si>
    <t>Ka-126</t>
  </si>
  <si>
    <t>K126</t>
  </si>
  <si>
    <t>Triumf</t>
  </si>
  <si>
    <t>IAR-28MA</t>
  </si>
  <si>
    <t>IAR-316 Alouette 3</t>
  </si>
  <si>
    <t>IAR-821</t>
  </si>
  <si>
    <t>IR21</t>
  </si>
  <si>
    <t>IAR-822</t>
  </si>
  <si>
    <t>IAR-823</t>
  </si>
  <si>
    <t>IR23</t>
  </si>
  <si>
    <t>IAR-824</t>
  </si>
  <si>
    <t>IR24</t>
  </si>
  <si>
    <t>ICON</t>
  </si>
  <si>
    <t>A5</t>
  </si>
  <si>
    <t>ICP</t>
  </si>
  <si>
    <t>VNTR</t>
  </si>
  <si>
    <t>SA-2 Rampage</t>
  </si>
  <si>
    <t>SA2</t>
  </si>
  <si>
    <t>Rampage</t>
  </si>
  <si>
    <t>SA-2 Vimana</t>
  </si>
  <si>
    <t>Vimana</t>
  </si>
  <si>
    <t>IDEA</t>
  </si>
  <si>
    <t>Hydropteron</t>
  </si>
  <si>
    <t>HPTR</t>
  </si>
  <si>
    <t>IFB</t>
  </si>
  <si>
    <t>E-Genius</t>
  </si>
  <si>
    <t>GENI</t>
  </si>
  <si>
    <t>III</t>
  </si>
  <si>
    <t>Sky Arrow</t>
  </si>
  <si>
    <t>SKAR</t>
  </si>
  <si>
    <t>Speed Arrow</t>
  </si>
  <si>
    <t>SPAR</t>
  </si>
  <si>
    <t>IKAR</t>
  </si>
  <si>
    <t>Ai-10 Ikar</t>
  </si>
  <si>
    <t>AI10</t>
  </si>
  <si>
    <t>Ikar</t>
  </si>
  <si>
    <t>IKARUS</t>
  </si>
  <si>
    <t>Bison</t>
  </si>
  <si>
    <t>C42</t>
  </si>
  <si>
    <t>C-42</t>
  </si>
  <si>
    <t>C-42 Bison</t>
  </si>
  <si>
    <t>ILYUSHIN</t>
  </si>
  <si>
    <t>Bizon</t>
  </si>
  <si>
    <t>IL18</t>
  </si>
  <si>
    <t>Gajaraj</t>
  </si>
  <si>
    <t>IL76</t>
  </si>
  <si>
    <t>Il-14</t>
  </si>
  <si>
    <t>Il-18</t>
  </si>
  <si>
    <t>Il-18 Bizon</t>
  </si>
  <si>
    <t>Il-20</t>
  </si>
  <si>
    <t>Il-22 Zebra</t>
  </si>
  <si>
    <t>Il-24</t>
  </si>
  <si>
    <t>Il-28</t>
  </si>
  <si>
    <t>Il-38</t>
  </si>
  <si>
    <t>IL38</t>
  </si>
  <si>
    <t>Il-62</t>
  </si>
  <si>
    <t>IL62</t>
  </si>
  <si>
    <t>Il-76</t>
  </si>
  <si>
    <t>Il-76 Gajaraj</t>
  </si>
  <si>
    <t>Il-78</t>
  </si>
  <si>
    <t>Il-82</t>
  </si>
  <si>
    <t>Il-86</t>
  </si>
  <si>
    <t>IL86</t>
  </si>
  <si>
    <t>Il-87</t>
  </si>
  <si>
    <t>Il-96</t>
  </si>
  <si>
    <t>IL96</t>
  </si>
  <si>
    <t>Il-103</t>
  </si>
  <si>
    <t>I103</t>
  </si>
  <si>
    <t>Il-114</t>
  </si>
  <si>
    <t>I114</t>
  </si>
  <si>
    <t>Zebra</t>
  </si>
  <si>
    <t>IMCO</t>
  </si>
  <si>
    <t>Callair A-9</t>
  </si>
  <si>
    <t>Callair B-1</t>
  </si>
  <si>
    <t>IMP</t>
  </si>
  <si>
    <t>P-16 Turbo Tracker</t>
  </si>
  <si>
    <t>IMPULSE</t>
  </si>
  <si>
    <t>Impulse</t>
  </si>
  <si>
    <t>IMPU</t>
  </si>
  <si>
    <t>Xcite</t>
  </si>
  <si>
    <t>Xturn</t>
  </si>
  <si>
    <t>INDAER CHILE</t>
  </si>
  <si>
    <t>INDAER PERU</t>
  </si>
  <si>
    <t>Ag-Chuspi</t>
  </si>
  <si>
    <t>Chuspi</t>
  </si>
  <si>
    <t>IAP-001 Chuspi</t>
  </si>
  <si>
    <t>IAP-002 Ag-Chuspi</t>
  </si>
  <si>
    <t>INDEPENDENT</t>
  </si>
  <si>
    <t>SeaDragon</t>
  </si>
  <si>
    <t>JB1</t>
  </si>
  <si>
    <t>X-JB-1 SeaDragon</t>
  </si>
  <si>
    <t>INDUS</t>
  </si>
  <si>
    <t>Sky Skooter</t>
  </si>
  <si>
    <t>Sport E</t>
  </si>
  <si>
    <t>T-11 Sky Skooter</t>
  </si>
  <si>
    <t>T-211 Sport E</t>
  </si>
  <si>
    <t>T-211 Thorpedo</t>
  </si>
  <si>
    <t>Thorpedo</t>
  </si>
  <si>
    <t>INNOVATION</t>
  </si>
  <si>
    <t>Genesis</t>
  </si>
  <si>
    <t>GSIS</t>
  </si>
  <si>
    <t>Genesis Revelation</t>
  </si>
  <si>
    <t>SkyQuest</t>
  </si>
  <si>
    <t>SQES</t>
  </si>
  <si>
    <t>INNOVAVIATION</t>
  </si>
  <si>
    <t>FX-1</t>
  </si>
  <si>
    <t>FX1</t>
  </si>
  <si>
    <t>INPAER</t>
  </si>
  <si>
    <t>INCQ</t>
  </si>
  <si>
    <t>Excel</t>
  </si>
  <si>
    <t>INEC</t>
  </si>
  <si>
    <t>INEX</t>
  </si>
  <si>
    <t>INSTYTUT LOTNICTWA</t>
  </si>
  <si>
    <t>I-22 Iryda</t>
  </si>
  <si>
    <t>I22</t>
  </si>
  <si>
    <t>I-23 Manager</t>
  </si>
  <si>
    <t>I23</t>
  </si>
  <si>
    <t>Iryda</t>
  </si>
  <si>
    <t>IS-2</t>
  </si>
  <si>
    <t>IS2</t>
  </si>
  <si>
    <t>Manager</t>
  </si>
  <si>
    <t>INTER-AIR</t>
  </si>
  <si>
    <t>INTERAVIA</t>
  </si>
  <si>
    <t>I-1</t>
  </si>
  <si>
    <t>I-3</t>
  </si>
  <si>
    <t>I3</t>
  </si>
  <si>
    <t>INTERNATIONAL HELICOPTERS</t>
  </si>
  <si>
    <t>INTERPLANE</t>
  </si>
  <si>
    <t>Skyboy</t>
  </si>
  <si>
    <t>SBOY</t>
  </si>
  <si>
    <t>INTERSTATE</t>
  </si>
  <si>
    <t>L-6 Cadet</t>
  </si>
  <si>
    <t>S-1 Cadet</t>
  </si>
  <si>
    <t>INTRACOM</t>
  </si>
  <si>
    <t>GM-17  Viper</t>
  </si>
  <si>
    <t>GM17</t>
  </si>
  <si>
    <t>Viper</t>
  </si>
  <si>
    <t>ION</t>
  </si>
  <si>
    <t>Ion</t>
  </si>
  <si>
    <t>IPAI</t>
  </si>
  <si>
    <t>IPAI-26 Tuca</t>
  </si>
  <si>
    <t>IP26</t>
  </si>
  <si>
    <t>Tuca</t>
  </si>
  <si>
    <t>IPE</t>
  </si>
  <si>
    <t>Curucaca</t>
  </si>
  <si>
    <t>IP06</t>
  </si>
  <si>
    <t>IPE-04</t>
  </si>
  <si>
    <t>IPE-06 Curucaca</t>
  </si>
  <si>
    <t>IPE-06A</t>
  </si>
  <si>
    <t>IP6A</t>
  </si>
  <si>
    <t>IPE-010</t>
  </si>
  <si>
    <t>IP10</t>
  </si>
  <si>
    <t>IPT</t>
  </si>
  <si>
    <t>IPT-16 Surubim</t>
  </si>
  <si>
    <t>SURU</t>
  </si>
  <si>
    <t>Surubim</t>
  </si>
  <si>
    <t>IRGC</t>
  </si>
  <si>
    <t>Shahed 274</t>
  </si>
  <si>
    <t>S274</t>
  </si>
  <si>
    <t>IRIAF</t>
  </si>
  <si>
    <t>JT-2-2 Tazarve</t>
  </si>
  <si>
    <t>TZRV</t>
  </si>
  <si>
    <t>Tazarve</t>
  </si>
  <si>
    <t>S-100 Saeghe</t>
  </si>
  <si>
    <t>F5SA</t>
  </si>
  <si>
    <t>Saeghe</t>
  </si>
  <si>
    <t>IRKUT</t>
  </si>
  <si>
    <t>MC-21-300</t>
  </si>
  <si>
    <t>MC23</t>
  </si>
  <si>
    <t>A-002</t>
  </si>
  <si>
    <t>A002</t>
  </si>
  <si>
    <t>IRMA</t>
  </si>
  <si>
    <t>ISAACS</t>
  </si>
  <si>
    <t>IFUR</t>
  </si>
  <si>
    <t>Spitfire</t>
  </si>
  <si>
    <t>ISPT</t>
  </si>
  <si>
    <t>ISAE</t>
  </si>
  <si>
    <t>Omega 2</t>
  </si>
  <si>
    <t>OMGA</t>
  </si>
  <si>
    <t>ISLAND AIRCRAFT</t>
  </si>
  <si>
    <t>ISSOIRE</t>
  </si>
  <si>
    <t>APM-20 Lionceau</t>
  </si>
  <si>
    <t>APM2</t>
  </si>
  <si>
    <t>APM-21 Lion</t>
  </si>
  <si>
    <t>APM-30 Lion</t>
  </si>
  <si>
    <t>APM3</t>
  </si>
  <si>
    <t>Lion (APM-21)</t>
  </si>
  <si>
    <t>Lion (APM-30)</t>
  </si>
  <si>
    <t>Lionceau</t>
  </si>
  <si>
    <t>PIK-30</t>
  </si>
  <si>
    <t>APM-40 Simba</t>
  </si>
  <si>
    <t>APM4</t>
  </si>
  <si>
    <t>Simba</t>
  </si>
  <si>
    <t>ISTRA</t>
  </si>
  <si>
    <t>Ezhik</t>
  </si>
  <si>
    <t>EZIK</t>
  </si>
  <si>
    <t>J &amp; AS</t>
  </si>
  <si>
    <t>Fregata</t>
  </si>
  <si>
    <t>JAJ6</t>
  </si>
  <si>
    <t>J-6 Fregata</t>
  </si>
  <si>
    <t>JABIRU</t>
  </si>
  <si>
    <t>Jabiru J160</t>
  </si>
  <si>
    <t>JAB2</t>
  </si>
  <si>
    <t>Jabiru J170</t>
  </si>
  <si>
    <t>Jabiru J200</t>
  </si>
  <si>
    <t>JAB4</t>
  </si>
  <si>
    <t>Jabiru J230</t>
  </si>
  <si>
    <t>Jabiru J250</t>
  </si>
  <si>
    <t>Jabiru J400</t>
  </si>
  <si>
    <t>Jabiru J430</t>
  </si>
  <si>
    <t>Jabiru J450</t>
  </si>
  <si>
    <t>Jabiru LSA</t>
  </si>
  <si>
    <t>JABI</t>
  </si>
  <si>
    <t>Jabiru SK</t>
  </si>
  <si>
    <t>Jabiru SP</t>
  </si>
  <si>
    <t>Jabiru SP-4</t>
  </si>
  <si>
    <t>Jabiru SP-6</t>
  </si>
  <si>
    <t>Jabiru SP-T</t>
  </si>
  <si>
    <t>Jabiru ST</t>
  </si>
  <si>
    <t>Jabiru ST-3</t>
  </si>
  <si>
    <t>Jabiru J120</t>
  </si>
  <si>
    <t>JACKAROO</t>
  </si>
  <si>
    <t>Thruxton Jackaroo</t>
  </si>
  <si>
    <t>JARO</t>
  </si>
  <si>
    <t>JAG HELICOPTER</t>
  </si>
  <si>
    <t>JAG</t>
  </si>
  <si>
    <t>JAG2</t>
  </si>
  <si>
    <t>JAMES</t>
  </si>
  <si>
    <t>JANOWSKI</t>
  </si>
  <si>
    <t>JAVELIN</t>
  </si>
  <si>
    <t>Wichawk</t>
  </si>
  <si>
    <t>WICH</t>
  </si>
  <si>
    <t>JEFFAIR</t>
  </si>
  <si>
    <t>JETCRAFTERS</t>
  </si>
  <si>
    <t>Taurus 90</t>
  </si>
  <si>
    <t>JETPROP</t>
  </si>
  <si>
    <t>DLX</t>
  </si>
  <si>
    <t>P46T</t>
  </si>
  <si>
    <t>JETSTREAM</t>
  </si>
  <si>
    <t>JIANGXI CHANGHE-AGUSTA</t>
  </si>
  <si>
    <t>CA-109 Power</t>
  </si>
  <si>
    <t>JIHLAVAN</t>
  </si>
  <si>
    <t>KP-2 Rapid 200</t>
  </si>
  <si>
    <t>KP2</t>
  </si>
  <si>
    <t>KP-5 Rapid 500</t>
  </si>
  <si>
    <t>KP5</t>
  </si>
  <si>
    <t>Rapid 200</t>
  </si>
  <si>
    <t>Rapid 500</t>
  </si>
  <si>
    <t>Skyleader GP One</t>
  </si>
  <si>
    <t>GP1</t>
  </si>
  <si>
    <t>KP-2 Skyleader 150</t>
  </si>
  <si>
    <t>KP-2 Skyleader 200</t>
  </si>
  <si>
    <t>KP-5 Skyleader 500</t>
  </si>
  <si>
    <t>KP-5 Skyleader 600</t>
  </si>
  <si>
    <t>Skyleader 150</t>
  </si>
  <si>
    <t>Skyleader 200</t>
  </si>
  <si>
    <t>Skyleader 500</t>
  </si>
  <si>
    <t>Skyleader 600</t>
  </si>
  <si>
    <t>JMB AIRCRAFT</t>
  </si>
  <si>
    <t>VL-3 Evolution</t>
  </si>
  <si>
    <t>JODEL</t>
  </si>
  <si>
    <t>Abeille</t>
  </si>
  <si>
    <t>D140</t>
  </si>
  <si>
    <t>D-18</t>
  </si>
  <si>
    <t>D18</t>
  </si>
  <si>
    <t>D-19</t>
  </si>
  <si>
    <t>D-20</t>
  </si>
  <si>
    <t>D-111</t>
  </si>
  <si>
    <t>D-113</t>
  </si>
  <si>
    <t>D-114</t>
  </si>
  <si>
    <t>D-115</t>
  </si>
  <si>
    <t>D-116</t>
  </si>
  <si>
    <t>D-118</t>
  </si>
  <si>
    <t>D-119</t>
  </si>
  <si>
    <t>D-120</t>
  </si>
  <si>
    <t>D-121</t>
  </si>
  <si>
    <t>D-122</t>
  </si>
  <si>
    <t>D-123</t>
  </si>
  <si>
    <t>D-124</t>
  </si>
  <si>
    <t>D-125</t>
  </si>
  <si>
    <t>D-126</t>
  </si>
  <si>
    <t>D-140 Abeille</t>
  </si>
  <si>
    <t>D-140 Mousquetaire</t>
  </si>
  <si>
    <t>D-150 Mascaret</t>
  </si>
  <si>
    <t>D150</t>
  </si>
  <si>
    <t>Mascaret</t>
  </si>
  <si>
    <t>Mousquetaire</t>
  </si>
  <si>
    <t>JOHNSON</t>
  </si>
  <si>
    <t>Rocket 185</t>
  </si>
  <si>
    <t>R185</t>
  </si>
  <si>
    <t>JOHNSTON</t>
  </si>
  <si>
    <t>Super Brave</t>
  </si>
  <si>
    <t>JONKER</t>
  </si>
  <si>
    <t>JS-1TJ Revelation</t>
  </si>
  <si>
    <t>TS1J</t>
  </si>
  <si>
    <t>Revelation</t>
  </si>
  <si>
    <t>JORDAN AEROSPACE</t>
  </si>
  <si>
    <t>CH-8000 Shark</t>
  </si>
  <si>
    <t>CH-2000 Sama</t>
  </si>
  <si>
    <t>CH-8000 Hawk 1</t>
  </si>
  <si>
    <t>Hawk 1</t>
  </si>
  <si>
    <t>Sama</t>
  </si>
  <si>
    <t>JUNKERS</t>
  </si>
  <si>
    <t>Ju-52/3m</t>
  </si>
  <si>
    <t>F-13 Replica</t>
  </si>
  <si>
    <t>F13</t>
  </si>
  <si>
    <t>JUNKERS PROFLY</t>
  </si>
  <si>
    <t>Junka</t>
  </si>
  <si>
    <t>KAK3</t>
  </si>
  <si>
    <t>JUNQUA</t>
  </si>
  <si>
    <t>RJ03</t>
  </si>
  <si>
    <t>RJ-03 Ibis</t>
  </si>
  <si>
    <t>JURCA</t>
  </si>
  <si>
    <t>1-Nine-0</t>
  </si>
  <si>
    <t>MJ8</t>
  </si>
  <si>
    <t>Autan</t>
  </si>
  <si>
    <t>MJ53</t>
  </si>
  <si>
    <t>Biso</t>
  </si>
  <si>
    <t>MJ55</t>
  </si>
  <si>
    <t>Dart</t>
  </si>
  <si>
    <t>MJ3</t>
  </si>
  <si>
    <t>Focke-Wulf Fw-190 Replica</t>
  </si>
  <si>
    <t>MJ80</t>
  </si>
  <si>
    <t>Gnatsum (MJ-7)</t>
  </si>
  <si>
    <t>Gnatsum (MJ-77)</t>
  </si>
  <si>
    <t>MJ77</t>
  </si>
  <si>
    <t>Messerschmitt Bf-109 Replica</t>
  </si>
  <si>
    <t>MJ90</t>
  </si>
  <si>
    <t>MJ-2 Tempête</t>
  </si>
  <si>
    <t>MJ2</t>
  </si>
  <si>
    <t>MJ-3 Dart</t>
  </si>
  <si>
    <t>MJ-4 Shadow</t>
  </si>
  <si>
    <t>MJ4</t>
  </si>
  <si>
    <t>MJ-5 Sirocco</t>
  </si>
  <si>
    <t>MJ5</t>
  </si>
  <si>
    <t>MJ-7 Gnatsum</t>
  </si>
  <si>
    <t>MJ-8 1-Nine-0</t>
  </si>
  <si>
    <t>MJ-9</t>
  </si>
  <si>
    <t>MJ9</t>
  </si>
  <si>
    <t>MJ-10 Spit</t>
  </si>
  <si>
    <t>MJ10</t>
  </si>
  <si>
    <t>MJ-12 P-40</t>
  </si>
  <si>
    <t>MJ12</t>
  </si>
  <si>
    <t>MJ-20 Tempête</t>
  </si>
  <si>
    <t>MJ-22 Tempête</t>
  </si>
  <si>
    <t>MJ-53 Autan</t>
  </si>
  <si>
    <t>MJ-55 Biso</t>
  </si>
  <si>
    <t>MJ-77 Gnatsum</t>
  </si>
  <si>
    <t>MJ-80 Focke-Wulf Fw-190 Replica</t>
  </si>
  <si>
    <t>MJ-90 Messerschmitt Bf-109 Replica</t>
  </si>
  <si>
    <t>MJ-100 Spitfire Replica</t>
  </si>
  <si>
    <t>MJ1H</t>
  </si>
  <si>
    <t>P-40</t>
  </si>
  <si>
    <t>Sirocco</t>
  </si>
  <si>
    <t>Spit</t>
  </si>
  <si>
    <t>Spitfire Replica</t>
  </si>
  <si>
    <t>Tempête</t>
  </si>
  <si>
    <t>JUST</t>
  </si>
  <si>
    <t>Escapade</t>
  </si>
  <si>
    <t>ESCP</t>
  </si>
  <si>
    <t>HIGH</t>
  </si>
  <si>
    <t>K &amp; S</t>
  </si>
  <si>
    <t>Cavalier (SA-102.5)</t>
  </si>
  <si>
    <t>SA02</t>
  </si>
  <si>
    <t>Cavalier (SA-103)</t>
  </si>
  <si>
    <t>SA03</t>
  </si>
  <si>
    <t>Cavalier (SA-104)</t>
  </si>
  <si>
    <t>SA04</t>
  </si>
  <si>
    <t>SA-102.5 Cavalier</t>
  </si>
  <si>
    <t>SA-103 Cavalier</t>
  </si>
  <si>
    <t>SA-104 Cavalier</t>
  </si>
  <si>
    <t>SA-105 Super Cavalier</t>
  </si>
  <si>
    <t>SA05</t>
  </si>
  <si>
    <t>Super Cavalier</t>
  </si>
  <si>
    <t>KADER</t>
  </si>
  <si>
    <t>Aeropony</t>
  </si>
  <si>
    <t>G-10 Aeropony</t>
  </si>
  <si>
    <t>KAISER</t>
  </si>
  <si>
    <t>MGIC</t>
  </si>
  <si>
    <t>KALINAUSKAS</t>
  </si>
  <si>
    <t>RK-5</t>
  </si>
  <si>
    <t>RK5</t>
  </si>
  <si>
    <t>KAMAN</t>
  </si>
  <si>
    <t>H-43A</t>
  </si>
  <si>
    <t>H43A</t>
  </si>
  <si>
    <t>HH-43A</t>
  </si>
  <si>
    <t>HH-43B Huskie</t>
  </si>
  <si>
    <t>H43B</t>
  </si>
  <si>
    <t>HH-43F Huskie</t>
  </si>
  <si>
    <t>HOK</t>
  </si>
  <si>
    <t>HUK</t>
  </si>
  <si>
    <t>Huskie</t>
  </si>
  <si>
    <t>K-20 Seasprite</t>
  </si>
  <si>
    <t>H2</t>
  </si>
  <si>
    <t>K-600</t>
  </si>
  <si>
    <t>K-600-3 Huskie</t>
  </si>
  <si>
    <t>K-600-5 Huskie</t>
  </si>
  <si>
    <t>K-894 Super Seasprite</t>
  </si>
  <si>
    <t>K-1200 K-Max</t>
  </si>
  <si>
    <t>KMAX</t>
  </si>
  <si>
    <t>K-Max</t>
  </si>
  <si>
    <t>OH-43</t>
  </si>
  <si>
    <t>Seasprite</t>
  </si>
  <si>
    <t>SH-2 Seasprite</t>
  </si>
  <si>
    <t>SH-2 Super Seasprite</t>
  </si>
  <si>
    <t>Super Seasprite</t>
  </si>
  <si>
    <t>UH-43</t>
  </si>
  <si>
    <t>KAMINSKAS</t>
  </si>
  <si>
    <t>Jungster 1</t>
  </si>
  <si>
    <t>Jungster 2</t>
  </si>
  <si>
    <t>RK-1 Jungster 1</t>
  </si>
  <si>
    <t>RK-2 Jungster 2</t>
  </si>
  <si>
    <t>KAMOV</t>
  </si>
  <si>
    <t>Alligator</t>
  </si>
  <si>
    <t>KA52</t>
  </si>
  <si>
    <t>Black Shark</t>
  </si>
  <si>
    <t>KA50</t>
  </si>
  <si>
    <t>Chernaya Akula</t>
  </si>
  <si>
    <t>Ka-25</t>
  </si>
  <si>
    <t>KA25</t>
  </si>
  <si>
    <t>Ka-26</t>
  </si>
  <si>
    <t>KA26</t>
  </si>
  <si>
    <t>Ka-27</t>
  </si>
  <si>
    <t>KA27</t>
  </si>
  <si>
    <t>Ka-28</t>
  </si>
  <si>
    <t>Ka-29</t>
  </si>
  <si>
    <t>Ka-31</t>
  </si>
  <si>
    <t>Ka-32</t>
  </si>
  <si>
    <t>Ka-50 Black Shark</t>
  </si>
  <si>
    <t>Ka-50 Chernaya Akula</t>
  </si>
  <si>
    <t>Ka-50 Werewolf</t>
  </si>
  <si>
    <t>Ka-52 Alligator</t>
  </si>
  <si>
    <t>Ka-60 Kasatka</t>
  </si>
  <si>
    <t>KA62</t>
  </si>
  <si>
    <t>Ka-62</t>
  </si>
  <si>
    <t>Ka-226 Sergei</t>
  </si>
  <si>
    <t>K226</t>
  </si>
  <si>
    <t>Kasatka</t>
  </si>
  <si>
    <t>Sergei</t>
  </si>
  <si>
    <t>Werewolf</t>
  </si>
  <si>
    <t>HH-32</t>
  </si>
  <si>
    <t>Ka-252</t>
  </si>
  <si>
    <t>KANPUR</t>
  </si>
  <si>
    <t>KAPPA</t>
  </si>
  <si>
    <t>KP-2 Sova</t>
  </si>
  <si>
    <t>Sova</t>
  </si>
  <si>
    <t>KARI</t>
  </si>
  <si>
    <t>KAFI</t>
  </si>
  <si>
    <t>Twinbee</t>
  </si>
  <si>
    <t>KATB</t>
  </si>
  <si>
    <t>KARI-KEEN</t>
  </si>
  <si>
    <t>60 Coupe</t>
  </si>
  <si>
    <t>KK60</t>
  </si>
  <si>
    <t>Coupe</t>
  </si>
  <si>
    <t>KAWASAKI</t>
  </si>
  <si>
    <t>C-1</t>
  </si>
  <si>
    <t>C1</t>
  </si>
  <si>
    <t>EP-3 Orion</t>
  </si>
  <si>
    <t>P3</t>
  </si>
  <si>
    <t>KH-4</t>
  </si>
  <si>
    <t>KH4</t>
  </si>
  <si>
    <t>KHI-01</t>
  </si>
  <si>
    <t>KV-107</t>
  </si>
  <si>
    <t>OH-1</t>
  </si>
  <si>
    <t>OH1</t>
  </si>
  <si>
    <t>OH-6</t>
  </si>
  <si>
    <t>P-3 Orion</t>
  </si>
  <si>
    <t>T-4</t>
  </si>
  <si>
    <t>T4</t>
  </si>
  <si>
    <t>T-33</t>
  </si>
  <si>
    <t>TH-55</t>
  </si>
  <si>
    <t>UP-3 Orion</t>
  </si>
  <si>
    <t>C-2</t>
  </si>
  <si>
    <t>KC2</t>
  </si>
  <si>
    <t>P-1</t>
  </si>
  <si>
    <t>P1</t>
  </si>
  <si>
    <t>UP-1</t>
  </si>
  <si>
    <t>CH-101</t>
  </si>
  <si>
    <t>XC-2</t>
  </si>
  <si>
    <t>EC-1</t>
  </si>
  <si>
    <t>RC-2</t>
  </si>
  <si>
    <t>KAZAN</t>
  </si>
  <si>
    <t>Ansat</t>
  </si>
  <si>
    <t>ANST</t>
  </si>
  <si>
    <t>Ansat 2RT</t>
  </si>
  <si>
    <t>A2RT</t>
  </si>
  <si>
    <t>KELEHER</t>
  </si>
  <si>
    <t>Lark</t>
  </si>
  <si>
    <t>KELA</t>
  </si>
  <si>
    <t>KELLY</t>
  </si>
  <si>
    <t>KELD</t>
  </si>
  <si>
    <t>KELOWNA</t>
  </si>
  <si>
    <t>CV-5800</t>
  </si>
  <si>
    <t>KESTREL (1)</t>
  </si>
  <si>
    <t>K-250</t>
  </si>
  <si>
    <t>K250</t>
  </si>
  <si>
    <t>KESTREL (2)</t>
  </si>
  <si>
    <t>Float Hawk</t>
  </si>
  <si>
    <t>KEHA</t>
  </si>
  <si>
    <t>Sport Hawk</t>
  </si>
  <si>
    <t>KEUTHAN</t>
  </si>
  <si>
    <t>KEYSTONE</t>
  </si>
  <si>
    <t>S-76</t>
  </si>
  <si>
    <t>S76</t>
  </si>
  <si>
    <t>KHRUNICHEV</t>
  </si>
  <si>
    <t>Aist</t>
  </si>
  <si>
    <t>Snegir</t>
  </si>
  <si>
    <t>T415</t>
  </si>
  <si>
    <t>T-411 Aist</t>
  </si>
  <si>
    <t>T-411 Wolverine</t>
  </si>
  <si>
    <t>T-415 Snegir</t>
  </si>
  <si>
    <t>KAT3</t>
  </si>
  <si>
    <t>AT-419 Strekoza</t>
  </si>
  <si>
    <t>T419</t>
  </si>
  <si>
    <t>Strekoza</t>
  </si>
  <si>
    <t>KIEGER</t>
  </si>
  <si>
    <t>KAK1</t>
  </si>
  <si>
    <t>AK-3</t>
  </si>
  <si>
    <t>KILLINGSWORTH</t>
  </si>
  <si>
    <t>DSK-1 Hawk</t>
  </si>
  <si>
    <t>DSK</t>
  </si>
  <si>
    <t>DSK-2 Golden Hawk</t>
  </si>
  <si>
    <t>Golden Hawk</t>
  </si>
  <si>
    <t>KIMBALL</t>
  </si>
  <si>
    <t>Macho Stinker</t>
  </si>
  <si>
    <t>PTMS</t>
  </si>
  <si>
    <t>McCullocoupe</t>
  </si>
  <si>
    <t>MCUL</t>
  </si>
  <si>
    <t>S-12 Macho Stinker</t>
  </si>
  <si>
    <t>S-12 Super Stinker</t>
  </si>
  <si>
    <t>Ti-12</t>
  </si>
  <si>
    <t>S-12 Python</t>
  </si>
  <si>
    <t>Python</t>
  </si>
  <si>
    <t>KIMBREL</t>
  </si>
  <si>
    <t>Dormoy Bathtub</t>
  </si>
  <si>
    <t>BTUB</t>
  </si>
  <si>
    <t>KINETIC</t>
  </si>
  <si>
    <t>Mountain Goat</t>
  </si>
  <si>
    <t>MOGO</t>
  </si>
  <si>
    <t>KING'S</t>
  </si>
  <si>
    <t>KITFOX</t>
  </si>
  <si>
    <t>KITPLANES FOR AFRICA</t>
  </si>
  <si>
    <t>Bushbaby</t>
  </si>
  <si>
    <t>KFAB</t>
  </si>
  <si>
    <t>KFAS</t>
  </si>
  <si>
    <t>KLEMM</t>
  </si>
  <si>
    <t>Kl-35</t>
  </si>
  <si>
    <t>KL35</t>
  </si>
  <si>
    <t>L-25</t>
  </si>
  <si>
    <t>KL25</t>
  </si>
  <si>
    <t>KLN</t>
  </si>
  <si>
    <t>KLS COMPOSITES</t>
  </si>
  <si>
    <t>KOLB</t>
  </si>
  <si>
    <t>King Colbra</t>
  </si>
  <si>
    <t>KLBR</t>
  </si>
  <si>
    <t>Laser</t>
  </si>
  <si>
    <t>KOLL</t>
  </si>
  <si>
    <t>KOPTER</t>
  </si>
  <si>
    <t>SH-09</t>
  </si>
  <si>
    <t>SH09</t>
  </si>
  <si>
    <t>KOREA AEROSPACE</t>
  </si>
  <si>
    <t>A-50 Golden Eagle</t>
  </si>
  <si>
    <t>K50</t>
  </si>
  <si>
    <t>KO-1 Woong-Bee</t>
  </si>
  <si>
    <t>SB-427</t>
  </si>
  <si>
    <t>T-50 Golden Eagle</t>
  </si>
  <si>
    <t>XKO-1 Woong-Bee</t>
  </si>
  <si>
    <t>XKT-1 Woong-Bee</t>
  </si>
  <si>
    <t>KA-1 Woong-Bee</t>
  </si>
  <si>
    <t>F/A-50 Golden Eagle</t>
  </si>
  <si>
    <t>T/A-50 Golden Eagle</t>
  </si>
  <si>
    <t>Surion</t>
  </si>
  <si>
    <t>SURN</t>
  </si>
  <si>
    <t>KOREAN AIR</t>
  </si>
  <si>
    <t>520MK Black Tiger</t>
  </si>
  <si>
    <t>Black Tiger</t>
  </si>
  <si>
    <t>Chang-Gong 91</t>
  </si>
  <si>
    <t>CHGO</t>
  </si>
  <si>
    <t>Chegoong-Ho</t>
  </si>
  <si>
    <t>CHK-91 Chang-Gong 91</t>
  </si>
  <si>
    <t>F-5 Chegoong-Ho</t>
  </si>
  <si>
    <t>UH-60 Black Hawk</t>
  </si>
  <si>
    <t>KOVACH-ELMENDORF</t>
  </si>
  <si>
    <t>Doc's RX</t>
  </si>
  <si>
    <t>DOCX</t>
  </si>
  <si>
    <t>ES-3 Doc's RX</t>
  </si>
  <si>
    <t>KOVACS</t>
  </si>
  <si>
    <t>K-51 Peregrino</t>
  </si>
  <si>
    <t>K51</t>
  </si>
  <si>
    <t>Peregrino</t>
  </si>
  <si>
    <t>KREIDER-REISNER</t>
  </si>
  <si>
    <t>C-4 Challenger</t>
  </si>
  <si>
    <t>C-2 Challenger</t>
  </si>
  <si>
    <t>Challenger (C-2)</t>
  </si>
  <si>
    <t>C-6 Challenger</t>
  </si>
  <si>
    <t>Challenger (C-6)</t>
  </si>
  <si>
    <t>Challenger (C-4)</t>
  </si>
  <si>
    <t>KUBICEK</t>
  </si>
  <si>
    <t>M-2 Scout</t>
  </si>
  <si>
    <t>M2</t>
  </si>
  <si>
    <t>LA FRANCE</t>
  </si>
  <si>
    <t>Cadet STF</t>
  </si>
  <si>
    <t>LAIRD</t>
  </si>
  <si>
    <t>Commercial</t>
  </si>
  <si>
    <t>LCB</t>
  </si>
  <si>
    <t>LC-B Commercial</t>
  </si>
  <si>
    <t>LC-1B Commercial</t>
  </si>
  <si>
    <t>LC-R Speedwing</t>
  </si>
  <si>
    <t>LCR</t>
  </si>
  <si>
    <t>Speedwing</t>
  </si>
  <si>
    <t>LAK</t>
  </si>
  <si>
    <t>LAK-17AT</t>
  </si>
  <si>
    <t>LK17</t>
  </si>
  <si>
    <t>LAK-19T</t>
  </si>
  <si>
    <t>LK19</t>
  </si>
  <si>
    <t>LAK-20M</t>
  </si>
  <si>
    <t>LK20</t>
  </si>
  <si>
    <t>LAKE</t>
  </si>
  <si>
    <t>LA4</t>
  </si>
  <si>
    <t>LA-4</t>
  </si>
  <si>
    <t>LA-4 Buccaneer</t>
  </si>
  <si>
    <t>LA-200</t>
  </si>
  <si>
    <t>LA-250 Renegade</t>
  </si>
  <si>
    <t>LA25</t>
  </si>
  <si>
    <t>LA-250 Seafury</t>
  </si>
  <si>
    <t>LA-250 Seawolf</t>
  </si>
  <si>
    <t>LA-250 Turbo Renegade</t>
  </si>
  <si>
    <t>LA-270 Turbo Renegade</t>
  </si>
  <si>
    <t>LA-270 Turbo Seafury</t>
  </si>
  <si>
    <t>Renegade</t>
  </si>
  <si>
    <t>Seafury</t>
  </si>
  <si>
    <t>Seawolf</t>
  </si>
  <si>
    <t>Turbo Renegade</t>
  </si>
  <si>
    <t>Turbo Seafury</t>
  </si>
  <si>
    <t>LAMBACH</t>
  </si>
  <si>
    <t>HL-2 Replica</t>
  </si>
  <si>
    <t>HL2</t>
  </si>
  <si>
    <t>LAMBERT</t>
  </si>
  <si>
    <t>M-106 Mission</t>
  </si>
  <si>
    <t>M106</t>
  </si>
  <si>
    <t>M-212 Mission</t>
  </si>
  <si>
    <t>M212</t>
  </si>
  <si>
    <t>Mission (M-106)</t>
  </si>
  <si>
    <t>Mission (M-212)</t>
  </si>
  <si>
    <t>M-108 Mission</t>
  </si>
  <si>
    <t>M108</t>
  </si>
  <si>
    <t>Mission (M-108)</t>
  </si>
  <si>
    <t>LAMMER GEYER</t>
  </si>
  <si>
    <t>JUPI</t>
  </si>
  <si>
    <t>LANCAIR</t>
  </si>
  <si>
    <t>Columbia 300</t>
  </si>
  <si>
    <t>Lancair 4</t>
  </si>
  <si>
    <t>LNC4</t>
  </si>
  <si>
    <t>Lancair 200</t>
  </si>
  <si>
    <t>LNC2</t>
  </si>
  <si>
    <t>Lancair 235</t>
  </si>
  <si>
    <t>Lancair 320</t>
  </si>
  <si>
    <t>Lancair 360</t>
  </si>
  <si>
    <t>Lancair ES</t>
  </si>
  <si>
    <t>LNCE</t>
  </si>
  <si>
    <t>Lancair PropJet 4</t>
  </si>
  <si>
    <t>LNP4</t>
  </si>
  <si>
    <t>Lancair Super ES</t>
  </si>
  <si>
    <t>LC-40 Columbia 300</t>
  </si>
  <si>
    <t>Sentry 4T</t>
  </si>
  <si>
    <t>LNT4</t>
  </si>
  <si>
    <t>Tigress</t>
  </si>
  <si>
    <t>TGRS</t>
  </si>
  <si>
    <t>Evolution Piston</t>
  </si>
  <si>
    <t>EVOP</t>
  </si>
  <si>
    <t>Evolution Turbine</t>
  </si>
  <si>
    <t>EVOT</t>
  </si>
  <si>
    <t>Lancair ES-P</t>
  </si>
  <si>
    <t>LESP</t>
  </si>
  <si>
    <t>Mako</t>
  </si>
  <si>
    <t>MAKO</t>
  </si>
  <si>
    <t>Legacy</t>
  </si>
  <si>
    <t>LEG2</t>
  </si>
  <si>
    <t>LANCASHIRE</t>
  </si>
  <si>
    <t>EP-9 Prospector</t>
  </si>
  <si>
    <t>LANGE</t>
  </si>
  <si>
    <t>E-1 Antares 20E</t>
  </si>
  <si>
    <t>LAE1</t>
  </si>
  <si>
    <t>E-1 Antares DLR-H2</t>
  </si>
  <si>
    <t>DLH2</t>
  </si>
  <si>
    <t>Antares DLR-H2</t>
  </si>
  <si>
    <t>Antares 20E</t>
  </si>
  <si>
    <t>LANSHE</t>
  </si>
  <si>
    <t>LA-250 Renegade 2</t>
  </si>
  <si>
    <t>Renegade 2</t>
  </si>
  <si>
    <t>SP-26</t>
  </si>
  <si>
    <t>SP20</t>
  </si>
  <si>
    <t>LASER</t>
  </si>
  <si>
    <t>Akro Z</t>
  </si>
  <si>
    <t>LAKR</t>
  </si>
  <si>
    <t>LAVEN</t>
  </si>
  <si>
    <t>LACO-125</t>
  </si>
  <si>
    <t>LACO</t>
  </si>
  <si>
    <t>LACO-145</t>
  </si>
  <si>
    <t>LAVERDA</t>
  </si>
  <si>
    <t>LAVIASA</t>
  </si>
  <si>
    <t>PA-25 Puelche</t>
  </si>
  <si>
    <t>Puelche</t>
  </si>
  <si>
    <t>LAV-51 Master</t>
  </si>
  <si>
    <t>LV51</t>
  </si>
  <si>
    <t>LAV-51 Super Master</t>
  </si>
  <si>
    <t>Super Master</t>
  </si>
  <si>
    <t>LEAR</t>
  </si>
  <si>
    <t>Learstar</t>
  </si>
  <si>
    <t>LEAR JET</t>
  </si>
  <si>
    <t>LJ23</t>
  </si>
  <si>
    <t>LEARJET</t>
  </si>
  <si>
    <t>LJ40</t>
  </si>
  <si>
    <t>LJ45</t>
  </si>
  <si>
    <t>LJ60</t>
  </si>
  <si>
    <t>VU-35</t>
  </si>
  <si>
    <t>VU-55</t>
  </si>
  <si>
    <t>LJ70</t>
  </si>
  <si>
    <t>LJ75</t>
  </si>
  <si>
    <t>LJ85</t>
  </si>
  <si>
    <t>75 Liberty</t>
  </si>
  <si>
    <t>Liberty</t>
  </si>
  <si>
    <t>LEAVENS</t>
  </si>
  <si>
    <t>LEDERLIN</t>
  </si>
  <si>
    <t>380 Ladybug</t>
  </si>
  <si>
    <t>L380</t>
  </si>
  <si>
    <t>LEGEND</t>
  </si>
  <si>
    <t>Turbine Legend</t>
  </si>
  <si>
    <t>TLEG</t>
  </si>
  <si>
    <t>LEGEND FLYERS</t>
  </si>
  <si>
    <t>Me-262</t>
  </si>
  <si>
    <t>ME62</t>
  </si>
  <si>
    <t>LEGER</t>
  </si>
  <si>
    <t>Super-Chipmunk</t>
  </si>
  <si>
    <t>CHIP</t>
  </si>
  <si>
    <t>LEONARDO</t>
  </si>
  <si>
    <t>M-345</t>
  </si>
  <si>
    <t>M345</t>
  </si>
  <si>
    <t>T-345</t>
  </si>
  <si>
    <t>LEONARDO-FINMECCANICA</t>
  </si>
  <si>
    <t>LET</t>
  </si>
  <si>
    <t>Aero 45</t>
  </si>
  <si>
    <t>Blanik (single-engine conversions)</t>
  </si>
  <si>
    <t>L13M</t>
  </si>
  <si>
    <t>C-11</t>
  </si>
  <si>
    <t>YK11</t>
  </si>
  <si>
    <t>Cmelák</t>
  </si>
  <si>
    <t>Z37P</t>
  </si>
  <si>
    <t>L-13 Blanik (single-engine conversions)</t>
  </si>
  <si>
    <t>L-200 Morava</t>
  </si>
  <si>
    <t>L200</t>
  </si>
  <si>
    <t>L-420 Turbolet</t>
  </si>
  <si>
    <t>L-610</t>
  </si>
  <si>
    <t>L610</t>
  </si>
  <si>
    <t>Morava</t>
  </si>
  <si>
    <t>Sparka</t>
  </si>
  <si>
    <t>Super Aero 145</t>
  </si>
  <si>
    <t>Z-37 Cmelák</t>
  </si>
  <si>
    <t>Z-37 Sparka</t>
  </si>
  <si>
    <t>Z-37A Cmelák</t>
  </si>
  <si>
    <t>Z-37C Cmelák</t>
  </si>
  <si>
    <t>Z-237 Cmelák</t>
  </si>
  <si>
    <t>LEZA</t>
  </si>
  <si>
    <t>Air Cam</t>
  </si>
  <si>
    <t>ACAM</t>
  </si>
  <si>
    <t>LEZA-LOCKWOOD</t>
  </si>
  <si>
    <t>LH AVIATION</t>
  </si>
  <si>
    <t>LH10</t>
  </si>
  <si>
    <t>LH-10 Ellipse</t>
  </si>
  <si>
    <t>LIBERTY (1)</t>
  </si>
  <si>
    <t>Bellaire</t>
  </si>
  <si>
    <t>LIBE</t>
  </si>
  <si>
    <t>LIBERTY (2)</t>
  </si>
  <si>
    <t>LICHTWERK</t>
  </si>
  <si>
    <t>LIGHT AERO</t>
  </si>
  <si>
    <t>LIGHT MINIATURE</t>
  </si>
  <si>
    <t>LM-5 Super Cub</t>
  </si>
  <si>
    <t>LM5X</t>
  </si>
  <si>
    <t>LIGHT WING</t>
  </si>
  <si>
    <t>AC-4</t>
  </si>
  <si>
    <t>AC4</t>
  </si>
  <si>
    <t>LIGHTNING BUG</t>
  </si>
  <si>
    <t>Lightning Bug</t>
  </si>
  <si>
    <t>LBUG</t>
  </si>
  <si>
    <t>LILIENTHAL</t>
  </si>
  <si>
    <t>Bekas (X-32)</t>
  </si>
  <si>
    <t>LX32</t>
  </si>
  <si>
    <t>Bekas (X-34)</t>
  </si>
  <si>
    <t>LX34</t>
  </si>
  <si>
    <t>X-32 Bekas</t>
  </si>
  <si>
    <t>X-34 Bekas</t>
  </si>
  <si>
    <t>Sintal</t>
  </si>
  <si>
    <t>S-2 Sintal</t>
  </si>
  <si>
    <t>LIPNUR</t>
  </si>
  <si>
    <t>Gawron</t>
  </si>
  <si>
    <t>PZ01</t>
  </si>
  <si>
    <t>Gelatik</t>
  </si>
  <si>
    <t>PZ04</t>
  </si>
  <si>
    <t>PZL-101 Gawron</t>
  </si>
  <si>
    <t>LISA</t>
  </si>
  <si>
    <t>Akoya</t>
  </si>
  <si>
    <t>AKOY</t>
  </si>
  <si>
    <t>LISUNOV</t>
  </si>
  <si>
    <t>Li-2</t>
  </si>
  <si>
    <t>LITTLE WING</t>
  </si>
  <si>
    <t>LW-4 Roto-Pup</t>
  </si>
  <si>
    <t>RPUP</t>
  </si>
  <si>
    <t>LW-5 Roto-Pup</t>
  </si>
  <si>
    <t>Roto-Pup</t>
  </si>
  <si>
    <t>LMAASA</t>
  </si>
  <si>
    <t>LOAD RANGER</t>
  </si>
  <si>
    <t>LR2T</t>
  </si>
  <si>
    <t>LOCKHEED</t>
  </si>
  <si>
    <t>AC-130 Spectre</t>
  </si>
  <si>
    <t>C130</t>
  </si>
  <si>
    <t>AP-3 Orion</t>
  </si>
  <si>
    <t>Arcturus</t>
  </si>
  <si>
    <t>AT-33</t>
  </si>
  <si>
    <t>Aurora</t>
  </si>
  <si>
    <t>Aya</t>
  </si>
  <si>
    <t>B-34 Lexington</t>
  </si>
  <si>
    <t>C-40 Electra Junior</t>
  </si>
  <si>
    <t>L12</t>
  </si>
  <si>
    <t>C-56 Lodestar</t>
  </si>
  <si>
    <t>C-57 Lodestar</t>
  </si>
  <si>
    <t>C-59 Lodestar</t>
  </si>
  <si>
    <t>C-60 Lodestar</t>
  </si>
  <si>
    <t>C-121 Constellation</t>
  </si>
  <si>
    <t>CONI</t>
  </si>
  <si>
    <t>C-130 Karnaf</t>
  </si>
  <si>
    <t>C-130A Hercules</t>
  </si>
  <si>
    <t>C-130B Hercules</t>
  </si>
  <si>
    <t>C-130E Hercules</t>
  </si>
  <si>
    <t>C-130F Hercules</t>
  </si>
  <si>
    <t>C-130H Hercules</t>
  </si>
  <si>
    <t>C-130K Hercules</t>
  </si>
  <si>
    <t>C-141 Starlifter</t>
  </si>
  <si>
    <t>C141</t>
  </si>
  <si>
    <t>CC-130 Hercules</t>
  </si>
  <si>
    <t>Constellation</t>
  </si>
  <si>
    <t>CP-140 Arcturus</t>
  </si>
  <si>
    <t>CP-140 Aurora</t>
  </si>
  <si>
    <t>DC-130 Hercules</t>
  </si>
  <si>
    <t>EC-121 Constellation</t>
  </si>
  <si>
    <t>EC-130 Aya</t>
  </si>
  <si>
    <t>EC-130 Sapeer</t>
  </si>
  <si>
    <t>EC-130E Hercules</t>
  </si>
  <si>
    <t>EC-130G Hercules</t>
  </si>
  <si>
    <t>EC-130H Hercules</t>
  </si>
  <si>
    <t>EC-130Q Hercules</t>
  </si>
  <si>
    <t>Electra (L-10)</t>
  </si>
  <si>
    <t>L10</t>
  </si>
  <si>
    <t>Electra (L-188)</t>
  </si>
  <si>
    <t>L188</t>
  </si>
  <si>
    <t>Electra Junior</t>
  </si>
  <si>
    <t>ER-2</t>
  </si>
  <si>
    <t>U2</t>
  </si>
  <si>
    <t>F-5 Lightning</t>
  </si>
  <si>
    <t>P38</t>
  </si>
  <si>
    <t>F-117 Nighthawk</t>
  </si>
  <si>
    <t>F117</t>
  </si>
  <si>
    <t>HC-130 Hercules</t>
  </si>
  <si>
    <t>Hercules (T-56 engines)</t>
  </si>
  <si>
    <t>Hudson</t>
  </si>
  <si>
    <t>L14</t>
  </si>
  <si>
    <t>JC-130 Hercules</t>
  </si>
  <si>
    <t>Jetstar 2</t>
  </si>
  <si>
    <t>L29B</t>
  </si>
  <si>
    <t>Jetstar 6</t>
  </si>
  <si>
    <t>L29A</t>
  </si>
  <si>
    <t>Jetstar 8</t>
  </si>
  <si>
    <t>Jetstar 731</t>
  </si>
  <si>
    <t>JO Electra Junior</t>
  </si>
  <si>
    <t>Karnaf</t>
  </si>
  <si>
    <t>KC-130 Karnaf</t>
  </si>
  <si>
    <t>KC-130B Hercules</t>
  </si>
  <si>
    <t>KC-130F Hercules</t>
  </si>
  <si>
    <t>KC-130H Hercules</t>
  </si>
  <si>
    <t>KC-130R Hercules</t>
  </si>
  <si>
    <t>KC-130T Hercules</t>
  </si>
  <si>
    <t>L-10 Electra</t>
  </si>
  <si>
    <t>L-12 Electra Junior</t>
  </si>
  <si>
    <t>L-14 Hudson</t>
  </si>
  <si>
    <t>L-14 Super Electra</t>
  </si>
  <si>
    <t>L-15 Harpoon</t>
  </si>
  <si>
    <t>L-18 Lodestar</t>
  </si>
  <si>
    <t>L-049 Constellation</t>
  </si>
  <si>
    <t>L-100 Hercules</t>
  </si>
  <si>
    <t>L-137 Ventura</t>
  </si>
  <si>
    <t>L-185 Orion</t>
  </si>
  <si>
    <t>L-188 Electra</t>
  </si>
  <si>
    <t>L-222 Lightning</t>
  </si>
  <si>
    <t>L-237 Ventura</t>
  </si>
  <si>
    <t>L-285 Orion</t>
  </si>
  <si>
    <t>L-300 Starlifter</t>
  </si>
  <si>
    <t>L-322 Lightning</t>
  </si>
  <si>
    <t>L-394 Viking</t>
  </si>
  <si>
    <t>S3</t>
  </si>
  <si>
    <t>L-422 Lightning</t>
  </si>
  <si>
    <t>L-426 Neptune</t>
  </si>
  <si>
    <t>P2</t>
  </si>
  <si>
    <t>L-580 Shooting Star</t>
  </si>
  <si>
    <t>L-580 T-Bird</t>
  </si>
  <si>
    <t>L-583 Starfighter</t>
  </si>
  <si>
    <t>L-683 Starfighter</t>
  </si>
  <si>
    <t>L-685 Orion</t>
  </si>
  <si>
    <t>L-726 Neptune</t>
  </si>
  <si>
    <t>L-749 Constellation</t>
  </si>
  <si>
    <t>L-785 Orion</t>
  </si>
  <si>
    <t>L-826 Neptune</t>
  </si>
  <si>
    <t>L-1011 TriStar</t>
  </si>
  <si>
    <t>L101</t>
  </si>
  <si>
    <t>L-1049 Super Constellation</t>
  </si>
  <si>
    <t>L-1329 Jetstar 2</t>
  </si>
  <si>
    <t>L-1329 Jetstar 6</t>
  </si>
  <si>
    <t>L-1329 Jetstar 8</t>
  </si>
  <si>
    <t>L-1329 Jetstar 731</t>
  </si>
  <si>
    <t>LASA-60</t>
  </si>
  <si>
    <t>LC-130 Hercules</t>
  </si>
  <si>
    <t>Lodestar</t>
  </si>
  <si>
    <t>MC-130 Hercules</t>
  </si>
  <si>
    <t>NC-130 Hercules</t>
  </si>
  <si>
    <t>Neptune</t>
  </si>
  <si>
    <t>Nighthawk</t>
  </si>
  <si>
    <t>NP-3 Orion</t>
  </si>
  <si>
    <t>NT-33</t>
  </si>
  <si>
    <t>P-2 Neptune</t>
  </si>
  <si>
    <t>P2V Neptune</t>
  </si>
  <si>
    <t>P-38 Lightning</t>
  </si>
  <si>
    <t>PV-1 Ventura</t>
  </si>
  <si>
    <t>PV-2 Harpoon</t>
  </si>
  <si>
    <t>R5O Lodestar</t>
  </si>
  <si>
    <t>R7V Constellation</t>
  </si>
  <si>
    <t>RC-121 Constellation</t>
  </si>
  <si>
    <t>RC-130 Hercules</t>
  </si>
  <si>
    <t>RF-104 Starfighter</t>
  </si>
  <si>
    <t>RP-3 Orion</t>
  </si>
  <si>
    <t>RT-33</t>
  </si>
  <si>
    <t>S-3 Viking</t>
  </si>
  <si>
    <t>Sapeer</t>
  </si>
  <si>
    <t>Shooting Star</t>
  </si>
  <si>
    <t>SP-2 Neptune</t>
  </si>
  <si>
    <t>Spectre</t>
  </si>
  <si>
    <t>Starlifter</t>
  </si>
  <si>
    <t>Super Constellation</t>
  </si>
  <si>
    <t>Super Electra</t>
  </si>
  <si>
    <t>T-33 Shooting Star</t>
  </si>
  <si>
    <t>T-33 T-Bird</t>
  </si>
  <si>
    <t>T-Bird</t>
  </si>
  <si>
    <t>TC-130 Hercules</t>
  </si>
  <si>
    <t>TF-104 Starfighter</t>
  </si>
  <si>
    <t>TP-3 Orion</t>
  </si>
  <si>
    <t>Tp84 Hercules</t>
  </si>
  <si>
    <t>TriStar</t>
  </si>
  <si>
    <t>U-2</t>
  </si>
  <si>
    <t>VC-121 Constellation</t>
  </si>
  <si>
    <t>VC-130 Hercules</t>
  </si>
  <si>
    <t>VP-3 Orion</t>
  </si>
  <si>
    <t>Warning Star</t>
  </si>
  <si>
    <t>WC-130E Hercules</t>
  </si>
  <si>
    <t>WC-130H Hercules</t>
  </si>
  <si>
    <t>WP-3 Orion</t>
  </si>
  <si>
    <t>WV Warning Star</t>
  </si>
  <si>
    <t>XR2O Electra</t>
  </si>
  <si>
    <t>XR5O Lodestar</t>
  </si>
  <si>
    <t>YF-117 Nighthawk</t>
  </si>
  <si>
    <t>YO-3</t>
  </si>
  <si>
    <t>O3</t>
  </si>
  <si>
    <t>Super Galaxy</t>
  </si>
  <si>
    <t>C5M</t>
  </si>
  <si>
    <t>C-5 Super Galaxy</t>
  </si>
  <si>
    <t>182 Hercules</t>
  </si>
  <si>
    <t>282 Hercules</t>
  </si>
  <si>
    <t>382 Hercules</t>
  </si>
  <si>
    <t>LOCKHEED MARTIN</t>
  </si>
  <si>
    <t>382C Hercules</t>
  </si>
  <si>
    <t>Hercules</t>
  </si>
  <si>
    <t>382J Super Hercules</t>
  </si>
  <si>
    <t>C30J</t>
  </si>
  <si>
    <t>382U Super Hercules</t>
  </si>
  <si>
    <t>382V Super Hercules</t>
  </si>
  <si>
    <t>C-130J Super Hercules</t>
  </si>
  <si>
    <t>CC-130J Super Hercules</t>
  </si>
  <si>
    <t>EC-130J Super Hercules</t>
  </si>
  <si>
    <t>HC-130J Super Hercules</t>
  </si>
  <si>
    <t>KC-130J Super Hercules</t>
  </si>
  <si>
    <t>MC-130J Super Hercules</t>
  </si>
  <si>
    <t>WC-130J Super Hercules</t>
  </si>
  <si>
    <t>LM-100J Super Hercules</t>
  </si>
  <si>
    <t>Super Hercules</t>
  </si>
  <si>
    <t>F-35A Lightning 2</t>
  </si>
  <si>
    <t>F35</t>
  </si>
  <si>
    <t>F-35B Lightning 2</t>
  </si>
  <si>
    <t>VF35</t>
  </si>
  <si>
    <t>F-35C Lightning 2</t>
  </si>
  <si>
    <t>Lightning 2 (F-35A/C)</t>
  </si>
  <si>
    <t>Lightning 2 (F-35B)</t>
  </si>
  <si>
    <t>Desert Falcon</t>
  </si>
  <si>
    <t>F-16  Sufa</t>
  </si>
  <si>
    <t>F-16 Desert Falcon</t>
  </si>
  <si>
    <t>F-22 Raptor</t>
  </si>
  <si>
    <t>F22</t>
  </si>
  <si>
    <t>L-645 Raptor</t>
  </si>
  <si>
    <t>Raptor</t>
  </si>
  <si>
    <t>Sufa</t>
  </si>
  <si>
    <t>LOCKHEED-AZCARATE</t>
  </si>
  <si>
    <t>LASA-60 Santa Maria</t>
  </si>
  <si>
    <t>Santa Maria</t>
  </si>
  <si>
    <t>LOCKWOOD</t>
  </si>
  <si>
    <t>LOEHLE</t>
  </si>
  <si>
    <t>Spitfire Elite</t>
  </si>
  <si>
    <t>SPEL</t>
  </si>
  <si>
    <t>LOMBARDI</t>
  </si>
  <si>
    <t>Aviastar</t>
  </si>
  <si>
    <t>LM5</t>
  </si>
  <si>
    <t>FL-3 Aviastarlet</t>
  </si>
  <si>
    <t>LM-5 Aviastar</t>
  </si>
  <si>
    <t>LM-7</t>
  </si>
  <si>
    <t>LM7</t>
  </si>
  <si>
    <t>LONG</t>
  </si>
  <si>
    <t>LONGREN</t>
  </si>
  <si>
    <t>Centaur</t>
  </si>
  <si>
    <t>L-13 Centaur</t>
  </si>
  <si>
    <t>LOPRESTI</t>
  </si>
  <si>
    <t>LP1</t>
  </si>
  <si>
    <t>LP-1 Fury</t>
  </si>
  <si>
    <t>LORAVIA</t>
  </si>
  <si>
    <t>Falke</t>
  </si>
  <si>
    <t>SF25</t>
  </si>
  <si>
    <t>SF-25 Falke</t>
  </si>
  <si>
    <t>LOT</t>
  </si>
  <si>
    <t>LOVING-WAYNE</t>
  </si>
  <si>
    <t>Love</t>
  </si>
  <si>
    <t>LOVE</t>
  </si>
  <si>
    <t>WR-1 Love</t>
  </si>
  <si>
    <t>LSA AMERICA</t>
  </si>
  <si>
    <t>LTV</t>
  </si>
  <si>
    <t>F-8 Crusader</t>
  </si>
  <si>
    <t>LUCAS</t>
  </si>
  <si>
    <t>L-5</t>
  </si>
  <si>
    <t>LUL5</t>
  </si>
  <si>
    <t>LUL6</t>
  </si>
  <si>
    <t>L-7</t>
  </si>
  <si>
    <t>LUL7</t>
  </si>
  <si>
    <t>L-8</t>
  </si>
  <si>
    <t>LUL8</t>
  </si>
  <si>
    <t>LUCEAIR</t>
  </si>
  <si>
    <t>W-5 Buttercup Replica</t>
  </si>
  <si>
    <t>W5BC</t>
  </si>
  <si>
    <t>Buttercup Replica</t>
  </si>
  <si>
    <t>LUNDS TEKNISKE</t>
  </si>
  <si>
    <t>SA-60 Silhouette</t>
  </si>
  <si>
    <t>SILH</t>
  </si>
  <si>
    <t>Silhouette</t>
  </si>
  <si>
    <t>LUNDY</t>
  </si>
  <si>
    <t>Graflite</t>
  </si>
  <si>
    <t>GRAF</t>
  </si>
  <si>
    <t>LUSCOMBE</t>
  </si>
  <si>
    <t>L8</t>
  </si>
  <si>
    <t>8 Master</t>
  </si>
  <si>
    <t>8 Silvaire</t>
  </si>
  <si>
    <t>8 Trainer</t>
  </si>
  <si>
    <t>11A Sedan</t>
  </si>
  <si>
    <t>L11</t>
  </si>
  <si>
    <t>Observer</t>
  </si>
  <si>
    <t>Silvaire</t>
  </si>
  <si>
    <t>T8 Observer</t>
  </si>
  <si>
    <t>11E</t>
  </si>
  <si>
    <t>L11E</t>
  </si>
  <si>
    <t>11E Spartan 185</t>
  </si>
  <si>
    <t>Spartan 185</t>
  </si>
  <si>
    <t>LUSCOMBE-SILVAIRE</t>
  </si>
  <si>
    <t>LSA-8 Renai</t>
  </si>
  <si>
    <t>Renai</t>
  </si>
  <si>
    <t>LUTON</t>
  </si>
  <si>
    <t>LA-5 Major</t>
  </si>
  <si>
    <t>LYAVIN</t>
  </si>
  <si>
    <t>DELF</t>
  </si>
  <si>
    <t>M &amp; D FLUGZEUGBAU</t>
  </si>
  <si>
    <t>MACAIR</t>
  </si>
  <si>
    <t>MACCHI</t>
  </si>
  <si>
    <t>MACDONALD</t>
  </si>
  <si>
    <t>S-21</t>
  </si>
  <si>
    <t>S21</t>
  </si>
  <si>
    <t>MACHEN</t>
  </si>
  <si>
    <t>Superstar</t>
  </si>
  <si>
    <t>MACKEY</t>
  </si>
  <si>
    <t>SQ-2</t>
  </si>
  <si>
    <t>MAD MAX AERO</t>
  </si>
  <si>
    <t>Mad Max</t>
  </si>
  <si>
    <t>MMAX</t>
  </si>
  <si>
    <t>MAGNI</t>
  </si>
  <si>
    <t>M-14 Scout</t>
  </si>
  <si>
    <t>MM14</t>
  </si>
  <si>
    <t>M-16 Tandem Trainer</t>
  </si>
  <si>
    <t>MM16</t>
  </si>
  <si>
    <t>M-19 Shark</t>
  </si>
  <si>
    <t>MM19</t>
  </si>
  <si>
    <t>M-21</t>
  </si>
  <si>
    <t>MM21</t>
  </si>
  <si>
    <t>M-22 Voyager</t>
  </si>
  <si>
    <t>MM22</t>
  </si>
  <si>
    <t>Tandem Trainer</t>
  </si>
  <si>
    <t>MM24</t>
  </si>
  <si>
    <t>M-24 Orion</t>
  </si>
  <si>
    <t>MAGNUS</t>
  </si>
  <si>
    <t>MG-11 Fusion</t>
  </si>
  <si>
    <t>MG-11 eFusion</t>
  </si>
  <si>
    <t>EFUS</t>
  </si>
  <si>
    <t>eFusion</t>
  </si>
  <si>
    <t>MAKELAN</t>
  </si>
  <si>
    <t>Hatz Classic</t>
  </si>
  <si>
    <t>MALMO</t>
  </si>
  <si>
    <t>MFI-9 Junior</t>
  </si>
  <si>
    <t>MFI-10 Vipan</t>
  </si>
  <si>
    <t>MF10</t>
  </si>
  <si>
    <t>Vipan</t>
  </si>
  <si>
    <t>MAPO</t>
  </si>
  <si>
    <t>MiG-29</t>
  </si>
  <si>
    <t>MG29</t>
  </si>
  <si>
    <t>MiG-31</t>
  </si>
  <si>
    <t>MG31</t>
  </si>
  <si>
    <t>MiG-33</t>
  </si>
  <si>
    <t>MiG-AT</t>
  </si>
  <si>
    <t>MGAT</t>
  </si>
  <si>
    <t>SL-39</t>
  </si>
  <si>
    <t>SL39</t>
  </si>
  <si>
    <t>MARA WING</t>
  </si>
  <si>
    <t>1-L Malamut</t>
  </si>
  <si>
    <t>MMUT</t>
  </si>
  <si>
    <t>L-1 Malamut</t>
  </si>
  <si>
    <t>Malamut</t>
  </si>
  <si>
    <t>MARANDA</t>
  </si>
  <si>
    <t>BM-1 Loisirs</t>
  </si>
  <si>
    <t>BM-1 Super Loisirs</t>
  </si>
  <si>
    <t>BM-3</t>
  </si>
  <si>
    <t>BM-4</t>
  </si>
  <si>
    <t>BM-6 Lark</t>
  </si>
  <si>
    <t>BM6</t>
  </si>
  <si>
    <t>Super Loisirs</t>
  </si>
  <si>
    <t>MARCO</t>
  </si>
  <si>
    <t>MARGANSKI</t>
  </si>
  <si>
    <t>Bielik</t>
  </si>
  <si>
    <t>EM10</t>
  </si>
  <si>
    <t>EM-10 Bielik</t>
  </si>
  <si>
    <t>EM-11 Orka</t>
  </si>
  <si>
    <t>EM11</t>
  </si>
  <si>
    <t>Orka</t>
  </si>
  <si>
    <t>MARIE</t>
  </si>
  <si>
    <t>JPM-01 Medoc</t>
  </si>
  <si>
    <t>JPM1</t>
  </si>
  <si>
    <t>JPM-01 Tanagra</t>
  </si>
  <si>
    <t>Medoc</t>
  </si>
  <si>
    <t>Tanagra</t>
  </si>
  <si>
    <t>MARQUART</t>
  </si>
  <si>
    <t>Charger</t>
  </si>
  <si>
    <t>MA5</t>
  </si>
  <si>
    <t>MA-5 Charger</t>
  </si>
  <si>
    <t>MARSDEN</t>
  </si>
  <si>
    <t>MARSH</t>
  </si>
  <si>
    <t>TS-2F Turbo Tracker</t>
  </si>
  <si>
    <t>Turbo Thrush</t>
  </si>
  <si>
    <t>MARTIN</t>
  </si>
  <si>
    <t>170 Mars</t>
  </si>
  <si>
    <t>MARS</t>
  </si>
  <si>
    <t>179 Marauder</t>
  </si>
  <si>
    <t>B26M</t>
  </si>
  <si>
    <t>WB57</t>
  </si>
  <si>
    <t>M404</t>
  </si>
  <si>
    <t>B-26 Marauder</t>
  </si>
  <si>
    <t>JRM Mars</t>
  </si>
  <si>
    <t>Marauder</t>
  </si>
  <si>
    <t>Mars</t>
  </si>
  <si>
    <t>WB-57</t>
  </si>
  <si>
    <t>MATRA</t>
  </si>
  <si>
    <t>M-360 Jupiter</t>
  </si>
  <si>
    <t>M36J</t>
  </si>
  <si>
    <t>MAULE</t>
  </si>
  <si>
    <t>Astro Rocket</t>
  </si>
  <si>
    <t>M4</t>
  </si>
  <si>
    <t>Bee Dee</t>
  </si>
  <si>
    <t>M7</t>
  </si>
  <si>
    <t>Jetasen</t>
  </si>
  <si>
    <t>Lunar Rocket</t>
  </si>
  <si>
    <t>M5</t>
  </si>
  <si>
    <t>M-4</t>
  </si>
  <si>
    <t>M-4 Astro Rocket</t>
  </si>
  <si>
    <t>M-4 Bee Dee</t>
  </si>
  <si>
    <t>M-4 Jetasen</t>
  </si>
  <si>
    <t>M-4 Rocket</t>
  </si>
  <si>
    <t>M-4 Sport 100</t>
  </si>
  <si>
    <t>M-4 Strata Rocket</t>
  </si>
  <si>
    <t>M-5</t>
  </si>
  <si>
    <t>M-5 Lunar Rocket</t>
  </si>
  <si>
    <t>M-5 Patroller</t>
  </si>
  <si>
    <t>M-5 Strata Rocket</t>
  </si>
  <si>
    <t>M-6 Super Rocket</t>
  </si>
  <si>
    <t>M6</t>
  </si>
  <si>
    <t>M-7-235 Orion</t>
  </si>
  <si>
    <t>M-7-235 Super Rocket</t>
  </si>
  <si>
    <t>M-7-260 Orion</t>
  </si>
  <si>
    <t>M-7-260 Super Rocket</t>
  </si>
  <si>
    <t>M-7-420</t>
  </si>
  <si>
    <t>M7T</t>
  </si>
  <si>
    <t>M-7-420 Star Craft</t>
  </si>
  <si>
    <t>M-8</t>
  </si>
  <si>
    <t>M8</t>
  </si>
  <si>
    <t>M-9</t>
  </si>
  <si>
    <t>M9</t>
  </si>
  <si>
    <t>Millenium</t>
  </si>
  <si>
    <t>MT-7-235 Super Rocket</t>
  </si>
  <si>
    <t>MT-7-260 Super Rocket</t>
  </si>
  <si>
    <t>MT-7-420</t>
  </si>
  <si>
    <t>MX-7-160 Sportplane</t>
  </si>
  <si>
    <t>MX-7-180</t>
  </si>
  <si>
    <t>MX-7-180 Millenium</t>
  </si>
  <si>
    <t>MX-7-180 Sportplane</t>
  </si>
  <si>
    <t>MX-7-180 Star Rocket</t>
  </si>
  <si>
    <t>MX-7-235 Star Rocket</t>
  </si>
  <si>
    <t>MX-7-420 Star Craft</t>
  </si>
  <si>
    <t>MXT-7-160 Comet</t>
  </si>
  <si>
    <t>MXT-7-180 Comet</t>
  </si>
  <si>
    <t>MXT-7-180 Star Craft</t>
  </si>
  <si>
    <t>MXT-7-180 Star Rocket</t>
  </si>
  <si>
    <t>MXT-7-420</t>
  </si>
  <si>
    <t>Patroller</t>
  </si>
  <si>
    <t>Sport 100</t>
  </si>
  <si>
    <t>Sportplane</t>
  </si>
  <si>
    <t>Star Craft (piston)</t>
  </si>
  <si>
    <t>Star Craft (turbine)</t>
  </si>
  <si>
    <t>Star Rocket</t>
  </si>
  <si>
    <t>Strata Rocket (M-4)</t>
  </si>
  <si>
    <t>Strata Rocket (M-5)</t>
  </si>
  <si>
    <t>Super Rocket (M-6)</t>
  </si>
  <si>
    <t>Super Rocket (M-7/MT-7)</t>
  </si>
  <si>
    <t>MAUPIN</t>
  </si>
  <si>
    <t>Windrose</t>
  </si>
  <si>
    <t>ROSE</t>
  </si>
  <si>
    <t>MAVERICK</t>
  </si>
  <si>
    <t>Leader</t>
  </si>
  <si>
    <t>TJET</t>
  </si>
  <si>
    <t>TJ-1500 Leader</t>
  </si>
  <si>
    <t>TJ-1500 TwinJet</t>
  </si>
  <si>
    <t>TwinJet</t>
  </si>
  <si>
    <t>MAX HOLSTE</t>
  </si>
  <si>
    <t>Broussard</t>
  </si>
  <si>
    <t>BROU</t>
  </si>
  <si>
    <t>MH-260 Super Broussard</t>
  </si>
  <si>
    <t>N260</t>
  </si>
  <si>
    <t>MH-1521 Broussard</t>
  </si>
  <si>
    <t>Super Broussard</t>
  </si>
  <si>
    <t>MBB</t>
  </si>
  <si>
    <t>BO-105 Twin Jet</t>
  </si>
  <si>
    <t>Hkp9</t>
  </si>
  <si>
    <t>Twin Jet</t>
  </si>
  <si>
    <t>MBB-KAWASAKI</t>
  </si>
  <si>
    <t>MCCARLEY</t>
  </si>
  <si>
    <t>Mini-Mac</t>
  </si>
  <si>
    <t>MMAC</t>
  </si>
  <si>
    <t>MCDONNELL</t>
  </si>
  <si>
    <t>C-12 Phantom 2</t>
  </si>
  <si>
    <t>CR-12 Phantom 2</t>
  </si>
  <si>
    <t>F-4 Phantom 2</t>
  </si>
  <si>
    <t>Phantom 2</t>
  </si>
  <si>
    <t>RF-4 Phantom 2</t>
  </si>
  <si>
    <t>MCDONNELL DOUGLAS</t>
  </si>
  <si>
    <t>AH-6J</t>
  </si>
  <si>
    <t>AH-64 Pethen</t>
  </si>
  <si>
    <t>Akef</t>
  </si>
  <si>
    <t>Baz</t>
  </si>
  <si>
    <t>C-9 Nightingale</t>
  </si>
  <si>
    <t>C-9 Skytrain 2</t>
  </si>
  <si>
    <t>KAF-18 Hornet</t>
  </si>
  <si>
    <t>CF-18 Hornet</t>
  </si>
  <si>
    <t>CF-188 Hornet</t>
  </si>
  <si>
    <t>EF-18 Hornet</t>
  </si>
  <si>
    <t>Combat Explorer</t>
  </si>
  <si>
    <t>DC-10</t>
  </si>
  <si>
    <t>Enforcer</t>
  </si>
  <si>
    <t>Extender</t>
  </si>
  <si>
    <t>F-4 Kurnass</t>
  </si>
  <si>
    <t>F-15 Akef</t>
  </si>
  <si>
    <t>FA-18A Hornet</t>
  </si>
  <si>
    <t>FA-18B Hornet</t>
  </si>
  <si>
    <t>F-15 Baz</t>
  </si>
  <si>
    <t>KC-10 Extender</t>
  </si>
  <si>
    <t>KDC-10</t>
  </si>
  <si>
    <t>Kurnass</t>
  </si>
  <si>
    <t>MD-530N</t>
  </si>
  <si>
    <t>MD-900 Combat Explorer</t>
  </si>
  <si>
    <t>MD-900 Explorer</t>
  </si>
  <si>
    <t>MH-6J</t>
  </si>
  <si>
    <t>MH-90 Enforcer</t>
  </si>
  <si>
    <t>OA-4 Skyhawk</t>
  </si>
  <si>
    <t>Pethen</t>
  </si>
  <si>
    <t>QF-4 Phantom 2</t>
  </si>
  <si>
    <t>RF-4 Kurnass</t>
  </si>
  <si>
    <t>Skytrain 2</t>
  </si>
  <si>
    <t>VC-9</t>
  </si>
  <si>
    <t>YC-15</t>
  </si>
  <si>
    <t>C15</t>
  </si>
  <si>
    <t>TAV-8 Matador</t>
  </si>
  <si>
    <t>MCKINNON</t>
  </si>
  <si>
    <t>G-21C Goose</t>
  </si>
  <si>
    <t>G21M</t>
  </si>
  <si>
    <t>G-21D Goose</t>
  </si>
  <si>
    <t>G-21E Turbo Goose</t>
  </si>
  <si>
    <t>G21T</t>
  </si>
  <si>
    <t>G-21G Turbo Goose</t>
  </si>
  <si>
    <t>Turbo Goose</t>
  </si>
  <si>
    <t>MD HELICOPTERS</t>
  </si>
  <si>
    <t>AH-6I</t>
  </si>
  <si>
    <t>MDB</t>
  </si>
  <si>
    <t>MEAD</t>
  </si>
  <si>
    <t>Adventure</t>
  </si>
  <si>
    <t>MELBOURNE</t>
  </si>
  <si>
    <t>MA-2 Mamba</t>
  </si>
  <si>
    <t>MAMB</t>
  </si>
  <si>
    <t>Mamba</t>
  </si>
  <si>
    <t>MELEX</t>
  </si>
  <si>
    <t>T-45 Turbine Dromader</t>
  </si>
  <si>
    <t>M18T</t>
  </si>
  <si>
    <t>Turbine Dromader</t>
  </si>
  <si>
    <t>MERCURY</t>
  </si>
  <si>
    <t>Shoestring</t>
  </si>
  <si>
    <t>SHOE</t>
  </si>
  <si>
    <t>MERIDIONALI</t>
  </si>
  <si>
    <t>MERLIN</t>
  </si>
  <si>
    <t>MEXP</t>
  </si>
  <si>
    <t>MESSERSCHMITT</t>
  </si>
  <si>
    <t>Bf-108 Taifun</t>
  </si>
  <si>
    <t>ME08</t>
  </si>
  <si>
    <t>Bf-109</t>
  </si>
  <si>
    <t>Me-262 Replica</t>
  </si>
  <si>
    <t>Taifun</t>
  </si>
  <si>
    <t>MESSERSCHMITT-BOLKOW</t>
  </si>
  <si>
    <t>METEOR</t>
  </si>
  <si>
    <t>FL-53</t>
  </si>
  <si>
    <t>FL53</t>
  </si>
  <si>
    <t>FL-54</t>
  </si>
  <si>
    <t>FL54</t>
  </si>
  <si>
    <t>FL-55</t>
  </si>
  <si>
    <t>FL55</t>
  </si>
  <si>
    <t>MEYER</t>
  </si>
  <si>
    <t>Little Toot</t>
  </si>
  <si>
    <t>TOOT</t>
  </si>
  <si>
    <t>MEYERS</t>
  </si>
  <si>
    <t>MAC-145</t>
  </si>
  <si>
    <t>MC45</t>
  </si>
  <si>
    <t>MICCO</t>
  </si>
  <si>
    <t>SP-20</t>
  </si>
  <si>
    <t>MICROLEVE</t>
  </si>
  <si>
    <t>Corsario</t>
  </si>
  <si>
    <t>CRIO</t>
  </si>
  <si>
    <t>MID-CONTINENT</t>
  </si>
  <si>
    <t>G-164 King Cat</t>
  </si>
  <si>
    <t>King Cat</t>
  </si>
  <si>
    <t>MIDWEST AEROSPORT</t>
  </si>
  <si>
    <t>Formula GT</t>
  </si>
  <si>
    <t>FGT</t>
  </si>
  <si>
    <t>MIGNET</t>
  </si>
  <si>
    <t>HM-380</t>
  </si>
  <si>
    <t>MIKOYAN</t>
  </si>
  <si>
    <t>Baaz</t>
  </si>
  <si>
    <t>MiG 1-44</t>
  </si>
  <si>
    <t>MG44</t>
  </si>
  <si>
    <t>MiG-15</t>
  </si>
  <si>
    <t>MiG-17</t>
  </si>
  <si>
    <t>MiG-19</t>
  </si>
  <si>
    <t>MiG-23</t>
  </si>
  <si>
    <t>MiG-25</t>
  </si>
  <si>
    <t>MG25</t>
  </si>
  <si>
    <t>MiG-27</t>
  </si>
  <si>
    <t>MiG-29 Baaz</t>
  </si>
  <si>
    <t>MiG-35</t>
  </si>
  <si>
    <t>MIL</t>
  </si>
  <si>
    <t>AH-2 Sabre</t>
  </si>
  <si>
    <t>MI24</t>
  </si>
  <si>
    <t>Mi-35 Caribe</t>
  </si>
  <si>
    <t>Caribe</t>
  </si>
  <si>
    <t>Mi-2</t>
  </si>
  <si>
    <t>MI2</t>
  </si>
  <si>
    <t>Mi-4</t>
  </si>
  <si>
    <t>Mi-6</t>
  </si>
  <si>
    <t>MI6</t>
  </si>
  <si>
    <t>Mi-8</t>
  </si>
  <si>
    <t>MI8</t>
  </si>
  <si>
    <t>Mi-9</t>
  </si>
  <si>
    <t>Mi-10</t>
  </si>
  <si>
    <t>MI10</t>
  </si>
  <si>
    <t>Mi-14</t>
  </si>
  <si>
    <t>MI14</t>
  </si>
  <si>
    <t>Mi-17</t>
  </si>
  <si>
    <t>Mi-19</t>
  </si>
  <si>
    <t>Mi-22</t>
  </si>
  <si>
    <t>Mi-24</t>
  </si>
  <si>
    <t>Mi-25</t>
  </si>
  <si>
    <t>Mi-26</t>
  </si>
  <si>
    <t>MI26</t>
  </si>
  <si>
    <t>Mi-28</t>
  </si>
  <si>
    <t>MI28</t>
  </si>
  <si>
    <t>Mi-34</t>
  </si>
  <si>
    <t>MI34</t>
  </si>
  <si>
    <t>Mi-35</t>
  </si>
  <si>
    <t>Mi-38</t>
  </si>
  <si>
    <t>MI38</t>
  </si>
  <si>
    <t>Mi-171</t>
  </si>
  <si>
    <t>Mi-172</t>
  </si>
  <si>
    <t>MILES</t>
  </si>
  <si>
    <t>Falcon Major</t>
  </si>
  <si>
    <t>FALM</t>
  </si>
  <si>
    <t>Gemini</t>
  </si>
  <si>
    <t>GEMI</t>
  </si>
  <si>
    <t>Hawk Major</t>
  </si>
  <si>
    <t>M2HK</t>
  </si>
  <si>
    <t>Hawk Speed Six</t>
  </si>
  <si>
    <t>M-2 Hawk Major</t>
  </si>
  <si>
    <t>M-2 Hawk Speed Six</t>
  </si>
  <si>
    <t>M-3 Falcon Major</t>
  </si>
  <si>
    <t>M-11 Whitney Straight</t>
  </si>
  <si>
    <t>WHIT</t>
  </si>
  <si>
    <t>M-14 Magister</t>
  </si>
  <si>
    <t>MAGI</t>
  </si>
  <si>
    <t>M-17 Monarch</t>
  </si>
  <si>
    <t>MONA</t>
  </si>
  <si>
    <t>M-38 Messenger</t>
  </si>
  <si>
    <t>MESS</t>
  </si>
  <si>
    <t>M-65 Gemini</t>
  </si>
  <si>
    <t>Messenger</t>
  </si>
  <si>
    <t>Monarch</t>
  </si>
  <si>
    <t>Whitney Straight</t>
  </si>
  <si>
    <t>MILLER (1)</t>
  </si>
  <si>
    <t>Jet Profile</t>
  </si>
  <si>
    <t>PA23</t>
  </si>
  <si>
    <t>Twin Comanche 200</t>
  </si>
  <si>
    <t>MILLER (2)</t>
  </si>
  <si>
    <t>WM-2</t>
  </si>
  <si>
    <t>WM2</t>
  </si>
  <si>
    <t>MILLICER</t>
  </si>
  <si>
    <t>AirTourer</t>
  </si>
  <si>
    <t>M-10 AirTourer</t>
  </si>
  <si>
    <t>MINI-IMP</t>
  </si>
  <si>
    <t>MIRAGE</t>
  </si>
  <si>
    <t>Celerity</t>
  </si>
  <si>
    <t>CELR</t>
  </si>
  <si>
    <t>Marathon</t>
  </si>
  <si>
    <t>MRTN</t>
  </si>
  <si>
    <t>MITCHELL-PROCTER</t>
  </si>
  <si>
    <t>Kittiwake</t>
  </si>
  <si>
    <t>KITI</t>
  </si>
  <si>
    <t>MITSUBISHI</t>
  </si>
  <si>
    <t>A6M Zero</t>
  </si>
  <si>
    <t>ZERO</t>
  </si>
  <si>
    <t>Diamond</t>
  </si>
  <si>
    <t>MU30</t>
  </si>
  <si>
    <t>F-1</t>
  </si>
  <si>
    <t>F1</t>
  </si>
  <si>
    <t>F2</t>
  </si>
  <si>
    <t>F-86 Sabre</t>
  </si>
  <si>
    <t>HSS-2</t>
  </si>
  <si>
    <t>LR-1</t>
  </si>
  <si>
    <t>MU2</t>
  </si>
  <si>
    <t>Marquise</t>
  </si>
  <si>
    <t>MH-2000</t>
  </si>
  <si>
    <t>MH20</t>
  </si>
  <si>
    <t>MU-2</t>
  </si>
  <si>
    <t>MU-2 Marquise</t>
  </si>
  <si>
    <t>MU-2 Solitaire</t>
  </si>
  <si>
    <t>MU-300 Diamond</t>
  </si>
  <si>
    <t>RP-1</t>
  </si>
  <si>
    <t>RP1</t>
  </si>
  <si>
    <t>S-61A</t>
  </si>
  <si>
    <t>S-61B</t>
  </si>
  <si>
    <t>SH-60 Seahawk</t>
  </si>
  <si>
    <t>Solitaire</t>
  </si>
  <si>
    <t>T-2</t>
  </si>
  <si>
    <t>MT2</t>
  </si>
  <si>
    <t>UH-60</t>
  </si>
  <si>
    <t>YS-11</t>
  </si>
  <si>
    <t>YS11</t>
  </si>
  <si>
    <t>Zero</t>
  </si>
  <si>
    <t>MRJ-70</t>
  </si>
  <si>
    <t>MRJ7</t>
  </si>
  <si>
    <t>MRJ-90</t>
  </si>
  <si>
    <t>MRJ9</t>
  </si>
  <si>
    <t>USH-60 Seahawk</t>
  </si>
  <si>
    <t>MOLNIYA</t>
  </si>
  <si>
    <t>MOL1</t>
  </si>
  <si>
    <t>MONG</t>
  </si>
  <si>
    <t>MOSP</t>
  </si>
  <si>
    <t>MONIOT</t>
  </si>
  <si>
    <t>Lion</t>
  </si>
  <si>
    <t>MONNETT</t>
  </si>
  <si>
    <t>Monerai P</t>
  </si>
  <si>
    <t>MRAI</t>
  </si>
  <si>
    <t>Moni</t>
  </si>
  <si>
    <t>MONI</t>
  </si>
  <si>
    <t>MONOCOUPE</t>
  </si>
  <si>
    <t>MC90</t>
  </si>
  <si>
    <t>MONTAER</t>
  </si>
  <si>
    <t>MC-01</t>
  </si>
  <si>
    <t>MC01</t>
  </si>
  <si>
    <t>MONTAGNE</t>
  </si>
  <si>
    <t>MONTANA</t>
  </si>
  <si>
    <t>Coyote</t>
  </si>
  <si>
    <t>MCOY</t>
  </si>
  <si>
    <t>MOONEY</t>
  </si>
  <si>
    <t>M20T</t>
  </si>
  <si>
    <t>252TSE</t>
  </si>
  <si>
    <t>ATS</t>
  </si>
  <si>
    <t>Chaparral</t>
  </si>
  <si>
    <t>Encore</t>
  </si>
  <si>
    <t>Executive</t>
  </si>
  <si>
    <t>M-10 Cadet</t>
  </si>
  <si>
    <t>M-18 Mite</t>
  </si>
  <si>
    <t>MITE</t>
  </si>
  <si>
    <t>M-18 Wee Scotsman</t>
  </si>
  <si>
    <t>M-20</t>
  </si>
  <si>
    <t>M-20A</t>
  </si>
  <si>
    <t>M-20B Mark 21</t>
  </si>
  <si>
    <t>M-20C Mark 21</t>
  </si>
  <si>
    <t>M-20C Ranger</t>
  </si>
  <si>
    <t>M-20D Master</t>
  </si>
  <si>
    <t>M-20E Chaparral</t>
  </si>
  <si>
    <t>M-20E Super 21</t>
  </si>
  <si>
    <t>M-20F Executive</t>
  </si>
  <si>
    <t>M-20G Statesman</t>
  </si>
  <si>
    <t>M-20J 201</t>
  </si>
  <si>
    <t>M-20J 205</t>
  </si>
  <si>
    <t>M-20J Allegro</t>
  </si>
  <si>
    <t>M-20J ATS</t>
  </si>
  <si>
    <t>M-20J MSE</t>
  </si>
  <si>
    <t>M-20K 231</t>
  </si>
  <si>
    <t>M-20K 252TSE</t>
  </si>
  <si>
    <t>M-20K Encore</t>
  </si>
  <si>
    <t>M-20L PFM</t>
  </si>
  <si>
    <t>M-20M Bravo</t>
  </si>
  <si>
    <t>M-20M TLS</t>
  </si>
  <si>
    <t>M-20R Ovation</t>
  </si>
  <si>
    <t>M-20S Eagle</t>
  </si>
  <si>
    <t>M-22</t>
  </si>
  <si>
    <t>M22</t>
  </si>
  <si>
    <t>M-22 Mustang</t>
  </si>
  <si>
    <t>Mark 21</t>
  </si>
  <si>
    <t>Mite</t>
  </si>
  <si>
    <t>MSE</t>
  </si>
  <si>
    <t>Ovation</t>
  </si>
  <si>
    <t>PFM</t>
  </si>
  <si>
    <t>Statesman</t>
  </si>
  <si>
    <t>Super 21</t>
  </si>
  <si>
    <t>TLS</t>
  </si>
  <si>
    <t>Wee Scotsman</t>
  </si>
  <si>
    <t>M-20TN Acclaim</t>
  </si>
  <si>
    <t>Acclaim</t>
  </si>
  <si>
    <t>M-20U Ovation Ultra</t>
  </si>
  <si>
    <t>Ovation Ultra</t>
  </si>
  <si>
    <t>M-20R Ovation 2</t>
  </si>
  <si>
    <t>Ovation 2</t>
  </si>
  <si>
    <t>M-20R Ovation 3</t>
  </si>
  <si>
    <t>Ovation 3</t>
  </si>
  <si>
    <t>M-20V Acclaim Ultra</t>
  </si>
  <si>
    <t>Acclaim Ultra</t>
  </si>
  <si>
    <t>M-20TN Acclaim Type S</t>
  </si>
  <si>
    <t>Acclaim Type S</t>
  </si>
  <si>
    <t>M-10J</t>
  </si>
  <si>
    <t>M10R</t>
  </si>
  <si>
    <t>M-10T</t>
  </si>
  <si>
    <t>M10F</t>
  </si>
  <si>
    <t>MORANE-SAULNIER</t>
  </si>
  <si>
    <t>AI</t>
  </si>
  <si>
    <t>MSAI</t>
  </si>
  <si>
    <t>Alcyon</t>
  </si>
  <si>
    <t>MS73</t>
  </si>
  <si>
    <t>MoS-27</t>
  </si>
  <si>
    <t>MoS-29</t>
  </si>
  <si>
    <t>MoS-30</t>
  </si>
  <si>
    <t>MS-230</t>
  </si>
  <si>
    <t>MS23</t>
  </si>
  <si>
    <t>MS-315</t>
  </si>
  <si>
    <t>MS31</t>
  </si>
  <si>
    <t>MS-317</t>
  </si>
  <si>
    <t>MS-500 Criquet</t>
  </si>
  <si>
    <t>MS-501 Criquet</t>
  </si>
  <si>
    <t>MS-502 Criquet</t>
  </si>
  <si>
    <t>MS-504 Criquet</t>
  </si>
  <si>
    <t>MS-505 Criquet</t>
  </si>
  <si>
    <t>MS-506 Criquet</t>
  </si>
  <si>
    <t>MS-733 Alcyon</t>
  </si>
  <si>
    <t>MS-880 Rallye Club</t>
  </si>
  <si>
    <t>RALL</t>
  </si>
  <si>
    <t>MS-881 Rallye 105</t>
  </si>
  <si>
    <t>MS-882 Rallye Club</t>
  </si>
  <si>
    <t>MS-885 Super Rallye</t>
  </si>
  <si>
    <t>MS-886 Super Rallye</t>
  </si>
  <si>
    <t>MS-890 Rallye Commodore</t>
  </si>
  <si>
    <t>MS-892 Rallye Commodore</t>
  </si>
  <si>
    <t>MS-893 Rallye Commodore</t>
  </si>
  <si>
    <t>Rallye 105</t>
  </si>
  <si>
    <t>Rallye Club</t>
  </si>
  <si>
    <t>Rallye Commodore</t>
  </si>
  <si>
    <t>Super Rallye</t>
  </si>
  <si>
    <t>MORAVAN</t>
  </si>
  <si>
    <t>Agro Turbo</t>
  </si>
  <si>
    <t>Z37T</t>
  </si>
  <si>
    <t>Akrobat</t>
  </si>
  <si>
    <t>Z26</t>
  </si>
  <si>
    <t>Bohatyr</t>
  </si>
  <si>
    <t>Firnas 142</t>
  </si>
  <si>
    <t>Z42</t>
  </si>
  <si>
    <t>SM92</t>
  </si>
  <si>
    <t>Safir 43</t>
  </si>
  <si>
    <t>Z43</t>
  </si>
  <si>
    <t>Skydevil</t>
  </si>
  <si>
    <t>Trener 2</t>
  </si>
  <si>
    <t>Trener 6</t>
  </si>
  <si>
    <t>Trener Master</t>
  </si>
  <si>
    <t>Universal</t>
  </si>
  <si>
    <t>Z-37T Agro Turbo</t>
  </si>
  <si>
    <t>Z-137 Agro Turbo</t>
  </si>
  <si>
    <t>Zlin C-5 Trener</t>
  </si>
  <si>
    <t>Zlin Z-22 Junak</t>
  </si>
  <si>
    <t>Z22</t>
  </si>
  <si>
    <t>Zlin Z-26 Trener</t>
  </si>
  <si>
    <t>Zlin Z-42</t>
  </si>
  <si>
    <t>Zlin Z-43</t>
  </si>
  <si>
    <t>Zlin Z-50</t>
  </si>
  <si>
    <t>Z50</t>
  </si>
  <si>
    <t>Zlin Z-126 Trener 2</t>
  </si>
  <si>
    <t>Zlin Z-142</t>
  </si>
  <si>
    <t>Zlin Z-143</t>
  </si>
  <si>
    <t>Zlin Z-226 Akrobat</t>
  </si>
  <si>
    <t>Zlin Z-226 Bohatyr</t>
  </si>
  <si>
    <t>Zlin Z-226 Trener 6</t>
  </si>
  <si>
    <t>Zlin Z-242</t>
  </si>
  <si>
    <t>Zlin Z-326 Akrobat</t>
  </si>
  <si>
    <t>Zlin Z-326 Trener Master</t>
  </si>
  <si>
    <t>Zlin Z-400 Rhino</t>
  </si>
  <si>
    <t>Zlin Z-526 Akrobat</t>
  </si>
  <si>
    <t>Zlin Z-526 Condor</t>
  </si>
  <si>
    <t>Zlin Z-526 Skydevil</t>
  </si>
  <si>
    <t>Zlin Z-526 Trener Master</t>
  </si>
  <si>
    <t>Zlin Z-626</t>
  </si>
  <si>
    <t>Zlin Z-726 Universal</t>
  </si>
  <si>
    <t>MORRISEY</t>
  </si>
  <si>
    <t>2000 Nifty</t>
  </si>
  <si>
    <t>MOR2</t>
  </si>
  <si>
    <t>OM1</t>
  </si>
  <si>
    <t>Nifty</t>
  </si>
  <si>
    <t>OM-1 Bravo</t>
  </si>
  <si>
    <t>MORSE</t>
  </si>
  <si>
    <t>364 Prowler</t>
  </si>
  <si>
    <t>PROW</t>
  </si>
  <si>
    <t>MOURA</t>
  </si>
  <si>
    <t>Esqualo</t>
  </si>
  <si>
    <t>ESQL</t>
  </si>
  <si>
    <t>MRAZ</t>
  </si>
  <si>
    <t>Cap</t>
  </si>
  <si>
    <t>K-65 Cap</t>
  </si>
  <si>
    <t>M-1 Sokol</t>
  </si>
  <si>
    <t>SOKL</t>
  </si>
  <si>
    <t>Sokol</t>
  </si>
  <si>
    <t>MSW</t>
  </si>
  <si>
    <t>Votec 322</t>
  </si>
  <si>
    <t>V322</t>
  </si>
  <si>
    <t>Votec 351</t>
  </si>
  <si>
    <t>V351</t>
  </si>
  <si>
    <t>Votec 252</t>
  </si>
  <si>
    <t>V252</t>
  </si>
  <si>
    <t>Votec 452</t>
  </si>
  <si>
    <t>V452</t>
  </si>
  <si>
    <t>Votec 221</t>
  </si>
  <si>
    <t>V221</t>
  </si>
  <si>
    <t>MUDRY</t>
  </si>
  <si>
    <t>CAP-21</t>
  </si>
  <si>
    <t>CP21</t>
  </si>
  <si>
    <t>CAP-230</t>
  </si>
  <si>
    <t>CAP-231</t>
  </si>
  <si>
    <t>MURPHY</t>
  </si>
  <si>
    <t>Moose</t>
  </si>
  <si>
    <t>MR35</t>
  </si>
  <si>
    <t>Rebel</t>
  </si>
  <si>
    <t>RBEL</t>
  </si>
  <si>
    <t>Rebel Elite</t>
  </si>
  <si>
    <t>RENE</t>
  </si>
  <si>
    <t>SR-2500 Super Rebel</t>
  </si>
  <si>
    <t>MR25</t>
  </si>
  <si>
    <t>SR-3500 Moose</t>
  </si>
  <si>
    <t>SR-3500 Super Rebel</t>
  </si>
  <si>
    <t>SR-3500 T-Moose</t>
  </si>
  <si>
    <t>MR3T</t>
  </si>
  <si>
    <t>Super Rebel (SR-2500)</t>
  </si>
  <si>
    <t>Super Rebel (SR-3500)</t>
  </si>
  <si>
    <t>T-Moose</t>
  </si>
  <si>
    <t>Yukon</t>
  </si>
  <si>
    <t>YUKN</t>
  </si>
  <si>
    <t>Radical</t>
  </si>
  <si>
    <t>RCAL</t>
  </si>
  <si>
    <t>MURRAYAIR</t>
  </si>
  <si>
    <t>MUSTANG</t>
  </si>
  <si>
    <t>MVEN</t>
  </si>
  <si>
    <t>1 Fermer</t>
  </si>
  <si>
    <t>MVN1</t>
  </si>
  <si>
    <t>Fermer</t>
  </si>
  <si>
    <t>MV-500</t>
  </si>
  <si>
    <t>T-500</t>
  </si>
  <si>
    <t>2 Fermer</t>
  </si>
  <si>
    <t>MXR</t>
  </si>
  <si>
    <t>MX-2</t>
  </si>
  <si>
    <t>MX2</t>
  </si>
  <si>
    <t>MXS</t>
  </si>
  <si>
    <t>MYASISHCHEV</t>
  </si>
  <si>
    <t>3M</t>
  </si>
  <si>
    <t>MYA4</t>
  </si>
  <si>
    <t>Barsuk</t>
  </si>
  <si>
    <t>M203</t>
  </si>
  <si>
    <t>Expedition</t>
  </si>
  <si>
    <t>M101</t>
  </si>
  <si>
    <t>Geophysica</t>
  </si>
  <si>
    <t>M55</t>
  </si>
  <si>
    <t>Gzhel</t>
  </si>
  <si>
    <t>M-17 Stratosfera</t>
  </si>
  <si>
    <t>M17</t>
  </si>
  <si>
    <t>M-55 Geophysica</t>
  </si>
  <si>
    <t>M-101 Expedition</t>
  </si>
  <si>
    <t>M-101 Gzhel</t>
  </si>
  <si>
    <t>M-203 Barsuk</t>
  </si>
  <si>
    <t>Stratosfera</t>
  </si>
  <si>
    <t>M-101 Sokol</t>
  </si>
  <si>
    <t>MYLIUS</t>
  </si>
  <si>
    <t>Mistral</t>
  </si>
  <si>
    <t>MY13</t>
  </si>
  <si>
    <t>MY-102 Tornado</t>
  </si>
  <si>
    <t>MY12</t>
  </si>
  <si>
    <t>MY-103 Mistral</t>
  </si>
  <si>
    <t>MYSKY</t>
  </si>
  <si>
    <t>MS-1</t>
  </si>
  <si>
    <t>MS1</t>
  </si>
  <si>
    <t>NABERN</t>
  </si>
  <si>
    <t>NAI</t>
  </si>
  <si>
    <t>FT-300</t>
  </si>
  <si>
    <t>FT30</t>
  </si>
  <si>
    <t>NAL</t>
  </si>
  <si>
    <t>NAL2</t>
  </si>
  <si>
    <t>NALLA-2 Hansa</t>
  </si>
  <si>
    <t>NM-5</t>
  </si>
  <si>
    <t>NM5</t>
  </si>
  <si>
    <t>NAMC</t>
  </si>
  <si>
    <t>NANCHANG</t>
  </si>
  <si>
    <t>CJ-5</t>
  </si>
  <si>
    <t>YK18</t>
  </si>
  <si>
    <t>JL-8 Karakorum</t>
  </si>
  <si>
    <t>PT-6</t>
  </si>
  <si>
    <t>Y-5</t>
  </si>
  <si>
    <t>NANJING</t>
  </si>
  <si>
    <t>AC-500 Aircar</t>
  </si>
  <si>
    <t>AC5A</t>
  </si>
  <si>
    <t>NANJING UNIVERSITY</t>
  </si>
  <si>
    <t>NARDI</t>
  </si>
  <si>
    <t>FN-333 Riviera</t>
  </si>
  <si>
    <t>FN33</t>
  </si>
  <si>
    <t>Riviera</t>
  </si>
  <si>
    <t>NASH</t>
  </si>
  <si>
    <t>PTRL</t>
  </si>
  <si>
    <t>NATIONAL AERONAUTICS</t>
  </si>
  <si>
    <t>Cassutt 3M</t>
  </si>
  <si>
    <t>NATIONAL STEEL</t>
  </si>
  <si>
    <t>Lysander</t>
  </si>
  <si>
    <t>LYSA</t>
  </si>
  <si>
    <t>NAVAL AIRCRAFT FACTORY</t>
  </si>
  <si>
    <t>N3N</t>
  </si>
  <si>
    <t>NAVION</t>
  </si>
  <si>
    <t>Rangemaster</t>
  </si>
  <si>
    <t>RANG</t>
  </si>
  <si>
    <t>NDN</t>
  </si>
  <si>
    <t>NDN-1T Turbo Firecracker</t>
  </si>
  <si>
    <t>ND1T</t>
  </si>
  <si>
    <t>Turbo Firecracker</t>
  </si>
  <si>
    <t>NEICO</t>
  </si>
  <si>
    <t>NEIVA</t>
  </si>
  <si>
    <t>56 Paulistinha</t>
  </si>
  <si>
    <t>PAUL</t>
  </si>
  <si>
    <t>C-42 Regente</t>
  </si>
  <si>
    <t>RGNT</t>
  </si>
  <si>
    <t>Caraja</t>
  </si>
  <si>
    <t>PAT4</t>
  </si>
  <si>
    <t>L-6 Paulistinha</t>
  </si>
  <si>
    <t>L-42 Regente</t>
  </si>
  <si>
    <t>N-591 Regente</t>
  </si>
  <si>
    <t>N-592 Regente</t>
  </si>
  <si>
    <t>N-621 Universal</t>
  </si>
  <si>
    <t>UNIV</t>
  </si>
  <si>
    <t>N-622 Universal</t>
  </si>
  <si>
    <t>NE-821 Caraja</t>
  </si>
  <si>
    <t>Paulistinha</t>
  </si>
  <si>
    <t>Regente</t>
  </si>
  <si>
    <t>T-25 Universal</t>
  </si>
  <si>
    <t>G-19 Ipanema</t>
  </si>
  <si>
    <t>NEMESIS</t>
  </si>
  <si>
    <t>NXT</t>
  </si>
  <si>
    <t>NESMITH</t>
  </si>
  <si>
    <t>NEW CENTURY</t>
  </si>
  <si>
    <t>Radial Rocket</t>
  </si>
  <si>
    <t>RARO</t>
  </si>
  <si>
    <t>NEW GLASAIR</t>
  </si>
  <si>
    <t>NEW GLASTAR</t>
  </si>
  <si>
    <t>GLSP</t>
  </si>
  <si>
    <t>NEW HORIZONS</t>
  </si>
  <si>
    <t>01 Colibri</t>
  </si>
  <si>
    <t>NHCO</t>
  </si>
  <si>
    <t>NEW MEYERS</t>
  </si>
  <si>
    <t>NEW STANDARD</t>
  </si>
  <si>
    <t>D-25</t>
  </si>
  <si>
    <t>D25</t>
  </si>
  <si>
    <t>NEW ZEALAND</t>
  </si>
  <si>
    <t>Cresco</t>
  </si>
  <si>
    <t>CRES</t>
  </si>
  <si>
    <t>NEXT AIRCRAFT</t>
  </si>
  <si>
    <t>NEXTANT</t>
  </si>
  <si>
    <t>Beechjet (400XT)</t>
  </si>
  <si>
    <t>NHI</t>
  </si>
  <si>
    <t>NH-90</t>
  </si>
  <si>
    <t>NH-90 Caiman</t>
  </si>
  <si>
    <t>Caiman</t>
  </si>
  <si>
    <t>Hkp 14</t>
  </si>
  <si>
    <t>NICOLLIER</t>
  </si>
  <si>
    <t>HN-700 Menestrel 2</t>
  </si>
  <si>
    <t>HN70</t>
  </si>
  <si>
    <t>Menestrel 2</t>
  </si>
  <si>
    <t>NIEUPORT</t>
  </si>
  <si>
    <t>28 Replica</t>
  </si>
  <si>
    <t>NI28</t>
  </si>
  <si>
    <t>NIPPER</t>
  </si>
  <si>
    <t>NITSCHE</t>
  </si>
  <si>
    <t>NOIN</t>
  </si>
  <si>
    <t>NOORDUYN</t>
  </si>
  <si>
    <t>AT-16 Harvard</t>
  </si>
  <si>
    <t>C-64 Norseman</t>
  </si>
  <si>
    <t>JA Norseman</t>
  </si>
  <si>
    <t>UC-64 Norseman</t>
  </si>
  <si>
    <t>NORD</t>
  </si>
  <si>
    <t>260 Super Broussard</t>
  </si>
  <si>
    <t>262 Frégate</t>
  </si>
  <si>
    <t>1001 Pingouin 1</t>
  </si>
  <si>
    <t>1002 Pingouin 2</t>
  </si>
  <si>
    <t>1100 Noralpha</t>
  </si>
  <si>
    <t>N110</t>
  </si>
  <si>
    <t>1101 Ramier 1</t>
  </si>
  <si>
    <t>1102 Ramier 2</t>
  </si>
  <si>
    <t>1200 Norecrin</t>
  </si>
  <si>
    <t>N120</t>
  </si>
  <si>
    <t>1201 Norecrin</t>
  </si>
  <si>
    <t>1202 Norecrin</t>
  </si>
  <si>
    <t>1203 Norecrin</t>
  </si>
  <si>
    <t>1204 Norecrin</t>
  </si>
  <si>
    <t>2501 Noratlas</t>
  </si>
  <si>
    <t>NORA</t>
  </si>
  <si>
    <t>N320</t>
  </si>
  <si>
    <t>N340</t>
  </si>
  <si>
    <t>NC-854</t>
  </si>
  <si>
    <t>NC85</t>
  </si>
  <si>
    <t>NC-858</t>
  </si>
  <si>
    <t>Noralpha</t>
  </si>
  <si>
    <t>Noratlas</t>
  </si>
  <si>
    <t>Ramier</t>
  </si>
  <si>
    <t>NORDFLUG</t>
  </si>
  <si>
    <t>NORMAN</t>
  </si>
  <si>
    <t>Nordic 2</t>
  </si>
  <si>
    <t>NDIC</t>
  </si>
  <si>
    <t>Nordic 5</t>
  </si>
  <si>
    <t>Nordic 6</t>
  </si>
  <si>
    <t>Nordic 7</t>
  </si>
  <si>
    <t>Nordic 8 Mini Explorer</t>
  </si>
  <si>
    <t>MNEX</t>
  </si>
  <si>
    <t>NORMAND DUBE</t>
  </si>
  <si>
    <t>Aerocruiser</t>
  </si>
  <si>
    <t>NDAC</t>
  </si>
  <si>
    <t>Aerocruiser Turbo 450</t>
  </si>
  <si>
    <t>NDAT</t>
  </si>
  <si>
    <t>NORTH AMERICAN</t>
  </si>
  <si>
    <t>A-36 Mustang</t>
  </si>
  <si>
    <t>AT-6 Texan</t>
  </si>
  <si>
    <t>AT-28 Trojan</t>
  </si>
  <si>
    <t>B-25 Mitchell</t>
  </si>
  <si>
    <t>B25</t>
  </si>
  <si>
    <t>BC-1</t>
  </si>
  <si>
    <t>Bronco</t>
  </si>
  <si>
    <t>V10</t>
  </si>
  <si>
    <t>BT-9 Yale</t>
  </si>
  <si>
    <t>YALE</t>
  </si>
  <si>
    <t>BT-14 Yale</t>
  </si>
  <si>
    <t>Buckeye</t>
  </si>
  <si>
    <t>T2</t>
  </si>
  <si>
    <t>CT-39 Sabreliner</t>
  </si>
  <si>
    <t>SBR1</t>
  </si>
  <si>
    <t>F-51 Mustang</t>
  </si>
  <si>
    <t>F-82 Twin Mustang</t>
  </si>
  <si>
    <t>P82</t>
  </si>
  <si>
    <t>F-100 Super Sabre</t>
  </si>
  <si>
    <t>SSAB</t>
  </si>
  <si>
    <t>L-17 Navion</t>
  </si>
  <si>
    <t>NAVI</t>
  </si>
  <si>
    <t>Mitchell</t>
  </si>
  <si>
    <t>NA-145 Navion</t>
  </si>
  <si>
    <t>NA-154 Navion</t>
  </si>
  <si>
    <t>NA-265 Sabreliner 40</t>
  </si>
  <si>
    <t>NA-265 Sabreliner 50</t>
  </si>
  <si>
    <t>NA-265 Sabreliner 60</t>
  </si>
  <si>
    <t>Navion</t>
  </si>
  <si>
    <t>NJ Yale</t>
  </si>
  <si>
    <t>NT-39 Sabreliner</t>
  </si>
  <si>
    <t>OV-10 Bronco</t>
  </si>
  <si>
    <t>P-82 Twin Mustang</t>
  </si>
  <si>
    <t>PBJ Mitchell</t>
  </si>
  <si>
    <t>Sabreliner</t>
  </si>
  <si>
    <t>Sabreliner 40</t>
  </si>
  <si>
    <t>Sabreliner 50</t>
  </si>
  <si>
    <t>Sabreliner 60</t>
  </si>
  <si>
    <t>SNJ Texan</t>
  </si>
  <si>
    <t>Super Sabre</t>
  </si>
  <si>
    <t>T-2 Buckeye</t>
  </si>
  <si>
    <t>T-6 Texan</t>
  </si>
  <si>
    <t>T-28 Trojan</t>
  </si>
  <si>
    <t>T-39 Sabreliner</t>
  </si>
  <si>
    <t>TB-25 Mitchell</t>
  </si>
  <si>
    <t>Tp86 Sabreliner</t>
  </si>
  <si>
    <t>Twin Mustang</t>
  </si>
  <si>
    <t>U-18 Navion</t>
  </si>
  <si>
    <t>Yale</t>
  </si>
  <si>
    <t>NORTH AMERICAN ROCKWELL</t>
  </si>
  <si>
    <t>100 Darter Commander</t>
  </si>
  <si>
    <t>100 Lark Commander</t>
  </si>
  <si>
    <t>LARK</t>
  </si>
  <si>
    <t>112 Commander 112</t>
  </si>
  <si>
    <t>500 Shrike Commander</t>
  </si>
  <si>
    <t>680FL Courser Commander</t>
  </si>
  <si>
    <t>680W Turbo 2 Commander</t>
  </si>
  <si>
    <t>681 Hawk Commander</t>
  </si>
  <si>
    <t>685 Commander 685</t>
  </si>
  <si>
    <t>690 Turbo Commander 690</t>
  </si>
  <si>
    <t>A-9 Quail Commander</t>
  </si>
  <si>
    <t>A-9 Sparrow Commander</t>
  </si>
  <si>
    <t>Ag Commander</t>
  </si>
  <si>
    <t>B-1 Snipe Commander</t>
  </si>
  <si>
    <t>Commander 112</t>
  </si>
  <si>
    <t>Commander 685</t>
  </si>
  <si>
    <t>Courser Commander</t>
  </si>
  <si>
    <t>Darter Commander</t>
  </si>
  <si>
    <t>Hawk Commander</t>
  </si>
  <si>
    <t>Lark Commander</t>
  </si>
  <si>
    <t>NA-265 Sabre 75</t>
  </si>
  <si>
    <t>SBR2</t>
  </si>
  <si>
    <t>Quail Commander</t>
  </si>
  <si>
    <t>S-2 Thrush Commander</t>
  </si>
  <si>
    <t>Sabre 40</t>
  </si>
  <si>
    <t>Sabre 60</t>
  </si>
  <si>
    <t>Sabre 75</t>
  </si>
  <si>
    <t>Shrike Commander</t>
  </si>
  <si>
    <t>Snipe Commander</t>
  </si>
  <si>
    <t>Sparrow Commander</t>
  </si>
  <si>
    <t>Thrush Commander</t>
  </si>
  <si>
    <t>Turbo 2 Commander</t>
  </si>
  <si>
    <t>Turbo Commander 690</t>
  </si>
  <si>
    <t>NORTHERN</t>
  </si>
  <si>
    <t>NORTHROP</t>
  </si>
  <si>
    <t>AT-38 Talon</t>
  </si>
  <si>
    <t>T38</t>
  </si>
  <si>
    <t>B-2 Spirit</t>
  </si>
  <si>
    <t>B2</t>
  </si>
  <si>
    <t>Black Widow</t>
  </si>
  <si>
    <t>P61</t>
  </si>
  <si>
    <t>C-125 Raider</t>
  </si>
  <si>
    <t>C125</t>
  </si>
  <si>
    <t>F-5 Freedom Fighter</t>
  </si>
  <si>
    <t>Freedom Fighter</t>
  </si>
  <si>
    <t>N-156C Freedom Fighter</t>
  </si>
  <si>
    <t>N-156F Freedom Fighter</t>
  </si>
  <si>
    <t>N-156T Talon</t>
  </si>
  <si>
    <t>P-61 Black Widow</t>
  </si>
  <si>
    <t>Raider</t>
  </si>
  <si>
    <t>RF-5 Freedom Fighter</t>
  </si>
  <si>
    <t>RF-5 Tigereye</t>
  </si>
  <si>
    <t>Spirit</t>
  </si>
  <si>
    <t>T-38 Talon</t>
  </si>
  <si>
    <t>Talon</t>
  </si>
  <si>
    <t>Tigereye</t>
  </si>
  <si>
    <t>F-5 Azarakhsh</t>
  </si>
  <si>
    <t>Azarakhsh</t>
  </si>
  <si>
    <t>NORTHROP GRUMMAN</t>
  </si>
  <si>
    <t>R-03 Firebird</t>
  </si>
  <si>
    <t>FRBD</t>
  </si>
  <si>
    <t>H-03 Firebird</t>
  </si>
  <si>
    <t>Firebird</t>
  </si>
  <si>
    <t>RQ-4 Global Hawk</t>
  </si>
  <si>
    <t>Q4</t>
  </si>
  <si>
    <t>RQ-4 EuroHawk</t>
  </si>
  <si>
    <t>MQ-4 Triton</t>
  </si>
  <si>
    <t>EQ-4 Global Hawk</t>
  </si>
  <si>
    <t>Triton</t>
  </si>
  <si>
    <t>Global Hawk</t>
  </si>
  <si>
    <t>EuroHawk</t>
  </si>
  <si>
    <t>X-47B</t>
  </si>
  <si>
    <t>X47B</t>
  </si>
  <si>
    <t>NORTHWEST TURBINE</t>
  </si>
  <si>
    <t>NOSTALGAIR</t>
  </si>
  <si>
    <t>Citabriette</t>
  </si>
  <si>
    <t>N3</t>
  </si>
  <si>
    <t>N-3 Citabriette</t>
  </si>
  <si>
    <t>N-3 Super Pup</t>
  </si>
  <si>
    <t>Super Pup</t>
  </si>
  <si>
    <t>NURTANIO</t>
  </si>
  <si>
    <t>NSA-330 Puma</t>
  </si>
  <si>
    <t>NUSANTARA</t>
  </si>
  <si>
    <t>N-250</t>
  </si>
  <si>
    <t>N250</t>
  </si>
  <si>
    <t>NBell-407</t>
  </si>
  <si>
    <t>NBK-117</t>
  </si>
  <si>
    <t>NUVENTURE</t>
  </si>
  <si>
    <t>Venture</t>
  </si>
  <si>
    <t>VTUR</t>
  </si>
  <si>
    <t>NUWACO</t>
  </si>
  <si>
    <t>T-10</t>
  </si>
  <si>
    <t>NT10</t>
  </si>
  <si>
    <t>O'NEILL</t>
  </si>
  <si>
    <t>OMAG</t>
  </si>
  <si>
    <t>OAKLAND</t>
  </si>
  <si>
    <t>Centaurus</t>
  </si>
  <si>
    <t>OBERLERCHNER</t>
  </si>
  <si>
    <t>JOB-15</t>
  </si>
  <si>
    <t>JB15</t>
  </si>
  <si>
    <t>ODESSA</t>
  </si>
  <si>
    <t>Y-1 Delfin</t>
  </si>
  <si>
    <t>OGMA</t>
  </si>
  <si>
    <t>OLDFIELD</t>
  </si>
  <si>
    <t>OLYMPIC ULTRALIGHTS</t>
  </si>
  <si>
    <t>Desert Eagle 2</t>
  </si>
  <si>
    <t>OUDE</t>
  </si>
  <si>
    <t>OMA SUD</t>
  </si>
  <si>
    <t>Skycar</t>
  </si>
  <si>
    <t>SKYC</t>
  </si>
  <si>
    <t>OMAC</t>
  </si>
  <si>
    <t>Laser 300</t>
  </si>
  <si>
    <t>OMLA</t>
  </si>
  <si>
    <t>OMF</t>
  </si>
  <si>
    <t>OMF-100 Symphony</t>
  </si>
  <si>
    <t>SYMP</t>
  </si>
  <si>
    <t>Symphony</t>
  </si>
  <si>
    <t>OMNI</t>
  </si>
  <si>
    <t>404 Turbo Titan</t>
  </si>
  <si>
    <t>Turbo Titan</t>
  </si>
  <si>
    <t>OMNI-WELD</t>
  </si>
  <si>
    <t>Questor</t>
  </si>
  <si>
    <t>QEST</t>
  </si>
  <si>
    <t>ON MARK</t>
  </si>
  <si>
    <t>Marketeer</t>
  </si>
  <si>
    <t>Marksman</t>
  </si>
  <si>
    <t>ONE PRO</t>
  </si>
  <si>
    <t>OPTICA</t>
  </si>
  <si>
    <t>OPTION AIR</t>
  </si>
  <si>
    <t>Acapella</t>
  </si>
  <si>
    <t>ACPL</t>
  </si>
  <si>
    <t>ORION</t>
  </si>
  <si>
    <t>OR10</t>
  </si>
  <si>
    <t>SK-12</t>
  </si>
  <si>
    <t>OR12</t>
  </si>
  <si>
    <t>ORLICAN</t>
  </si>
  <si>
    <t>K-60 Brigadyr</t>
  </si>
  <si>
    <t>L-40 Meta Sokol</t>
  </si>
  <si>
    <t>L40</t>
  </si>
  <si>
    <t>Meta Sokol</t>
  </si>
  <si>
    <t>OSKBES-MAI</t>
  </si>
  <si>
    <t>Interfly</t>
  </si>
  <si>
    <t>Kityonok</t>
  </si>
  <si>
    <t>A223</t>
  </si>
  <si>
    <t>MAI-205</t>
  </si>
  <si>
    <t>A205</t>
  </si>
  <si>
    <t>MAI-223 Kityonok</t>
  </si>
  <si>
    <t>MAI-910 Interfly</t>
  </si>
  <si>
    <t>MAI-960 Interfly</t>
  </si>
  <si>
    <t>MAI-411</t>
  </si>
  <si>
    <t>A411</t>
  </si>
  <si>
    <t>OSPREY</t>
  </si>
  <si>
    <t>GP-3 Osprey 2</t>
  </si>
  <si>
    <t>GP3</t>
  </si>
  <si>
    <t>GP-4</t>
  </si>
  <si>
    <t>GP4</t>
  </si>
  <si>
    <t>Osprey 2</t>
  </si>
  <si>
    <t>P&amp;M AVIATION</t>
  </si>
  <si>
    <t>PulsR</t>
  </si>
  <si>
    <t>PULR</t>
  </si>
  <si>
    <t>HypR</t>
  </si>
  <si>
    <t>HYPR</t>
  </si>
  <si>
    <t>PACAERO</t>
  </si>
  <si>
    <t>T-28 Nomad</t>
  </si>
  <si>
    <t>PACI</t>
  </si>
  <si>
    <t>Skyfox</t>
  </si>
  <si>
    <t>PACIFIC AEROSPACE</t>
  </si>
  <si>
    <t>750XL</t>
  </si>
  <si>
    <t>P750</t>
  </si>
  <si>
    <t>P-750 XStol</t>
  </si>
  <si>
    <t>XStol</t>
  </si>
  <si>
    <t>Akala</t>
  </si>
  <si>
    <t>CT-4 Akala</t>
  </si>
  <si>
    <t>PACIFIC AIRMOTIVE</t>
  </si>
  <si>
    <t>Tradewind</t>
  </si>
  <si>
    <t>TRWN</t>
  </si>
  <si>
    <t>PADC</t>
  </si>
  <si>
    <t>S-211</t>
  </si>
  <si>
    <t>S211</t>
  </si>
  <si>
    <t>PAI</t>
  </si>
  <si>
    <t>PAKISTAN</t>
  </si>
  <si>
    <t>Mushshak</t>
  </si>
  <si>
    <t>MF17</t>
  </si>
  <si>
    <t>Shahbaz</t>
  </si>
  <si>
    <t>Super Mushshak</t>
  </si>
  <si>
    <t>PANAVIA</t>
  </si>
  <si>
    <t>PANHA</t>
  </si>
  <si>
    <t>Shabaviz 2-75</t>
  </si>
  <si>
    <t>PANZL</t>
  </si>
  <si>
    <t>S-330</t>
  </si>
  <si>
    <t>ST30</t>
  </si>
  <si>
    <t>PAPA 51</t>
  </si>
  <si>
    <t>Thunder Mustang</t>
  </si>
  <si>
    <t>TMUS</t>
  </si>
  <si>
    <t>PARADISE</t>
  </si>
  <si>
    <t>PAR1</t>
  </si>
  <si>
    <t>P-2</t>
  </si>
  <si>
    <t>P-4</t>
  </si>
  <si>
    <t>PAR4</t>
  </si>
  <si>
    <t>PARAMOUNT</t>
  </si>
  <si>
    <t>Cabinaire</t>
  </si>
  <si>
    <t>CABN</t>
  </si>
  <si>
    <t>PARAVAR PARS</t>
  </si>
  <si>
    <t>Saba</t>
  </si>
  <si>
    <t>SABA</t>
  </si>
  <si>
    <t>PARKER</t>
  </si>
  <si>
    <t>Teenie Two</t>
  </si>
  <si>
    <t>TTWO</t>
  </si>
  <si>
    <t>PARNALL</t>
  </si>
  <si>
    <t>Elf</t>
  </si>
  <si>
    <t>ELF</t>
  </si>
  <si>
    <t>PARRISH</t>
  </si>
  <si>
    <t>PARTENAIR</t>
  </si>
  <si>
    <t>Mystere</t>
  </si>
  <si>
    <t>S45</t>
  </si>
  <si>
    <t>S-45 Mystere</t>
  </si>
  <si>
    <t>PARTENAVIA</t>
  </si>
  <si>
    <t>AP-68TP-300 Spartacus</t>
  </si>
  <si>
    <t>P68T</t>
  </si>
  <si>
    <t>AP-68TP-600 Viator</t>
  </si>
  <si>
    <t>VTOR</t>
  </si>
  <si>
    <t>Charlie</t>
  </si>
  <si>
    <t>Fachiro 2</t>
  </si>
  <si>
    <t>P57</t>
  </si>
  <si>
    <t>P68</t>
  </si>
  <si>
    <t>Oscar</t>
  </si>
  <si>
    <t>P-57 Fachiro 2</t>
  </si>
  <si>
    <t>P-64 Oscar</t>
  </si>
  <si>
    <t>P-66 Charlie</t>
  </si>
  <si>
    <t>P-66 Oscar</t>
  </si>
  <si>
    <t>P-68</t>
  </si>
  <si>
    <t>P-68 Observer</t>
  </si>
  <si>
    <t>P-68 Victor</t>
  </si>
  <si>
    <t>Spartacus</t>
  </si>
  <si>
    <t>Viator</t>
  </si>
  <si>
    <t>PASOTTI</t>
  </si>
  <si>
    <t>F-7 Rondone 2</t>
  </si>
  <si>
    <t>Rondone 2</t>
  </si>
  <si>
    <t>PATRIA</t>
  </si>
  <si>
    <t>FA-18 Hornet</t>
  </si>
  <si>
    <t>PAULISTA</t>
  </si>
  <si>
    <t>CAP-4 Paulistinha</t>
  </si>
  <si>
    <t>PAWNEE</t>
  </si>
  <si>
    <t>Chief</t>
  </si>
  <si>
    <t>CHIF</t>
  </si>
  <si>
    <t>PAXMAN'S</t>
  </si>
  <si>
    <t>VIPR</t>
  </si>
  <si>
    <t>PAYNE</t>
  </si>
  <si>
    <t>Knight Twister</t>
  </si>
  <si>
    <t>KNTW</t>
  </si>
  <si>
    <t>Sunday Knight Twister</t>
  </si>
  <si>
    <t>PAZMANY</t>
  </si>
  <si>
    <t>Laminar</t>
  </si>
  <si>
    <t>PL1</t>
  </si>
  <si>
    <t>PL-1 Laminar</t>
  </si>
  <si>
    <t>PL-2</t>
  </si>
  <si>
    <t>PL2</t>
  </si>
  <si>
    <t>PL-4</t>
  </si>
  <si>
    <t>PL4</t>
  </si>
  <si>
    <t>PL-9 Stork</t>
  </si>
  <si>
    <t>PL9</t>
  </si>
  <si>
    <t>Stork</t>
  </si>
  <si>
    <t>PCV</t>
  </si>
  <si>
    <t>PEGASE AERO</t>
  </si>
  <si>
    <t>Pegazair</t>
  </si>
  <si>
    <t>PEGZ</t>
  </si>
  <si>
    <t>PELEGRIN</t>
  </si>
  <si>
    <t>Tarragon</t>
  </si>
  <si>
    <t>TARR</t>
  </si>
  <si>
    <t>PENA</t>
  </si>
  <si>
    <t>Bilouis</t>
  </si>
  <si>
    <t>BILO</t>
  </si>
  <si>
    <t>Capena</t>
  </si>
  <si>
    <t>CPNA</t>
  </si>
  <si>
    <t>Dahu</t>
  </si>
  <si>
    <t>DAHU</t>
  </si>
  <si>
    <t>PENNEC-LUCAS</t>
  </si>
  <si>
    <t>Dieselis</t>
  </si>
  <si>
    <t>DIES</t>
  </si>
  <si>
    <t>PERCIVAL</t>
  </si>
  <si>
    <t>K-1 Vega Gull</t>
  </si>
  <si>
    <t>VGUL</t>
  </si>
  <si>
    <t>P-10 Vega Gull</t>
  </si>
  <si>
    <t>P-28 Proctor</t>
  </si>
  <si>
    <t>PROC</t>
  </si>
  <si>
    <t>P-30 Proctor</t>
  </si>
  <si>
    <t>P-31 Proctor</t>
  </si>
  <si>
    <t>P-34 Proctor</t>
  </si>
  <si>
    <t>P-40 Prentice</t>
  </si>
  <si>
    <t>PREN</t>
  </si>
  <si>
    <t>P-44 Proctor</t>
  </si>
  <si>
    <t>P-57 Sea Prince</t>
  </si>
  <si>
    <t>PRCE</t>
  </si>
  <si>
    <t>Prentice</t>
  </si>
  <si>
    <t>Proctor</t>
  </si>
  <si>
    <t>Sea Prince</t>
  </si>
  <si>
    <t>Vega Gull</t>
  </si>
  <si>
    <t>PEREGRINE</t>
  </si>
  <si>
    <t>PJ-2 Falcon</t>
  </si>
  <si>
    <t>PJ-3 Falcon</t>
  </si>
  <si>
    <t>PEREIRA</t>
  </si>
  <si>
    <t>PERFORMANCE</t>
  </si>
  <si>
    <t>Legend</t>
  </si>
  <si>
    <t>LEGD</t>
  </si>
  <si>
    <t>PETERSON</t>
  </si>
  <si>
    <t>Katmai</t>
  </si>
  <si>
    <t>PETROLINI</t>
  </si>
  <si>
    <t>IAe-20 El Boyero</t>
  </si>
  <si>
    <t>PHENIX</t>
  </si>
  <si>
    <t>Phenix</t>
  </si>
  <si>
    <t>PHIX</t>
  </si>
  <si>
    <t>PHILLIPS</t>
  </si>
  <si>
    <t>Speedtwin</t>
  </si>
  <si>
    <t>ST1</t>
  </si>
  <si>
    <t>ST-1 Speedtwin</t>
  </si>
  <si>
    <t>PHILLIPS &amp; POWIS</t>
  </si>
  <si>
    <t>PHOENIX (1)</t>
  </si>
  <si>
    <t>PHOENIX (2)</t>
  </si>
  <si>
    <t>MVRK</t>
  </si>
  <si>
    <t>PHOENIX AIR</t>
  </si>
  <si>
    <t>U-15 Phoenix</t>
  </si>
  <si>
    <t>U15</t>
  </si>
  <si>
    <t>PHOENIX-AVIACOR</t>
  </si>
  <si>
    <t>Kasatik</t>
  </si>
  <si>
    <t>KSTK</t>
  </si>
  <si>
    <t>M-12 Kasatik</t>
  </si>
  <si>
    <t>PIAGGIO</t>
  </si>
  <si>
    <t>P66P</t>
  </si>
  <si>
    <t>Avanti</t>
  </si>
  <si>
    <t>P180</t>
  </si>
  <si>
    <t>P-136</t>
  </si>
  <si>
    <t>P136</t>
  </si>
  <si>
    <t>P-148</t>
  </si>
  <si>
    <t>P148</t>
  </si>
  <si>
    <t>P-149</t>
  </si>
  <si>
    <t>P-166</t>
  </si>
  <si>
    <t>P-166A</t>
  </si>
  <si>
    <t>P-166B Portofino</t>
  </si>
  <si>
    <t>P-166C</t>
  </si>
  <si>
    <t>P-166DL2</t>
  </si>
  <si>
    <t>P-166DL3</t>
  </si>
  <si>
    <t>P66T</t>
  </si>
  <si>
    <t>P-166DP1</t>
  </si>
  <si>
    <t>P-166M</t>
  </si>
  <si>
    <t>P-166S Albatross</t>
  </si>
  <si>
    <t>P-180 Avanti</t>
  </si>
  <si>
    <t>Portofino</t>
  </si>
  <si>
    <t>P-1HH Hammerhead</t>
  </si>
  <si>
    <t>P1HH</t>
  </si>
  <si>
    <t>Hammerhead</t>
  </si>
  <si>
    <t>PIASECKI</t>
  </si>
  <si>
    <t>X-49 SpeedHawk</t>
  </si>
  <si>
    <t>X49</t>
  </si>
  <si>
    <t>SpeedHawk</t>
  </si>
  <si>
    <t>PIEL</t>
  </si>
  <si>
    <t>CP-90 Pinocchio 2</t>
  </si>
  <si>
    <t>CP90</t>
  </si>
  <si>
    <t>Pinocchio 2</t>
  </si>
  <si>
    <t>Béryl</t>
  </si>
  <si>
    <t>CP75</t>
  </si>
  <si>
    <t>CP-30 Emeraude</t>
  </si>
  <si>
    <t>CP-60 Diamant</t>
  </si>
  <si>
    <t>CP60</t>
  </si>
  <si>
    <t>CP-70 Béryl</t>
  </si>
  <si>
    <t>CP-80 Zéphir</t>
  </si>
  <si>
    <t>CP80</t>
  </si>
  <si>
    <t>CP-302 Emeraude</t>
  </si>
  <si>
    <t>CP-304 Emeraude</t>
  </si>
  <si>
    <t>CP-305 Emeraude</t>
  </si>
  <si>
    <t>CP-309 Emeraude</t>
  </si>
  <si>
    <t>CP-311 Emeraude</t>
  </si>
  <si>
    <t>CP-315 Emeraude</t>
  </si>
  <si>
    <t>CP-316 Emeraude</t>
  </si>
  <si>
    <t>CP-319 Emeraude</t>
  </si>
  <si>
    <t>CP-325 Super Emeraude</t>
  </si>
  <si>
    <t>CP-328 Super Emeraude</t>
  </si>
  <si>
    <t>CP-601 Diamant</t>
  </si>
  <si>
    <t>CP-604 Super Diamant</t>
  </si>
  <si>
    <t>CP-605 Super Diamant</t>
  </si>
  <si>
    <t>CP-607 Super Diamant</t>
  </si>
  <si>
    <t>CP-615 Super Diamant</t>
  </si>
  <si>
    <t>CP-701 Béryl</t>
  </si>
  <si>
    <t>CP-750 Béryl</t>
  </si>
  <si>
    <t>CP-751 Béryl</t>
  </si>
  <si>
    <t>CP-760 Béryl</t>
  </si>
  <si>
    <t>CP-801 Zéphir</t>
  </si>
  <si>
    <t>CP-802 Zéphir</t>
  </si>
  <si>
    <t>CP-1315 Super Emeraude</t>
  </si>
  <si>
    <t>CP-1320 Saphir</t>
  </si>
  <si>
    <t>SAPH</t>
  </si>
  <si>
    <t>CP-1330 Super Emeraude</t>
  </si>
  <si>
    <t>Diamant</t>
  </si>
  <si>
    <t>Super Diamant</t>
  </si>
  <si>
    <t>Super Emeraude (CP-320/325/328)</t>
  </si>
  <si>
    <t>Super Emeraude (CP-1310/1315/1330)</t>
  </si>
  <si>
    <t>Zéphir</t>
  </si>
  <si>
    <t>PIETENPOL</t>
  </si>
  <si>
    <t>Aerial</t>
  </si>
  <si>
    <t>PARL</t>
  </si>
  <si>
    <t>B-4 Aircamper</t>
  </si>
  <si>
    <t>PIK</t>
  </si>
  <si>
    <t>Hinu</t>
  </si>
  <si>
    <t>PK15</t>
  </si>
  <si>
    <t>Muhinu</t>
  </si>
  <si>
    <t>PK19</t>
  </si>
  <si>
    <t>PIK-11 Tumppu</t>
  </si>
  <si>
    <t>PK11</t>
  </si>
  <si>
    <t>PIK-15 Hinu</t>
  </si>
  <si>
    <t>PIK-18 Sytky</t>
  </si>
  <si>
    <t>PK18</t>
  </si>
  <si>
    <t>PIK-19 Muhinu</t>
  </si>
  <si>
    <t>PIK-21 Super Sytky</t>
  </si>
  <si>
    <t>PK21</t>
  </si>
  <si>
    <t>PIK-23 Suhinu</t>
  </si>
  <si>
    <t>PK23</t>
  </si>
  <si>
    <t>PIK-23 Towmaster</t>
  </si>
  <si>
    <t>Suhinu</t>
  </si>
  <si>
    <t>Super Sytky</t>
  </si>
  <si>
    <t>Sytky</t>
  </si>
  <si>
    <t>Towmaster</t>
  </si>
  <si>
    <t>Tumppu</t>
  </si>
  <si>
    <t>PIK-25 Varttimarkka</t>
  </si>
  <si>
    <t>PK25</t>
  </si>
  <si>
    <t>Varttimarkka</t>
  </si>
  <si>
    <t>PILATUS</t>
  </si>
  <si>
    <t>PC-24</t>
  </si>
  <si>
    <t>PC24</t>
  </si>
  <si>
    <t>AT-92 Turbo Trainer</t>
  </si>
  <si>
    <t>Chiricahua</t>
  </si>
  <si>
    <t>PC12</t>
  </si>
  <si>
    <t>Hudournik</t>
  </si>
  <si>
    <t>PP2</t>
  </si>
  <si>
    <t>P-3</t>
  </si>
  <si>
    <t>PP3</t>
  </si>
  <si>
    <t>PC-6 Porter</t>
  </si>
  <si>
    <t>PC6P</t>
  </si>
  <si>
    <t>PC-6A Turbo-Porter</t>
  </si>
  <si>
    <t>PC-6B Turbo-Porter</t>
  </si>
  <si>
    <t>PC-6C Turbo-Porter</t>
  </si>
  <si>
    <t>PC-7 Turbo Trainer</t>
  </si>
  <si>
    <t>PC-9 Hudournik</t>
  </si>
  <si>
    <t>PC-12</t>
  </si>
  <si>
    <t>PC-12 Eagle</t>
  </si>
  <si>
    <t>PC-12 Spectre</t>
  </si>
  <si>
    <t>PC-21</t>
  </si>
  <si>
    <t>PC21</t>
  </si>
  <si>
    <t>Porter</t>
  </si>
  <si>
    <t>Turbo Trainer</t>
  </si>
  <si>
    <t>Turbo-Porter</t>
  </si>
  <si>
    <t>U-28</t>
  </si>
  <si>
    <t>UV-20 Chiricahua</t>
  </si>
  <si>
    <t>PILATUS BRITTEN-NORMAN</t>
  </si>
  <si>
    <t>PIPER</t>
  </si>
  <si>
    <t>6X</t>
  </si>
  <si>
    <t>6XT</t>
  </si>
  <si>
    <t>108 Station Wagon</t>
  </si>
  <si>
    <t>S108</t>
  </si>
  <si>
    <t>108 Voyager</t>
  </si>
  <si>
    <t>AE Cub Cruiser</t>
  </si>
  <si>
    <t>J5</t>
  </si>
  <si>
    <t>Archer 3</t>
  </si>
  <si>
    <t>Caribbean</t>
  </si>
  <si>
    <t>PA22</t>
  </si>
  <si>
    <t>Cherokee 140-4</t>
  </si>
  <si>
    <t>Cherokee (PA-28-140/150/160/180)</t>
  </si>
  <si>
    <t>Cherokee Chief</t>
  </si>
  <si>
    <t>Cherokee Flite Liner</t>
  </si>
  <si>
    <t>Cherokee Warrior</t>
  </si>
  <si>
    <t>Cheyenne</t>
  </si>
  <si>
    <t>Cheyenne 400</t>
  </si>
  <si>
    <t>PAY4</t>
  </si>
  <si>
    <t>PA16</t>
  </si>
  <si>
    <t>Colt</t>
  </si>
  <si>
    <t>Comanche</t>
  </si>
  <si>
    <t>PA24</t>
  </si>
  <si>
    <t>Cub (J-2)</t>
  </si>
  <si>
    <t>J2</t>
  </si>
  <si>
    <t>Cub (J-3/L-4/NE)</t>
  </si>
  <si>
    <t>Cub Coupe</t>
  </si>
  <si>
    <t>J4</t>
  </si>
  <si>
    <t>Cub Cruiser</t>
  </si>
  <si>
    <t>Cub Special</t>
  </si>
  <si>
    <t>Family Cruiser</t>
  </si>
  <si>
    <t>PA14</t>
  </si>
  <si>
    <t>J-2 Cub</t>
  </si>
  <si>
    <t>J-4 Cub Coupe</t>
  </si>
  <si>
    <t>J-5 Cub Cruiser</t>
  </si>
  <si>
    <t>L-4 Cub</t>
  </si>
  <si>
    <t>L-14 Cub Cruiser</t>
  </si>
  <si>
    <t>L-18B Cub Special</t>
  </si>
  <si>
    <t>L-18C Super Cub</t>
  </si>
  <si>
    <t>L-21 Super Cub</t>
  </si>
  <si>
    <t>Malibu</t>
  </si>
  <si>
    <t>PA46</t>
  </si>
  <si>
    <t>Malibu Meridian</t>
  </si>
  <si>
    <t>Malibu Mirage</t>
  </si>
  <si>
    <t>Mojave</t>
  </si>
  <si>
    <t>NE Cub</t>
  </si>
  <si>
    <t>PA-11 Cub Special</t>
  </si>
  <si>
    <t>PA-14 Family Cruiser</t>
  </si>
  <si>
    <t>PA-15 Vagabond</t>
  </si>
  <si>
    <t>PA15</t>
  </si>
  <si>
    <t>PA-16 Clipper</t>
  </si>
  <si>
    <t>PA-17 Vagabond</t>
  </si>
  <si>
    <t>PA17</t>
  </si>
  <si>
    <t>PA-17 Vagabond Trainer</t>
  </si>
  <si>
    <t>PA-20 Pacer</t>
  </si>
  <si>
    <t>PA20</t>
  </si>
  <si>
    <t>PA-22 Caribbean</t>
  </si>
  <si>
    <t>PA-22 Colt</t>
  </si>
  <si>
    <t>PA-22 Tri-Pacer</t>
  </si>
  <si>
    <t>PA-23-150 Apache</t>
  </si>
  <si>
    <t>PA-23-160 Apache</t>
  </si>
  <si>
    <t>PA-23-235 Aztec</t>
  </si>
  <si>
    <t>PA-23-250 Aztec</t>
  </si>
  <si>
    <t>PA-23-250 Turbo Aztec</t>
  </si>
  <si>
    <t>PA-24 Comanche</t>
  </si>
  <si>
    <t>PA-28-140 Cherokee 140-4</t>
  </si>
  <si>
    <t>PA-28-140 Cherokee Flite Liner</t>
  </si>
  <si>
    <t>PA-28-150 Cherokee</t>
  </si>
  <si>
    <t>PA-28-151 Cherokee Warrior</t>
  </si>
  <si>
    <t>PA-28-160 Cherokee</t>
  </si>
  <si>
    <t>PA-28-161 Cadet</t>
  </si>
  <si>
    <t>PA-28-161 Warrior 3</t>
  </si>
  <si>
    <t>PA-28-180 Cherokee Challenger</t>
  </si>
  <si>
    <t>PA-28-180TG Cherokee Chief</t>
  </si>
  <si>
    <t>PA-28-181 Archer 3</t>
  </si>
  <si>
    <t>PA-28R-200 Cherokee Arrow</t>
  </si>
  <si>
    <t>PA-28R-201 Arrow 3</t>
  </si>
  <si>
    <t>PA-28R-201 Cherokee Arrow 3</t>
  </si>
  <si>
    <t>PA-28R-300 Pillán</t>
  </si>
  <si>
    <t>PA-28RT-201 Arrow 4</t>
  </si>
  <si>
    <t>PA-30 Turbo Twin Comanche</t>
  </si>
  <si>
    <t>PA-31-300 Navajo</t>
  </si>
  <si>
    <t>Archer TX</t>
  </si>
  <si>
    <t>PA-28-181 Archer TX</t>
  </si>
  <si>
    <t>Turbo Twin Comanche</t>
  </si>
  <si>
    <t>Twin Comanche CR</t>
  </si>
  <si>
    <t>U-7 Super Cub</t>
  </si>
  <si>
    <t>U-11 Aztec</t>
  </si>
  <si>
    <t>UC-26 Aztec</t>
  </si>
  <si>
    <t>Vagabond (PA-15)</t>
  </si>
  <si>
    <t>Vagabond (PA-17)</t>
  </si>
  <si>
    <t>Vagabond Trainer</t>
  </si>
  <si>
    <t>Warrior 3</t>
  </si>
  <si>
    <t>PA-31-350 T-1020</t>
  </si>
  <si>
    <t>PA-31P-350 Mojave</t>
  </si>
  <si>
    <t>PA-31P-425 Pressurized Navajo</t>
  </si>
  <si>
    <t>PA-31T1-500 Cheyenne 1</t>
  </si>
  <si>
    <t>PA-31T3-500 T-1040</t>
  </si>
  <si>
    <t>PA-31T-620 Cheyenne</t>
  </si>
  <si>
    <t>PA-32 6X</t>
  </si>
  <si>
    <t>PA-32 6XT</t>
  </si>
  <si>
    <t>PA-32R-300 Cherokee Lance</t>
  </si>
  <si>
    <t>PA-32R-301 Saratoga 2 HP</t>
  </si>
  <si>
    <t>PA-32R-301 Saratoga SP</t>
  </si>
  <si>
    <t>PA-32R-301T Saratoga 2 TC</t>
  </si>
  <si>
    <t>PA-32RT-300T Turbo Lance 2</t>
  </si>
  <si>
    <t>PA-39 Twin Comanche CR</t>
  </si>
  <si>
    <t>PA-42-1000 Cheyenne 400</t>
  </si>
  <si>
    <t>PA-44 Turbo Seminole</t>
  </si>
  <si>
    <t>PA-46-310P Malibu</t>
  </si>
  <si>
    <t>PA-46-350P Malibu Mirage</t>
  </si>
  <si>
    <t>PA-46-500TP Malibu Meridian</t>
  </si>
  <si>
    <t>PA-60 Aerostar</t>
  </si>
  <si>
    <t>Pacer</t>
  </si>
  <si>
    <t>Saratoga 2 HP</t>
  </si>
  <si>
    <t>Saratoga 2 TC</t>
  </si>
  <si>
    <t>Saratoga SP</t>
  </si>
  <si>
    <t>Station Wagon</t>
  </si>
  <si>
    <t>T-1020</t>
  </si>
  <si>
    <t>T-1040</t>
  </si>
  <si>
    <t>Tri-Pacer</t>
  </si>
  <si>
    <t>Turbo Aztec</t>
  </si>
  <si>
    <t>Turbo Seminole</t>
  </si>
  <si>
    <t>PA-28-181 Archer LX</t>
  </si>
  <si>
    <t>PA-47 Piper Jet</t>
  </si>
  <si>
    <t>PA47</t>
  </si>
  <si>
    <t>PA-47 Piper Jet Altaire</t>
  </si>
  <si>
    <t>Archer LX</t>
  </si>
  <si>
    <t>Piper Jet</t>
  </si>
  <si>
    <t>Piper Jet Altaire</t>
  </si>
  <si>
    <t>PA-46-350P M350</t>
  </si>
  <si>
    <t>M350</t>
  </si>
  <si>
    <t>PA-46-500TP Meridian M500</t>
  </si>
  <si>
    <t>Meridian M500</t>
  </si>
  <si>
    <t>M500</t>
  </si>
  <si>
    <t>PA-46-600TP M600</t>
  </si>
  <si>
    <t>M600</t>
  </si>
  <si>
    <t>PA-28R-201T  Turbo Cherokee Arrow 3</t>
  </si>
  <si>
    <t>PA-28-181 Pilot</t>
  </si>
  <si>
    <t>PA-28-181 Archer DX</t>
  </si>
  <si>
    <t>PA-28-181 Archer DLX</t>
  </si>
  <si>
    <t>Pilot</t>
  </si>
  <si>
    <t>Archer DX</t>
  </si>
  <si>
    <t>Archer DLX</t>
  </si>
  <si>
    <t>PA-28R-201T Turbo Arrow</t>
  </si>
  <si>
    <t>Turbo Arrow</t>
  </si>
  <si>
    <t>PA-28R-201 Arrow</t>
  </si>
  <si>
    <t>PA-46R-350T Malibu Matrix</t>
  </si>
  <si>
    <t>Malibu Matrix</t>
  </si>
  <si>
    <t>PIPISTREL</t>
  </si>
  <si>
    <t>Taurus Electro G2</t>
  </si>
  <si>
    <t>PITE</t>
  </si>
  <si>
    <t>Taurus 503</t>
  </si>
  <si>
    <t>PITA</t>
  </si>
  <si>
    <t>Taurus Electro G4</t>
  </si>
  <si>
    <t>PIT4</t>
  </si>
  <si>
    <t>WattsUp</t>
  </si>
  <si>
    <t>PIAE</t>
  </si>
  <si>
    <t>Alpha Electro</t>
  </si>
  <si>
    <t>Surveyor</t>
  </si>
  <si>
    <t>PIVI</t>
  </si>
  <si>
    <t>Virus (piston)</t>
  </si>
  <si>
    <t>Virus (electric)</t>
  </si>
  <si>
    <t>PIVE</t>
  </si>
  <si>
    <t>Velis Electro</t>
  </si>
  <si>
    <t>Alpha Trainer</t>
  </si>
  <si>
    <t>PIAT</t>
  </si>
  <si>
    <t>Taurus Electro</t>
  </si>
  <si>
    <t>Panthera</t>
  </si>
  <si>
    <t>PIPA</t>
  </si>
  <si>
    <t>Sinus</t>
  </si>
  <si>
    <t>PISI</t>
  </si>
  <si>
    <t>PITCAIRN-CIERVA</t>
  </si>
  <si>
    <t>PCA-2</t>
  </si>
  <si>
    <t>PCA2</t>
  </si>
  <si>
    <t>PITTS</t>
  </si>
  <si>
    <t>S-1 Special</t>
  </si>
  <si>
    <t>S-2 Special</t>
  </si>
  <si>
    <t>Special (S-1)</t>
  </si>
  <si>
    <t>Special (S-2)</t>
  </si>
  <si>
    <t>Super Stinker (S-1-11)</t>
  </si>
  <si>
    <t>Super Stinker (S-12)</t>
  </si>
  <si>
    <t>PLAN</t>
  </si>
  <si>
    <t>Busard</t>
  </si>
  <si>
    <t>MP20</t>
  </si>
  <si>
    <t>MP-205 Busard</t>
  </si>
  <si>
    <t>MP-207 Busard</t>
  </si>
  <si>
    <t>PLUMB</t>
  </si>
  <si>
    <t>CJ-3 Cracker Jack</t>
  </si>
  <si>
    <t>CRAC</t>
  </si>
  <si>
    <t>Cracker Jack</t>
  </si>
  <si>
    <t>POBER</t>
  </si>
  <si>
    <t>PODESVA</t>
  </si>
  <si>
    <t>Trener Baby</t>
  </si>
  <si>
    <t>TRBA</t>
  </si>
  <si>
    <t>Bf-109G-2</t>
  </si>
  <si>
    <t>BF19</t>
  </si>
  <si>
    <t>Stearman</t>
  </si>
  <si>
    <t>PSTM</t>
  </si>
  <si>
    <t>TUL-03 Amigo</t>
  </si>
  <si>
    <t>TUL3</t>
  </si>
  <si>
    <t>Chico</t>
  </si>
  <si>
    <t>CHIC</t>
  </si>
  <si>
    <t>POLIKARPOV</t>
  </si>
  <si>
    <t>I-15bis</t>
  </si>
  <si>
    <t>I15B</t>
  </si>
  <si>
    <t>I-16</t>
  </si>
  <si>
    <t>I16</t>
  </si>
  <si>
    <t>I-153</t>
  </si>
  <si>
    <t>I153</t>
  </si>
  <si>
    <t>Po-2</t>
  </si>
  <si>
    <t>POLITECHNIKA WARSZAWSKA</t>
  </si>
  <si>
    <t>PW-4</t>
  </si>
  <si>
    <t>PW4</t>
  </si>
  <si>
    <t>PORTERFIELD</t>
  </si>
  <si>
    <t>Collegiate</t>
  </si>
  <si>
    <t>CP65</t>
  </si>
  <si>
    <t>CP-65 Collegiate</t>
  </si>
  <si>
    <t>PORTO</t>
  </si>
  <si>
    <t>Risen</t>
  </si>
  <si>
    <t>RISN</t>
  </si>
  <si>
    <t>Siren</t>
  </si>
  <si>
    <t>POTEZ</t>
  </si>
  <si>
    <t>60 Sauterelle</t>
  </si>
  <si>
    <t>PO60</t>
  </si>
  <si>
    <t>600 Sauterelle</t>
  </si>
  <si>
    <t>CM-175 Zéphyr</t>
  </si>
  <si>
    <t>Sauterelle</t>
  </si>
  <si>
    <t>Zéphyr</t>
  </si>
  <si>
    <t>POTEZ AIR-FOUGA</t>
  </si>
  <si>
    <t>POTTIER</t>
  </si>
  <si>
    <t>Amster</t>
  </si>
  <si>
    <t>P270</t>
  </si>
  <si>
    <t>Bleu Citron</t>
  </si>
  <si>
    <t>P130</t>
  </si>
  <si>
    <t>Bouvreuil</t>
  </si>
  <si>
    <t>P50</t>
  </si>
  <si>
    <t>Coati</t>
  </si>
  <si>
    <t>PT21</t>
  </si>
  <si>
    <t>Minacro</t>
  </si>
  <si>
    <t>P60</t>
  </si>
  <si>
    <t>P-50 Bouvreuil</t>
  </si>
  <si>
    <t>P-60 Minacro</t>
  </si>
  <si>
    <t>P-70</t>
  </si>
  <si>
    <t>P70</t>
  </si>
  <si>
    <t>P-80</t>
  </si>
  <si>
    <t>P80</t>
  </si>
  <si>
    <t>P-100</t>
  </si>
  <si>
    <t>P100</t>
  </si>
  <si>
    <t>P-130 Bleu Citron</t>
  </si>
  <si>
    <t>P-170</t>
  </si>
  <si>
    <t>PT70</t>
  </si>
  <si>
    <t>P-180</t>
  </si>
  <si>
    <t>PT80</t>
  </si>
  <si>
    <t>P-210 Coati</t>
  </si>
  <si>
    <t>P-230 Panda</t>
  </si>
  <si>
    <t>P230</t>
  </si>
  <si>
    <t>P-270 Amster</t>
  </si>
  <si>
    <t>Panda</t>
  </si>
  <si>
    <t>POWELL</t>
  </si>
  <si>
    <t>Acey Deucy</t>
  </si>
  <si>
    <t>ACED</t>
  </si>
  <si>
    <t>P-70 Acey Deucy</t>
  </si>
  <si>
    <t>PRACTAVIA</t>
  </si>
  <si>
    <t>Sprite</t>
  </si>
  <si>
    <t>SPRT</t>
  </si>
  <si>
    <t>PRESCOTT</t>
  </si>
  <si>
    <t>Pusher</t>
  </si>
  <si>
    <t>PUSH</t>
  </si>
  <si>
    <t>PRESTIGE</t>
  </si>
  <si>
    <t>Storm Rally</t>
  </si>
  <si>
    <t>SGRA</t>
  </si>
  <si>
    <t>PRIVATE EXPLORER</t>
  </si>
  <si>
    <t>T-Explorer</t>
  </si>
  <si>
    <t>PRXT</t>
  </si>
  <si>
    <t>Private Explorer</t>
  </si>
  <si>
    <t>PREX</t>
  </si>
  <si>
    <t>PRO-COMPOSITES</t>
  </si>
  <si>
    <t>Personal Cruiser</t>
  </si>
  <si>
    <t>PECR</t>
  </si>
  <si>
    <t>VISI</t>
  </si>
  <si>
    <t>PROCAER</t>
  </si>
  <si>
    <t>PROFESSIONAL AVIATION</t>
  </si>
  <si>
    <t>C-47TP Super Dakota</t>
  </si>
  <si>
    <t>Jet Prop DC-3</t>
  </si>
  <si>
    <t>Super Dakota</t>
  </si>
  <si>
    <t>PROGRESS</t>
  </si>
  <si>
    <t>Rysachok</t>
  </si>
  <si>
    <t>RYSA</t>
  </si>
  <si>
    <t>PROGRESSIVE AERODYNE</t>
  </si>
  <si>
    <t>SeaRey</t>
  </si>
  <si>
    <t>SREY</t>
  </si>
  <si>
    <t>PROMAVIA</t>
  </si>
  <si>
    <t>PROTECH</t>
  </si>
  <si>
    <t>ProStar</t>
  </si>
  <si>
    <t>SASY</t>
  </si>
  <si>
    <t>PT-2 ProStar</t>
  </si>
  <si>
    <t>PT-2 Sassy</t>
  </si>
  <si>
    <t>Sassy</t>
  </si>
  <si>
    <t>PROWLER</t>
  </si>
  <si>
    <t>PULSAR</t>
  </si>
  <si>
    <t>Sport 150</t>
  </si>
  <si>
    <t>KIS2</t>
  </si>
  <si>
    <t>KIS4</t>
  </si>
  <si>
    <t>Super Pulsar 100</t>
  </si>
  <si>
    <t>Super Pulsar 600</t>
  </si>
  <si>
    <t>PUL6</t>
  </si>
  <si>
    <t>PUTZER</t>
  </si>
  <si>
    <t>Elster</t>
  </si>
  <si>
    <t>ELST</t>
  </si>
  <si>
    <t>PZL-MIELEC</t>
  </si>
  <si>
    <t>Air Wolf</t>
  </si>
  <si>
    <t>M26</t>
  </si>
  <si>
    <t>An-2 Antek</t>
  </si>
  <si>
    <t>An-28 Bryza</t>
  </si>
  <si>
    <t>Antek</t>
  </si>
  <si>
    <t>Belphegor</t>
  </si>
  <si>
    <t>M15</t>
  </si>
  <si>
    <t>Bies</t>
  </si>
  <si>
    <t>TS8</t>
  </si>
  <si>
    <t>Dromader</t>
  </si>
  <si>
    <t>Dromader Mini</t>
  </si>
  <si>
    <t>M21</t>
  </si>
  <si>
    <t>Dromader Super</t>
  </si>
  <si>
    <t>M24</t>
  </si>
  <si>
    <t>Iskierka</t>
  </si>
  <si>
    <t>Iskra</t>
  </si>
  <si>
    <t>TS11</t>
  </si>
  <si>
    <t>LiM-1</t>
  </si>
  <si>
    <t>LiM-2</t>
  </si>
  <si>
    <t>LiM-5</t>
  </si>
  <si>
    <t>LiM-6</t>
  </si>
  <si>
    <t>M-15 Belphegor</t>
  </si>
  <si>
    <t>M-18 Dromader</t>
  </si>
  <si>
    <t>M-18 Turbine Dromader</t>
  </si>
  <si>
    <t>M-20 Gemini</t>
  </si>
  <si>
    <t>M-20 Mewa</t>
  </si>
  <si>
    <t>M-21 Dromader Mini</t>
  </si>
  <si>
    <t>M-24 Dromader Super</t>
  </si>
  <si>
    <t>M-26 Air Wolf</t>
  </si>
  <si>
    <t>M-26 Iskierka</t>
  </si>
  <si>
    <t>M-28 Bryza (TWD-10 engines)</t>
  </si>
  <si>
    <t>M-93 Iryda</t>
  </si>
  <si>
    <t>M-96 Iryda</t>
  </si>
  <si>
    <t>Mewa</t>
  </si>
  <si>
    <t>SBLiM-1</t>
  </si>
  <si>
    <t>SBLiM-2</t>
  </si>
  <si>
    <t>TS-8 Bies</t>
  </si>
  <si>
    <t>TS-11 Iskra</t>
  </si>
  <si>
    <t>M-28 Skytruck</t>
  </si>
  <si>
    <t>M28</t>
  </si>
  <si>
    <t>M-28 Bryza (PT6A engines)</t>
  </si>
  <si>
    <t>Bryza (TWD-10 engines)</t>
  </si>
  <si>
    <t>Bryza (PT6A engines)</t>
  </si>
  <si>
    <t>Skytruck</t>
  </si>
  <si>
    <t>C-145</t>
  </si>
  <si>
    <t>PZL-OKECIE</t>
  </si>
  <si>
    <t>PZL-104M Wilga 2000</t>
  </si>
  <si>
    <t>PZ4M</t>
  </si>
  <si>
    <t>PZL-105 Flaming</t>
  </si>
  <si>
    <t>PZ05</t>
  </si>
  <si>
    <t>PZL-106A Kruk</t>
  </si>
  <si>
    <t>PZ06</t>
  </si>
  <si>
    <t>PZL-106AR Kruk</t>
  </si>
  <si>
    <t>PZL-106AS Kruk</t>
  </si>
  <si>
    <t>PZL-106AT Turbo Javelin</t>
  </si>
  <si>
    <t>PZ6T</t>
  </si>
  <si>
    <t>PZL-106AT Turbo Kruk</t>
  </si>
  <si>
    <t>PZL-106B Kruk</t>
  </si>
  <si>
    <t>PZL-106BR Kruk</t>
  </si>
  <si>
    <t>PZL-106BS Kruk</t>
  </si>
  <si>
    <t>PZL-106BT Turbo Javelin</t>
  </si>
  <si>
    <t>PZL-106BT Turbo Kruk</t>
  </si>
  <si>
    <t>PZL-110 Koliber</t>
  </si>
  <si>
    <t>PZL-110 Koliber 150</t>
  </si>
  <si>
    <t>PZL-110 Koliber 160</t>
  </si>
  <si>
    <t>PZL-111 Koliber 235</t>
  </si>
  <si>
    <t>PZL-111 Koliber Senior</t>
  </si>
  <si>
    <t>PZL-112 Junior</t>
  </si>
  <si>
    <t>PZ12</t>
  </si>
  <si>
    <t>PZL-112 Koliber Junior</t>
  </si>
  <si>
    <t>PZL-130 Orlik</t>
  </si>
  <si>
    <t>PZ3T</t>
  </si>
  <si>
    <t>Turbo Javelin</t>
  </si>
  <si>
    <t>Turbo Kruk</t>
  </si>
  <si>
    <t>Wilga 35</t>
  </si>
  <si>
    <t>Wilga 80</t>
  </si>
  <si>
    <t>Wilga 2000</t>
  </si>
  <si>
    <t>Yak-12</t>
  </si>
  <si>
    <t>YK12</t>
  </si>
  <si>
    <t>Flaming</t>
  </si>
  <si>
    <t>Koliber 150</t>
  </si>
  <si>
    <t>Koliber 160</t>
  </si>
  <si>
    <t>Koliber 235</t>
  </si>
  <si>
    <t>Koliber Junior</t>
  </si>
  <si>
    <t>Koliber Senior</t>
  </si>
  <si>
    <t>PZ02</t>
  </si>
  <si>
    <t>Kruk</t>
  </si>
  <si>
    <t>Orlik</t>
  </si>
  <si>
    <t>PZL-102 Kos</t>
  </si>
  <si>
    <t>PZL-104 Wilga 35</t>
  </si>
  <si>
    <t>PZL-104 Wilga 80</t>
  </si>
  <si>
    <t>PZL-SWIDNIK</t>
  </si>
  <si>
    <t>Anakonda</t>
  </si>
  <si>
    <t>W3</t>
  </si>
  <si>
    <t>Bazant</t>
  </si>
  <si>
    <t>Erka</t>
  </si>
  <si>
    <t>Gipsowka</t>
  </si>
  <si>
    <t>Huzar</t>
  </si>
  <si>
    <t>Kania</t>
  </si>
  <si>
    <t>Maluch</t>
  </si>
  <si>
    <t>PSW4</t>
  </si>
  <si>
    <t>Mi-2 Bazant</t>
  </si>
  <si>
    <t>Mi-2 Kania</t>
  </si>
  <si>
    <t>Mi-2 Kitty Hawk</t>
  </si>
  <si>
    <t>Procjon</t>
  </si>
  <si>
    <t>S-1 Procjon</t>
  </si>
  <si>
    <t>Sokól</t>
  </si>
  <si>
    <t>SRR-10 Procjon</t>
  </si>
  <si>
    <t>SW-4 Maluch</t>
  </si>
  <si>
    <t>W-3 Anakonda</t>
  </si>
  <si>
    <t>W-3 Erka</t>
  </si>
  <si>
    <t>W-3 Gipsowka</t>
  </si>
  <si>
    <t>W-3 Huzar</t>
  </si>
  <si>
    <t>W-3 Sokól</t>
  </si>
  <si>
    <t>W-3 Gluszec</t>
  </si>
  <si>
    <t>Gluszec</t>
  </si>
  <si>
    <t>SW-4</t>
  </si>
  <si>
    <t>SW-4 Puszczyk</t>
  </si>
  <si>
    <t>Puszczyk</t>
  </si>
  <si>
    <t>AW-009</t>
  </si>
  <si>
    <t>QINGDAO</t>
  </si>
  <si>
    <t>QUARTZ MOUNTAIN</t>
  </si>
  <si>
    <t>QUASAR</t>
  </si>
  <si>
    <t>QUERCY</t>
  </si>
  <si>
    <t>CQR-01</t>
  </si>
  <si>
    <t>QR01</t>
  </si>
  <si>
    <t>QUEST</t>
  </si>
  <si>
    <t>QUESTAIR</t>
  </si>
  <si>
    <t>M-20 Venture</t>
  </si>
  <si>
    <t>SPIR</t>
  </si>
  <si>
    <t>QUICKIE</t>
  </si>
  <si>
    <t>Quickie</t>
  </si>
  <si>
    <t>QUIC</t>
  </si>
  <si>
    <t>Quickie Q2</t>
  </si>
  <si>
    <t>QIC2</t>
  </si>
  <si>
    <t>Quickie Q200</t>
  </si>
  <si>
    <t>QUIKKIT</t>
  </si>
  <si>
    <t>Glass Goose</t>
  </si>
  <si>
    <t>GOOS</t>
  </si>
  <si>
    <t>R &amp; B</t>
  </si>
  <si>
    <t>Bearhawk Patrol</t>
  </si>
  <si>
    <t>BPAT</t>
  </si>
  <si>
    <t>RACA</t>
  </si>
  <si>
    <t>RADAB</t>
  </si>
  <si>
    <t>Windex</t>
  </si>
  <si>
    <t>WDEX</t>
  </si>
  <si>
    <t>RAF</t>
  </si>
  <si>
    <t>SE-5A</t>
  </si>
  <si>
    <t>SE5A</t>
  </si>
  <si>
    <t>SE-5A Replica</t>
  </si>
  <si>
    <t>RAGWING</t>
  </si>
  <si>
    <t>RW-19 Stork</t>
  </si>
  <si>
    <t>RW19</t>
  </si>
  <si>
    <t>RW-20 Stork</t>
  </si>
  <si>
    <t>RW20</t>
  </si>
  <si>
    <t>RW-22 Tiger Moth</t>
  </si>
  <si>
    <t>RW22</t>
  </si>
  <si>
    <t>RW-26 Special 2</t>
  </si>
  <si>
    <t>RW26</t>
  </si>
  <si>
    <t>Special 2</t>
  </si>
  <si>
    <t>Stork (RW-19)</t>
  </si>
  <si>
    <t>Stork (RW-20)</t>
  </si>
  <si>
    <t>RAINBOW</t>
  </si>
  <si>
    <t>CTAH</t>
  </si>
  <si>
    <t>RAINBOW SKYREACH</t>
  </si>
  <si>
    <t>BushCat</t>
  </si>
  <si>
    <t>BUSH</t>
  </si>
  <si>
    <t>RAJ HAMSA</t>
  </si>
  <si>
    <t>X-AIR H Hanuman</t>
  </si>
  <si>
    <t>XA85</t>
  </si>
  <si>
    <t>X-AIR Hawk</t>
  </si>
  <si>
    <t>X-AIR S</t>
  </si>
  <si>
    <t>XAIR</t>
  </si>
  <si>
    <t>X-AIR F Gumnam</t>
  </si>
  <si>
    <t>X-AIR Falcon</t>
  </si>
  <si>
    <t>XA-85 X-Air LS</t>
  </si>
  <si>
    <t>X-Air LS</t>
  </si>
  <si>
    <t>RAND</t>
  </si>
  <si>
    <t>KR-1</t>
  </si>
  <si>
    <t>KR1</t>
  </si>
  <si>
    <t>KR-2</t>
  </si>
  <si>
    <t>KR2</t>
  </si>
  <si>
    <t>RANS</t>
  </si>
  <si>
    <t>Airaile</t>
  </si>
  <si>
    <t>RS12</t>
  </si>
  <si>
    <t>CRER</t>
  </si>
  <si>
    <t>Coyote 2</t>
  </si>
  <si>
    <t>COY2</t>
  </si>
  <si>
    <t>Pursuit</t>
  </si>
  <si>
    <t>PURS</t>
  </si>
  <si>
    <t>S-6 Coyote 2</t>
  </si>
  <si>
    <t>S-7 Courier</t>
  </si>
  <si>
    <t>S-10 Sakota</t>
  </si>
  <si>
    <t>SAKO</t>
  </si>
  <si>
    <t>S-11 Pursuit</t>
  </si>
  <si>
    <t>S-12 Airaile</t>
  </si>
  <si>
    <t>S-12 Super Airaile</t>
  </si>
  <si>
    <t>S-16 Shekari</t>
  </si>
  <si>
    <t>SHEK</t>
  </si>
  <si>
    <t>Sakota</t>
  </si>
  <si>
    <t>Shekari</t>
  </si>
  <si>
    <t>Super Airaile</t>
  </si>
  <si>
    <t>S-19 Venterra</t>
  </si>
  <si>
    <t>VTRA</t>
  </si>
  <si>
    <t>Venterra</t>
  </si>
  <si>
    <t>S-20 Raven</t>
  </si>
  <si>
    <t>RS20</t>
  </si>
  <si>
    <t>S-21 Outbound</t>
  </si>
  <si>
    <t>RS21</t>
  </si>
  <si>
    <t>Outbound</t>
  </si>
  <si>
    <t>RAVIN</t>
  </si>
  <si>
    <t>Ravin 300</t>
  </si>
  <si>
    <t>RAV3</t>
  </si>
  <si>
    <t>Ravin 500</t>
  </si>
  <si>
    <t>RAV5</t>
  </si>
  <si>
    <t>RAYTHEON</t>
  </si>
  <si>
    <t>3000 Harvard 2</t>
  </si>
  <si>
    <t>4000 Hawker Horizon</t>
  </si>
  <si>
    <t>C-12 Huron</t>
  </si>
  <si>
    <t>CT-156 Harvard 2</t>
  </si>
  <si>
    <t>Harvard 2</t>
  </si>
  <si>
    <t>Hawker 1000</t>
  </si>
  <si>
    <t>A36 Chofit</t>
  </si>
  <si>
    <t>Hawker Horizon</t>
  </si>
  <si>
    <t>King Air</t>
  </si>
  <si>
    <t>LR-2 Super King Air 350</t>
  </si>
  <si>
    <t>Chofit</t>
  </si>
  <si>
    <t>Bonanza (B36TC)</t>
  </si>
  <si>
    <t>Beechjet (400A)</t>
  </si>
  <si>
    <t>REALITY</t>
  </si>
  <si>
    <t>REARWIN</t>
  </si>
  <si>
    <t>175 Skyranger</t>
  </si>
  <si>
    <t>180 Skyranger</t>
  </si>
  <si>
    <t>7000 Sportster</t>
  </si>
  <si>
    <t>8500 Sportster</t>
  </si>
  <si>
    <t>9000 Sportster</t>
  </si>
  <si>
    <t>2000 Ken-Royce</t>
  </si>
  <si>
    <t>KERO</t>
  </si>
  <si>
    <t>Ken-Royce</t>
  </si>
  <si>
    <t>6000 Speedster</t>
  </si>
  <si>
    <t>SPDR</t>
  </si>
  <si>
    <t>Speedster</t>
  </si>
  <si>
    <t>8090 Cloudster</t>
  </si>
  <si>
    <t>CLDS</t>
  </si>
  <si>
    <t>8125 Cloudster</t>
  </si>
  <si>
    <t>8135 Cloudster</t>
  </si>
  <si>
    <t>Cloudster</t>
  </si>
  <si>
    <t>190 Skyranger</t>
  </si>
  <si>
    <t>REDA</t>
  </si>
  <si>
    <t>Pony</t>
  </si>
  <si>
    <t>PONY</t>
  </si>
  <si>
    <t>REDFERN</t>
  </si>
  <si>
    <t>DH-2</t>
  </si>
  <si>
    <t>RDH2</t>
  </si>
  <si>
    <t>Fokker Dr-1</t>
  </si>
  <si>
    <t>Nieuport 17</t>
  </si>
  <si>
    <t>NPOR</t>
  </si>
  <si>
    <t>Nieuport 24</t>
  </si>
  <si>
    <t>REFLEX</t>
  </si>
  <si>
    <t>White Lightning</t>
  </si>
  <si>
    <t>WHIL</t>
  </si>
  <si>
    <t>WLAC-1 White Lightning</t>
  </si>
  <si>
    <t>REIMS</t>
  </si>
  <si>
    <t>Aerobat (FA150/FRA150)</t>
  </si>
  <si>
    <t>Aerobat (FA152)</t>
  </si>
  <si>
    <t>F150</t>
  </si>
  <si>
    <t>F150 Commuter</t>
  </si>
  <si>
    <t>F152</t>
  </si>
  <si>
    <t>F172</t>
  </si>
  <si>
    <t>F172 Skyhawk</t>
  </si>
  <si>
    <t>F177RG Cardinal RG</t>
  </si>
  <si>
    <t>F182 Skylane</t>
  </si>
  <si>
    <t>F207</t>
  </si>
  <si>
    <t>F337 Super Skymaster</t>
  </si>
  <si>
    <t>FA150 Aerobat</t>
  </si>
  <si>
    <t>FA152 Aerobat</t>
  </si>
  <si>
    <t>FP172</t>
  </si>
  <si>
    <t>FP337 Pressurized Skymaster</t>
  </si>
  <si>
    <t>FR172 Hawk XP</t>
  </si>
  <si>
    <t>FR172 Reims Rocket</t>
  </si>
  <si>
    <t>FR182 Skylane RG</t>
  </si>
  <si>
    <t>FRA150 Aerobat</t>
  </si>
  <si>
    <t>FT337E Turbo Super Skymaster</t>
  </si>
  <si>
    <t>FT337F Turbo Super Skymaster</t>
  </si>
  <si>
    <t>FT337G Pressurized Skymaster</t>
  </si>
  <si>
    <t>FTB337 Milirole</t>
  </si>
  <si>
    <t>Milirole</t>
  </si>
  <si>
    <t>Reims Rocket</t>
  </si>
  <si>
    <t>REINER STEMME</t>
  </si>
  <si>
    <t>Q-01</t>
  </si>
  <si>
    <t>Q01</t>
  </si>
  <si>
    <t>REINSDORF</t>
  </si>
  <si>
    <t>XA42</t>
  </si>
  <si>
    <t>REMOS</t>
  </si>
  <si>
    <t>GX</t>
  </si>
  <si>
    <t>G-3 Mirage</t>
  </si>
  <si>
    <t>G3</t>
  </si>
  <si>
    <t>Mirage</t>
  </si>
  <si>
    <t>RENAISSANCE (1)</t>
  </si>
  <si>
    <t>RENAISSANCE (2)</t>
  </si>
  <si>
    <t>RENARD</t>
  </si>
  <si>
    <t>REPLICA PLANS</t>
  </si>
  <si>
    <t>SE5R</t>
  </si>
  <si>
    <t>REPUBLIC</t>
  </si>
  <si>
    <t>F-47 Thunderbolt</t>
  </si>
  <si>
    <t>P47</t>
  </si>
  <si>
    <t>P-47 Thunderbolt</t>
  </si>
  <si>
    <t>RC-3 Seabee</t>
  </si>
  <si>
    <t>RC3</t>
  </si>
  <si>
    <t>SE-3130 Alouette 2</t>
  </si>
  <si>
    <t>Seabee</t>
  </si>
  <si>
    <t>Thunderbolt</t>
  </si>
  <si>
    <t>REVOLUTION</t>
  </si>
  <si>
    <t>Voyager-500</t>
  </si>
  <si>
    <t>V500</t>
  </si>
  <si>
    <t>RHEIN</t>
  </si>
  <si>
    <t>Fanliner</t>
  </si>
  <si>
    <t>FANL</t>
  </si>
  <si>
    <t>Fantrainer</t>
  </si>
  <si>
    <t>FANT</t>
  </si>
  <si>
    <t>FL-1 Fanliner</t>
  </si>
  <si>
    <t>Multoplane</t>
  </si>
  <si>
    <t>RW3</t>
  </si>
  <si>
    <t>Passat</t>
  </si>
  <si>
    <t>RW-3 Multoplane</t>
  </si>
  <si>
    <t>RW-3 Passat</t>
  </si>
  <si>
    <t>Sirius 2</t>
  </si>
  <si>
    <t>SIR2</t>
  </si>
  <si>
    <t>RHEIN-WEST-FLUG</t>
  </si>
  <si>
    <t>RIHN</t>
  </si>
  <si>
    <t>RILEY</t>
  </si>
  <si>
    <t>55 Twin Navion</t>
  </si>
  <si>
    <t>Dove 400</t>
  </si>
  <si>
    <t>Executive 400</t>
  </si>
  <si>
    <t>Rocket 340</t>
  </si>
  <si>
    <t>Rocket P210</t>
  </si>
  <si>
    <t>Rocket Power 414</t>
  </si>
  <si>
    <t>Super 310</t>
  </si>
  <si>
    <t>Super 340</t>
  </si>
  <si>
    <t>Super P210</t>
  </si>
  <si>
    <t>Turbine Eagle 421</t>
  </si>
  <si>
    <t>Turbine Rocket 421</t>
  </si>
  <si>
    <t>Turbo-Rocket</t>
  </si>
  <si>
    <t>Turbostream</t>
  </si>
  <si>
    <t>RIMOWA</t>
  </si>
  <si>
    <t>RLU</t>
  </si>
  <si>
    <t>Breezy</t>
  </si>
  <si>
    <t>RLU1</t>
  </si>
  <si>
    <t>RLU-1 Breezy</t>
  </si>
  <si>
    <t>ROBIN</t>
  </si>
  <si>
    <t>2+2 (DR-300)</t>
  </si>
  <si>
    <t>2+2 (DR-400)</t>
  </si>
  <si>
    <t>DR40</t>
  </si>
  <si>
    <t>Acrobin</t>
  </si>
  <si>
    <t>HR20</t>
  </si>
  <si>
    <t>Aiglon</t>
  </si>
  <si>
    <t>R100</t>
  </si>
  <si>
    <t>Alpha Sport</t>
  </si>
  <si>
    <t>ATL</t>
  </si>
  <si>
    <t>Chevalier (DR-360)</t>
  </si>
  <si>
    <t>Chevalier (DR-400)</t>
  </si>
  <si>
    <t>Dauphin 2+2</t>
  </si>
  <si>
    <t>Dauphin 4</t>
  </si>
  <si>
    <t>Dauphin 80</t>
  </si>
  <si>
    <t>DR-300</t>
  </si>
  <si>
    <t>DR-300 2+2</t>
  </si>
  <si>
    <t>DR-400 2+2</t>
  </si>
  <si>
    <t>DR-400 Cadet</t>
  </si>
  <si>
    <t>DR-400 Chevalier</t>
  </si>
  <si>
    <t>DR-400 Dauphin 2+2</t>
  </si>
  <si>
    <t>DR-400 Dauphin 4</t>
  </si>
  <si>
    <t>DR-400 Dauphin 80</t>
  </si>
  <si>
    <t>DR-400 Earl</t>
  </si>
  <si>
    <t>DR-400 Major</t>
  </si>
  <si>
    <t>DR-400 Major 80</t>
  </si>
  <si>
    <t>DR-400 Petit Prince</t>
  </si>
  <si>
    <t>DR-400 Regent</t>
  </si>
  <si>
    <t>DR-400 Remo 180</t>
  </si>
  <si>
    <t>DR-400 Remo 200</t>
  </si>
  <si>
    <t>DR-400 Remo 212</t>
  </si>
  <si>
    <t>DR-400 Remorqueur</t>
  </si>
  <si>
    <t>DR-500 President</t>
  </si>
  <si>
    <t>Earl</t>
  </si>
  <si>
    <t>HR-100 President</t>
  </si>
  <si>
    <t>HR10</t>
  </si>
  <si>
    <t>HR-100 Royal</t>
  </si>
  <si>
    <t>HR-100 Safari</t>
  </si>
  <si>
    <t>HR-100 Tiara</t>
  </si>
  <si>
    <t>HR-200</t>
  </si>
  <si>
    <t>HR-200 Acrobin</t>
  </si>
  <si>
    <t>Major 80</t>
  </si>
  <si>
    <t>Major (DR-340)</t>
  </si>
  <si>
    <t>Major (DR-400)</t>
  </si>
  <si>
    <t>Petit Prince (DR-315)</t>
  </si>
  <si>
    <t>Petit Prince (DR-400)</t>
  </si>
  <si>
    <t>President (DR-500)</t>
  </si>
  <si>
    <t>President (HR-100)</t>
  </si>
  <si>
    <t>R-200</t>
  </si>
  <si>
    <t>R-300</t>
  </si>
  <si>
    <t>R300</t>
  </si>
  <si>
    <t>R-1180 Aiglon</t>
  </si>
  <si>
    <t>R-2100 Super Club</t>
  </si>
  <si>
    <t>R-2112 Alpha</t>
  </si>
  <si>
    <t>R-2120 Alpha</t>
  </si>
  <si>
    <t>R-2160 Alpha Sport</t>
  </si>
  <si>
    <t>R-3000</t>
  </si>
  <si>
    <t>R-3100</t>
  </si>
  <si>
    <t>R-3120</t>
  </si>
  <si>
    <t>R-3140</t>
  </si>
  <si>
    <t>Remo 180</t>
  </si>
  <si>
    <t>Remo 200</t>
  </si>
  <si>
    <t>Remo 212</t>
  </si>
  <si>
    <t>Remorqueur</t>
  </si>
  <si>
    <t>Royal</t>
  </si>
  <si>
    <t>Super Club</t>
  </si>
  <si>
    <t>Tiara</t>
  </si>
  <si>
    <t>X-4</t>
  </si>
  <si>
    <t>X4</t>
  </si>
  <si>
    <t>DR-400 Ecoflyer</t>
  </si>
  <si>
    <t>Ecoflyer</t>
  </si>
  <si>
    <t>ROBINSON</t>
  </si>
  <si>
    <t>Astro</t>
  </si>
  <si>
    <t>R44</t>
  </si>
  <si>
    <t>Beta</t>
  </si>
  <si>
    <t>Mariner</t>
  </si>
  <si>
    <t>R-22</t>
  </si>
  <si>
    <t>R-22 Beta</t>
  </si>
  <si>
    <t>R-22 Mariner</t>
  </si>
  <si>
    <t>R-44 Astro</t>
  </si>
  <si>
    <t>R-44 Clipper</t>
  </si>
  <si>
    <t>R-44 Raven</t>
  </si>
  <si>
    <t>R-66</t>
  </si>
  <si>
    <t>R66</t>
  </si>
  <si>
    <t>ROCK</t>
  </si>
  <si>
    <t>Krähe</t>
  </si>
  <si>
    <t>KRAH</t>
  </si>
  <si>
    <t>ROCKET</t>
  </si>
  <si>
    <t>ROCKWELL</t>
  </si>
  <si>
    <t>112 Alpine Commander</t>
  </si>
  <si>
    <t>114 Commander 114</t>
  </si>
  <si>
    <t>114 Gran Turismo Commander</t>
  </si>
  <si>
    <t>700 Commander 700</t>
  </si>
  <si>
    <t>710 Commander 710</t>
  </si>
  <si>
    <t>Alpine Commander</t>
  </si>
  <si>
    <t>B-1 Lancer</t>
  </si>
  <si>
    <t>B1</t>
  </si>
  <si>
    <t>Commander 700</t>
  </si>
  <si>
    <t>Commander 710</t>
  </si>
  <si>
    <t>Gran Turismo Commander</t>
  </si>
  <si>
    <t>NA-265 Sabre 40</t>
  </si>
  <si>
    <t>NA-265 Sabre 60</t>
  </si>
  <si>
    <t>NA-265 Sabre 65</t>
  </si>
  <si>
    <t>NA-265 Sabre 80</t>
  </si>
  <si>
    <t>Sabre 65</t>
  </si>
  <si>
    <t>Sabre 80</t>
  </si>
  <si>
    <t>ROGERSON HILLER</t>
  </si>
  <si>
    <t>Hauler</t>
  </si>
  <si>
    <t>RH-1100 Hornet</t>
  </si>
  <si>
    <t>RH-1100 Pegasus</t>
  </si>
  <si>
    <t>UH-12E Hauler</t>
  </si>
  <si>
    <t>ROKO AERO</t>
  </si>
  <si>
    <t>NG-4 Prodigy 4</t>
  </si>
  <si>
    <t>Prodigy 4</t>
  </si>
  <si>
    <t>ROLAND</t>
  </si>
  <si>
    <t>CH-602 Zodiac</t>
  </si>
  <si>
    <t>601 Zodiac</t>
  </si>
  <si>
    <t>Z-602 Zodiac</t>
  </si>
  <si>
    <t>Z-602</t>
  </si>
  <si>
    <t>701 Stol</t>
  </si>
  <si>
    <t>S-Stol</t>
  </si>
  <si>
    <t>ROLLADEN-SCHNEIDER</t>
  </si>
  <si>
    <t>LS-8T</t>
  </si>
  <si>
    <t>LS-9</t>
  </si>
  <si>
    <t>LS9</t>
  </si>
  <si>
    <t>ROLLASON</t>
  </si>
  <si>
    <t>BETA</t>
  </si>
  <si>
    <t>ROMAERO</t>
  </si>
  <si>
    <t>ROTARY AIR FORCE</t>
  </si>
  <si>
    <t>RAF-2000</t>
  </si>
  <si>
    <t>RAF2</t>
  </si>
  <si>
    <t>ROTEC</t>
  </si>
  <si>
    <t>PANT</t>
  </si>
  <si>
    <t>Panther Plus</t>
  </si>
  <si>
    <t>Sea Panther</t>
  </si>
  <si>
    <t>ROTORSMART</t>
  </si>
  <si>
    <t>HeliSmart</t>
  </si>
  <si>
    <t>HSMT</t>
  </si>
  <si>
    <t>ROTORSPORT</t>
  </si>
  <si>
    <t>ROTORTEC</t>
  </si>
  <si>
    <t>Cloud Dancer 2</t>
  </si>
  <si>
    <t>CLD2</t>
  </si>
  <si>
    <t>ROTORWAY</t>
  </si>
  <si>
    <t>A-600 Talon</t>
  </si>
  <si>
    <t>A600</t>
  </si>
  <si>
    <t>Eagle 300T</t>
  </si>
  <si>
    <t>EGL3</t>
  </si>
  <si>
    <t>JetExec</t>
  </si>
  <si>
    <t>EXEJ</t>
  </si>
  <si>
    <t>SCOR</t>
  </si>
  <si>
    <t>ROUCHAUD</t>
  </si>
  <si>
    <t>ROUSSEAU</t>
  </si>
  <si>
    <t>RTAF</t>
  </si>
  <si>
    <t>Chandra</t>
  </si>
  <si>
    <t>RTA4</t>
  </si>
  <si>
    <t>RTAF-4 Chandra</t>
  </si>
  <si>
    <t>RUAG</t>
  </si>
  <si>
    <t>AS-532 Cougar</t>
  </si>
  <si>
    <t>Dornier 228</t>
  </si>
  <si>
    <t>Dornier 328 JET Envoy</t>
  </si>
  <si>
    <t>RUPERT</t>
  </si>
  <si>
    <t>R-11</t>
  </si>
  <si>
    <t>R11</t>
  </si>
  <si>
    <t>RUSCHMEYER</t>
  </si>
  <si>
    <t>MF-85</t>
  </si>
  <si>
    <t>R90R</t>
  </si>
  <si>
    <t>R-90-230FG</t>
  </si>
  <si>
    <t>R90F</t>
  </si>
  <si>
    <t>R-90-230RG</t>
  </si>
  <si>
    <t>R-90-420AT</t>
  </si>
  <si>
    <t>R90T</t>
  </si>
  <si>
    <t>RUSSO</t>
  </si>
  <si>
    <t>Savage</t>
  </si>
  <si>
    <t>RUTAN</t>
  </si>
  <si>
    <t>33 VariEze</t>
  </si>
  <si>
    <t>VEZE</t>
  </si>
  <si>
    <t>40 Defiant</t>
  </si>
  <si>
    <t>DEFI</t>
  </si>
  <si>
    <t>61 Long-EZ</t>
  </si>
  <si>
    <t>LGEZ</t>
  </si>
  <si>
    <t>77 Solitaire</t>
  </si>
  <si>
    <t>SOLI</t>
  </si>
  <si>
    <t>151 Ares</t>
  </si>
  <si>
    <t>ARES</t>
  </si>
  <si>
    <t>202 Boomerang</t>
  </si>
  <si>
    <t>281 Proteus</t>
  </si>
  <si>
    <t>PRTS</t>
  </si>
  <si>
    <t>Ares</t>
  </si>
  <si>
    <t>Defiant</t>
  </si>
  <si>
    <t>Long-EZ</t>
  </si>
  <si>
    <t>Proteus</t>
  </si>
  <si>
    <t>VariEze</t>
  </si>
  <si>
    <t>VariViggen</t>
  </si>
  <si>
    <t>VVIG</t>
  </si>
  <si>
    <t>27 VariViggen</t>
  </si>
  <si>
    <t>32 VariViggen</t>
  </si>
  <si>
    <t>348 White Knight Two</t>
  </si>
  <si>
    <t>WHK2</t>
  </si>
  <si>
    <t>White Knight Two</t>
  </si>
  <si>
    <t>367 BiPod</t>
  </si>
  <si>
    <t>BPOD</t>
  </si>
  <si>
    <t>BiPod</t>
  </si>
  <si>
    <t>339 Space Ship Two</t>
  </si>
  <si>
    <t>SS2</t>
  </si>
  <si>
    <t>Space Ship Two</t>
  </si>
  <si>
    <t>RYAN</t>
  </si>
  <si>
    <t>PT-20</t>
  </si>
  <si>
    <t>RYST</t>
  </si>
  <si>
    <t>PT-22 Recruit</t>
  </si>
  <si>
    <t>PT22</t>
  </si>
  <si>
    <t>Recruit</t>
  </si>
  <si>
    <t>ST-3KR Recruit</t>
  </si>
  <si>
    <t>ST-A</t>
  </si>
  <si>
    <t>ST-M</t>
  </si>
  <si>
    <t>ST-R</t>
  </si>
  <si>
    <t>Super Navion</t>
  </si>
  <si>
    <t>YPT-16</t>
  </si>
  <si>
    <t>S-WING</t>
  </si>
  <si>
    <t>S-Wing</t>
  </si>
  <si>
    <t>SWIN</t>
  </si>
  <si>
    <t>SAAB</t>
  </si>
  <si>
    <t>SB29</t>
  </si>
  <si>
    <t>32 Lansen</t>
  </si>
  <si>
    <t>SB32</t>
  </si>
  <si>
    <t>35 Draken</t>
  </si>
  <si>
    <t>SB35</t>
  </si>
  <si>
    <t>37 Viggen</t>
  </si>
  <si>
    <t>SB37</t>
  </si>
  <si>
    <t>39 Gripen</t>
  </si>
  <si>
    <t>SB39</t>
  </si>
  <si>
    <t>SB05</t>
  </si>
  <si>
    <t>SF34</t>
  </si>
  <si>
    <t>SB20</t>
  </si>
  <si>
    <t>AJ37 Viggen</t>
  </si>
  <si>
    <t>AJS37 Viggen</t>
  </si>
  <si>
    <t>Draken</t>
  </si>
  <si>
    <t>F-35 Draken</t>
  </si>
  <si>
    <t>Gripen</t>
  </si>
  <si>
    <t>J29</t>
  </si>
  <si>
    <t>J32 Lansen</t>
  </si>
  <si>
    <t>J35 Draken</t>
  </si>
  <si>
    <t>JA37 Viggen</t>
  </si>
  <si>
    <t>JAS39 Gripen</t>
  </si>
  <si>
    <t>Lansen</t>
  </si>
  <si>
    <t>MFI-15 Safari</t>
  </si>
  <si>
    <t>MFI-17 Supporter</t>
  </si>
  <si>
    <t>OS100</t>
  </si>
  <si>
    <t>RF-35 Draken</t>
  </si>
  <si>
    <t>S100 Argus</t>
  </si>
  <si>
    <t>SF37 Viggen</t>
  </si>
  <si>
    <t>SH37 Viggen</t>
  </si>
  <si>
    <t>Sk35 Draken</t>
  </si>
  <si>
    <t>Sk37 Viggen</t>
  </si>
  <si>
    <t>Sk60</t>
  </si>
  <si>
    <t>Supporter</t>
  </si>
  <si>
    <t>T-17 Supporter</t>
  </si>
  <si>
    <t>TF-35 Draken</t>
  </si>
  <si>
    <t>Tp100</t>
  </si>
  <si>
    <t>Viggen</t>
  </si>
  <si>
    <t>SAAB-FAIRCHILD</t>
  </si>
  <si>
    <t>SF-340</t>
  </si>
  <si>
    <t>SAASA</t>
  </si>
  <si>
    <t>Cuauhtemoc</t>
  </si>
  <si>
    <t>M-1 Cuauhtemoc</t>
  </si>
  <si>
    <t>SABCA</t>
  </si>
  <si>
    <t>SADLER</t>
  </si>
  <si>
    <t>A-22 Piranha</t>
  </si>
  <si>
    <t>A22</t>
  </si>
  <si>
    <t>Piranha</t>
  </si>
  <si>
    <t>SAVA</t>
  </si>
  <si>
    <t>SAFAT</t>
  </si>
  <si>
    <t>UT75</t>
  </si>
  <si>
    <t>SAFRAN</t>
  </si>
  <si>
    <t>S-15 Patroller</t>
  </si>
  <si>
    <t>S15U</t>
  </si>
  <si>
    <t>SAI (1)</t>
  </si>
  <si>
    <t>Kupe</t>
  </si>
  <si>
    <t>KZ2</t>
  </si>
  <si>
    <t>KZ-2 Kupe</t>
  </si>
  <si>
    <t>KZ-2 Traener</t>
  </si>
  <si>
    <t>KZ-3</t>
  </si>
  <si>
    <t>KZ3</t>
  </si>
  <si>
    <t>KZ-4</t>
  </si>
  <si>
    <t>KZ4</t>
  </si>
  <si>
    <t>KZ-7 Laerke</t>
  </si>
  <si>
    <t>KZ7</t>
  </si>
  <si>
    <t>KZ-8</t>
  </si>
  <si>
    <t>KZ8</t>
  </si>
  <si>
    <t>Laerke</t>
  </si>
  <si>
    <t>Traener</t>
  </si>
  <si>
    <t>SAI (2)</t>
  </si>
  <si>
    <t>G-97 Spotter</t>
  </si>
  <si>
    <t>G97</t>
  </si>
  <si>
    <t>Spotter</t>
  </si>
  <si>
    <t>SAINT GERMAIN</t>
  </si>
  <si>
    <t>Raz-Mut</t>
  </si>
  <si>
    <t>RAZM</t>
  </si>
  <si>
    <t>SALVAY-STARK</t>
  </si>
  <si>
    <t>Skyhopper</t>
  </si>
  <si>
    <t>SHOP</t>
  </si>
  <si>
    <t>SAM AIRCRAFT</t>
  </si>
  <si>
    <t>Sam</t>
  </si>
  <si>
    <t>SAM</t>
  </si>
  <si>
    <t>SAMSUNG</t>
  </si>
  <si>
    <t>SAN</t>
  </si>
  <si>
    <t>DR-1050 Excellence</t>
  </si>
  <si>
    <t>DR-1051 Excellence</t>
  </si>
  <si>
    <t>Excellence</t>
  </si>
  <si>
    <t>SANDS</t>
  </si>
  <si>
    <t>SARGENT-FLETCHER</t>
  </si>
  <si>
    <t>SATIC</t>
  </si>
  <si>
    <t>SATURN-AVIA</t>
  </si>
  <si>
    <t>SAU</t>
  </si>
  <si>
    <t>R-02 Robert</t>
  </si>
  <si>
    <t>R2</t>
  </si>
  <si>
    <t>Robert</t>
  </si>
  <si>
    <t>SAUPER</t>
  </si>
  <si>
    <t>SAUSER</t>
  </si>
  <si>
    <t>P-6E Replica</t>
  </si>
  <si>
    <t>SP6E</t>
  </si>
  <si>
    <t>SCALED</t>
  </si>
  <si>
    <t>311 Global Flyer</t>
  </si>
  <si>
    <t>GFLY</t>
  </si>
  <si>
    <t>Global Flyer</t>
  </si>
  <si>
    <t>TAA-1</t>
  </si>
  <si>
    <t>TAA1</t>
  </si>
  <si>
    <t>355 Firebird</t>
  </si>
  <si>
    <t>S355</t>
  </si>
  <si>
    <t>351 Stratolaunch</t>
  </si>
  <si>
    <t>SLCH</t>
  </si>
  <si>
    <t>Stratolaunch</t>
  </si>
  <si>
    <t>SCAN</t>
  </si>
  <si>
    <t>SCAN-30</t>
  </si>
  <si>
    <t>SCANOR</t>
  </si>
  <si>
    <t>SCENIC</t>
  </si>
  <si>
    <t>DHC-6 Vistaliner</t>
  </si>
  <si>
    <t>Vistaliner</t>
  </si>
  <si>
    <t>SCHAFER</t>
  </si>
  <si>
    <t>Comanchero 500</t>
  </si>
  <si>
    <t>Comanchero 620</t>
  </si>
  <si>
    <t>DC-3-65TP</t>
  </si>
  <si>
    <t>SCHEIBE</t>
  </si>
  <si>
    <t>Motorspatz</t>
  </si>
  <si>
    <t>SF24</t>
  </si>
  <si>
    <t>Rotax Falke</t>
  </si>
  <si>
    <t>SF-23 Sperling</t>
  </si>
  <si>
    <t>SF23</t>
  </si>
  <si>
    <t>SF-24 Motorspatz</t>
  </si>
  <si>
    <t>SF-25 Rotax Falke</t>
  </si>
  <si>
    <t>SF-25 Super Falke</t>
  </si>
  <si>
    <t>SF-25 Superschlepper</t>
  </si>
  <si>
    <t>SF-27M</t>
  </si>
  <si>
    <t>SF27</t>
  </si>
  <si>
    <t>SF-28 Tandem Falke</t>
  </si>
  <si>
    <t>SF28</t>
  </si>
  <si>
    <t>SF-32</t>
  </si>
  <si>
    <t>SF32</t>
  </si>
  <si>
    <t>SF-35</t>
  </si>
  <si>
    <t>SF35</t>
  </si>
  <si>
    <t>SF-36</t>
  </si>
  <si>
    <t>SF36</t>
  </si>
  <si>
    <t>Sperling</t>
  </si>
  <si>
    <t>Super Falke</t>
  </si>
  <si>
    <t>Superschlepper</t>
  </si>
  <si>
    <t>Tandem Falke</t>
  </si>
  <si>
    <t>SF-25 Turbo Falke</t>
  </si>
  <si>
    <t>Turbo Falke</t>
  </si>
  <si>
    <t>SCHEMPP-HIRTH</t>
  </si>
  <si>
    <t>Discus 2T</t>
  </si>
  <si>
    <t>DISC</t>
  </si>
  <si>
    <t>Discus 2CT</t>
  </si>
  <si>
    <t>Nimbus 4DLM</t>
  </si>
  <si>
    <t>NIMB</t>
  </si>
  <si>
    <t>Nimbus 4DLT</t>
  </si>
  <si>
    <t>Arcus T</t>
  </si>
  <si>
    <t>ARCP</t>
  </si>
  <si>
    <t>Arcus M</t>
  </si>
  <si>
    <t>Arcus E</t>
  </si>
  <si>
    <t>ARCE</t>
  </si>
  <si>
    <t>Duo Discus XT</t>
  </si>
  <si>
    <t>DUOD</t>
  </si>
  <si>
    <t>Duo Discus XLT</t>
  </si>
  <si>
    <t>Ventus bT</t>
  </si>
  <si>
    <t>VENT</t>
  </si>
  <si>
    <t>Ventus cM</t>
  </si>
  <si>
    <t>Ventus cT</t>
  </si>
  <si>
    <t>Ventus 2cM</t>
  </si>
  <si>
    <t>Ventus 2cT</t>
  </si>
  <si>
    <t>Ventus 2cxM</t>
  </si>
  <si>
    <t>Ventus 2cxT</t>
  </si>
  <si>
    <t>Ventus 3M</t>
  </si>
  <si>
    <t>Ventus 3T</t>
  </si>
  <si>
    <t>Ventus 3F</t>
  </si>
  <si>
    <t>VNTE</t>
  </si>
  <si>
    <t>Quintus</t>
  </si>
  <si>
    <t>QINT</t>
  </si>
  <si>
    <t>Discus BM</t>
  </si>
  <si>
    <t>Discus BT</t>
  </si>
  <si>
    <t>Janus BM</t>
  </si>
  <si>
    <t>JANU</t>
  </si>
  <si>
    <t>Janus CM</t>
  </si>
  <si>
    <t>Janus CT</t>
  </si>
  <si>
    <t>Nimbus 2M</t>
  </si>
  <si>
    <t>Nimbus 3DM</t>
  </si>
  <si>
    <t>Nimbus 3DT</t>
  </si>
  <si>
    <t>Nimbus 3T</t>
  </si>
  <si>
    <t>Nimbus 4DM</t>
  </si>
  <si>
    <t>Nimbus 4DT</t>
  </si>
  <si>
    <t>Nimbus 4M</t>
  </si>
  <si>
    <t>Nimbus 4T</t>
  </si>
  <si>
    <t>Duo Discus T</t>
  </si>
  <si>
    <t>SCHLEICHER</t>
  </si>
  <si>
    <t>ASH-25E</t>
  </si>
  <si>
    <t>ASH-25M</t>
  </si>
  <si>
    <t>ASH-25Mi</t>
  </si>
  <si>
    <t>ASH-25SL</t>
  </si>
  <si>
    <t>ASH-26E</t>
  </si>
  <si>
    <t>AS26</t>
  </si>
  <si>
    <t>ASK-14</t>
  </si>
  <si>
    <t>AS14</t>
  </si>
  <si>
    <t>ASK-16</t>
  </si>
  <si>
    <t>AS16</t>
  </si>
  <si>
    <t>ASK-21Mi</t>
  </si>
  <si>
    <t>AS21</t>
  </si>
  <si>
    <t>ASW-20TOP</t>
  </si>
  <si>
    <t>AS20</t>
  </si>
  <si>
    <t>ASW-22BE</t>
  </si>
  <si>
    <t>AS22</t>
  </si>
  <si>
    <t>ASW-22BLE</t>
  </si>
  <si>
    <t>ASW-22M</t>
  </si>
  <si>
    <t>ASW-24E</t>
  </si>
  <si>
    <t>AS24</t>
  </si>
  <si>
    <t>ASW-24TOP</t>
  </si>
  <si>
    <t>ASW-28E</t>
  </si>
  <si>
    <t>AS28</t>
  </si>
  <si>
    <t>ASG-32EL</t>
  </si>
  <si>
    <t>A32E</t>
  </si>
  <si>
    <t>ASG-32Mi</t>
  </si>
  <si>
    <t>A32P</t>
  </si>
  <si>
    <t>ASG-29Es</t>
  </si>
  <si>
    <t>AS29</t>
  </si>
  <si>
    <t>AS-34Me</t>
  </si>
  <si>
    <t>A34E</t>
  </si>
  <si>
    <t>AS-33Es</t>
  </si>
  <si>
    <t>A33P</t>
  </si>
  <si>
    <t>AS-33Me</t>
  </si>
  <si>
    <t>A33E</t>
  </si>
  <si>
    <t>ASG-29E</t>
  </si>
  <si>
    <t>ASW-20J</t>
  </si>
  <si>
    <t>A20J</t>
  </si>
  <si>
    <t>ASW-27-18E</t>
  </si>
  <si>
    <t>ASH-30Mi</t>
  </si>
  <si>
    <t>AS30</t>
  </si>
  <si>
    <t>ASH-31Mi</t>
  </si>
  <si>
    <t>AS31</t>
  </si>
  <si>
    <t>SCHWEIZER</t>
  </si>
  <si>
    <t>RU-38A Twin Condor</t>
  </si>
  <si>
    <t>SA38</t>
  </si>
  <si>
    <t>Twin Condor (turbine)</t>
  </si>
  <si>
    <t>SA8T</t>
  </si>
  <si>
    <t>RU-38B Twin Condor</t>
  </si>
  <si>
    <t>SA-2-38B Twin Condor</t>
  </si>
  <si>
    <t>269A</t>
  </si>
  <si>
    <t>269B</t>
  </si>
  <si>
    <t>269C</t>
  </si>
  <si>
    <t>269C Sky Knight</t>
  </si>
  <si>
    <t>269D 330</t>
  </si>
  <si>
    <t>S330</t>
  </si>
  <si>
    <t>269D 333</t>
  </si>
  <si>
    <t>Ag-Cat Turbine</t>
  </si>
  <si>
    <t>SA37</t>
  </si>
  <si>
    <t>G-164 Ag-Cat Turbine</t>
  </si>
  <si>
    <t>RG-8 Condor</t>
  </si>
  <si>
    <t>SA-2-38A Twin Condor</t>
  </si>
  <si>
    <t>SGM-2-37</t>
  </si>
  <si>
    <t>SG37</t>
  </si>
  <si>
    <t>Teal</t>
  </si>
  <si>
    <t>TEAL</t>
  </si>
  <si>
    <t>TG-7</t>
  </si>
  <si>
    <t>TSC-1 Teal</t>
  </si>
  <si>
    <t>SA-2-37 Condor</t>
  </si>
  <si>
    <t>Twin Condor (piston)</t>
  </si>
  <si>
    <t>SCINTEX</t>
  </si>
  <si>
    <t>ML-250 Rubis</t>
  </si>
  <si>
    <t>RUBI</t>
  </si>
  <si>
    <t>Rubis</t>
  </si>
  <si>
    <t>SCODA</t>
  </si>
  <si>
    <t>SCOTTISH AVIATION</t>
  </si>
  <si>
    <t>Fpl61</t>
  </si>
  <si>
    <t>Sk61</t>
  </si>
  <si>
    <t>Twin Pioneer</t>
  </si>
  <si>
    <t>TPIN</t>
  </si>
  <si>
    <t>SCWAL</t>
  </si>
  <si>
    <t>SCW1</t>
  </si>
  <si>
    <t>SEABIRD</t>
  </si>
  <si>
    <t>SB-7 Seeker</t>
  </si>
  <si>
    <t>SB7</t>
  </si>
  <si>
    <t>Seeker</t>
  </si>
  <si>
    <t>Yamamah J430</t>
  </si>
  <si>
    <t>SEAFLIGHT</t>
  </si>
  <si>
    <t>Shearwater</t>
  </si>
  <si>
    <t>SHEA</t>
  </si>
  <si>
    <t>SEAWIND</t>
  </si>
  <si>
    <t>Seawind</t>
  </si>
  <si>
    <t>SEAW</t>
  </si>
  <si>
    <t>Turbine Seawind</t>
  </si>
  <si>
    <t>SEAT</t>
  </si>
  <si>
    <t>SEGUIN</t>
  </si>
  <si>
    <t>Geronimo</t>
  </si>
  <si>
    <t>Princess</t>
  </si>
  <si>
    <t>SELEX ES</t>
  </si>
  <si>
    <t>SELEX GALILEO</t>
  </si>
  <si>
    <t>SEPECAT</t>
  </si>
  <si>
    <t>SEQUOIA</t>
  </si>
  <si>
    <t>SERV-AERO</t>
  </si>
  <si>
    <t>Ag-Cat-Leo</t>
  </si>
  <si>
    <t>G-164 Ag-Cat-Leo</t>
  </si>
  <si>
    <t>S-2 Thrush (piston conversions)</t>
  </si>
  <si>
    <t>S-2 Thrush (turboprop conversions)</t>
  </si>
  <si>
    <t>Thrush (piston conversions)</t>
  </si>
  <si>
    <t>Thrush (turboprop conversions)</t>
  </si>
  <si>
    <t>SERVOPLANT</t>
  </si>
  <si>
    <t>Aerocraft</t>
  </si>
  <si>
    <t>SERA</t>
  </si>
  <si>
    <t>SF</t>
  </si>
  <si>
    <t>SG AVIATION</t>
  </si>
  <si>
    <t>Rally</t>
  </si>
  <si>
    <t>Sea Storm</t>
  </si>
  <si>
    <t>SSTM</t>
  </si>
  <si>
    <t>Storm</t>
  </si>
  <si>
    <t>STRM</t>
  </si>
  <si>
    <t>SGAU</t>
  </si>
  <si>
    <t>Kapitan</t>
  </si>
  <si>
    <t>S400</t>
  </si>
  <si>
    <t>S-202</t>
  </si>
  <si>
    <t>S202</t>
  </si>
  <si>
    <t>S-400 Kapitan</t>
  </si>
  <si>
    <t>Yastreb</t>
  </si>
  <si>
    <t>YAST</t>
  </si>
  <si>
    <t>SHAANXI</t>
  </si>
  <si>
    <t>Y-8</t>
  </si>
  <si>
    <t>SHADIN</t>
  </si>
  <si>
    <t>S-10 Aeropony</t>
  </si>
  <si>
    <t>SHANGHAI</t>
  </si>
  <si>
    <t>SHANGHAI SIKORSKY</t>
  </si>
  <si>
    <t>Shen 2</t>
  </si>
  <si>
    <t>Shen 3</t>
  </si>
  <si>
    <t>Shen 4</t>
  </si>
  <si>
    <t>SHARK AERO</t>
  </si>
  <si>
    <t>SHRK</t>
  </si>
  <si>
    <t>SHARK AIRCRAFT</t>
  </si>
  <si>
    <t>SASH</t>
  </si>
  <si>
    <t>SHENYANG</t>
  </si>
  <si>
    <t>JZ-8F</t>
  </si>
  <si>
    <t>J8B</t>
  </si>
  <si>
    <t>J-15</t>
  </si>
  <si>
    <t>J-16</t>
  </si>
  <si>
    <t>F-5</t>
  </si>
  <si>
    <t>J-5</t>
  </si>
  <si>
    <t>J-11</t>
  </si>
  <si>
    <t>JJ-6</t>
  </si>
  <si>
    <t>JZ-6</t>
  </si>
  <si>
    <t>JZ-8</t>
  </si>
  <si>
    <t>J8A</t>
  </si>
  <si>
    <t>J-8A</t>
  </si>
  <si>
    <t>J-8E</t>
  </si>
  <si>
    <t>F-8T</t>
  </si>
  <si>
    <t>J-8B</t>
  </si>
  <si>
    <t>J-8D</t>
  </si>
  <si>
    <t>J-8F</t>
  </si>
  <si>
    <t>J-8H</t>
  </si>
  <si>
    <t>J-8T</t>
  </si>
  <si>
    <t>SHENYANG SAILPLANE</t>
  </si>
  <si>
    <t>HU-1 Seagull</t>
  </si>
  <si>
    <t>HU1</t>
  </si>
  <si>
    <t>HU-2 Petrel</t>
  </si>
  <si>
    <t>HU2</t>
  </si>
  <si>
    <t>SHERPA</t>
  </si>
  <si>
    <t>Sherpa</t>
  </si>
  <si>
    <t>SHER</t>
  </si>
  <si>
    <t>Sherpa C-400</t>
  </si>
  <si>
    <t>Sherpa K-650T</t>
  </si>
  <si>
    <t>SHRT</t>
  </si>
  <si>
    <t>SHIJIAZHUANG</t>
  </si>
  <si>
    <t>LE-500 Little Eagle</t>
  </si>
  <si>
    <t>TB20</t>
  </si>
  <si>
    <t>LE-500 Xiaoying</t>
  </si>
  <si>
    <t>Little Eagle</t>
  </si>
  <si>
    <t>Xiaoying</t>
  </si>
  <si>
    <t>SHINMAYWA</t>
  </si>
  <si>
    <t>US-2</t>
  </si>
  <si>
    <t>US2</t>
  </si>
  <si>
    <t>SHINN</t>
  </si>
  <si>
    <t>SHORT</t>
  </si>
  <si>
    <t>SH33</t>
  </si>
  <si>
    <t>SH36</t>
  </si>
  <si>
    <t>Belfast</t>
  </si>
  <si>
    <t>BELF</t>
  </si>
  <si>
    <t>C-23 Sherpa</t>
  </si>
  <si>
    <t>S-25 Sandringham</t>
  </si>
  <si>
    <t>SAND</t>
  </si>
  <si>
    <t>S-312 Tucano</t>
  </si>
  <si>
    <t>Sandringham</t>
  </si>
  <si>
    <t>SC-5 Belfast</t>
  </si>
  <si>
    <t>SC-7 Skyliner</t>
  </si>
  <si>
    <t>SC7</t>
  </si>
  <si>
    <t>SC-7 Skyvan</t>
  </si>
  <si>
    <t>SD3-30</t>
  </si>
  <si>
    <t>SD3-60</t>
  </si>
  <si>
    <t>Skyliner</t>
  </si>
  <si>
    <t>Skyvan</t>
  </si>
  <si>
    <t>SHUYA</t>
  </si>
  <si>
    <t>Yunona</t>
  </si>
  <si>
    <t>YUNO</t>
  </si>
  <si>
    <t>SIAI-MARCHETTI</t>
  </si>
  <si>
    <t>Canguro</t>
  </si>
  <si>
    <t>F600</t>
  </si>
  <si>
    <t>S-205-18F</t>
  </si>
  <si>
    <t>S05F</t>
  </si>
  <si>
    <t>S-205-18R</t>
  </si>
  <si>
    <t>S05R</t>
  </si>
  <si>
    <t>S-205-20F</t>
  </si>
  <si>
    <t>S-205-20R</t>
  </si>
  <si>
    <t>S-205-22R</t>
  </si>
  <si>
    <t>S-208</t>
  </si>
  <si>
    <t>S208</t>
  </si>
  <si>
    <t>SF-260</t>
  </si>
  <si>
    <t>SF-260A</t>
  </si>
  <si>
    <t>SF-260B</t>
  </si>
  <si>
    <t>SF-260C</t>
  </si>
  <si>
    <t>SF-260D</t>
  </si>
  <si>
    <t>SF-260M</t>
  </si>
  <si>
    <t>SF-260W Warrior</t>
  </si>
  <si>
    <t>SF-600 Canguro</t>
  </si>
  <si>
    <t>SM-1019</t>
  </si>
  <si>
    <t>SM19</t>
  </si>
  <si>
    <t>SIAT</t>
  </si>
  <si>
    <t>SICHUAN LANTIAN</t>
  </si>
  <si>
    <t>SIKORSKY</t>
  </si>
  <si>
    <t>S-300</t>
  </si>
  <si>
    <t>S-333</t>
  </si>
  <si>
    <t>S-434</t>
  </si>
  <si>
    <t>S434</t>
  </si>
  <si>
    <t>CH-53K King Stallion</t>
  </si>
  <si>
    <t>H53S</t>
  </si>
  <si>
    <t>King Stallion</t>
  </si>
  <si>
    <t>S-97 Raider</t>
  </si>
  <si>
    <t>S97</t>
  </si>
  <si>
    <t>HM-2 Blackhawk</t>
  </si>
  <si>
    <t>Knighthawk</t>
  </si>
  <si>
    <t>MH-53E Sea Dragon</t>
  </si>
  <si>
    <t>MH-53H</t>
  </si>
  <si>
    <t>H53</t>
  </si>
  <si>
    <t>MH-53J</t>
  </si>
  <si>
    <t>MH-60 Black Hawk</t>
  </si>
  <si>
    <t>MH-60 Knighthawk</t>
  </si>
  <si>
    <t>MH-60 Strikehawk</t>
  </si>
  <si>
    <t>NSH-60 Seahawk</t>
  </si>
  <si>
    <t>Nuri</t>
  </si>
  <si>
    <t>Ocean Hawk</t>
  </si>
  <si>
    <t>Pave Hawk</t>
  </si>
  <si>
    <t>R-4 Hoverfly</t>
  </si>
  <si>
    <t>R4</t>
  </si>
  <si>
    <t>R-5</t>
  </si>
  <si>
    <t>S51</t>
  </si>
  <si>
    <t>Rescue Hawk</t>
  </si>
  <si>
    <t>RH-53 Sea Stallion</t>
  </si>
  <si>
    <t>S-38 Replica</t>
  </si>
  <si>
    <t>S38</t>
  </si>
  <si>
    <t>S-39</t>
  </si>
  <si>
    <t>S39</t>
  </si>
  <si>
    <t>S-51</t>
  </si>
  <si>
    <t>S-52</t>
  </si>
  <si>
    <t>S52</t>
  </si>
  <si>
    <t>S-55</t>
  </si>
  <si>
    <t>S55P</t>
  </si>
  <si>
    <t>S-55A</t>
  </si>
  <si>
    <t>S-55C</t>
  </si>
  <si>
    <t>S-55T</t>
  </si>
  <si>
    <t>S55T</t>
  </si>
  <si>
    <t>S-58</t>
  </si>
  <si>
    <t>S58P</t>
  </si>
  <si>
    <t>S-58B</t>
  </si>
  <si>
    <t>CH-148 Cyclone</t>
  </si>
  <si>
    <t>S92</t>
  </si>
  <si>
    <t>Cyclone</t>
  </si>
  <si>
    <t>H-92 Superhawk</t>
  </si>
  <si>
    <t>Superhawk</t>
  </si>
  <si>
    <t>X-2</t>
  </si>
  <si>
    <t>X2</t>
  </si>
  <si>
    <t>AH-60 Black Hawk</t>
  </si>
  <si>
    <t>AUH-76</t>
  </si>
  <si>
    <t>CH-3</t>
  </si>
  <si>
    <t>CH-19</t>
  </si>
  <si>
    <t>CH-34 Chocktaw</t>
  </si>
  <si>
    <t>CH-53A Sea Stallion</t>
  </si>
  <si>
    <t>CH-53A Yasur</t>
  </si>
  <si>
    <t>CH-53C</t>
  </si>
  <si>
    <t>CH-53D Sea Stallion</t>
  </si>
  <si>
    <t>CH-53E Super Stallion</t>
  </si>
  <si>
    <t>CH-53G</t>
  </si>
  <si>
    <t>CH-54 Tarhe</t>
  </si>
  <si>
    <t>S64</t>
  </si>
  <si>
    <t>CH-124 Sea King</t>
  </si>
  <si>
    <t>Chickasaw</t>
  </si>
  <si>
    <t>Chocktaw</t>
  </si>
  <si>
    <t>Desert Hawk</t>
  </si>
  <si>
    <t>EH-60 Black Hawk</t>
  </si>
  <si>
    <t>Firehawk</t>
  </si>
  <si>
    <t>H-4 Hoverfly</t>
  </si>
  <si>
    <t>H-19</t>
  </si>
  <si>
    <t>H-19 Chickasaw</t>
  </si>
  <si>
    <t>H-76 Eagle</t>
  </si>
  <si>
    <t>Helibus</t>
  </si>
  <si>
    <t>HH-3 Pelican</t>
  </si>
  <si>
    <t>HH-19</t>
  </si>
  <si>
    <t>HH-34 Seahorse</t>
  </si>
  <si>
    <t>HH-52 Seaguard</t>
  </si>
  <si>
    <t>S62</t>
  </si>
  <si>
    <t>HH-53</t>
  </si>
  <si>
    <t>HH-60 Black Hawk</t>
  </si>
  <si>
    <t>HH-60 Jayhawk</t>
  </si>
  <si>
    <t>HH-60 Pave Hawk</t>
  </si>
  <si>
    <t>HH-60 Rescue Hawk</t>
  </si>
  <si>
    <t>HO3S</t>
  </si>
  <si>
    <t>HO4S</t>
  </si>
  <si>
    <t>HO5S</t>
  </si>
  <si>
    <t>Hoverfly</t>
  </si>
  <si>
    <t>HRS</t>
  </si>
  <si>
    <t>HSS-1 Seabat</t>
  </si>
  <si>
    <t>HSS-2 Sea King</t>
  </si>
  <si>
    <t>HUS Seahorse</t>
  </si>
  <si>
    <t>JUH-60 Black Hawk</t>
  </si>
  <si>
    <t>S-58C</t>
  </si>
  <si>
    <t>S-58D</t>
  </si>
  <si>
    <t>S-58DT</t>
  </si>
  <si>
    <t>S58T</t>
  </si>
  <si>
    <t>S-58ET</t>
  </si>
  <si>
    <t>S-58T</t>
  </si>
  <si>
    <t>S-61A Nuri</t>
  </si>
  <si>
    <t>S-61D</t>
  </si>
  <si>
    <t>S-61L</t>
  </si>
  <si>
    <t>S-61N</t>
  </si>
  <si>
    <t>S-61R</t>
  </si>
  <si>
    <t>S-62</t>
  </si>
  <si>
    <t>S-64 Skycrane</t>
  </si>
  <si>
    <t>S-65</t>
  </si>
  <si>
    <t>S-65 Yasur</t>
  </si>
  <si>
    <t>S-70</t>
  </si>
  <si>
    <t>S-70 Desert Hawk</t>
  </si>
  <si>
    <t>S-70 Firehawk</t>
  </si>
  <si>
    <t>S-70 Super Blue Hawk</t>
  </si>
  <si>
    <t>S-70 Thunderhawk</t>
  </si>
  <si>
    <t>S-76 Spirit</t>
  </si>
  <si>
    <t>S-80</t>
  </si>
  <si>
    <t>S-92 Helibus</t>
  </si>
  <si>
    <t>Sea Dragon</t>
  </si>
  <si>
    <t>Sea King</t>
  </si>
  <si>
    <t>Sea Stallion</t>
  </si>
  <si>
    <t>Seabat</t>
  </si>
  <si>
    <t>Seaguard</t>
  </si>
  <si>
    <t>Seahorse</t>
  </si>
  <si>
    <t>SH-3 Sea King</t>
  </si>
  <si>
    <t>SH-34 Seabat</t>
  </si>
  <si>
    <t>SH-60 Ocean Hawk</t>
  </si>
  <si>
    <t>Skycrane</t>
  </si>
  <si>
    <t>Strikehawk</t>
  </si>
  <si>
    <t>Super Blue Hawk</t>
  </si>
  <si>
    <t>Tarhe</t>
  </si>
  <si>
    <t>TH-53</t>
  </si>
  <si>
    <t>Thunderhawk</t>
  </si>
  <si>
    <t>UH-3 Sea King</t>
  </si>
  <si>
    <t>UH-19</t>
  </si>
  <si>
    <t>UH-19 Chickasaw</t>
  </si>
  <si>
    <t>UH-34 Seahorse</t>
  </si>
  <si>
    <t>UH-60 Firehawk</t>
  </si>
  <si>
    <t>UH-60 Yanshuf</t>
  </si>
  <si>
    <t>VH-3 Sea King</t>
  </si>
  <si>
    <t>VH-53 Sea Stallion</t>
  </si>
  <si>
    <t>VH-60 White Hawk</t>
  </si>
  <si>
    <t>White Hawk</t>
  </si>
  <si>
    <t>Yanshuf</t>
  </si>
  <si>
    <t>Yasur</t>
  </si>
  <si>
    <t>SILENCE</t>
  </si>
  <si>
    <t>Twister</t>
  </si>
  <si>
    <t>TWST</t>
  </si>
  <si>
    <t>SILHOUETTE</t>
  </si>
  <si>
    <t>SILVAIRE</t>
  </si>
  <si>
    <t>SILVERCRAFT</t>
  </si>
  <si>
    <t>SH-4</t>
  </si>
  <si>
    <t>SH4</t>
  </si>
  <si>
    <t>SINDLINGER</t>
  </si>
  <si>
    <t>Hawker Hurricane</t>
  </si>
  <si>
    <t>HAHU</t>
  </si>
  <si>
    <t>HH-1 Hawker Hurricane</t>
  </si>
  <si>
    <t>SINGAPORE</t>
  </si>
  <si>
    <t>A-4 Super Skyhawk</t>
  </si>
  <si>
    <t>Super Skyhawk</t>
  </si>
  <si>
    <t>TA-4 Super Skyhawk</t>
  </si>
  <si>
    <t>SINO SWEARINGEN</t>
  </si>
  <si>
    <t>SIPA</t>
  </si>
  <si>
    <t>Minijet</t>
  </si>
  <si>
    <t>S200</t>
  </si>
  <si>
    <t>S-200 Minijet</t>
  </si>
  <si>
    <t>S-901</t>
  </si>
  <si>
    <t>S900</t>
  </si>
  <si>
    <t>S-902</t>
  </si>
  <si>
    <t>S-903</t>
  </si>
  <si>
    <t>S-904</t>
  </si>
  <si>
    <t>SIRAVIA</t>
  </si>
  <si>
    <t>SISLER</t>
  </si>
  <si>
    <t>SIVEL</t>
  </si>
  <si>
    <t>Corriedale</t>
  </si>
  <si>
    <t>CORR</t>
  </si>
  <si>
    <t>SD-27 Corriedale</t>
  </si>
  <si>
    <t>SKY RAIDER</t>
  </si>
  <si>
    <t>Super Sky Raider</t>
  </si>
  <si>
    <t>RAID</t>
  </si>
  <si>
    <t>Frontier</t>
  </si>
  <si>
    <t>FRNT</t>
  </si>
  <si>
    <t>SKYCRAFT</t>
  </si>
  <si>
    <t>ARV Super 2</t>
  </si>
  <si>
    <t>SKYDANCER</t>
  </si>
  <si>
    <t>SD-260</t>
  </si>
  <si>
    <t>SD26</t>
  </si>
  <si>
    <t>SKYETON</t>
  </si>
  <si>
    <t>K-10 Swift</t>
  </si>
  <si>
    <t>SK10</t>
  </si>
  <si>
    <t>SKYFOX</t>
  </si>
  <si>
    <t>CA-25 Gazelle</t>
  </si>
  <si>
    <t>CA-25 Impala</t>
  </si>
  <si>
    <t>SKYGEAR</t>
  </si>
  <si>
    <t>SALB</t>
  </si>
  <si>
    <t>SKYLINE</t>
  </si>
  <si>
    <t>SL-122  Pchelka</t>
  </si>
  <si>
    <t>S122</t>
  </si>
  <si>
    <t>Pchelka</t>
  </si>
  <si>
    <t>SKYOTE AEROMARINE</t>
  </si>
  <si>
    <t>Skyote</t>
  </si>
  <si>
    <t>SKYO</t>
  </si>
  <si>
    <t>SKYSTAR</t>
  </si>
  <si>
    <t>Kitfox Vixen</t>
  </si>
  <si>
    <t>VIX</t>
  </si>
  <si>
    <t>Kitfox Voyager</t>
  </si>
  <si>
    <t>SKYWOOD</t>
  </si>
  <si>
    <t>SW-18 Teddy</t>
  </si>
  <si>
    <t>SW18</t>
  </si>
  <si>
    <t>Teddy</t>
  </si>
  <si>
    <t>SLEPCEV</t>
  </si>
  <si>
    <t>SS-4 Storch</t>
  </si>
  <si>
    <t>STOR</t>
  </si>
  <si>
    <t>SLICK</t>
  </si>
  <si>
    <t>SLK3</t>
  </si>
  <si>
    <t>SLK5</t>
  </si>
  <si>
    <t>SLING AIRCRAFT</t>
  </si>
  <si>
    <t>Sling 4 High Wing</t>
  </si>
  <si>
    <t>SLH4</t>
  </si>
  <si>
    <t>SLINGSBY</t>
  </si>
  <si>
    <t>T-3 Firefly</t>
  </si>
  <si>
    <t>T-67 Firefly</t>
  </si>
  <si>
    <t>SLIPSTREAM</t>
  </si>
  <si>
    <t>DFLY</t>
  </si>
  <si>
    <t>Scepter</t>
  </si>
  <si>
    <t>SCEP</t>
  </si>
  <si>
    <t>SkyBlaster</t>
  </si>
  <si>
    <t>SBLS</t>
  </si>
  <si>
    <t>Ultra Sport</t>
  </si>
  <si>
    <t>SMAN</t>
  </si>
  <si>
    <t>SME</t>
  </si>
  <si>
    <t>AeroTiga</t>
  </si>
  <si>
    <t>MD-3 AeroTiga</t>
  </si>
  <si>
    <t>MD-3 Tiga</t>
  </si>
  <si>
    <t>Tiga</t>
  </si>
  <si>
    <t>SMITH (1)</t>
  </si>
  <si>
    <t>DSA-1 Miniplane</t>
  </si>
  <si>
    <t>DSA1</t>
  </si>
  <si>
    <t>Miniplane</t>
  </si>
  <si>
    <t>SMITH (2)</t>
  </si>
  <si>
    <t>Termite</t>
  </si>
  <si>
    <t>TERM</t>
  </si>
  <si>
    <t>SMITH (3)</t>
  </si>
  <si>
    <t>Acro Advanced</t>
  </si>
  <si>
    <t>SACR</t>
  </si>
  <si>
    <t>SMITH AVIATION</t>
  </si>
  <si>
    <t>PA-18T Super Cub</t>
  </si>
  <si>
    <t>P18T</t>
  </si>
  <si>
    <t>Super Cub (PA-18T)</t>
  </si>
  <si>
    <t>SMYTH</t>
  </si>
  <si>
    <t>S Sidewinder</t>
  </si>
  <si>
    <t>SIDE</t>
  </si>
  <si>
    <t>Sidewinder</t>
  </si>
  <si>
    <t>SNOBIRD</t>
  </si>
  <si>
    <t>SNOW</t>
  </si>
  <si>
    <t>S-2</t>
  </si>
  <si>
    <t>SOCA</t>
  </si>
  <si>
    <t>SOCATA</t>
  </si>
  <si>
    <t>Diplomate</t>
  </si>
  <si>
    <t>ST10</t>
  </si>
  <si>
    <t>Epsilon 2</t>
  </si>
  <si>
    <t>MS30</t>
  </si>
  <si>
    <t>Gabier</t>
  </si>
  <si>
    <t>Gaillard</t>
  </si>
  <si>
    <t>Galérien</t>
  </si>
  <si>
    <t>Galopin</t>
  </si>
  <si>
    <t>Garnement</t>
  </si>
  <si>
    <t>Gaucho</t>
  </si>
  <si>
    <t>Guerrier</t>
  </si>
  <si>
    <t>MS-200FG Morane</t>
  </si>
  <si>
    <t>MS18</t>
  </si>
  <si>
    <t>MS-200RG Morane</t>
  </si>
  <si>
    <t>MS25</t>
  </si>
  <si>
    <t>MS-300 Epsilon 2</t>
  </si>
  <si>
    <t>MS-880 Rallye 100</t>
  </si>
  <si>
    <t>MS-883 Rallye 115</t>
  </si>
  <si>
    <t>MS-884 Rallye Minerva</t>
  </si>
  <si>
    <t>MS-887 Rallye 125</t>
  </si>
  <si>
    <t>MS-892 Rallye 150</t>
  </si>
  <si>
    <t>MS-893 Gaillard</t>
  </si>
  <si>
    <t>MS-894 Minerva</t>
  </si>
  <si>
    <t>Omega</t>
  </si>
  <si>
    <t>TB31</t>
  </si>
  <si>
    <t>Provence</t>
  </si>
  <si>
    <t>Rallye 100</t>
  </si>
  <si>
    <t>Rallye 115</t>
  </si>
  <si>
    <t>Rallye 125</t>
  </si>
  <si>
    <t>Rallye 150</t>
  </si>
  <si>
    <t>Rallye 235</t>
  </si>
  <si>
    <t>Rallye Minerva</t>
  </si>
  <si>
    <t>ST-10 Diplomate</t>
  </si>
  <si>
    <t>ST-10 Provence</t>
  </si>
  <si>
    <t>ST-10 Super Horizon</t>
  </si>
  <si>
    <t>Super Horizon</t>
  </si>
  <si>
    <t>Tampico</t>
  </si>
  <si>
    <t>TAMP</t>
  </si>
  <si>
    <t>Tangara</t>
  </si>
  <si>
    <t>TB-9 Tampico</t>
  </si>
  <si>
    <t>TB-10 Tobago</t>
  </si>
  <si>
    <t>TOBA</t>
  </si>
  <si>
    <t>TB-20 Trinidad</t>
  </si>
  <si>
    <t>TB-20 Pashosh</t>
  </si>
  <si>
    <t>TB-31 Omega</t>
  </si>
  <si>
    <t>TB-200 Tobago</t>
  </si>
  <si>
    <t>TB-360 Tangara</t>
  </si>
  <si>
    <t>TBM-850</t>
  </si>
  <si>
    <t>TBM8</t>
  </si>
  <si>
    <t>Tobago</t>
  </si>
  <si>
    <t>Trinidad</t>
  </si>
  <si>
    <t>Pashosh</t>
  </si>
  <si>
    <t>TBM-900</t>
  </si>
  <si>
    <t>TB-21 Trinidad TC</t>
  </si>
  <si>
    <t>TB21</t>
  </si>
  <si>
    <t>Trinidad TC</t>
  </si>
  <si>
    <t>TBM-700A</t>
  </si>
  <si>
    <t>TBM7</t>
  </si>
  <si>
    <t>TBM-700B</t>
  </si>
  <si>
    <t>TBM-700C</t>
  </si>
  <si>
    <t>TBM-700N (TBM-850)</t>
  </si>
  <si>
    <t>TBM-700N (TBM-900)</t>
  </si>
  <si>
    <t>SOKO</t>
  </si>
  <si>
    <t>Jastreb</t>
  </si>
  <si>
    <t>JAST</t>
  </si>
  <si>
    <t>Kraguj</t>
  </si>
  <si>
    <t>KRAG</t>
  </si>
  <si>
    <t>N-60 Galeb</t>
  </si>
  <si>
    <t>G2GL</t>
  </si>
  <si>
    <t>N-62 Super Galeb</t>
  </si>
  <si>
    <t>G4SG</t>
  </si>
  <si>
    <t>NJ-21 Jastreb</t>
  </si>
  <si>
    <t>P-2 Kraguj</t>
  </si>
  <si>
    <t>Partizan</t>
  </si>
  <si>
    <t>RJ-1 Jastreb</t>
  </si>
  <si>
    <t>SA-341 Partizan</t>
  </si>
  <si>
    <t>SA-342 Partizan</t>
  </si>
  <si>
    <t>Super Galeb</t>
  </si>
  <si>
    <t>TJ-1 Jastreb</t>
  </si>
  <si>
    <t>TJ-21 Jastreb</t>
  </si>
  <si>
    <t>SOK2</t>
  </si>
  <si>
    <t>G-2 Galeb</t>
  </si>
  <si>
    <t>G-4 Super Galeb</t>
  </si>
  <si>
    <t>Galeb</t>
  </si>
  <si>
    <t>H-45 Partizan</t>
  </si>
  <si>
    <t>HN-42 Partizan</t>
  </si>
  <si>
    <t>HN-45 Partizan</t>
  </si>
  <si>
    <t>HO-42 Partizan</t>
  </si>
  <si>
    <t>IJ-21 Jastreb</t>
  </si>
  <si>
    <t>J-1 Jastreb</t>
  </si>
  <si>
    <t>J-20 Kraguj</t>
  </si>
  <si>
    <t>J-21 Jastreb</t>
  </si>
  <si>
    <t>SOKO-CNIAR</t>
  </si>
  <si>
    <t>Orao</t>
  </si>
  <si>
    <t>YURO</t>
  </si>
  <si>
    <t>J-22 Orao</t>
  </si>
  <si>
    <t>NJ-22 Orao</t>
  </si>
  <si>
    <t>SOLAR IMPULSE</t>
  </si>
  <si>
    <t>SOL1</t>
  </si>
  <si>
    <t>SOL2</t>
  </si>
  <si>
    <t>SOLOY</t>
  </si>
  <si>
    <t>208 Dual-Pac Caravan</t>
  </si>
  <si>
    <t>C08T</t>
  </si>
  <si>
    <t>208 Pathfinder 21</t>
  </si>
  <si>
    <t>Bell 47</t>
  </si>
  <si>
    <t>B47T</t>
  </si>
  <si>
    <t>Dual-Pac Caravan</t>
  </si>
  <si>
    <t>Hiller UH-12</t>
  </si>
  <si>
    <t>Pathfinder 21</t>
  </si>
  <si>
    <t>Turbine 206</t>
  </si>
  <si>
    <t>Turbine 207</t>
  </si>
  <si>
    <t>SONACA</t>
  </si>
  <si>
    <t>S-200</t>
  </si>
  <si>
    <t>S-201</t>
  </si>
  <si>
    <t>SONEX</t>
  </si>
  <si>
    <t>Sonex</t>
  </si>
  <si>
    <t>SONX</t>
  </si>
  <si>
    <t>Waiex</t>
  </si>
  <si>
    <t>WAIX</t>
  </si>
  <si>
    <t>Xenos</t>
  </si>
  <si>
    <t>XNOS</t>
  </si>
  <si>
    <t>Onex</t>
  </si>
  <si>
    <t>ONEX</t>
  </si>
  <si>
    <t>JSX SubSonex</t>
  </si>
  <si>
    <t>JSX</t>
  </si>
  <si>
    <t>SubSonex</t>
  </si>
  <si>
    <t>SOPWITH</t>
  </si>
  <si>
    <t>Pup Replica</t>
  </si>
  <si>
    <t>Camel</t>
  </si>
  <si>
    <t>CAML</t>
  </si>
  <si>
    <t>Camel Replica</t>
  </si>
  <si>
    <t>Triplane Replica</t>
  </si>
  <si>
    <t>STRI</t>
  </si>
  <si>
    <t>SORRELL</t>
  </si>
  <si>
    <t>EXP-2</t>
  </si>
  <si>
    <t>SNS9</t>
  </si>
  <si>
    <t>SNS2</t>
  </si>
  <si>
    <t>Hiperbipe</t>
  </si>
  <si>
    <t>SNS7</t>
  </si>
  <si>
    <t>SNS-2 Guppy</t>
  </si>
  <si>
    <t>SNS-7 Hiperbipe</t>
  </si>
  <si>
    <t>SNS-9 EXP-2</t>
  </si>
  <si>
    <t>SPARTAN</t>
  </si>
  <si>
    <t>7 Executive</t>
  </si>
  <si>
    <t>SP7</t>
  </si>
  <si>
    <t>UC-71 Executive</t>
  </si>
  <si>
    <t>SPECTER</t>
  </si>
  <si>
    <t>Specter 2</t>
  </si>
  <si>
    <t>SPC2</t>
  </si>
  <si>
    <t>SPECTRUM</t>
  </si>
  <si>
    <t>Independence</t>
  </si>
  <si>
    <t>SP33</t>
  </si>
  <si>
    <t>S-33 Independence</t>
  </si>
  <si>
    <t>SPEEDTWIN</t>
  </si>
  <si>
    <t>E2E Speedtwin</t>
  </si>
  <si>
    <t>SPENCER</t>
  </si>
  <si>
    <t>Air Car</t>
  </si>
  <si>
    <t>S12</t>
  </si>
  <si>
    <t>Air Car Junior</t>
  </si>
  <si>
    <t>ACJR</t>
  </si>
  <si>
    <t>S-12 Air Car</t>
  </si>
  <si>
    <t>SPEZIO</t>
  </si>
  <si>
    <t>DAL-1 Tuholer</t>
  </si>
  <si>
    <t>DAL1</t>
  </si>
  <si>
    <t>Tuholer</t>
  </si>
  <si>
    <t>SPORT COPTER</t>
  </si>
  <si>
    <t>SportCopter 2</t>
  </si>
  <si>
    <t>SCII</t>
  </si>
  <si>
    <t>SPORT PERFORMANCE</t>
  </si>
  <si>
    <t>PNTH</t>
  </si>
  <si>
    <t>SPORT RACER</t>
  </si>
  <si>
    <t>Sport Racer</t>
  </si>
  <si>
    <t>SRAC</t>
  </si>
  <si>
    <t>SPORTAVIA-PUTZER</t>
  </si>
  <si>
    <t>Milan</t>
  </si>
  <si>
    <t>SF31</t>
  </si>
  <si>
    <t>RS-180 Sportsman</t>
  </si>
  <si>
    <t>RS18</t>
  </si>
  <si>
    <t>SFS-31 Milan</t>
  </si>
  <si>
    <t>Sportsman</t>
  </si>
  <si>
    <t>SPORTINE AVIACIJA</t>
  </si>
  <si>
    <t>SPRATT</t>
  </si>
  <si>
    <t>S107</t>
  </si>
  <si>
    <t>SPRING</t>
  </si>
  <si>
    <t>WS22</t>
  </si>
  <si>
    <t>WS-202 Sprint</t>
  </si>
  <si>
    <t>SREYA</t>
  </si>
  <si>
    <t>Envoy</t>
  </si>
  <si>
    <t>SA6E</t>
  </si>
  <si>
    <t>SA-6 Envoy</t>
  </si>
  <si>
    <t>SSH</t>
  </si>
  <si>
    <t>T-131 Jungmann</t>
  </si>
  <si>
    <t>ST. CROIX</t>
  </si>
  <si>
    <t>Pietenpol Aerial</t>
  </si>
  <si>
    <t>Pietenpol Aircamper</t>
  </si>
  <si>
    <t>Sopwith Triplane</t>
  </si>
  <si>
    <t>ST. JUST</t>
  </si>
  <si>
    <t>STAMPE</t>
  </si>
  <si>
    <t>STAR-LITE</t>
  </si>
  <si>
    <t>SL-1 Star-Lite</t>
  </si>
  <si>
    <t>SL1</t>
  </si>
  <si>
    <t>Star-Lite</t>
  </si>
  <si>
    <t>STARCK</t>
  </si>
  <si>
    <t>AS-80 Holiday</t>
  </si>
  <si>
    <t>AS80</t>
  </si>
  <si>
    <t>Holiday</t>
  </si>
  <si>
    <t>STARFIRE</t>
  </si>
  <si>
    <t>Firebolt Convertible</t>
  </si>
  <si>
    <t>FIBO</t>
  </si>
  <si>
    <t>STARK</t>
  </si>
  <si>
    <t>STARK-TREFETHEN</t>
  </si>
  <si>
    <t>Sport-Aire 2</t>
  </si>
  <si>
    <t>SPA2</t>
  </si>
  <si>
    <t>STARKRAFT</t>
  </si>
  <si>
    <t>SK-700</t>
  </si>
  <si>
    <t>SK70</t>
  </si>
  <si>
    <t>STARPAC</t>
  </si>
  <si>
    <t>Phoenix Flyer</t>
  </si>
  <si>
    <t>STATLER</t>
  </si>
  <si>
    <t>STFF</t>
  </si>
  <si>
    <t>STATUS AVIA</t>
  </si>
  <si>
    <t>SA-1 Status</t>
  </si>
  <si>
    <t>Status</t>
  </si>
  <si>
    <t>STAUDACHER</t>
  </si>
  <si>
    <t>S-600</t>
  </si>
  <si>
    <t>ST60</t>
  </si>
  <si>
    <t>STEARMAN</t>
  </si>
  <si>
    <t>C-3</t>
  </si>
  <si>
    <t>ST3</t>
  </si>
  <si>
    <t>4 Junior Speedmail</t>
  </si>
  <si>
    <t>ST4</t>
  </si>
  <si>
    <t>4 Senior Speedmail</t>
  </si>
  <si>
    <t>Junior Speedmail</t>
  </si>
  <si>
    <t>Senior Speedmail</t>
  </si>
  <si>
    <t>Speedmail</t>
  </si>
  <si>
    <t>6 Cloudboy</t>
  </si>
  <si>
    <t>ST6</t>
  </si>
  <si>
    <t>Cloudboy</t>
  </si>
  <si>
    <t>YPT-9</t>
  </si>
  <si>
    <t>STEEN</t>
  </si>
  <si>
    <t>BOLT</t>
  </si>
  <si>
    <t>STEMME</t>
  </si>
  <si>
    <t>Chrysalis</t>
  </si>
  <si>
    <t>S10S</t>
  </si>
  <si>
    <t>S-10</t>
  </si>
  <si>
    <t>S-10 Chrysalis</t>
  </si>
  <si>
    <t>S-12 Twin Voyager</t>
  </si>
  <si>
    <t>S12S</t>
  </si>
  <si>
    <t>Twin Voyager</t>
  </si>
  <si>
    <t>S-15</t>
  </si>
  <si>
    <t>S15S</t>
  </si>
  <si>
    <t>Remos GX</t>
  </si>
  <si>
    <t>S-6</t>
  </si>
  <si>
    <t>S6</t>
  </si>
  <si>
    <t>STEPHENS</t>
  </si>
  <si>
    <t>Akro</t>
  </si>
  <si>
    <t>AKRO</t>
  </si>
  <si>
    <t>STERN</t>
  </si>
  <si>
    <t>Europlane</t>
  </si>
  <si>
    <t>ST87</t>
  </si>
  <si>
    <t>ST-87 Europlane</t>
  </si>
  <si>
    <t>STERN-MALLICK</t>
  </si>
  <si>
    <t>SM-01 Vega</t>
  </si>
  <si>
    <t>SM01</t>
  </si>
  <si>
    <t>Vega</t>
  </si>
  <si>
    <t>STEWART (1)</t>
  </si>
  <si>
    <t>S-51D</t>
  </si>
  <si>
    <t>S51D</t>
  </si>
  <si>
    <t>STEWART (2)</t>
  </si>
  <si>
    <t>Foo Fighter</t>
  </si>
  <si>
    <t>FOOF</t>
  </si>
  <si>
    <t>Headwind</t>
  </si>
  <si>
    <t>HEAD</t>
  </si>
  <si>
    <t>JD-1 Headwind</t>
  </si>
  <si>
    <t>JD-2 Foo Fighter</t>
  </si>
  <si>
    <t>SAC-1 Headwind</t>
  </si>
  <si>
    <t>STINSON</t>
  </si>
  <si>
    <t>10 Voyager</t>
  </si>
  <si>
    <t>S10</t>
  </si>
  <si>
    <t>A Tri-Motor</t>
  </si>
  <si>
    <t>TRMA</t>
  </si>
  <si>
    <t>AT-19 Reliant</t>
  </si>
  <si>
    <t>RELI</t>
  </si>
  <si>
    <t>HW-75</t>
  </si>
  <si>
    <t>HW-80</t>
  </si>
  <si>
    <t>L-5 Sentinel</t>
  </si>
  <si>
    <t>L5</t>
  </si>
  <si>
    <t>OY Sentinel</t>
  </si>
  <si>
    <t>Reliant</t>
  </si>
  <si>
    <t>SM-6000 Tri-Motor</t>
  </si>
  <si>
    <t>SM60</t>
  </si>
  <si>
    <t>SR Reliant</t>
  </si>
  <si>
    <t>T Tri-Motor</t>
  </si>
  <si>
    <t>Tri-Motor (A)</t>
  </si>
  <si>
    <t>Tri-Motor (SM-6000/T)</t>
  </si>
  <si>
    <t>U-19 Sentinel</t>
  </si>
  <si>
    <t>V-76 Sentinel</t>
  </si>
  <si>
    <t>V-77 Reliant</t>
  </si>
  <si>
    <t>Voyager (10)</t>
  </si>
  <si>
    <t>Voyager (108)</t>
  </si>
  <si>
    <t>STITS</t>
  </si>
  <si>
    <t>Flut-R-Bug</t>
  </si>
  <si>
    <t>SA6</t>
  </si>
  <si>
    <t>Playboy</t>
  </si>
  <si>
    <t>SA3</t>
  </si>
  <si>
    <t>Playmate</t>
  </si>
  <si>
    <t>SA11</t>
  </si>
  <si>
    <t>SA-3 Playboy</t>
  </si>
  <si>
    <t>SA-6 Flut-R-Bug</t>
  </si>
  <si>
    <t>SA-7 Sky-Coupe</t>
  </si>
  <si>
    <t>SA7</t>
  </si>
  <si>
    <t>SA-11 Playmate</t>
  </si>
  <si>
    <t>Sky-Coupe</t>
  </si>
  <si>
    <t>STODDARD-HAMILTON</t>
  </si>
  <si>
    <t>SH-4 GlaStar</t>
  </si>
  <si>
    <t>Turbine Glasair</t>
  </si>
  <si>
    <t>GLTU</t>
  </si>
  <si>
    <t>STOLP</t>
  </si>
  <si>
    <t>Acroduster</t>
  </si>
  <si>
    <t>SA70</t>
  </si>
  <si>
    <t>Acroduster Too</t>
  </si>
  <si>
    <t>SA75</t>
  </si>
  <si>
    <t>SA-100 Starduster</t>
  </si>
  <si>
    <t>SA10</t>
  </si>
  <si>
    <t>SA-300 Starduster Too</t>
  </si>
  <si>
    <t>SA30</t>
  </si>
  <si>
    <t>SA-500 Starlet</t>
  </si>
  <si>
    <t>SA50</t>
  </si>
  <si>
    <t>SA-700 Acroduster</t>
  </si>
  <si>
    <t>SA-750 Acroduster Too</t>
  </si>
  <si>
    <t>Starduster</t>
  </si>
  <si>
    <t>Starduster Too</t>
  </si>
  <si>
    <t>Super Starduster</t>
  </si>
  <si>
    <t>SDUS</t>
  </si>
  <si>
    <t>STORCH AVIATION</t>
  </si>
  <si>
    <t>SS-4 Super Storch</t>
  </si>
  <si>
    <t>Super Storch</t>
  </si>
  <si>
    <t>STORMAIRCRAFT</t>
  </si>
  <si>
    <t>STREAMLINE WELDING</t>
  </si>
  <si>
    <t>10 Ultimate Competitor</t>
  </si>
  <si>
    <t>UL10</t>
  </si>
  <si>
    <t>10 Ultimate Winner</t>
  </si>
  <si>
    <t>20 Ultimate Companion</t>
  </si>
  <si>
    <t>UL20</t>
  </si>
  <si>
    <t>Ultimate Companion</t>
  </si>
  <si>
    <t>Ultimate Competitor</t>
  </si>
  <si>
    <t>Ultimate Winner</t>
  </si>
  <si>
    <t>STRIPLIN</t>
  </si>
  <si>
    <t>Lone Ranger</t>
  </si>
  <si>
    <t>STRA</t>
  </si>
  <si>
    <t>STROJNIK</t>
  </si>
  <si>
    <t>STR2</t>
  </si>
  <si>
    <t>SUD</t>
  </si>
  <si>
    <t>Djinn</t>
  </si>
  <si>
    <t>DJIN</t>
  </si>
  <si>
    <t>SA-3180 Alouette 2</t>
  </si>
  <si>
    <t>SE-313 Alouette 2</t>
  </si>
  <si>
    <t>SO-1221 Djinn</t>
  </si>
  <si>
    <t>SO-4050 Vautour</t>
  </si>
  <si>
    <t>VAUT</t>
  </si>
  <si>
    <t>T-28 Fennec</t>
  </si>
  <si>
    <t>Vautour</t>
  </si>
  <si>
    <t>SUD-EST</t>
  </si>
  <si>
    <t>SUD-OUEST</t>
  </si>
  <si>
    <t>SUDFLUG</t>
  </si>
  <si>
    <t>SUKHOI</t>
  </si>
  <si>
    <t>S37</t>
  </si>
  <si>
    <t>JJ-11</t>
  </si>
  <si>
    <t>S-37 Berkut</t>
  </si>
  <si>
    <t>SU25</t>
  </si>
  <si>
    <t>Su-7</t>
  </si>
  <si>
    <t>SU7</t>
  </si>
  <si>
    <t>Su-17</t>
  </si>
  <si>
    <t>SU17</t>
  </si>
  <si>
    <t>Su-20</t>
  </si>
  <si>
    <t>Su-22</t>
  </si>
  <si>
    <t>Su-24</t>
  </si>
  <si>
    <t>SU24</t>
  </si>
  <si>
    <t>Su-25</t>
  </si>
  <si>
    <t>Su-25 Scorpion</t>
  </si>
  <si>
    <t>Su-26</t>
  </si>
  <si>
    <t>SU26</t>
  </si>
  <si>
    <t>Su-27</t>
  </si>
  <si>
    <t>Su-28</t>
  </si>
  <si>
    <t>Su-29</t>
  </si>
  <si>
    <t>SU29</t>
  </si>
  <si>
    <t>Su-31</t>
  </si>
  <si>
    <t>SU31</t>
  </si>
  <si>
    <t>Su-32</t>
  </si>
  <si>
    <t>Su-33</t>
  </si>
  <si>
    <t>Su-34</t>
  </si>
  <si>
    <t>Su-35</t>
  </si>
  <si>
    <t>Su-37</t>
  </si>
  <si>
    <t>Su-38</t>
  </si>
  <si>
    <t>SU38</t>
  </si>
  <si>
    <t>Su-39</t>
  </si>
  <si>
    <t>Su-47 Berkut</t>
  </si>
  <si>
    <t>Su-80</t>
  </si>
  <si>
    <t>SU80</t>
  </si>
  <si>
    <t>Superjet 100-95</t>
  </si>
  <si>
    <t>SU95</t>
  </si>
  <si>
    <t>T-50</t>
  </si>
  <si>
    <t>SU57</t>
  </si>
  <si>
    <t>Su-57</t>
  </si>
  <si>
    <t>SUMMIT</t>
  </si>
  <si>
    <t>O2-337 Sentry</t>
  </si>
  <si>
    <t>Sentry</t>
  </si>
  <si>
    <t>SUNDERLAND</t>
  </si>
  <si>
    <t>SUPAPUP</t>
  </si>
  <si>
    <t>SUPER 18</t>
  </si>
  <si>
    <t>SUPER-CHIPMUNK</t>
  </si>
  <si>
    <t>SUPERMARINE</t>
  </si>
  <si>
    <t>Seafire</t>
  </si>
  <si>
    <t>SPIT</t>
  </si>
  <si>
    <t>SWIF</t>
  </si>
  <si>
    <t>SUPERMARINE AIRCRAFT</t>
  </si>
  <si>
    <t>Spitfire Mk25</t>
  </si>
  <si>
    <t>SASP</t>
  </si>
  <si>
    <t>Spitfire Mk26</t>
  </si>
  <si>
    <t>SWEARINGEN</t>
  </si>
  <si>
    <t>800 (65)</t>
  </si>
  <si>
    <t>800 (80)</t>
  </si>
  <si>
    <t>Merlin 2</t>
  </si>
  <si>
    <t>SW2</t>
  </si>
  <si>
    <t>SA-26 Merlin 2</t>
  </si>
  <si>
    <t>SA-226AT Merlin 4</t>
  </si>
  <si>
    <t>SA-226T Merlin 3</t>
  </si>
  <si>
    <t>SX-300</t>
  </si>
  <si>
    <t>SX30</t>
  </si>
  <si>
    <t>SWICK</t>
  </si>
  <si>
    <t>Swick-T</t>
  </si>
  <si>
    <t>TAYB</t>
  </si>
  <si>
    <t>SWISS EXCELLENCE</t>
  </si>
  <si>
    <t>SYMPHONY</t>
  </si>
  <si>
    <t>SA-160 Symphony</t>
  </si>
  <si>
    <t>SYNAIRGIE</t>
  </si>
  <si>
    <t>SZD</t>
  </si>
  <si>
    <t>Bocian M-2000</t>
  </si>
  <si>
    <t>SZ9M</t>
  </si>
  <si>
    <t>Ogar</t>
  </si>
  <si>
    <t>SZ45</t>
  </si>
  <si>
    <t>SZD-9bis Bocian M-2000</t>
  </si>
  <si>
    <t>SZD-45 Ogar</t>
  </si>
  <si>
    <t>T &amp; T AVIATION</t>
  </si>
  <si>
    <t>TAI</t>
  </si>
  <si>
    <t>ZIU</t>
  </si>
  <si>
    <t>Hürkuş</t>
  </si>
  <si>
    <t>HURK</t>
  </si>
  <si>
    <t>KT-1</t>
  </si>
  <si>
    <t>TT-32 Hürkuş</t>
  </si>
  <si>
    <t>Anka</t>
  </si>
  <si>
    <t>ANKA</t>
  </si>
  <si>
    <t>TAIFUN</t>
  </si>
  <si>
    <t>DMZ-2 Osa</t>
  </si>
  <si>
    <t>TAIWAN DANCER</t>
  </si>
  <si>
    <t>TD-1</t>
  </si>
  <si>
    <t>TD1</t>
  </si>
  <si>
    <t>TD-3 Alluvion Legend</t>
  </si>
  <si>
    <t>TD3</t>
  </si>
  <si>
    <t>Alluvion Legend</t>
  </si>
  <si>
    <t>TAM</t>
  </si>
  <si>
    <t>TAM-Jet</t>
  </si>
  <si>
    <t>TAMARIND</t>
  </si>
  <si>
    <t>TANEJA</t>
  </si>
  <si>
    <t>TAPANEE</t>
  </si>
  <si>
    <t>Levitation 4</t>
  </si>
  <si>
    <t>LEVI</t>
  </si>
  <si>
    <t>TAYLOR (1)</t>
  </si>
  <si>
    <t>Cub (E-2)</t>
  </si>
  <si>
    <t>E2CB</t>
  </si>
  <si>
    <t>E-2 Cub</t>
  </si>
  <si>
    <t>TAYLOR (2)</t>
  </si>
  <si>
    <t>TAYLOR (3)</t>
  </si>
  <si>
    <t>Bird</t>
  </si>
  <si>
    <t>BIRD</t>
  </si>
  <si>
    <t>TA-2 Bird</t>
  </si>
  <si>
    <t>TA-3 Bird</t>
  </si>
  <si>
    <t>TAYLOR (4)</t>
  </si>
  <si>
    <t>JT-2 Titch</t>
  </si>
  <si>
    <t>JT2</t>
  </si>
  <si>
    <t>Titch</t>
  </si>
  <si>
    <t>TAYLOR KITS</t>
  </si>
  <si>
    <t>T-Kraft</t>
  </si>
  <si>
    <t>TF21</t>
  </si>
  <si>
    <t>TAYLOR-YOUNG</t>
  </si>
  <si>
    <t>A</t>
  </si>
  <si>
    <t>TAYA</t>
  </si>
  <si>
    <t>BC</t>
  </si>
  <si>
    <t>BF</t>
  </si>
  <si>
    <t>BL</t>
  </si>
  <si>
    <t>TAYLORCRAFT (1)</t>
  </si>
  <si>
    <t>15 Foursome</t>
  </si>
  <si>
    <t>TA15</t>
  </si>
  <si>
    <t>15 Tourist</t>
  </si>
  <si>
    <t>19 Sportsman</t>
  </si>
  <si>
    <t>TF19</t>
  </si>
  <si>
    <t>20 Ranchwagon</t>
  </si>
  <si>
    <t>TA20</t>
  </si>
  <si>
    <t>20 Seabird</t>
  </si>
  <si>
    <t>20 Topper</t>
  </si>
  <si>
    <t>20 Zephyr 400</t>
  </si>
  <si>
    <t>Ace</t>
  </si>
  <si>
    <t>BC Ace</t>
  </si>
  <si>
    <t>BC Sportsman</t>
  </si>
  <si>
    <t>BC Traveller</t>
  </si>
  <si>
    <t>BC Twosome</t>
  </si>
  <si>
    <t>Classic</t>
  </si>
  <si>
    <t>TF22</t>
  </si>
  <si>
    <t>DC</t>
  </si>
  <si>
    <t>TAYD</t>
  </si>
  <si>
    <t>DCO</t>
  </si>
  <si>
    <t>DF</t>
  </si>
  <si>
    <t>DL</t>
  </si>
  <si>
    <t>F-19 Sportsman</t>
  </si>
  <si>
    <t>F-21</t>
  </si>
  <si>
    <t>F-22 Classic</t>
  </si>
  <si>
    <t>F-22 Ranger</t>
  </si>
  <si>
    <t>F-22 Tracker</t>
  </si>
  <si>
    <t>F-22 Tri-Classic</t>
  </si>
  <si>
    <t>F-22 Trooper</t>
  </si>
  <si>
    <t>Foursome</t>
  </si>
  <si>
    <t>L-2</t>
  </si>
  <si>
    <t>O-57</t>
  </si>
  <si>
    <t>Ranchwagon</t>
  </si>
  <si>
    <t>Seabird</t>
  </si>
  <si>
    <t>Sportsman (BC)</t>
  </si>
  <si>
    <t>Sportsman (F-19)</t>
  </si>
  <si>
    <t>Topper</t>
  </si>
  <si>
    <t>Tourist</t>
  </si>
  <si>
    <t>Traveller</t>
  </si>
  <si>
    <t>Tri-Classic</t>
  </si>
  <si>
    <t>Twosome</t>
  </si>
  <si>
    <t>Zephyr 400</t>
  </si>
  <si>
    <t>TAYLORCRAFT (2)</t>
  </si>
  <si>
    <t>Auster 1</t>
  </si>
  <si>
    <t>PLUS</t>
  </si>
  <si>
    <t>Auster 3</t>
  </si>
  <si>
    <t>AUS3</t>
  </si>
  <si>
    <t>Auster 4</t>
  </si>
  <si>
    <t>AUS4</t>
  </si>
  <si>
    <t>Plus C</t>
  </si>
  <si>
    <t>Plus D</t>
  </si>
  <si>
    <t>TBM-700</t>
  </si>
  <si>
    <t>TEAM ROCKET</t>
  </si>
  <si>
    <t>TRF1</t>
  </si>
  <si>
    <t>TEAM TANGO</t>
  </si>
  <si>
    <t>Foxtrot-4</t>
  </si>
  <si>
    <t>FOXT</t>
  </si>
  <si>
    <t>Tango-2</t>
  </si>
  <si>
    <t>TAGO</t>
  </si>
  <si>
    <t>TECH'AERO</t>
  </si>
  <si>
    <t>TECHNOAVIA</t>
  </si>
  <si>
    <t>Finist</t>
  </si>
  <si>
    <t>Slava</t>
  </si>
  <si>
    <t>SP91</t>
  </si>
  <si>
    <t>SM-92 Finist</t>
  </si>
  <si>
    <t>SM-92T Turbo Finist</t>
  </si>
  <si>
    <t>SG92</t>
  </si>
  <si>
    <t>SM-94</t>
  </si>
  <si>
    <t>Y18T</t>
  </si>
  <si>
    <t>SM-2000</t>
  </si>
  <si>
    <t>SM20</t>
  </si>
  <si>
    <t>SM-2000P</t>
  </si>
  <si>
    <t>SMG-92 Turbo Finist</t>
  </si>
  <si>
    <t>SP-55</t>
  </si>
  <si>
    <t>SP55</t>
  </si>
  <si>
    <t>SP-91 Slava</t>
  </si>
  <si>
    <t>SP-95</t>
  </si>
  <si>
    <t>SP95</t>
  </si>
  <si>
    <t>Turbo Finist</t>
  </si>
  <si>
    <t>TECHNOFLUG</t>
  </si>
  <si>
    <t>TFK-2 Carat</t>
  </si>
  <si>
    <t>TECNAM</t>
  </si>
  <si>
    <t>BRAV</t>
  </si>
  <si>
    <t>Echo</t>
  </si>
  <si>
    <t>ECHO</t>
  </si>
  <si>
    <t>Golf</t>
  </si>
  <si>
    <t>GOLF</t>
  </si>
  <si>
    <t>P-92 Echo</t>
  </si>
  <si>
    <t>P-92 SeaSky</t>
  </si>
  <si>
    <t>P-96 Golf</t>
  </si>
  <si>
    <t>P-2002 Sierra</t>
  </si>
  <si>
    <t>SIRA</t>
  </si>
  <si>
    <t>P-2004 Bravo</t>
  </si>
  <si>
    <t>SeaSky</t>
  </si>
  <si>
    <t>Astore</t>
  </si>
  <si>
    <t>ASTO</t>
  </si>
  <si>
    <t>P-2010 Twenty-Ten</t>
  </si>
  <si>
    <t>TWEN</t>
  </si>
  <si>
    <t>Twenty-Ten</t>
  </si>
  <si>
    <t>P-2012 Traveller</t>
  </si>
  <si>
    <t>P212</t>
  </si>
  <si>
    <t>P-2002</t>
  </si>
  <si>
    <t>P-2006T</t>
  </si>
  <si>
    <t>P06T</t>
  </si>
  <si>
    <t>P-2008</t>
  </si>
  <si>
    <t>P208</t>
  </si>
  <si>
    <t>P-92 Eaglet</t>
  </si>
  <si>
    <t>TED SMITH</t>
  </si>
  <si>
    <t>TEMCO</t>
  </si>
  <si>
    <t>Buckaroo</t>
  </si>
  <si>
    <t>T35</t>
  </si>
  <si>
    <t>D-16 Twin Navion</t>
  </si>
  <si>
    <t>T-35 Buckaroo</t>
  </si>
  <si>
    <t>TE-1 Buckaroo</t>
  </si>
  <si>
    <t>TENNESSEE VALLEY</t>
  </si>
  <si>
    <t>TERR-MAR</t>
  </si>
  <si>
    <t>Turbo Sea Thrush</t>
  </si>
  <si>
    <t>TERRAFUGIA</t>
  </si>
  <si>
    <t>Transition</t>
  </si>
  <si>
    <t>TSTN</t>
  </si>
  <si>
    <t>TERZI</t>
  </si>
  <si>
    <t>T30</t>
  </si>
  <si>
    <t>Stiletto</t>
  </si>
  <si>
    <t>STIL</t>
  </si>
  <si>
    <t>T-9 Stiletto</t>
  </si>
  <si>
    <t>T-30 Katana</t>
  </si>
  <si>
    <t>TEST</t>
  </si>
  <si>
    <t>TST-14 Bonus</t>
  </si>
  <si>
    <t>TS14</t>
  </si>
  <si>
    <t>Bonus</t>
  </si>
  <si>
    <t>TEXAS AIRCRAFT</t>
  </si>
  <si>
    <t>TA-01</t>
  </si>
  <si>
    <t>COLT</t>
  </si>
  <si>
    <t>TEXAS AIRPLANE</t>
  </si>
  <si>
    <t>TEXAS HELICOPTER</t>
  </si>
  <si>
    <t>M-74 Wasp</t>
  </si>
  <si>
    <t>M74</t>
  </si>
  <si>
    <t>TEXAS SPORT</t>
  </si>
  <si>
    <t>TX-3 Texas Sport</t>
  </si>
  <si>
    <t>TX-11 Texas Sport</t>
  </si>
  <si>
    <t>Texas Sport (TX-3)</t>
  </si>
  <si>
    <t>Texas Sport (TX-11)</t>
  </si>
  <si>
    <t>TEXTRON</t>
  </si>
  <si>
    <t>TEXTRON AIRLAND</t>
  </si>
  <si>
    <t>THATCHER</t>
  </si>
  <si>
    <t>CX-5</t>
  </si>
  <si>
    <t>CX5</t>
  </si>
  <si>
    <t>THK</t>
  </si>
  <si>
    <t>T-19 Speedfire</t>
  </si>
  <si>
    <t>T19</t>
  </si>
  <si>
    <t>Turkkusu</t>
  </si>
  <si>
    <t>Speedfire</t>
  </si>
  <si>
    <t>T-19 Turkkusu</t>
  </si>
  <si>
    <t>THORP</t>
  </si>
  <si>
    <t>T-18 Tiger</t>
  </si>
  <si>
    <t>THRUSH</t>
  </si>
  <si>
    <t>S-2R-660 Turbo Thrush 660</t>
  </si>
  <si>
    <t>S-2RHG-T34 Turbo Thrush 510</t>
  </si>
  <si>
    <t>S-2RHG-T65 Turbo Thrush 550</t>
  </si>
  <si>
    <t>Turbo Thrush 510</t>
  </si>
  <si>
    <t>Turbo Thrush 550</t>
  </si>
  <si>
    <t>Turbo Thrush 660</t>
  </si>
  <si>
    <t>Turbo Thrush (S-2R-T34)</t>
  </si>
  <si>
    <t>Thrush 400</t>
  </si>
  <si>
    <t>S-2R-R1340 Trush 400</t>
  </si>
  <si>
    <t>S-2R-T65 Turbo Thrush 550</t>
  </si>
  <si>
    <t>THUNDER WINGS</t>
  </si>
  <si>
    <t>Curtiss P-40</t>
  </si>
  <si>
    <t>TP40</t>
  </si>
  <si>
    <t>Focke-Wulf Fw-190</t>
  </si>
  <si>
    <t>TFOC</t>
  </si>
  <si>
    <t>Supermarine Spitfire</t>
  </si>
  <si>
    <t>TSPT</t>
  </si>
  <si>
    <t>THURSTON</t>
  </si>
  <si>
    <t>TA16</t>
  </si>
  <si>
    <t>TA-16 Seafire</t>
  </si>
  <si>
    <t>TA-16 Trojan</t>
  </si>
  <si>
    <t>TIGER</t>
  </si>
  <si>
    <t>TIME WARP</t>
  </si>
  <si>
    <t>TWSP</t>
  </si>
  <si>
    <t>TIPSY</t>
  </si>
  <si>
    <t>Belfair</t>
  </si>
  <si>
    <t>TITAN</t>
  </si>
  <si>
    <t>T51</t>
  </si>
  <si>
    <t>T-51 Mustang</t>
  </si>
  <si>
    <t>Tornado SS</t>
  </si>
  <si>
    <t>TRDO</t>
  </si>
  <si>
    <t>TL ULTRALIGHT</t>
  </si>
  <si>
    <t>Sting</t>
  </si>
  <si>
    <t>TL20</t>
  </si>
  <si>
    <t>StingSport</t>
  </si>
  <si>
    <t>TL-2000  Sting</t>
  </si>
  <si>
    <t>TL-2000 StingSport</t>
  </si>
  <si>
    <t>Stream</t>
  </si>
  <si>
    <t>STRE</t>
  </si>
  <si>
    <t>TL-3000 Sirius</t>
  </si>
  <si>
    <t>TL30</t>
  </si>
  <si>
    <t>TL-96 Star</t>
  </si>
  <si>
    <t>TL-96 StarSport</t>
  </si>
  <si>
    <t>TL-96 Sting</t>
  </si>
  <si>
    <t>Star</t>
  </si>
  <si>
    <t>StarSport</t>
  </si>
  <si>
    <t>TM AIRCRAFT</t>
  </si>
  <si>
    <t>TM-5</t>
  </si>
  <si>
    <t>TM5</t>
  </si>
  <si>
    <t>TMM-AVIA</t>
  </si>
  <si>
    <t>Avia-Tor</t>
  </si>
  <si>
    <t>T10</t>
  </si>
  <si>
    <t>T-10 Avia-Tor</t>
  </si>
  <si>
    <t>TOMARK</t>
  </si>
  <si>
    <t>SD-4 Viper</t>
  </si>
  <si>
    <t>SD4</t>
  </si>
  <si>
    <t>TOYOTA</t>
  </si>
  <si>
    <t>TRADEWIND TURBINES</t>
  </si>
  <si>
    <t>36 Prop-Jet Bonanza</t>
  </si>
  <si>
    <t>Prop-Jet Bonanza</t>
  </si>
  <si>
    <t>TRAGO MILLS</t>
  </si>
  <si>
    <t>SAH-1</t>
  </si>
  <si>
    <t>TRANSALL</t>
  </si>
  <si>
    <t>C-160</t>
  </si>
  <si>
    <t>C160</t>
  </si>
  <si>
    <t>TRANSAVIA</t>
  </si>
  <si>
    <t>PL-12 Skyfarmer</t>
  </si>
  <si>
    <t>Skyfarmer</t>
  </si>
  <si>
    <t>TRAVEL AIR</t>
  </si>
  <si>
    <t>TVL4</t>
  </si>
  <si>
    <t>TRECKER</t>
  </si>
  <si>
    <t>Gull</t>
  </si>
  <si>
    <t>TRI-R</t>
  </si>
  <si>
    <t>KIS TD</t>
  </si>
  <si>
    <t>KIS TR-1</t>
  </si>
  <si>
    <t>KIS TR-4 Cruiser</t>
  </si>
  <si>
    <t>TRIDAIR</t>
  </si>
  <si>
    <t>206L-ST Gemini ST</t>
  </si>
  <si>
    <t>Gemini ST</t>
  </si>
  <si>
    <t>TRIDENT</t>
  </si>
  <si>
    <t>TR-1 Trigull</t>
  </si>
  <si>
    <t>TR1</t>
  </si>
  <si>
    <t>Trigull</t>
  </si>
  <si>
    <t>TRIKE ICAROS</t>
  </si>
  <si>
    <t>TIAD</t>
  </si>
  <si>
    <t>TUPOLEV</t>
  </si>
  <si>
    <t>Tu-16</t>
  </si>
  <si>
    <t>TU16</t>
  </si>
  <si>
    <t>Tu-20</t>
  </si>
  <si>
    <t>TU95</t>
  </si>
  <si>
    <t>Tu-22</t>
  </si>
  <si>
    <t>TU22</t>
  </si>
  <si>
    <t>Tu-22M</t>
  </si>
  <si>
    <t>T22M</t>
  </si>
  <si>
    <t>Tu-95</t>
  </si>
  <si>
    <t>Tu-134</t>
  </si>
  <si>
    <t>T134</t>
  </si>
  <si>
    <t>Tu-142</t>
  </si>
  <si>
    <t>Tu-154</t>
  </si>
  <si>
    <t>T154</t>
  </si>
  <si>
    <t>Tu-160</t>
  </si>
  <si>
    <t>T160</t>
  </si>
  <si>
    <t>Tu-204</t>
  </si>
  <si>
    <t>T204</t>
  </si>
  <si>
    <t>Tu-214</t>
  </si>
  <si>
    <t>Tu-224</t>
  </si>
  <si>
    <t>Tu-234</t>
  </si>
  <si>
    <t>Tu-334</t>
  </si>
  <si>
    <t>T334</t>
  </si>
  <si>
    <t>TURBINE CUBS</t>
  </si>
  <si>
    <t>TURBINE DESIGN</t>
  </si>
  <si>
    <t>TD-2 Tempest</t>
  </si>
  <si>
    <t>TD2</t>
  </si>
  <si>
    <t>Tempest</t>
  </si>
  <si>
    <t>TURNER</t>
  </si>
  <si>
    <t>T-40</t>
  </si>
  <si>
    <t>T40</t>
  </si>
  <si>
    <t>TUSCO</t>
  </si>
  <si>
    <t>TWI</t>
  </si>
  <si>
    <t>Kiwi</t>
  </si>
  <si>
    <t>KIWI</t>
  </si>
  <si>
    <t>TFUN</t>
  </si>
  <si>
    <t>UDET</t>
  </si>
  <si>
    <t>Flamingo Replica</t>
  </si>
  <si>
    <t>UU12</t>
  </si>
  <si>
    <t>U-12 Flamingo Replica</t>
  </si>
  <si>
    <t>UETZ</t>
  </si>
  <si>
    <t>Pelikan</t>
  </si>
  <si>
    <t>PKAN</t>
  </si>
  <si>
    <t>U-2V</t>
  </si>
  <si>
    <t>U-3M Pelikan</t>
  </si>
  <si>
    <t>U-4M Pelikan</t>
  </si>
  <si>
    <t>UFO</t>
  </si>
  <si>
    <t>HeliThruster</t>
  </si>
  <si>
    <t>UFHT</t>
  </si>
  <si>
    <t>UL-JIH</t>
  </si>
  <si>
    <t>ULLMANN</t>
  </si>
  <si>
    <t>ULPA</t>
  </si>
  <si>
    <t>ULTIMATE</t>
  </si>
  <si>
    <t>10 Albertan</t>
  </si>
  <si>
    <t>Albertan</t>
  </si>
  <si>
    <t>ULTRALEICHTBAU</t>
  </si>
  <si>
    <t>ULTRAVIA</t>
  </si>
  <si>
    <t>UMBAUGH</t>
  </si>
  <si>
    <t>UMBRA</t>
  </si>
  <si>
    <t>UNC</t>
  </si>
  <si>
    <t>Ultra Huey</t>
  </si>
  <si>
    <t>UNIKOMTRANSO</t>
  </si>
  <si>
    <t>Don</t>
  </si>
  <si>
    <t>DON</t>
  </si>
  <si>
    <t>UNIS</t>
  </si>
  <si>
    <t>Bongo</t>
  </si>
  <si>
    <t>NA40</t>
  </si>
  <si>
    <t>NA-40 Bongo</t>
  </si>
  <si>
    <t>UNITED CANADA</t>
  </si>
  <si>
    <t>UNITED CONSULTANT</t>
  </si>
  <si>
    <t>Twin Bee</t>
  </si>
  <si>
    <t>TBEE</t>
  </si>
  <si>
    <t>UC-1 Twin Bee</t>
  </si>
  <si>
    <t>UNIVERSAL COMPOSITE</t>
  </si>
  <si>
    <t>Carbon Bird</t>
  </si>
  <si>
    <t>CABI</t>
  </si>
  <si>
    <t>URBAN</t>
  </si>
  <si>
    <t>UFM-11 Lambada</t>
  </si>
  <si>
    <t>USTINOV</t>
  </si>
  <si>
    <t>Adel</t>
  </si>
  <si>
    <t>ADEL</t>
  </si>
  <si>
    <t>UTVA</t>
  </si>
  <si>
    <t>UT60</t>
  </si>
  <si>
    <t>65 Privrednik</t>
  </si>
  <si>
    <t>UT65</t>
  </si>
  <si>
    <t>UT66</t>
  </si>
  <si>
    <t>Lasta</t>
  </si>
  <si>
    <t>LAST</t>
  </si>
  <si>
    <t>Privrednik</t>
  </si>
  <si>
    <t>V-53</t>
  </si>
  <si>
    <t>N-63 Lasta</t>
  </si>
  <si>
    <t>VALENTIN</t>
  </si>
  <si>
    <t>VALLADEAU</t>
  </si>
  <si>
    <t>VALMET</t>
  </si>
  <si>
    <t>L-70 Miltrainer</t>
  </si>
  <si>
    <t>L70</t>
  </si>
  <si>
    <t>L-70 Vinka</t>
  </si>
  <si>
    <t>L-90TP Redigo</t>
  </si>
  <si>
    <t>Miltrainer</t>
  </si>
  <si>
    <t>Vinka</t>
  </si>
  <si>
    <t>VALTION</t>
  </si>
  <si>
    <t>Viima</t>
  </si>
  <si>
    <t>VIMA</t>
  </si>
  <si>
    <t>VAN'S</t>
  </si>
  <si>
    <t>RV-14</t>
  </si>
  <si>
    <t>RV14</t>
  </si>
  <si>
    <t>RV-3</t>
  </si>
  <si>
    <t>RV3</t>
  </si>
  <si>
    <t>RV-4</t>
  </si>
  <si>
    <t>RV4</t>
  </si>
  <si>
    <t>RV-4T</t>
  </si>
  <si>
    <t>RV4T</t>
  </si>
  <si>
    <t>RV-6</t>
  </si>
  <si>
    <t>RV-7</t>
  </si>
  <si>
    <t>RV7</t>
  </si>
  <si>
    <t>RV-8</t>
  </si>
  <si>
    <t>RV8</t>
  </si>
  <si>
    <t>RV-9</t>
  </si>
  <si>
    <t>RV9</t>
  </si>
  <si>
    <t>RV-10</t>
  </si>
  <si>
    <t>RV10</t>
  </si>
  <si>
    <t>RV-12</t>
  </si>
  <si>
    <t>RV12</t>
  </si>
  <si>
    <t>VANESSA AIR</t>
  </si>
  <si>
    <t>VARDAX</t>
  </si>
  <si>
    <t>Vazar Dash 3</t>
  </si>
  <si>
    <t>VARGA</t>
  </si>
  <si>
    <t>2150 Kachina</t>
  </si>
  <si>
    <t>Kachina</t>
  </si>
  <si>
    <t>VASHON</t>
  </si>
  <si>
    <t>Ranger R7</t>
  </si>
  <si>
    <t>VR7</t>
  </si>
  <si>
    <t>VAT</t>
  </si>
  <si>
    <t>VEB</t>
  </si>
  <si>
    <t>VELOCITY</t>
  </si>
  <si>
    <t>Rocket Racer</t>
  </si>
  <si>
    <t>ROAR</t>
  </si>
  <si>
    <t>Velocity 173</t>
  </si>
  <si>
    <t>VELO</t>
  </si>
  <si>
    <t>Velocity LW</t>
  </si>
  <si>
    <t>Velocity SE</t>
  </si>
  <si>
    <t>Velocity XL</t>
  </si>
  <si>
    <t>Velocity TXL</t>
  </si>
  <si>
    <t>Velocity V-Twin</t>
  </si>
  <si>
    <t>VELT</t>
  </si>
  <si>
    <t>VENTURE</t>
  </si>
  <si>
    <t>VERHEES</t>
  </si>
  <si>
    <t>D-1 Delta</t>
  </si>
  <si>
    <t>DTA1</t>
  </si>
  <si>
    <t>Delta (D-1)</t>
  </si>
  <si>
    <t>D-2 Delta</t>
  </si>
  <si>
    <t>DTA2</t>
  </si>
  <si>
    <t>Delta (D-2)</t>
  </si>
  <si>
    <t>VERILITE</t>
  </si>
  <si>
    <t>100 Sunbird</t>
  </si>
  <si>
    <t>SUNB</t>
  </si>
  <si>
    <t>Sunbird</t>
  </si>
  <si>
    <t>VERTOL</t>
  </si>
  <si>
    <t>42 Work Horse</t>
  </si>
  <si>
    <t>H21</t>
  </si>
  <si>
    <t>CH-21 Work horse</t>
  </si>
  <si>
    <t>Work Horse</t>
  </si>
  <si>
    <t>VFW</t>
  </si>
  <si>
    <t>VICKERS-SLINGSBY</t>
  </si>
  <si>
    <t>T-61 Venture</t>
  </si>
  <si>
    <t>VICTA</t>
  </si>
  <si>
    <t>Aircruiser</t>
  </si>
  <si>
    <t>ACSR</t>
  </si>
  <si>
    <t>VIDOR</t>
  </si>
  <si>
    <t>VIKING (1)</t>
  </si>
  <si>
    <t>VIKING (2)</t>
  </si>
  <si>
    <t>VIKING (3)</t>
  </si>
  <si>
    <t>VIPER</t>
  </si>
  <si>
    <t>ViperJet</t>
  </si>
  <si>
    <t>VIPJ</t>
  </si>
  <si>
    <t>VISIONAIRE</t>
  </si>
  <si>
    <t>VA-10 Vantage</t>
  </si>
  <si>
    <t>VANT</t>
  </si>
  <si>
    <t>Vantage</t>
  </si>
  <si>
    <t>VITEK</t>
  </si>
  <si>
    <t>Ovod</t>
  </si>
  <si>
    <t>OVOD</t>
  </si>
  <si>
    <t>VOL MEDITERRANI</t>
  </si>
  <si>
    <t>Esqual</t>
  </si>
  <si>
    <t>VM1</t>
  </si>
  <si>
    <t>VM-1 Esqual</t>
  </si>
  <si>
    <t>VOLAIRCRAFT</t>
  </si>
  <si>
    <t>Volaire 10</t>
  </si>
  <si>
    <t>Volaire 1035</t>
  </si>
  <si>
    <t>Volaire 1050</t>
  </si>
  <si>
    <t>VOLANTE</t>
  </si>
  <si>
    <t>Volante Two</t>
  </si>
  <si>
    <t>VOL2</t>
  </si>
  <si>
    <t>VOLMER</t>
  </si>
  <si>
    <t>VJ22</t>
  </si>
  <si>
    <t>VJ-22 Sportsman</t>
  </si>
  <si>
    <t>VOLPAR</t>
  </si>
  <si>
    <t>Century Jetstream 3</t>
  </si>
  <si>
    <t>Turbo 18</t>
  </si>
  <si>
    <t>Turboliner</t>
  </si>
  <si>
    <t>VOUGHT</t>
  </si>
  <si>
    <t>Panther 800</t>
  </si>
  <si>
    <t>SA-366 Panther 800</t>
  </si>
  <si>
    <t>VOUGHT-SIKORSKY</t>
  </si>
  <si>
    <t>VSR</t>
  </si>
  <si>
    <t>Snoshoo</t>
  </si>
  <si>
    <t>SNOS</t>
  </si>
  <si>
    <t>SR-1 Snoshoo</t>
  </si>
  <si>
    <t>VSTOL</t>
  </si>
  <si>
    <t>Pairadigm</t>
  </si>
  <si>
    <t>PDIG</t>
  </si>
  <si>
    <t>SS-2000 Super Solution</t>
  </si>
  <si>
    <t>SUSO</t>
  </si>
  <si>
    <t>SST-2000 Pairadigm</t>
  </si>
  <si>
    <t>Super Solution</t>
  </si>
  <si>
    <t>VTOL AIRCRAFT</t>
  </si>
  <si>
    <t>Phillicopter</t>
  </si>
  <si>
    <t>PHIL</t>
  </si>
  <si>
    <t>VULCANAIR</t>
  </si>
  <si>
    <t>Mission</t>
  </si>
  <si>
    <t>VF60</t>
  </si>
  <si>
    <t>VF-600 Mission</t>
  </si>
  <si>
    <t>AP-68TP-600 A-Viator</t>
  </si>
  <si>
    <t>AP-68TP-601 Marlin</t>
  </si>
  <si>
    <t>P-68 VR</t>
  </si>
  <si>
    <t>A-Viator</t>
  </si>
  <si>
    <t>Marlin</t>
  </si>
  <si>
    <t>VR</t>
  </si>
  <si>
    <t>V-1</t>
  </si>
  <si>
    <t>VULTEE</t>
  </si>
  <si>
    <t>BT-15 Valiant</t>
  </si>
  <si>
    <t>SNV Valiant</t>
  </si>
  <si>
    <t>V-74 Valiant</t>
  </si>
  <si>
    <t>WACO</t>
  </si>
  <si>
    <t>WAC9</t>
  </si>
  <si>
    <t>AGC</t>
  </si>
  <si>
    <t>WACC</t>
  </si>
  <si>
    <t>AQC</t>
  </si>
  <si>
    <t>ARE Aristocrat</t>
  </si>
  <si>
    <t>WACE</t>
  </si>
  <si>
    <t>Aristocrat</t>
  </si>
  <si>
    <t>ASO</t>
  </si>
  <si>
    <t>ATO</t>
  </si>
  <si>
    <t>AVN</t>
  </si>
  <si>
    <t>WACN</t>
  </si>
  <si>
    <t>BSO</t>
  </si>
  <si>
    <t>CJC</t>
  </si>
  <si>
    <t>CPF</t>
  </si>
  <si>
    <t>CRG</t>
  </si>
  <si>
    <t>WACG</t>
  </si>
  <si>
    <t>CSO</t>
  </si>
  <si>
    <t>CTO</t>
  </si>
  <si>
    <t>CUC</t>
  </si>
  <si>
    <t>WACD</t>
  </si>
  <si>
    <t>DJC</t>
  </si>
  <si>
    <t>DQC</t>
  </si>
  <si>
    <t>DSO</t>
  </si>
  <si>
    <t>E (ARE/HRE/SRE) Aristocrat</t>
  </si>
  <si>
    <t>E (GXE)</t>
  </si>
  <si>
    <t>EGC</t>
  </si>
  <si>
    <t>ENF</t>
  </si>
  <si>
    <t>EQC</t>
  </si>
  <si>
    <t>F</t>
  </si>
  <si>
    <t>GXE</t>
  </si>
  <si>
    <t>HRE Aristocrat</t>
  </si>
  <si>
    <t>IBA</t>
  </si>
  <si>
    <t>WACA</t>
  </si>
  <si>
    <t>INF</t>
  </si>
  <si>
    <t>JWM</t>
  </si>
  <si>
    <t>WACM</t>
  </si>
  <si>
    <t>JYM</t>
  </si>
  <si>
    <t>KNF</t>
  </si>
  <si>
    <t>O</t>
  </si>
  <si>
    <t>PBA</t>
  </si>
  <si>
    <t>PBF</t>
  </si>
  <si>
    <t>PCF</t>
  </si>
  <si>
    <t>PLA</t>
  </si>
  <si>
    <t>PSO</t>
  </si>
  <si>
    <t>QCF</t>
  </si>
  <si>
    <t>QDC</t>
  </si>
  <si>
    <t>QSO</t>
  </si>
  <si>
    <t>RBA</t>
  </si>
  <si>
    <t>RNF</t>
  </si>
  <si>
    <t>RPT</t>
  </si>
  <si>
    <t>WACT</t>
  </si>
  <si>
    <t>S</t>
  </si>
  <si>
    <t>S3HD</t>
  </si>
  <si>
    <t>SRE Aristocrat</t>
  </si>
  <si>
    <t>UBA</t>
  </si>
  <si>
    <t>UBF</t>
  </si>
  <si>
    <t>UEC</t>
  </si>
  <si>
    <t>UIC</t>
  </si>
  <si>
    <t>UKC</t>
  </si>
  <si>
    <t>UKS</t>
  </si>
  <si>
    <t>ULA</t>
  </si>
  <si>
    <t>UMF</t>
  </si>
  <si>
    <t>UPF</t>
  </si>
  <si>
    <t>VKS</t>
  </si>
  <si>
    <t>VPF</t>
  </si>
  <si>
    <t>YKC</t>
  </si>
  <si>
    <t>YKS</t>
  </si>
  <si>
    <t>YMF</t>
  </si>
  <si>
    <t>YOC</t>
  </si>
  <si>
    <t>YPF</t>
  </si>
  <si>
    <t>YQC</t>
  </si>
  <si>
    <t>ZGC</t>
  </si>
  <si>
    <t>ZKS</t>
  </si>
  <si>
    <t>ZPF</t>
  </si>
  <si>
    <t>ZQC</t>
  </si>
  <si>
    <t>ZVN</t>
  </si>
  <si>
    <t>WACO CLASSIC</t>
  </si>
  <si>
    <t>2T-1</t>
  </si>
  <si>
    <t>WACO OHIO</t>
  </si>
  <si>
    <t>WAGAERO</t>
  </si>
  <si>
    <t>2+2 Sportsman</t>
  </si>
  <si>
    <t>Cuby Acro Trainer</t>
  </si>
  <si>
    <t>Cuby Observer</t>
  </si>
  <si>
    <t>Cuby Sport Trainer</t>
  </si>
  <si>
    <t>Super Cuby</t>
  </si>
  <si>
    <t>Super Sport</t>
  </si>
  <si>
    <t>Wag-a-Bond</t>
  </si>
  <si>
    <t>WALLERKOWSKI</t>
  </si>
  <si>
    <t>Hornisse</t>
  </si>
  <si>
    <t>HORN</t>
  </si>
  <si>
    <t>WAR</t>
  </si>
  <si>
    <t>Curtiss P-40 Kittyhawk</t>
  </si>
  <si>
    <t>WP40</t>
  </si>
  <si>
    <t>Focke-Wulf 190</t>
  </si>
  <si>
    <t>WFOC</t>
  </si>
  <si>
    <t>Hawker Sea Fury</t>
  </si>
  <si>
    <t>WFUR</t>
  </si>
  <si>
    <t>Mitsubishi Zero</t>
  </si>
  <si>
    <t>WZER</t>
  </si>
  <si>
    <t>Republic P-47 Thunderbolt</t>
  </si>
  <si>
    <t>WP47</t>
  </si>
  <si>
    <t>Vought F4U Corsair</t>
  </si>
  <si>
    <t>WF4U</t>
  </si>
  <si>
    <t>WARNER (1)</t>
  </si>
  <si>
    <t>Super Kingfisher</t>
  </si>
  <si>
    <t>W-1 Super Kingfisher</t>
  </si>
  <si>
    <t>WARNER (2)</t>
  </si>
  <si>
    <t>Revolution 1</t>
  </si>
  <si>
    <t>Revolution 2</t>
  </si>
  <si>
    <t>WASSMER</t>
  </si>
  <si>
    <t>WA50</t>
  </si>
  <si>
    <t>Baladou</t>
  </si>
  <si>
    <t>WA41</t>
  </si>
  <si>
    <t>D-120 Paris-Nice</t>
  </si>
  <si>
    <t>Pacific</t>
  </si>
  <si>
    <t>Paris-Nice</t>
  </si>
  <si>
    <t>WA80</t>
  </si>
  <si>
    <t>Prestige</t>
  </si>
  <si>
    <t>WA42</t>
  </si>
  <si>
    <t>Super 4</t>
  </si>
  <si>
    <t>WA40</t>
  </si>
  <si>
    <t>WA-40 Super 4</t>
  </si>
  <si>
    <t>WA-41 Baladou</t>
  </si>
  <si>
    <t>WA-51 Pacific</t>
  </si>
  <si>
    <t>WA-52 Europa</t>
  </si>
  <si>
    <t>WA-54 Atlantic</t>
  </si>
  <si>
    <t>WA-80 Piranha</t>
  </si>
  <si>
    <t>WA-81 Piranha</t>
  </si>
  <si>
    <t>WA-421 Prestige</t>
  </si>
  <si>
    <t>WATSON</t>
  </si>
  <si>
    <t>GW-1 Windwagon</t>
  </si>
  <si>
    <t>WIND</t>
  </si>
  <si>
    <t>Windwagon</t>
  </si>
  <si>
    <t>WEATHERLY</t>
  </si>
  <si>
    <t>W201</t>
  </si>
  <si>
    <t>620B</t>
  </si>
  <si>
    <t>620BTG</t>
  </si>
  <si>
    <t>W62T</t>
  </si>
  <si>
    <t>620TP</t>
  </si>
  <si>
    <t>WENDT</t>
  </si>
  <si>
    <t>WH1</t>
  </si>
  <si>
    <t>WH-1 Traveler</t>
  </si>
  <si>
    <t>WESTERN</t>
  </si>
  <si>
    <t>Hirondelle</t>
  </si>
  <si>
    <t>PGK1</t>
  </si>
  <si>
    <t>PGK-1 Hirondelle</t>
  </si>
  <si>
    <t>WESTLAND</t>
  </si>
  <si>
    <t>WG30</t>
  </si>
  <si>
    <t>AH-11 Super Lynx</t>
  </si>
  <si>
    <t>Battlefield Lynx</t>
  </si>
  <si>
    <t>WAH-64 Apache</t>
  </si>
  <si>
    <t>SCOU</t>
  </si>
  <si>
    <t>WASP</t>
  </si>
  <si>
    <t>Wessex</t>
  </si>
  <si>
    <t>WESX</t>
  </si>
  <si>
    <t>WG-13 Battlefield Lynx</t>
  </si>
  <si>
    <t>WG-13 Lynx</t>
  </si>
  <si>
    <t>WG-30</t>
  </si>
  <si>
    <t>Whirlwind 3</t>
  </si>
  <si>
    <t>WS-55 Whirlwind 3</t>
  </si>
  <si>
    <t>WS-58 Wessex</t>
  </si>
  <si>
    <t>WS-61 Commando</t>
  </si>
  <si>
    <t>WS-61 Sea King</t>
  </si>
  <si>
    <t>WS-70</t>
  </si>
  <si>
    <t>WET AERO</t>
  </si>
  <si>
    <t>M-6</t>
  </si>
  <si>
    <t>WHATLEY</t>
  </si>
  <si>
    <t>WHAT</t>
  </si>
  <si>
    <t>WHEELER</t>
  </si>
  <si>
    <t>WHISPER</t>
  </si>
  <si>
    <t>WISP</t>
  </si>
  <si>
    <t>WHITE</t>
  </si>
  <si>
    <t>Der Jäger D-9</t>
  </si>
  <si>
    <t>WW1</t>
  </si>
  <si>
    <t>WW-1 Der Jäger D-9</t>
  </si>
  <si>
    <t>WHITE LIGHTNING</t>
  </si>
  <si>
    <t>WILDEN</t>
  </si>
  <si>
    <t>VoWi-10</t>
  </si>
  <si>
    <t>WINDECKER</t>
  </si>
  <si>
    <t>WINE</t>
  </si>
  <si>
    <t>WINDEXAIR</t>
  </si>
  <si>
    <t>WING</t>
  </si>
  <si>
    <t>D-1 Derringer</t>
  </si>
  <si>
    <t>Derringer</t>
  </si>
  <si>
    <t>WINGTIP TO WINGTIP</t>
  </si>
  <si>
    <t>WINNER</t>
  </si>
  <si>
    <t>B-150</t>
  </si>
  <si>
    <t>B150</t>
  </si>
  <si>
    <t>WITTMAN</t>
  </si>
  <si>
    <t>W-9 Tailwind</t>
  </si>
  <si>
    <t>W-5 Buttercup</t>
  </si>
  <si>
    <t>Buttercup</t>
  </si>
  <si>
    <t>WOLF</t>
  </si>
  <si>
    <t>Boredom Fighter</t>
  </si>
  <si>
    <t>W11</t>
  </si>
  <si>
    <t>W-11 Boredom Fighter</t>
  </si>
  <si>
    <t>WOLFSBERG</t>
  </si>
  <si>
    <t>Corvus</t>
  </si>
  <si>
    <t>CORV</t>
  </si>
  <si>
    <t>WOODS</t>
  </si>
  <si>
    <t>WORLD AIRCRAFT</t>
  </si>
  <si>
    <t>WA-100 Spirit</t>
  </si>
  <si>
    <t>WA-200 Vision</t>
  </si>
  <si>
    <t>WREN</t>
  </si>
  <si>
    <t>WUHAN</t>
  </si>
  <si>
    <t>WZL 3</t>
  </si>
  <si>
    <t>DEKO-9</t>
  </si>
  <si>
    <t>WÜST</t>
  </si>
  <si>
    <t>WUSH</t>
  </si>
  <si>
    <t>Seagle</t>
  </si>
  <si>
    <t>XIAN</t>
  </si>
  <si>
    <t>FBC-1 Flying Leopard</t>
  </si>
  <si>
    <t>JH7</t>
  </si>
  <si>
    <t>Flying Leopard</t>
  </si>
  <si>
    <t>H-6</t>
  </si>
  <si>
    <t>JH-7</t>
  </si>
  <si>
    <t>MA-60</t>
  </si>
  <si>
    <t>MA60</t>
  </si>
  <si>
    <t>MA-60H</t>
  </si>
  <si>
    <t>MA6H</t>
  </si>
  <si>
    <t>Y-7-100</t>
  </si>
  <si>
    <t>Y-7-200</t>
  </si>
  <si>
    <t>Y-7E</t>
  </si>
  <si>
    <t>Y-7H</t>
  </si>
  <si>
    <t>Y-20 Kunpeng</t>
  </si>
  <si>
    <t>Y20</t>
  </si>
  <si>
    <t>Kunpeng</t>
  </si>
  <si>
    <t>XTREMEAIR</t>
  </si>
  <si>
    <t>Sbach 342</t>
  </si>
  <si>
    <t>Sbach 300</t>
  </si>
  <si>
    <t>XA41</t>
  </si>
  <si>
    <t>Xtreme 3000</t>
  </si>
  <si>
    <t>XA-41</t>
  </si>
  <si>
    <t>XA-42</t>
  </si>
  <si>
    <t>YAKIMA AEROSPORT</t>
  </si>
  <si>
    <t>Super 18 Turbo Cub</t>
  </si>
  <si>
    <t>Super Breezy</t>
  </si>
  <si>
    <t>YAKOVLEV</t>
  </si>
  <si>
    <t>Yak-3</t>
  </si>
  <si>
    <t>YAK3</t>
  </si>
  <si>
    <t>Yak-9</t>
  </si>
  <si>
    <t>YAK9</t>
  </si>
  <si>
    <t>Yak-11</t>
  </si>
  <si>
    <t>Yak-18</t>
  </si>
  <si>
    <t>Yak-18A</t>
  </si>
  <si>
    <t>Yak-18P</t>
  </si>
  <si>
    <t>Yak-18PM</t>
  </si>
  <si>
    <t>Yak-18PS</t>
  </si>
  <si>
    <t>Yak-18T</t>
  </si>
  <si>
    <t>Yak-18U</t>
  </si>
  <si>
    <t>Yak-28</t>
  </si>
  <si>
    <t>YK28</t>
  </si>
  <si>
    <t>Yak-38</t>
  </si>
  <si>
    <t>YK38</t>
  </si>
  <si>
    <t>Yak-40</t>
  </si>
  <si>
    <t>YK40</t>
  </si>
  <si>
    <t>Yak-42</t>
  </si>
  <si>
    <t>YK42</t>
  </si>
  <si>
    <t>Yak-50</t>
  </si>
  <si>
    <t>YK50</t>
  </si>
  <si>
    <t>Yak-53</t>
  </si>
  <si>
    <t>YK53</t>
  </si>
  <si>
    <t>YK54</t>
  </si>
  <si>
    <t>Yak-55</t>
  </si>
  <si>
    <t>YK55</t>
  </si>
  <si>
    <t>Yak-58</t>
  </si>
  <si>
    <t>YK58</t>
  </si>
  <si>
    <t>Yak-112</t>
  </si>
  <si>
    <t>Y112</t>
  </si>
  <si>
    <t>Yak-130</t>
  </si>
  <si>
    <t>Y130</t>
  </si>
  <si>
    <t>Yak-142</t>
  </si>
  <si>
    <t>Yak-30</t>
  </si>
  <si>
    <t>YK30</t>
  </si>
  <si>
    <t>Yak-32</t>
  </si>
  <si>
    <t>YAKOVLEV AIRCRAFT</t>
  </si>
  <si>
    <t>Bear 360</t>
  </si>
  <si>
    <t>B360</t>
  </si>
  <si>
    <t>YALO</t>
  </si>
  <si>
    <t>GM-01 Gniady</t>
  </si>
  <si>
    <t>GM01</t>
  </si>
  <si>
    <t>Gniady</t>
  </si>
  <si>
    <t>YEOMAN</t>
  </si>
  <si>
    <t>YA-1 Cropmaster</t>
  </si>
  <si>
    <t>YA1</t>
  </si>
  <si>
    <t>Cropmaster</t>
  </si>
  <si>
    <t>ZENAIR</t>
  </si>
  <si>
    <t>Acro-Z</t>
  </si>
  <si>
    <t>CH15</t>
  </si>
  <si>
    <t>Acro-Zénith</t>
  </si>
  <si>
    <t>CH-50 Mini Zénith</t>
  </si>
  <si>
    <t>CH50</t>
  </si>
  <si>
    <t>CH-50 Mini-Z</t>
  </si>
  <si>
    <t>CH-100 Mono-Z</t>
  </si>
  <si>
    <t>CH10</t>
  </si>
  <si>
    <t>CH-100 Mono-Zénith</t>
  </si>
  <si>
    <t>CH-150 Acro-Z</t>
  </si>
  <si>
    <t>CH-150 Acro-Zénith</t>
  </si>
  <si>
    <t>CH-180 Super Acro-Z</t>
  </si>
  <si>
    <t>CH18</t>
  </si>
  <si>
    <t>CH-180 Super Acro-Zénith</t>
  </si>
  <si>
    <t>CH-250 Zénith</t>
  </si>
  <si>
    <t>CH25</t>
  </si>
  <si>
    <t>CH-300 Tri-Z</t>
  </si>
  <si>
    <t>CH30</t>
  </si>
  <si>
    <t>CH-300 Tri-Zénith</t>
  </si>
  <si>
    <t>CH-600 Zodiac</t>
  </si>
  <si>
    <t>CH-601 Super Zodiac</t>
  </si>
  <si>
    <t>CH-620 Gemini</t>
  </si>
  <si>
    <t>CH62</t>
  </si>
  <si>
    <t>CH-640 Zodiac</t>
  </si>
  <si>
    <t>CH64</t>
  </si>
  <si>
    <t>Mini Zénith</t>
  </si>
  <si>
    <t>Mini-Z</t>
  </si>
  <si>
    <t>Mono-Z</t>
  </si>
  <si>
    <t>Mono-Zénith</t>
  </si>
  <si>
    <t>Super Acro-Z</t>
  </si>
  <si>
    <t>Super Acro-Zénith</t>
  </si>
  <si>
    <t>Super Zodiac</t>
  </si>
  <si>
    <t>Tri-Z</t>
  </si>
  <si>
    <t>Tri-Zénith</t>
  </si>
  <si>
    <t>Zénith (CH-200)</t>
  </si>
  <si>
    <t>Zénith (CH-250)</t>
  </si>
  <si>
    <t>Zénith (CH-2000)</t>
  </si>
  <si>
    <t>Zodiac (CH-600/601)</t>
  </si>
  <si>
    <t>Zodiac (CH-640)</t>
  </si>
  <si>
    <t>ZENITH</t>
  </si>
  <si>
    <t>ZIVKO</t>
  </si>
  <si>
    <t>Edge 540</t>
  </si>
  <si>
    <t>EDGE</t>
  </si>
  <si>
    <t>Edge 540A</t>
  </si>
  <si>
    <t>Edge 540 T</t>
  </si>
  <si>
    <t>EDGT</t>
  </si>
  <si>
    <t>ZLIN</t>
  </si>
  <si>
    <t>C-5 Trener</t>
  </si>
  <si>
    <t>C-6</t>
  </si>
  <si>
    <t>C-106</t>
  </si>
  <si>
    <t>C-206</t>
  </si>
  <si>
    <t>Junak</t>
  </si>
  <si>
    <t>Z-22 Junak</t>
  </si>
  <si>
    <t>Z-26 Trener</t>
  </si>
  <si>
    <t>Z-42</t>
  </si>
  <si>
    <t>Z-43</t>
  </si>
  <si>
    <t>Z-50</t>
  </si>
  <si>
    <t>Z-126 Trener 2</t>
  </si>
  <si>
    <t>Z-142</t>
  </si>
  <si>
    <t>Z-143</t>
  </si>
  <si>
    <t>Z-181</t>
  </si>
  <si>
    <t>Z-182</t>
  </si>
  <si>
    <t>Z-183</t>
  </si>
  <si>
    <t>Z-226 Akrobat</t>
  </si>
  <si>
    <t>Z-226 Bohatyr</t>
  </si>
  <si>
    <t>Z-226 Trener 6</t>
  </si>
  <si>
    <t>Z-242</t>
  </si>
  <si>
    <t>Z-326 Akrobat</t>
  </si>
  <si>
    <t>Z-326 Trener Master</t>
  </si>
  <si>
    <t>Z-400 Rhino</t>
  </si>
  <si>
    <t>Z-526 Akrobat</t>
  </si>
  <si>
    <t>Z-526 Condor</t>
  </si>
  <si>
    <t>Z-526 Skydevil</t>
  </si>
  <si>
    <t>Z-526 Trener Master</t>
  </si>
  <si>
    <t>Z-626</t>
  </si>
  <si>
    <t>Z-726 Universal</t>
  </si>
  <si>
    <t>ZLIN AVIATION</t>
  </si>
  <si>
    <t>Aircraft TypeDesignator</t>
  </si>
  <si>
    <t>Class</t>
  </si>
  <si>
    <t>MANUFACTURER, Model</t>
  </si>
  <si>
    <t>J-5 Autocar</t>
  </si>
  <si>
    <t>600</t>
  </si>
  <si>
    <t>400</t>
  </si>
  <si>
    <t>1900</t>
  </si>
  <si>
    <t>230</t>
  </si>
  <si>
    <t>305</t>
  </si>
  <si>
    <t>407</t>
  </si>
  <si>
    <t>412</t>
  </si>
  <si>
    <t>427</t>
  </si>
  <si>
    <t>430</t>
  </si>
  <si>
    <t>720</t>
  </si>
  <si>
    <t>40</t>
  </si>
  <si>
    <t>120</t>
  </si>
  <si>
    <t>140</t>
  </si>
  <si>
    <t>170</t>
  </si>
  <si>
    <t>190</t>
  </si>
  <si>
    <t>195</t>
  </si>
  <si>
    <t>205</t>
  </si>
  <si>
    <t>310</t>
  </si>
  <si>
    <t>335</t>
  </si>
  <si>
    <t>340</t>
  </si>
  <si>
    <t>411</t>
  </si>
  <si>
    <t>228</t>
  </si>
  <si>
    <t>328</t>
  </si>
  <si>
    <t>480</t>
  </si>
  <si>
    <t>100</t>
  </si>
  <si>
    <t>50</t>
  </si>
  <si>
    <t>60</t>
  </si>
  <si>
    <t>70</t>
  </si>
  <si>
    <t>2</t>
  </si>
  <si>
    <t>192</t>
  </si>
  <si>
    <t>500</t>
  </si>
  <si>
    <t>JUN1</t>
  </si>
  <si>
    <t>JUN2</t>
  </si>
  <si>
    <t>250</t>
  </si>
  <si>
    <t>8</t>
  </si>
  <si>
    <t>23</t>
  </si>
  <si>
    <t>24</t>
  </si>
  <si>
    <t>25</t>
  </si>
  <si>
    <t>28</t>
  </si>
  <si>
    <t>31</t>
  </si>
  <si>
    <t>35</t>
  </si>
  <si>
    <t>45</t>
  </si>
  <si>
    <t>55</t>
  </si>
  <si>
    <t>75</t>
  </si>
  <si>
    <t>85</t>
  </si>
  <si>
    <t>2000</t>
  </si>
  <si>
    <t>200</t>
  </si>
  <si>
    <t>404</t>
  </si>
  <si>
    <t>90</t>
  </si>
  <si>
    <t>1</t>
  </si>
  <si>
    <t>3202</t>
  </si>
  <si>
    <t>3400</t>
  </si>
  <si>
    <t>10</t>
  </si>
  <si>
    <t>107</t>
  </si>
  <si>
    <t>105</t>
  </si>
  <si>
    <t>29</t>
  </si>
  <si>
    <t>101</t>
  </si>
  <si>
    <t>330</t>
  </si>
  <si>
    <t>360</t>
  </si>
  <si>
    <t>540</t>
  </si>
  <si>
    <t>4000</t>
  </si>
  <si>
    <t>20</t>
  </si>
  <si>
    <t>18</t>
  </si>
  <si>
    <t>66</t>
  </si>
  <si>
    <t>201</t>
  </si>
  <si>
    <t>9</t>
  </si>
  <si>
    <t>Number+Engine Type</t>
  </si>
  <si>
    <t>BALL</t>
  </si>
  <si>
    <t>GLID</t>
  </si>
  <si>
    <t>GYRO</t>
  </si>
  <si>
    <t>PARA</t>
  </si>
  <si>
    <t>SHIP</t>
  </si>
  <si>
    <t>UAV</t>
  </si>
  <si>
    <t>UHEL</t>
  </si>
  <si>
    <t>ULAC</t>
  </si>
  <si>
    <t>ZZZZ</t>
  </si>
  <si>
    <t>(any manufacturer)</t>
  </si>
  <si>
    <t>Balloon</t>
  </si>
  <si>
    <t>Glider</t>
  </si>
  <si>
    <t>Paraglider</t>
  </si>
  <si>
    <t>Airship</t>
  </si>
  <si>
    <t>Un-manned aerial vehicle</t>
  </si>
  <si>
    <t>Ultralight helicopter</t>
  </si>
  <si>
    <t>Ultralight aircraft</t>
  </si>
  <si>
    <t>Aircraft type not (yet) assigned a designator</t>
  </si>
  <si>
    <t>DRON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</si>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</sst>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d"/>
  </numFmts>
  <fonts count="4" x14ac:knownFonts="1"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3" borderId="0" xfId="0" applyFont="1" applyFill="1"/>
    <xf numFmtId="0" fontId="2" fillId="0" borderId="0" xfId="0" applyFont="1"/>
    <xf numFmtId="0" fontId="2" fillId="0" borderId="0" xfId="0" applyFont="1" applyFill="1"/>
    <xf numFmtId="0" fontId="0" fillId="0" borderId="0" xfId="0" applyFont="1" applyFill="1" applyAlignment="1"/>
    <xf numFmtId="0" fontId="2" fillId="4" borderId="0" xfId="0" applyFont="1" applyFill="1"/>
    <xf numFmtId="0" fontId="0" fillId="4" borderId="0" xfId="0" applyFont="1" applyFill="1" applyAlignment="1"/>
    <xf numFmtId="0" fontId="0" fillId="0" borderId="0" xfId="0"/>
    <xf numFmtId="0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324"/>
  <sheetViews>
    <sheetView workbookViewId="0">
      <selection activeCell="K12" sqref="K12"/>
    </sheetView>
  </sheetViews>
  <sheetFormatPr defaultColWidth="14.42578125" defaultRowHeight="15.75" customHeight="1" x14ac:dyDescent="0.2"/>
  <cols>
    <col min="2" max="2" width="20.57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</v>
      </c>
      <c r="G2" s="2" t="s">
        <v>12</v>
      </c>
    </row>
    <row r="3" spans="1:7" x14ac:dyDescent="0.2">
      <c r="A3" s="2" t="s">
        <v>13</v>
      </c>
      <c r="B3" s="2" t="s">
        <v>14</v>
      </c>
      <c r="C3" s="2" t="s">
        <v>15</v>
      </c>
      <c r="D3" s="2" t="s">
        <v>10</v>
      </c>
      <c r="E3" s="2" t="s">
        <v>16</v>
      </c>
      <c r="F3" s="2">
        <v>1</v>
      </c>
      <c r="G3" s="2" t="s">
        <v>17</v>
      </c>
    </row>
    <row r="4" spans="1:7" x14ac:dyDescent="0.2">
      <c r="A4" s="2" t="s">
        <v>13</v>
      </c>
      <c r="B4" s="2" t="s">
        <v>18</v>
      </c>
      <c r="C4" s="2" t="s">
        <v>15</v>
      </c>
      <c r="D4" s="2" t="s">
        <v>10</v>
      </c>
      <c r="E4" s="2" t="s">
        <v>16</v>
      </c>
      <c r="F4" s="2">
        <v>1</v>
      </c>
      <c r="G4" s="2" t="s">
        <v>17</v>
      </c>
    </row>
    <row r="5" spans="1:7" x14ac:dyDescent="0.2">
      <c r="A5" s="2" t="s">
        <v>13</v>
      </c>
      <c r="B5" s="2" t="s">
        <v>19</v>
      </c>
      <c r="C5" s="2" t="s">
        <v>20</v>
      </c>
      <c r="D5" s="2" t="s">
        <v>10</v>
      </c>
      <c r="E5" s="2" t="s">
        <v>16</v>
      </c>
      <c r="F5" s="2">
        <v>1</v>
      </c>
      <c r="G5" s="2" t="s">
        <v>17</v>
      </c>
    </row>
    <row r="6" spans="1:7" x14ac:dyDescent="0.2">
      <c r="A6" s="2" t="s">
        <v>13</v>
      </c>
      <c r="B6" s="2" t="s">
        <v>21</v>
      </c>
      <c r="C6" s="2" t="s">
        <v>20</v>
      </c>
      <c r="D6" s="2" t="s">
        <v>10</v>
      </c>
      <c r="E6" s="2" t="s">
        <v>16</v>
      </c>
      <c r="F6" s="2">
        <v>1</v>
      </c>
      <c r="G6" s="2" t="s">
        <v>17</v>
      </c>
    </row>
    <row r="7" spans="1:7" x14ac:dyDescent="0.2">
      <c r="A7" s="2" t="s">
        <v>13</v>
      </c>
      <c r="B7" s="2" t="s">
        <v>22</v>
      </c>
      <c r="C7" s="2" t="s">
        <v>15</v>
      </c>
      <c r="D7" s="2" t="s">
        <v>10</v>
      </c>
      <c r="E7" s="2" t="s">
        <v>16</v>
      </c>
      <c r="F7" s="2">
        <v>1</v>
      </c>
      <c r="G7" s="2" t="s">
        <v>17</v>
      </c>
    </row>
    <row r="8" spans="1:7" x14ac:dyDescent="0.2">
      <c r="A8" s="2" t="s">
        <v>13</v>
      </c>
      <c r="B8" s="2" t="s">
        <v>23</v>
      </c>
      <c r="C8" s="2" t="s">
        <v>20</v>
      </c>
      <c r="D8" s="2" t="s">
        <v>10</v>
      </c>
      <c r="E8" s="2" t="s">
        <v>16</v>
      </c>
      <c r="F8" s="2">
        <v>1</v>
      </c>
      <c r="G8" s="2" t="s">
        <v>17</v>
      </c>
    </row>
    <row r="9" spans="1:7" x14ac:dyDescent="0.2">
      <c r="A9" s="2" t="s">
        <v>13</v>
      </c>
      <c r="B9" s="2" t="s">
        <v>24</v>
      </c>
      <c r="C9" s="2" t="s">
        <v>20</v>
      </c>
      <c r="D9" s="2" t="s">
        <v>10</v>
      </c>
      <c r="E9" s="2" t="s">
        <v>16</v>
      </c>
      <c r="F9" s="2">
        <v>1</v>
      </c>
      <c r="G9" s="2" t="s">
        <v>17</v>
      </c>
    </row>
    <row r="10" spans="1:7" x14ac:dyDescent="0.2">
      <c r="A10" s="2" t="s">
        <v>13</v>
      </c>
      <c r="B10" s="2" t="s">
        <v>25</v>
      </c>
      <c r="C10" s="2" t="s">
        <v>20</v>
      </c>
      <c r="D10" s="2" t="s">
        <v>10</v>
      </c>
      <c r="E10" s="2" t="s">
        <v>16</v>
      </c>
      <c r="F10" s="2">
        <v>1</v>
      </c>
      <c r="G10" s="2" t="s">
        <v>17</v>
      </c>
    </row>
    <row r="11" spans="1:7" x14ac:dyDescent="0.2">
      <c r="A11" s="2" t="s">
        <v>26</v>
      </c>
      <c r="B11" s="2" t="s">
        <v>27</v>
      </c>
      <c r="C11" s="2" t="s">
        <v>28</v>
      </c>
      <c r="D11" s="2" t="s">
        <v>29</v>
      </c>
      <c r="E11" s="2" t="s">
        <v>16</v>
      </c>
      <c r="F11" s="2">
        <v>2</v>
      </c>
      <c r="G11" s="2" t="s">
        <v>17</v>
      </c>
    </row>
    <row r="12" spans="1:7" x14ac:dyDescent="0.2">
      <c r="A12" s="2" t="s">
        <v>30</v>
      </c>
      <c r="B12" s="2" t="s">
        <v>31</v>
      </c>
      <c r="C12" s="2" t="s">
        <v>32</v>
      </c>
      <c r="D12" s="2" t="s">
        <v>10</v>
      </c>
      <c r="E12" s="2" t="s">
        <v>16</v>
      </c>
      <c r="F12" s="2">
        <v>1</v>
      </c>
      <c r="G12" s="2" t="s">
        <v>17</v>
      </c>
    </row>
    <row r="13" spans="1:7" x14ac:dyDescent="0.2">
      <c r="A13" s="2" t="s">
        <v>33</v>
      </c>
      <c r="B13" s="2" t="s">
        <v>34</v>
      </c>
      <c r="C13" s="2" t="s">
        <v>35</v>
      </c>
      <c r="D13" s="2" t="s">
        <v>29</v>
      </c>
      <c r="E13" s="2" t="s">
        <v>16</v>
      </c>
      <c r="F13" s="2">
        <v>1</v>
      </c>
      <c r="G13" s="2" t="s">
        <v>17</v>
      </c>
    </row>
    <row r="14" spans="1:7" x14ac:dyDescent="0.2">
      <c r="A14" s="2" t="s">
        <v>36</v>
      </c>
      <c r="B14" s="2" t="s">
        <v>37</v>
      </c>
      <c r="C14" s="2" t="s">
        <v>38</v>
      </c>
      <c r="D14" s="2" t="s">
        <v>10</v>
      </c>
      <c r="E14" s="2" t="s">
        <v>16</v>
      </c>
      <c r="F14" s="2">
        <v>1</v>
      </c>
      <c r="G14" s="2" t="s">
        <v>17</v>
      </c>
    </row>
    <row r="15" spans="1:7" x14ac:dyDescent="0.2">
      <c r="A15" s="2" t="s">
        <v>36</v>
      </c>
      <c r="B15" s="2" t="s">
        <v>39</v>
      </c>
      <c r="C15" s="2" t="s">
        <v>40</v>
      </c>
      <c r="D15" s="2" t="s">
        <v>10</v>
      </c>
      <c r="E15" s="2" t="s">
        <v>16</v>
      </c>
      <c r="F15" s="2">
        <v>1</v>
      </c>
      <c r="G15" s="2" t="s">
        <v>17</v>
      </c>
    </row>
    <row r="16" spans="1:7" x14ac:dyDescent="0.2">
      <c r="A16" s="2" t="s">
        <v>36</v>
      </c>
      <c r="B16" s="2" t="s">
        <v>41</v>
      </c>
      <c r="C16" s="2" t="s">
        <v>42</v>
      </c>
      <c r="D16" s="2" t="s">
        <v>10</v>
      </c>
      <c r="E16" s="2" t="s">
        <v>16</v>
      </c>
      <c r="F16" s="2">
        <v>1</v>
      </c>
      <c r="G16" s="2" t="s">
        <v>17</v>
      </c>
    </row>
    <row r="17" spans="1:7" x14ac:dyDescent="0.2">
      <c r="A17" s="2" t="s">
        <v>36</v>
      </c>
      <c r="B17" s="2" t="s">
        <v>43</v>
      </c>
      <c r="C17" s="2" t="s">
        <v>44</v>
      </c>
      <c r="D17" s="2" t="s">
        <v>10</v>
      </c>
      <c r="E17" s="2" t="s">
        <v>16</v>
      </c>
      <c r="F17" s="2">
        <v>1</v>
      </c>
      <c r="G17" s="2" t="s">
        <v>17</v>
      </c>
    </row>
    <row r="18" spans="1:7" x14ac:dyDescent="0.2">
      <c r="A18" s="2" t="s">
        <v>45</v>
      </c>
      <c r="B18" s="2" t="s">
        <v>46</v>
      </c>
      <c r="C18" s="2" t="s">
        <v>47</v>
      </c>
      <c r="D18" s="2" t="s">
        <v>10</v>
      </c>
      <c r="E18" s="2" t="s">
        <v>16</v>
      </c>
      <c r="F18" s="2">
        <v>1</v>
      </c>
      <c r="G18" s="2" t="s">
        <v>17</v>
      </c>
    </row>
    <row r="19" spans="1:7" x14ac:dyDescent="0.2">
      <c r="A19" s="2" t="s">
        <v>45</v>
      </c>
      <c r="B19" s="2" t="s">
        <v>48</v>
      </c>
      <c r="C19" s="2" t="s">
        <v>47</v>
      </c>
      <c r="D19" s="2" t="s">
        <v>10</v>
      </c>
      <c r="E19" s="2" t="s">
        <v>16</v>
      </c>
      <c r="F19" s="2">
        <v>1</v>
      </c>
      <c r="G19" s="2" t="s">
        <v>17</v>
      </c>
    </row>
    <row r="20" spans="1:7" x14ac:dyDescent="0.2">
      <c r="A20" s="2" t="s">
        <v>49</v>
      </c>
      <c r="B20" s="2" t="s">
        <v>50</v>
      </c>
      <c r="C20" s="2" t="s">
        <v>51</v>
      </c>
      <c r="D20" s="2" t="s">
        <v>10</v>
      </c>
      <c r="E20" s="2" t="s">
        <v>52</v>
      </c>
      <c r="F20" s="2">
        <v>1</v>
      </c>
      <c r="G20" s="2" t="s">
        <v>17</v>
      </c>
    </row>
    <row r="21" spans="1:7" x14ac:dyDescent="0.2">
      <c r="A21" s="2" t="s">
        <v>53</v>
      </c>
      <c r="B21" s="2" t="s">
        <v>54</v>
      </c>
      <c r="C21" s="2" t="s">
        <v>55</v>
      </c>
      <c r="D21" s="2" t="s">
        <v>56</v>
      </c>
      <c r="E21" s="2" t="s">
        <v>52</v>
      </c>
      <c r="F21" s="2">
        <v>1</v>
      </c>
      <c r="G21" s="2" t="s">
        <v>17</v>
      </c>
    </row>
    <row r="22" spans="1:7" x14ac:dyDescent="0.2">
      <c r="A22" s="2" t="s">
        <v>53</v>
      </c>
      <c r="B22" s="2" t="s">
        <v>57</v>
      </c>
      <c r="C22" s="2" t="s">
        <v>55</v>
      </c>
      <c r="D22" s="2" t="s">
        <v>56</v>
      </c>
      <c r="E22" s="2" t="s">
        <v>52</v>
      </c>
      <c r="F22" s="2">
        <v>1</v>
      </c>
      <c r="G22" s="2" t="s">
        <v>17</v>
      </c>
    </row>
    <row r="23" spans="1:7" x14ac:dyDescent="0.2">
      <c r="A23" s="2" t="s">
        <v>58</v>
      </c>
      <c r="B23" s="2" t="s">
        <v>59</v>
      </c>
      <c r="C23" s="2" t="s">
        <v>60</v>
      </c>
      <c r="D23" s="2" t="s">
        <v>10</v>
      </c>
      <c r="E23" s="2" t="s">
        <v>16</v>
      </c>
      <c r="F23" s="2">
        <v>1</v>
      </c>
      <c r="G23" s="2" t="s">
        <v>17</v>
      </c>
    </row>
    <row r="24" spans="1:7" x14ac:dyDescent="0.2">
      <c r="A24" s="2" t="s">
        <v>61</v>
      </c>
      <c r="B24" s="2" t="s">
        <v>62</v>
      </c>
      <c r="C24" s="2" t="s">
        <v>63</v>
      </c>
      <c r="D24" s="2" t="s">
        <v>64</v>
      </c>
      <c r="E24" s="2" t="s">
        <v>16</v>
      </c>
      <c r="F24" s="2">
        <v>1</v>
      </c>
      <c r="G24" s="2" t="s">
        <v>17</v>
      </c>
    </row>
    <row r="25" spans="1:7" x14ac:dyDescent="0.2">
      <c r="A25" s="2" t="s">
        <v>65</v>
      </c>
      <c r="B25" s="2" t="s">
        <v>66</v>
      </c>
      <c r="C25" s="2" t="s">
        <v>67</v>
      </c>
      <c r="D25" s="2" t="s">
        <v>10</v>
      </c>
      <c r="E25" s="2" t="s">
        <v>16</v>
      </c>
      <c r="F25" s="2">
        <v>1</v>
      </c>
      <c r="G25" s="2" t="s">
        <v>17</v>
      </c>
    </row>
    <row r="26" spans="1:7" x14ac:dyDescent="0.2">
      <c r="A26" s="2" t="s">
        <v>65</v>
      </c>
      <c r="B26" s="2" t="s">
        <v>68</v>
      </c>
      <c r="C26" s="2" t="s">
        <v>67</v>
      </c>
      <c r="D26" s="2" t="s">
        <v>10</v>
      </c>
      <c r="E26" s="2" t="s">
        <v>16</v>
      </c>
      <c r="F26" s="2">
        <v>1</v>
      </c>
      <c r="G26" s="2" t="s">
        <v>17</v>
      </c>
    </row>
    <row r="27" spans="1:7" x14ac:dyDescent="0.2">
      <c r="A27" s="2" t="s">
        <v>69</v>
      </c>
      <c r="B27" s="2" t="s">
        <v>70</v>
      </c>
      <c r="C27" s="2" t="s">
        <v>71</v>
      </c>
      <c r="D27" s="2" t="s">
        <v>10</v>
      </c>
      <c r="E27" s="2" t="s">
        <v>16</v>
      </c>
      <c r="F27" s="2">
        <v>1</v>
      </c>
      <c r="G27" s="2" t="s">
        <v>17</v>
      </c>
    </row>
    <row r="28" spans="1:7" x14ac:dyDescent="0.2">
      <c r="A28" s="2" t="s">
        <v>69</v>
      </c>
      <c r="B28" s="2" t="s">
        <v>72</v>
      </c>
      <c r="C28" s="2" t="s">
        <v>73</v>
      </c>
      <c r="D28" s="2" t="s">
        <v>10</v>
      </c>
      <c r="E28" s="2" t="s">
        <v>16</v>
      </c>
      <c r="F28" s="2">
        <v>1</v>
      </c>
      <c r="G28" s="2" t="s">
        <v>17</v>
      </c>
    </row>
    <row r="29" spans="1:7" x14ac:dyDescent="0.2">
      <c r="A29" s="2" t="s">
        <v>74</v>
      </c>
      <c r="B29" s="2" t="s">
        <v>75</v>
      </c>
      <c r="C29" s="2" t="s">
        <v>76</v>
      </c>
      <c r="D29" s="2" t="s">
        <v>10</v>
      </c>
      <c r="E29" s="2" t="s">
        <v>16</v>
      </c>
      <c r="F29" s="2">
        <v>1</v>
      </c>
      <c r="G29" s="2" t="s">
        <v>17</v>
      </c>
    </row>
    <row r="30" spans="1:7" x14ac:dyDescent="0.2">
      <c r="A30" s="2" t="s">
        <v>74</v>
      </c>
      <c r="B30" s="2" t="s">
        <v>77</v>
      </c>
      <c r="C30" s="2" t="s">
        <v>76</v>
      </c>
      <c r="D30" s="2" t="s">
        <v>10</v>
      </c>
      <c r="E30" s="2" t="s">
        <v>16</v>
      </c>
      <c r="F30" s="2">
        <v>1</v>
      </c>
      <c r="G30" s="2" t="s">
        <v>17</v>
      </c>
    </row>
    <row r="31" spans="1:7" x14ac:dyDescent="0.2">
      <c r="A31" s="2" t="s">
        <v>74</v>
      </c>
      <c r="B31" s="2" t="s">
        <v>78</v>
      </c>
      <c r="C31" s="2" t="s">
        <v>76</v>
      </c>
      <c r="D31" s="2" t="s">
        <v>10</v>
      </c>
      <c r="E31" s="2" t="s">
        <v>16</v>
      </c>
      <c r="F31" s="2">
        <v>1</v>
      </c>
      <c r="G31" s="2" t="s">
        <v>17</v>
      </c>
    </row>
    <row r="32" spans="1:7" x14ac:dyDescent="0.2">
      <c r="A32" s="2" t="s">
        <v>74</v>
      </c>
      <c r="B32" s="2" t="s">
        <v>79</v>
      </c>
      <c r="C32" s="2" t="s">
        <v>76</v>
      </c>
      <c r="D32" s="2" t="s">
        <v>10</v>
      </c>
      <c r="E32" s="2" t="s">
        <v>16</v>
      </c>
      <c r="F32" s="2">
        <v>1</v>
      </c>
      <c r="G32" s="2" t="s">
        <v>17</v>
      </c>
    </row>
    <row r="33" spans="1:7" x14ac:dyDescent="0.2">
      <c r="A33" s="2" t="s">
        <v>80</v>
      </c>
      <c r="B33" s="2" t="s">
        <v>81</v>
      </c>
      <c r="C33" s="2" t="s">
        <v>82</v>
      </c>
      <c r="D33" s="2" t="s">
        <v>10</v>
      </c>
      <c r="E33" s="2" t="s">
        <v>16</v>
      </c>
      <c r="F33" s="2">
        <v>1</v>
      </c>
      <c r="G33" s="2" t="s">
        <v>17</v>
      </c>
    </row>
    <row r="34" spans="1:7" x14ac:dyDescent="0.2">
      <c r="A34" s="2" t="s">
        <v>83</v>
      </c>
      <c r="B34" s="2" t="s">
        <v>84</v>
      </c>
      <c r="C34" s="2" t="s">
        <v>85</v>
      </c>
      <c r="D34" s="2" t="s">
        <v>10</v>
      </c>
      <c r="E34" s="2" t="s">
        <v>16</v>
      </c>
      <c r="F34" s="2">
        <v>1</v>
      </c>
      <c r="G34" s="2" t="s">
        <v>17</v>
      </c>
    </row>
    <row r="35" spans="1:7" x14ac:dyDescent="0.2">
      <c r="A35" s="2" t="s">
        <v>83</v>
      </c>
      <c r="B35" s="2" t="s">
        <v>86</v>
      </c>
      <c r="C35" s="2" t="s">
        <v>87</v>
      </c>
      <c r="D35" s="2" t="s">
        <v>10</v>
      </c>
      <c r="E35" s="2" t="s">
        <v>16</v>
      </c>
      <c r="F35" s="2">
        <v>1</v>
      </c>
      <c r="G35" s="2" t="s">
        <v>17</v>
      </c>
    </row>
    <row r="36" spans="1:7" x14ac:dyDescent="0.2">
      <c r="A36" s="2" t="s">
        <v>83</v>
      </c>
      <c r="B36" s="2" t="s">
        <v>88</v>
      </c>
      <c r="C36" s="2" t="s">
        <v>89</v>
      </c>
      <c r="D36" s="2" t="s">
        <v>10</v>
      </c>
      <c r="E36" s="2" t="s">
        <v>16</v>
      </c>
      <c r="F36" s="2">
        <v>1</v>
      </c>
      <c r="G36" s="2" t="s">
        <v>17</v>
      </c>
    </row>
    <row r="37" spans="1:7" x14ac:dyDescent="0.2">
      <c r="A37" s="2" t="s">
        <v>83</v>
      </c>
      <c r="B37" s="2" t="s">
        <v>70</v>
      </c>
      <c r="C37" s="2" t="s">
        <v>71</v>
      </c>
      <c r="D37" s="2" t="s">
        <v>10</v>
      </c>
      <c r="E37" s="2" t="s">
        <v>16</v>
      </c>
      <c r="F37" s="2">
        <v>1</v>
      </c>
      <c r="G37" s="2" t="s">
        <v>17</v>
      </c>
    </row>
    <row r="38" spans="1:7" x14ac:dyDescent="0.2">
      <c r="A38" s="2" t="s">
        <v>83</v>
      </c>
      <c r="B38" s="2" t="s">
        <v>72</v>
      </c>
      <c r="C38" s="2" t="s">
        <v>73</v>
      </c>
      <c r="D38" s="2" t="s">
        <v>10</v>
      </c>
      <c r="E38" s="2" t="s">
        <v>16</v>
      </c>
      <c r="F38" s="2">
        <v>1</v>
      </c>
      <c r="G38" s="2" t="s">
        <v>17</v>
      </c>
    </row>
    <row r="39" spans="1:7" x14ac:dyDescent="0.2">
      <c r="A39" s="2" t="s">
        <v>83</v>
      </c>
      <c r="B39" s="2" t="s">
        <v>90</v>
      </c>
      <c r="C39" s="2" t="s">
        <v>85</v>
      </c>
      <c r="D39" s="2" t="s">
        <v>10</v>
      </c>
      <c r="E39" s="2" t="s">
        <v>16</v>
      </c>
      <c r="F39" s="2">
        <v>1</v>
      </c>
      <c r="G39" s="2" t="s">
        <v>17</v>
      </c>
    </row>
    <row r="40" spans="1:7" x14ac:dyDescent="0.2">
      <c r="A40" s="2" t="s">
        <v>91</v>
      </c>
      <c r="B40" s="2" t="s">
        <v>92</v>
      </c>
      <c r="C40" s="2" t="s">
        <v>93</v>
      </c>
      <c r="D40" s="2" t="s">
        <v>10</v>
      </c>
      <c r="E40" s="2" t="s">
        <v>16</v>
      </c>
      <c r="F40" s="2">
        <v>1</v>
      </c>
      <c r="G40" s="2" t="s">
        <v>17</v>
      </c>
    </row>
    <row r="41" spans="1:7" x14ac:dyDescent="0.2">
      <c r="A41" s="2" t="s">
        <v>91</v>
      </c>
      <c r="B41" s="2" t="s">
        <v>94</v>
      </c>
      <c r="C41" s="2" t="s">
        <v>93</v>
      </c>
      <c r="D41" s="2" t="s">
        <v>10</v>
      </c>
      <c r="E41" s="2" t="s">
        <v>16</v>
      </c>
      <c r="F41" s="2">
        <v>1</v>
      </c>
      <c r="G41" s="2" t="s">
        <v>17</v>
      </c>
    </row>
    <row r="42" spans="1:7" x14ac:dyDescent="0.2">
      <c r="A42" s="2" t="s">
        <v>95</v>
      </c>
      <c r="B42" s="2" t="s">
        <v>96</v>
      </c>
      <c r="C42" s="2" t="s">
        <v>97</v>
      </c>
      <c r="D42" s="2" t="s">
        <v>10</v>
      </c>
      <c r="E42" s="2" t="s">
        <v>16</v>
      </c>
      <c r="F42" s="2">
        <v>1</v>
      </c>
      <c r="G42" s="2" t="s">
        <v>17</v>
      </c>
    </row>
    <row r="43" spans="1:7" x14ac:dyDescent="0.2">
      <c r="A43" s="2" t="s">
        <v>98</v>
      </c>
      <c r="B43" s="2" t="s">
        <v>99</v>
      </c>
      <c r="C43" s="2" t="s">
        <v>100</v>
      </c>
      <c r="D43" s="2" t="s">
        <v>10</v>
      </c>
      <c r="E43" s="2" t="s">
        <v>11</v>
      </c>
      <c r="F43" s="2">
        <v>1</v>
      </c>
      <c r="G43" s="2" t="s">
        <v>12</v>
      </c>
    </row>
    <row r="44" spans="1:7" x14ac:dyDescent="0.2">
      <c r="A44" s="2" t="s">
        <v>98</v>
      </c>
      <c r="B44" s="2" t="s">
        <v>101</v>
      </c>
      <c r="C44" s="2" t="s">
        <v>100</v>
      </c>
      <c r="D44" s="2" t="s">
        <v>10</v>
      </c>
      <c r="E44" s="2" t="s">
        <v>11</v>
      </c>
      <c r="F44" s="2">
        <v>1</v>
      </c>
      <c r="G44" s="2" t="s">
        <v>12</v>
      </c>
    </row>
    <row r="45" spans="1:7" x14ac:dyDescent="0.2">
      <c r="A45" s="2" t="s">
        <v>102</v>
      </c>
      <c r="B45" s="2" t="s">
        <v>103</v>
      </c>
      <c r="C45" s="2" t="s">
        <v>104</v>
      </c>
      <c r="D45" s="2" t="s">
        <v>10</v>
      </c>
      <c r="E45" s="2" t="s">
        <v>16</v>
      </c>
      <c r="F45" s="2">
        <v>1</v>
      </c>
      <c r="G45" s="2" t="s">
        <v>17</v>
      </c>
    </row>
    <row r="46" spans="1:7" x14ac:dyDescent="0.2">
      <c r="A46" s="2" t="s">
        <v>102</v>
      </c>
      <c r="B46" s="2" t="s">
        <v>105</v>
      </c>
      <c r="C46" s="2" t="s">
        <v>104</v>
      </c>
      <c r="D46" s="2" t="s">
        <v>10</v>
      </c>
      <c r="E46" s="2" t="s">
        <v>16</v>
      </c>
      <c r="F46" s="2">
        <v>1</v>
      </c>
      <c r="G46" s="2" t="s">
        <v>17</v>
      </c>
    </row>
    <row r="47" spans="1:7" x14ac:dyDescent="0.2">
      <c r="A47" s="2" t="s">
        <v>102</v>
      </c>
      <c r="B47" s="2" t="s">
        <v>106</v>
      </c>
      <c r="C47" s="2" t="s">
        <v>107</v>
      </c>
      <c r="D47" s="2" t="s">
        <v>10</v>
      </c>
      <c r="E47" s="2" t="s">
        <v>16</v>
      </c>
      <c r="F47" s="2">
        <v>1</v>
      </c>
      <c r="G47" s="2" t="s">
        <v>17</v>
      </c>
    </row>
    <row r="48" spans="1:7" x14ac:dyDescent="0.2">
      <c r="A48" s="2" t="s">
        <v>108</v>
      </c>
      <c r="B48" s="2" t="s">
        <v>109</v>
      </c>
      <c r="C48" s="2" t="s">
        <v>110</v>
      </c>
      <c r="D48" s="2" t="s">
        <v>10</v>
      </c>
      <c r="E48" s="2" t="s">
        <v>16</v>
      </c>
      <c r="F48" s="2">
        <v>2</v>
      </c>
      <c r="G48" s="2" t="s">
        <v>17</v>
      </c>
    </row>
    <row r="49" spans="1:7" x14ac:dyDescent="0.2">
      <c r="A49" s="2" t="s">
        <v>108</v>
      </c>
      <c r="B49" s="2" t="s">
        <v>111</v>
      </c>
      <c r="C49" s="2" t="s">
        <v>110</v>
      </c>
      <c r="D49" s="2" t="s">
        <v>10</v>
      </c>
      <c r="E49" s="2" t="s">
        <v>16</v>
      </c>
      <c r="F49" s="2">
        <v>2</v>
      </c>
      <c r="G49" s="2" t="s">
        <v>17</v>
      </c>
    </row>
    <row r="50" spans="1:7" x14ac:dyDescent="0.2">
      <c r="A50" s="2" t="s">
        <v>108</v>
      </c>
      <c r="B50" s="2" t="s">
        <v>112</v>
      </c>
      <c r="C50" s="2" t="s">
        <v>113</v>
      </c>
      <c r="D50" s="2" t="s">
        <v>10</v>
      </c>
      <c r="E50" s="2" t="s">
        <v>11</v>
      </c>
      <c r="F50" s="2">
        <v>2</v>
      </c>
      <c r="G50" s="2" t="s">
        <v>17</v>
      </c>
    </row>
    <row r="51" spans="1:7" x14ac:dyDescent="0.2">
      <c r="A51" s="2" t="s">
        <v>108</v>
      </c>
      <c r="B51" s="2" t="s">
        <v>114</v>
      </c>
      <c r="C51" s="2" t="s">
        <v>113</v>
      </c>
      <c r="D51" s="2" t="s">
        <v>10</v>
      </c>
      <c r="E51" s="2" t="s">
        <v>11</v>
      </c>
      <c r="F51" s="2">
        <v>2</v>
      </c>
      <c r="G51" s="2" t="s">
        <v>17</v>
      </c>
    </row>
    <row r="52" spans="1:7" x14ac:dyDescent="0.2">
      <c r="A52" s="2" t="s">
        <v>108</v>
      </c>
      <c r="B52" s="2" t="s">
        <v>115</v>
      </c>
      <c r="C52" s="2" t="s">
        <v>110</v>
      </c>
      <c r="D52" s="2" t="s">
        <v>10</v>
      </c>
      <c r="E52" s="2" t="s">
        <v>16</v>
      </c>
      <c r="F52" s="2">
        <v>2</v>
      </c>
      <c r="G52" s="2" t="s">
        <v>17</v>
      </c>
    </row>
    <row r="53" spans="1:7" x14ac:dyDescent="0.2">
      <c r="A53" s="2" t="s">
        <v>116</v>
      </c>
      <c r="B53" s="2" t="s">
        <v>96</v>
      </c>
      <c r="C53" s="2" t="s">
        <v>97</v>
      </c>
      <c r="D53" s="2" t="s">
        <v>10</v>
      </c>
      <c r="E53" s="2" t="s">
        <v>16</v>
      </c>
      <c r="F53" s="2">
        <v>1</v>
      </c>
      <c r="G53" s="2" t="s">
        <v>17</v>
      </c>
    </row>
    <row r="54" spans="1:7" x14ac:dyDescent="0.2">
      <c r="A54" s="2" t="s">
        <v>117</v>
      </c>
      <c r="B54" s="2" t="s">
        <v>118</v>
      </c>
      <c r="C54" s="2" t="s">
        <v>119</v>
      </c>
      <c r="D54" s="2" t="s">
        <v>29</v>
      </c>
      <c r="E54" s="2" t="s">
        <v>16</v>
      </c>
      <c r="F54" s="2">
        <v>1</v>
      </c>
      <c r="G54" s="2" t="s">
        <v>17</v>
      </c>
    </row>
    <row r="55" spans="1:7" x14ac:dyDescent="0.2">
      <c r="A55" s="2" t="s">
        <v>120</v>
      </c>
      <c r="B55" s="2" t="s">
        <v>121</v>
      </c>
      <c r="C55" s="2" t="s">
        <v>122</v>
      </c>
      <c r="D55" s="2" t="s">
        <v>10</v>
      </c>
      <c r="E55" s="2" t="s">
        <v>52</v>
      </c>
      <c r="F55" s="2">
        <v>2</v>
      </c>
      <c r="G55" s="2" t="s">
        <v>17</v>
      </c>
    </row>
    <row r="56" spans="1:7" x14ac:dyDescent="0.2">
      <c r="A56" s="2" t="s">
        <v>120</v>
      </c>
      <c r="B56" s="2" t="s">
        <v>123</v>
      </c>
      <c r="C56" s="2" t="s">
        <v>124</v>
      </c>
      <c r="D56" s="2" t="s">
        <v>10</v>
      </c>
      <c r="E56" s="2" t="s">
        <v>52</v>
      </c>
      <c r="F56" s="2">
        <v>1</v>
      </c>
      <c r="G56" s="2" t="s">
        <v>17</v>
      </c>
    </row>
    <row r="57" spans="1:7" x14ac:dyDescent="0.2">
      <c r="A57" s="2" t="s">
        <v>120</v>
      </c>
      <c r="B57" s="2" t="s">
        <v>125</v>
      </c>
      <c r="C57" s="2" t="s">
        <v>124</v>
      </c>
      <c r="D57" s="2" t="s">
        <v>10</v>
      </c>
      <c r="E57" s="2" t="s">
        <v>52</v>
      </c>
      <c r="F57" s="2">
        <v>1</v>
      </c>
      <c r="G57" s="2" t="s">
        <v>17</v>
      </c>
    </row>
    <row r="58" spans="1:7" x14ac:dyDescent="0.2">
      <c r="A58" s="2" t="s">
        <v>126</v>
      </c>
      <c r="B58" s="2" t="s">
        <v>127</v>
      </c>
      <c r="C58" s="2" t="s">
        <v>119</v>
      </c>
      <c r="D58" s="2" t="s">
        <v>29</v>
      </c>
      <c r="E58" s="2" t="s">
        <v>16</v>
      </c>
      <c r="F58" s="2">
        <v>1</v>
      </c>
      <c r="G58" s="2" t="s">
        <v>17</v>
      </c>
    </row>
    <row r="59" spans="1:7" x14ac:dyDescent="0.2">
      <c r="A59" s="2" t="s">
        <v>128</v>
      </c>
      <c r="B59" s="2" t="s">
        <v>129</v>
      </c>
      <c r="C59" s="2" t="s">
        <v>130</v>
      </c>
      <c r="D59" s="2" t="s">
        <v>29</v>
      </c>
      <c r="E59" s="2" t="s">
        <v>16</v>
      </c>
      <c r="F59" s="2">
        <v>1</v>
      </c>
      <c r="G59" s="2" t="s">
        <v>17</v>
      </c>
    </row>
    <row r="60" spans="1:7" x14ac:dyDescent="0.2">
      <c r="A60" s="2" t="s">
        <v>131</v>
      </c>
      <c r="B60" s="2" t="s">
        <v>132</v>
      </c>
      <c r="C60" s="2" t="s">
        <v>133</v>
      </c>
      <c r="D60" s="2" t="s">
        <v>10</v>
      </c>
      <c r="E60" s="2" t="s">
        <v>52</v>
      </c>
      <c r="F60" s="2">
        <v>1</v>
      </c>
      <c r="G60" s="2" t="s">
        <v>17</v>
      </c>
    </row>
    <row r="61" spans="1:7" x14ac:dyDescent="0.2">
      <c r="A61" s="2" t="s">
        <v>131</v>
      </c>
      <c r="B61" s="2" t="s">
        <v>134</v>
      </c>
      <c r="C61" s="2" t="s">
        <v>135</v>
      </c>
      <c r="D61" s="2" t="s">
        <v>10</v>
      </c>
      <c r="E61" s="2" t="s">
        <v>16</v>
      </c>
      <c r="F61" s="2">
        <v>1</v>
      </c>
      <c r="G61" s="2" t="s">
        <v>17</v>
      </c>
    </row>
    <row r="62" spans="1:7" x14ac:dyDescent="0.2">
      <c r="A62" s="2" t="s">
        <v>136</v>
      </c>
      <c r="B62" s="2" t="s">
        <v>137</v>
      </c>
      <c r="C62" s="2" t="s">
        <v>138</v>
      </c>
      <c r="D62" s="2" t="s">
        <v>10</v>
      </c>
      <c r="E62" s="2" t="s">
        <v>16</v>
      </c>
      <c r="F62" s="2">
        <v>1</v>
      </c>
      <c r="G62" s="2" t="s">
        <v>17</v>
      </c>
    </row>
    <row r="63" spans="1:7" x14ac:dyDescent="0.2">
      <c r="A63" s="2" t="s">
        <v>139</v>
      </c>
      <c r="B63" s="2" t="s">
        <v>140</v>
      </c>
      <c r="C63" s="2" t="s">
        <v>141</v>
      </c>
      <c r="D63" s="2" t="s">
        <v>10</v>
      </c>
      <c r="E63" s="2" t="s">
        <v>11</v>
      </c>
      <c r="F63" s="2">
        <v>1</v>
      </c>
      <c r="G63" s="2" t="s">
        <v>12</v>
      </c>
    </row>
    <row r="64" spans="1:7" x14ac:dyDescent="0.2">
      <c r="A64" s="2" t="s">
        <v>139</v>
      </c>
      <c r="B64" s="2" t="s">
        <v>142</v>
      </c>
      <c r="C64" s="2" t="s">
        <v>143</v>
      </c>
      <c r="D64" s="2" t="s">
        <v>10</v>
      </c>
      <c r="E64" s="2" t="s">
        <v>52</v>
      </c>
      <c r="F64" s="2">
        <v>2</v>
      </c>
      <c r="G64" s="2" t="s">
        <v>12</v>
      </c>
    </row>
    <row r="65" spans="1:7" x14ac:dyDescent="0.2">
      <c r="A65" s="2" t="s">
        <v>139</v>
      </c>
      <c r="B65" s="2" t="s">
        <v>144</v>
      </c>
      <c r="C65" s="2" t="s">
        <v>141</v>
      </c>
      <c r="D65" s="2" t="s">
        <v>10</v>
      </c>
      <c r="E65" s="2" t="s">
        <v>11</v>
      </c>
      <c r="F65" s="2">
        <v>1</v>
      </c>
      <c r="G65" s="2" t="s">
        <v>12</v>
      </c>
    </row>
    <row r="66" spans="1:7" x14ac:dyDescent="0.2">
      <c r="A66" s="2" t="s">
        <v>139</v>
      </c>
      <c r="B66" s="2" t="s">
        <v>145</v>
      </c>
      <c r="C66" s="2" t="s">
        <v>146</v>
      </c>
      <c r="D66" s="2" t="s">
        <v>10</v>
      </c>
      <c r="E66" s="2" t="s">
        <v>11</v>
      </c>
      <c r="F66" s="2">
        <v>2</v>
      </c>
      <c r="G66" s="2" t="s">
        <v>12</v>
      </c>
    </row>
    <row r="67" spans="1:7" x14ac:dyDescent="0.2">
      <c r="A67" s="2" t="s">
        <v>147</v>
      </c>
      <c r="B67" s="2" t="s">
        <v>137</v>
      </c>
      <c r="C67" s="2" t="s">
        <v>138</v>
      </c>
      <c r="D67" s="2" t="s">
        <v>10</v>
      </c>
      <c r="E67" s="2" t="s">
        <v>16</v>
      </c>
      <c r="F67" s="2">
        <v>1</v>
      </c>
      <c r="G67" s="2" t="s">
        <v>17</v>
      </c>
    </row>
    <row r="68" spans="1:7" x14ac:dyDescent="0.2">
      <c r="A68" s="2" t="s">
        <v>148</v>
      </c>
      <c r="B68" s="2" t="s">
        <v>149</v>
      </c>
      <c r="C68" s="2" t="s">
        <v>150</v>
      </c>
      <c r="D68" s="2" t="s">
        <v>10</v>
      </c>
      <c r="E68" s="2" t="s">
        <v>16</v>
      </c>
      <c r="F68" s="2">
        <v>1</v>
      </c>
      <c r="G68" s="2" t="s">
        <v>17</v>
      </c>
    </row>
    <row r="69" spans="1:7" x14ac:dyDescent="0.2">
      <c r="A69" s="2" t="s">
        <v>148</v>
      </c>
      <c r="B69" s="2" t="s">
        <v>151</v>
      </c>
      <c r="C69" s="2" t="s">
        <v>150</v>
      </c>
      <c r="D69" s="2" t="s">
        <v>10</v>
      </c>
      <c r="E69" s="2" t="s">
        <v>16</v>
      </c>
      <c r="F69" s="2">
        <v>1</v>
      </c>
      <c r="G69" s="2" t="s">
        <v>17</v>
      </c>
    </row>
    <row r="70" spans="1:7" x14ac:dyDescent="0.2">
      <c r="A70" s="2" t="s">
        <v>148</v>
      </c>
      <c r="B70" s="2" t="s">
        <v>152</v>
      </c>
      <c r="C70" s="2" t="s">
        <v>150</v>
      </c>
      <c r="D70" s="2" t="s">
        <v>10</v>
      </c>
      <c r="E70" s="2" t="s">
        <v>16</v>
      </c>
      <c r="F70" s="2">
        <v>1</v>
      </c>
      <c r="G70" s="2" t="s">
        <v>17</v>
      </c>
    </row>
    <row r="71" spans="1:7" x14ac:dyDescent="0.2">
      <c r="A71" s="2" t="s">
        <v>148</v>
      </c>
      <c r="B71" s="2" t="s">
        <v>140</v>
      </c>
      <c r="C71" s="2" t="s">
        <v>141</v>
      </c>
      <c r="D71" s="2" t="s">
        <v>10</v>
      </c>
      <c r="E71" s="2" t="s">
        <v>11</v>
      </c>
      <c r="F71" s="2">
        <v>1</v>
      </c>
      <c r="G71" s="2" t="s">
        <v>12</v>
      </c>
    </row>
    <row r="72" spans="1:7" x14ac:dyDescent="0.2">
      <c r="A72" s="2" t="s">
        <v>148</v>
      </c>
      <c r="B72" s="2" t="s">
        <v>153</v>
      </c>
      <c r="C72" s="2" t="s">
        <v>150</v>
      </c>
      <c r="D72" s="2" t="s">
        <v>10</v>
      </c>
      <c r="E72" s="2" t="s">
        <v>16</v>
      </c>
      <c r="F72" s="2">
        <v>1</v>
      </c>
      <c r="G72" s="2" t="s">
        <v>17</v>
      </c>
    </row>
    <row r="73" spans="1:7" x14ac:dyDescent="0.2">
      <c r="A73" s="2" t="s">
        <v>148</v>
      </c>
      <c r="B73" s="2" t="s">
        <v>144</v>
      </c>
      <c r="C73" s="2" t="s">
        <v>141</v>
      </c>
      <c r="D73" s="2" t="s">
        <v>10</v>
      </c>
      <c r="E73" s="2" t="s">
        <v>11</v>
      </c>
      <c r="F73" s="2">
        <v>1</v>
      </c>
      <c r="G73" s="2" t="s">
        <v>12</v>
      </c>
    </row>
    <row r="74" spans="1:7" x14ac:dyDescent="0.2">
      <c r="A74" s="2" t="s">
        <v>148</v>
      </c>
      <c r="B74" s="2" t="s">
        <v>154</v>
      </c>
      <c r="C74" s="2" t="s">
        <v>155</v>
      </c>
      <c r="D74" s="2" t="s">
        <v>10</v>
      </c>
      <c r="E74" s="2" t="s">
        <v>16</v>
      </c>
      <c r="F74" s="2">
        <v>1</v>
      </c>
      <c r="G74" s="2" t="s">
        <v>17</v>
      </c>
    </row>
    <row r="75" spans="1:7" x14ac:dyDescent="0.2">
      <c r="A75" s="2" t="s">
        <v>148</v>
      </c>
      <c r="B75" s="2" t="s">
        <v>156</v>
      </c>
      <c r="C75" s="2" t="s">
        <v>157</v>
      </c>
      <c r="D75" s="2" t="s">
        <v>10</v>
      </c>
      <c r="E75" s="2" t="s">
        <v>52</v>
      </c>
      <c r="F75" s="2">
        <v>1</v>
      </c>
      <c r="G75" s="2" t="s">
        <v>17</v>
      </c>
    </row>
    <row r="76" spans="1:7" x14ac:dyDescent="0.2">
      <c r="A76" s="2" t="s">
        <v>148</v>
      </c>
      <c r="B76" s="2" t="s">
        <v>158</v>
      </c>
      <c r="C76" s="2" t="s">
        <v>159</v>
      </c>
      <c r="D76" s="2" t="s">
        <v>10</v>
      </c>
      <c r="E76" s="2" t="s">
        <v>11</v>
      </c>
      <c r="F76" s="2">
        <v>1</v>
      </c>
      <c r="G76" s="2" t="s">
        <v>17</v>
      </c>
    </row>
    <row r="77" spans="1:7" x14ac:dyDescent="0.2">
      <c r="A77" s="2" t="s">
        <v>148</v>
      </c>
      <c r="B77" s="2" t="s">
        <v>160</v>
      </c>
      <c r="C77" s="2" t="s">
        <v>161</v>
      </c>
      <c r="D77" s="2" t="s">
        <v>10</v>
      </c>
      <c r="E77" s="2" t="s">
        <v>11</v>
      </c>
      <c r="F77" s="2">
        <v>1</v>
      </c>
      <c r="G77" s="2" t="s">
        <v>17</v>
      </c>
    </row>
    <row r="78" spans="1:7" x14ac:dyDescent="0.2">
      <c r="A78" s="2" t="s">
        <v>148</v>
      </c>
      <c r="B78" s="2" t="s">
        <v>162</v>
      </c>
      <c r="C78" s="2" t="s">
        <v>157</v>
      </c>
      <c r="D78" s="2" t="s">
        <v>10</v>
      </c>
      <c r="E78" s="2" t="s">
        <v>52</v>
      </c>
      <c r="F78" s="2">
        <v>1</v>
      </c>
      <c r="G78" s="2" t="s">
        <v>17</v>
      </c>
    </row>
    <row r="79" spans="1:7" x14ac:dyDescent="0.2">
      <c r="A79" s="2" t="s">
        <v>148</v>
      </c>
      <c r="B79" s="2" t="s">
        <v>163</v>
      </c>
      <c r="C79" s="2" t="s">
        <v>155</v>
      </c>
      <c r="D79" s="2" t="s">
        <v>10</v>
      </c>
      <c r="E79" s="2" t="s">
        <v>16</v>
      </c>
      <c r="F79" s="2">
        <v>1</v>
      </c>
      <c r="G79" s="2" t="s">
        <v>17</v>
      </c>
    </row>
    <row r="80" spans="1:7" x14ac:dyDescent="0.2">
      <c r="A80" s="2" t="s">
        <v>148</v>
      </c>
      <c r="B80" s="2" t="s">
        <v>164</v>
      </c>
      <c r="C80" s="2" t="s">
        <v>150</v>
      </c>
      <c r="D80" s="2" t="s">
        <v>10</v>
      </c>
      <c r="E80" s="2" t="s">
        <v>16</v>
      </c>
      <c r="F80" s="2">
        <v>1</v>
      </c>
      <c r="G80" s="2" t="s">
        <v>17</v>
      </c>
    </row>
    <row r="81" spans="1:7" x14ac:dyDescent="0.2">
      <c r="A81" s="2" t="s">
        <v>148</v>
      </c>
      <c r="B81" s="2" t="s">
        <v>165</v>
      </c>
      <c r="C81" s="2" t="s">
        <v>155</v>
      </c>
      <c r="D81" s="2" t="s">
        <v>10</v>
      </c>
      <c r="E81" s="2" t="s">
        <v>16</v>
      </c>
      <c r="F81" s="2">
        <v>1</v>
      </c>
      <c r="G81" s="2" t="s">
        <v>17</v>
      </c>
    </row>
    <row r="82" spans="1:7" x14ac:dyDescent="0.2">
      <c r="A82" s="2" t="s">
        <v>148</v>
      </c>
      <c r="B82" s="2" t="s">
        <v>166</v>
      </c>
      <c r="C82" s="2" t="s">
        <v>155</v>
      </c>
      <c r="D82" s="2" t="s">
        <v>10</v>
      </c>
      <c r="E82" s="2" t="s">
        <v>16</v>
      </c>
      <c r="F82" s="2">
        <v>1</v>
      </c>
      <c r="G82" s="2" t="s">
        <v>17</v>
      </c>
    </row>
    <row r="83" spans="1:7" x14ac:dyDescent="0.2">
      <c r="A83" s="2" t="s">
        <v>148</v>
      </c>
      <c r="B83" s="2" t="s">
        <v>167</v>
      </c>
      <c r="C83" s="2" t="s">
        <v>155</v>
      </c>
      <c r="D83" s="2" t="s">
        <v>10</v>
      </c>
      <c r="E83" s="2" t="s">
        <v>16</v>
      </c>
      <c r="F83" s="2">
        <v>1</v>
      </c>
      <c r="G83" s="2" t="s">
        <v>17</v>
      </c>
    </row>
    <row r="84" spans="1:7" x14ac:dyDescent="0.2">
      <c r="A84" s="2" t="s">
        <v>148</v>
      </c>
      <c r="B84" s="2" t="s">
        <v>168</v>
      </c>
      <c r="C84" s="2" t="s">
        <v>169</v>
      </c>
      <c r="D84" s="2" t="s">
        <v>10</v>
      </c>
      <c r="E84" s="2" t="s">
        <v>52</v>
      </c>
      <c r="F84" s="2">
        <v>1</v>
      </c>
      <c r="G84" s="2" t="s">
        <v>17</v>
      </c>
    </row>
    <row r="85" spans="1:7" x14ac:dyDescent="0.2">
      <c r="A85" s="2" t="s">
        <v>148</v>
      </c>
      <c r="B85" s="2" t="s">
        <v>170</v>
      </c>
      <c r="C85" s="2" t="s">
        <v>171</v>
      </c>
      <c r="D85" s="2" t="s">
        <v>10</v>
      </c>
      <c r="E85" s="2" t="s">
        <v>11</v>
      </c>
      <c r="F85" s="2">
        <v>2</v>
      </c>
      <c r="G85" s="2" t="s">
        <v>12</v>
      </c>
    </row>
    <row r="86" spans="1:7" x14ac:dyDescent="0.2">
      <c r="A86" s="2" t="s">
        <v>148</v>
      </c>
      <c r="B86" s="2" t="s">
        <v>172</v>
      </c>
      <c r="C86" s="2" t="s">
        <v>171</v>
      </c>
      <c r="D86" s="2" t="s">
        <v>10</v>
      </c>
      <c r="E86" s="2" t="s">
        <v>11</v>
      </c>
      <c r="F86" s="2">
        <v>2</v>
      </c>
      <c r="G86" s="2" t="s">
        <v>12</v>
      </c>
    </row>
    <row r="87" spans="1:7" x14ac:dyDescent="0.2">
      <c r="A87" s="2" t="s">
        <v>148</v>
      </c>
      <c r="B87" s="2" t="s">
        <v>173</v>
      </c>
      <c r="C87" s="2" t="s">
        <v>171</v>
      </c>
      <c r="D87" s="2" t="s">
        <v>10</v>
      </c>
      <c r="E87" s="2" t="s">
        <v>11</v>
      </c>
      <c r="F87" s="2">
        <v>2</v>
      </c>
      <c r="G87" s="2" t="s">
        <v>12</v>
      </c>
    </row>
    <row r="88" spans="1:7" x14ac:dyDescent="0.2">
      <c r="A88" s="2" t="s">
        <v>148</v>
      </c>
      <c r="B88" s="2" t="s">
        <v>174</v>
      </c>
      <c r="C88" s="2" t="s">
        <v>150</v>
      </c>
      <c r="D88" s="2" t="s">
        <v>10</v>
      </c>
      <c r="E88" s="2" t="s">
        <v>16</v>
      </c>
      <c r="F88" s="2">
        <v>1</v>
      </c>
      <c r="G88" s="2" t="s">
        <v>17</v>
      </c>
    </row>
    <row r="89" spans="1:7" x14ac:dyDescent="0.2">
      <c r="A89" s="2" t="s">
        <v>148</v>
      </c>
      <c r="B89" s="2" t="s">
        <v>175</v>
      </c>
      <c r="C89" s="2" t="s">
        <v>176</v>
      </c>
      <c r="D89" s="2" t="s">
        <v>10</v>
      </c>
      <c r="E89" s="2" t="s">
        <v>52</v>
      </c>
      <c r="F89" s="2">
        <v>1</v>
      </c>
      <c r="G89" s="2" t="s">
        <v>17</v>
      </c>
    </row>
    <row r="90" spans="1:7" x14ac:dyDescent="0.2">
      <c r="A90" s="2" t="s">
        <v>148</v>
      </c>
      <c r="B90" s="2" t="s">
        <v>177</v>
      </c>
      <c r="C90" s="2" t="s">
        <v>150</v>
      </c>
      <c r="D90" s="2" t="s">
        <v>10</v>
      </c>
      <c r="E90" s="2" t="s">
        <v>16</v>
      </c>
      <c r="F90" s="2">
        <v>1</v>
      </c>
      <c r="G90" s="2" t="s">
        <v>17</v>
      </c>
    </row>
    <row r="91" spans="1:7" x14ac:dyDescent="0.2">
      <c r="A91" s="2" t="s">
        <v>148</v>
      </c>
      <c r="B91" s="2" t="s">
        <v>178</v>
      </c>
      <c r="C91" s="2" t="s">
        <v>176</v>
      </c>
      <c r="D91" s="2" t="s">
        <v>10</v>
      </c>
      <c r="E91" s="2" t="s">
        <v>52</v>
      </c>
      <c r="F91" s="2">
        <v>1</v>
      </c>
      <c r="G91" s="2" t="s">
        <v>17</v>
      </c>
    </row>
    <row r="92" spans="1:7" x14ac:dyDescent="0.2">
      <c r="A92" s="2" t="s">
        <v>179</v>
      </c>
      <c r="B92" s="2" t="s">
        <v>180</v>
      </c>
      <c r="C92" s="2" t="s">
        <v>181</v>
      </c>
      <c r="D92" s="2" t="s">
        <v>10</v>
      </c>
      <c r="E92" s="2" t="s">
        <v>16</v>
      </c>
      <c r="F92" s="2">
        <v>2</v>
      </c>
      <c r="G92" s="2" t="s">
        <v>17</v>
      </c>
    </row>
    <row r="93" spans="1:7" x14ac:dyDescent="0.2">
      <c r="A93" s="2" t="s">
        <v>179</v>
      </c>
      <c r="B93" s="2" t="s">
        <v>182</v>
      </c>
      <c r="C93" s="2" t="s">
        <v>183</v>
      </c>
      <c r="D93" s="2" t="s">
        <v>10</v>
      </c>
      <c r="E93" s="2" t="s">
        <v>16</v>
      </c>
      <c r="F93" s="2">
        <v>2</v>
      </c>
      <c r="G93" s="2" t="s">
        <v>17</v>
      </c>
    </row>
    <row r="94" spans="1:7" x14ac:dyDescent="0.2">
      <c r="A94" s="2" t="s">
        <v>179</v>
      </c>
      <c r="B94" s="2" t="s">
        <v>184</v>
      </c>
      <c r="C94" s="2" t="s">
        <v>185</v>
      </c>
      <c r="D94" s="2" t="s">
        <v>10</v>
      </c>
      <c r="E94" s="2" t="s">
        <v>16</v>
      </c>
      <c r="F94" s="2">
        <v>2</v>
      </c>
      <c r="G94" s="2" t="s">
        <v>17</v>
      </c>
    </row>
    <row r="95" spans="1:7" x14ac:dyDescent="0.2">
      <c r="A95" s="2" t="s">
        <v>179</v>
      </c>
      <c r="B95" s="2" t="s">
        <v>186</v>
      </c>
      <c r="C95" s="2" t="s">
        <v>187</v>
      </c>
      <c r="D95" s="2" t="s">
        <v>10</v>
      </c>
      <c r="E95" s="2" t="s">
        <v>16</v>
      </c>
      <c r="F95" s="2">
        <v>2</v>
      </c>
      <c r="G95" s="2" t="s">
        <v>17</v>
      </c>
    </row>
    <row r="96" spans="1:7" x14ac:dyDescent="0.2">
      <c r="A96" s="2" t="s">
        <v>179</v>
      </c>
      <c r="B96" s="2" t="s">
        <v>188</v>
      </c>
      <c r="C96" s="2" t="s">
        <v>189</v>
      </c>
      <c r="D96" s="2" t="s">
        <v>10</v>
      </c>
      <c r="E96" s="2" t="s">
        <v>16</v>
      </c>
      <c r="F96" s="2">
        <v>2</v>
      </c>
      <c r="G96" s="2" t="s">
        <v>17</v>
      </c>
    </row>
    <row r="97" spans="1:7" x14ac:dyDescent="0.2">
      <c r="A97" s="2" t="s">
        <v>179</v>
      </c>
      <c r="B97" s="2" t="s">
        <v>190</v>
      </c>
      <c r="C97" s="2" t="s">
        <v>189</v>
      </c>
      <c r="D97" s="2" t="s">
        <v>10</v>
      </c>
      <c r="E97" s="2" t="s">
        <v>16</v>
      </c>
      <c r="F97" s="2">
        <v>2</v>
      </c>
      <c r="G97" s="2" t="s">
        <v>17</v>
      </c>
    </row>
    <row r="98" spans="1:7" x14ac:dyDescent="0.2">
      <c r="A98" s="2" t="s">
        <v>179</v>
      </c>
      <c r="B98" s="2" t="s">
        <v>191</v>
      </c>
      <c r="C98" s="2" t="s">
        <v>189</v>
      </c>
      <c r="D98" s="2" t="s">
        <v>10</v>
      </c>
      <c r="E98" s="2" t="s">
        <v>16</v>
      </c>
      <c r="F98" s="2">
        <v>2</v>
      </c>
      <c r="G98" s="2" t="s">
        <v>17</v>
      </c>
    </row>
    <row r="99" spans="1:7" x14ac:dyDescent="0.2">
      <c r="A99" s="2" t="s">
        <v>179</v>
      </c>
      <c r="B99" s="2" t="s">
        <v>192</v>
      </c>
      <c r="C99" s="2" t="s">
        <v>181</v>
      </c>
      <c r="D99" s="2" t="s">
        <v>10</v>
      </c>
      <c r="E99" s="2" t="s">
        <v>16</v>
      </c>
      <c r="F99" s="2">
        <v>2</v>
      </c>
      <c r="G99" s="2" t="s">
        <v>17</v>
      </c>
    </row>
    <row r="100" spans="1:7" x14ac:dyDescent="0.2">
      <c r="A100" s="2" t="s">
        <v>179</v>
      </c>
      <c r="B100" s="2" t="s">
        <v>193</v>
      </c>
      <c r="C100" s="2" t="s">
        <v>187</v>
      </c>
      <c r="D100" s="2" t="s">
        <v>10</v>
      </c>
      <c r="E100" s="2" t="s">
        <v>16</v>
      </c>
      <c r="F100" s="2">
        <v>2</v>
      </c>
      <c r="G100" s="2" t="s">
        <v>17</v>
      </c>
    </row>
    <row r="101" spans="1:7" x14ac:dyDescent="0.2">
      <c r="A101" s="2" t="s">
        <v>179</v>
      </c>
      <c r="B101" s="2" t="s">
        <v>194</v>
      </c>
      <c r="C101" s="2" t="s">
        <v>189</v>
      </c>
      <c r="D101" s="2" t="s">
        <v>10</v>
      </c>
      <c r="E101" s="2" t="s">
        <v>16</v>
      </c>
      <c r="F101" s="2">
        <v>2</v>
      </c>
      <c r="G101" s="2" t="s">
        <v>17</v>
      </c>
    </row>
    <row r="102" spans="1:7" x14ac:dyDescent="0.2">
      <c r="A102" s="2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</row>
    <row r="103" spans="1:7" x14ac:dyDescent="0.2">
      <c r="A103" s="2" t="s">
        <v>179</v>
      </c>
      <c r="B103" s="2" t="s">
        <v>195</v>
      </c>
      <c r="C103" s="2" t="s">
        <v>187</v>
      </c>
      <c r="D103" s="2" t="s">
        <v>10</v>
      </c>
      <c r="E103" s="2" t="s">
        <v>16</v>
      </c>
      <c r="F103" s="2">
        <v>2</v>
      </c>
      <c r="G103" s="2" t="s">
        <v>17</v>
      </c>
    </row>
    <row r="104" spans="1:7" x14ac:dyDescent="0.2">
      <c r="A104" s="2" t="s">
        <v>179</v>
      </c>
      <c r="B104" s="2" t="s">
        <v>196</v>
      </c>
      <c r="C104" s="2" t="s">
        <v>189</v>
      </c>
      <c r="D104" s="2" t="s">
        <v>10</v>
      </c>
      <c r="E104" s="2" t="s">
        <v>16</v>
      </c>
      <c r="F104" s="2">
        <v>2</v>
      </c>
      <c r="G104" s="2" t="s">
        <v>17</v>
      </c>
    </row>
    <row r="105" spans="1:7" x14ac:dyDescent="0.2">
      <c r="A105" s="2" t="s">
        <v>179</v>
      </c>
      <c r="B105" s="2" t="s">
        <v>197</v>
      </c>
      <c r="C105" s="2" t="s">
        <v>189</v>
      </c>
      <c r="D105" s="2" t="s">
        <v>10</v>
      </c>
      <c r="E105" s="2" t="s">
        <v>16</v>
      </c>
      <c r="F105" s="2">
        <v>2</v>
      </c>
      <c r="G105" s="2" t="s">
        <v>17</v>
      </c>
    </row>
    <row r="106" spans="1:7" x14ac:dyDescent="0.2">
      <c r="A106" s="2" t="s">
        <v>198</v>
      </c>
      <c r="B106" s="2">
        <v>45</v>
      </c>
      <c r="C106" s="2" t="s">
        <v>199</v>
      </c>
      <c r="D106" s="2" t="s">
        <v>10</v>
      </c>
      <c r="E106" s="2" t="s">
        <v>16</v>
      </c>
      <c r="F106" s="2">
        <v>2</v>
      </c>
      <c r="G106" s="2" t="s">
        <v>17</v>
      </c>
    </row>
    <row r="107" spans="1:7" x14ac:dyDescent="0.2">
      <c r="A107" s="2" t="s">
        <v>198</v>
      </c>
      <c r="B107" s="2" t="s">
        <v>200</v>
      </c>
      <c r="C107" s="2" t="s">
        <v>201</v>
      </c>
      <c r="D107" s="2" t="s">
        <v>10</v>
      </c>
      <c r="E107" s="2" t="s">
        <v>11</v>
      </c>
      <c r="F107" s="2">
        <v>1</v>
      </c>
      <c r="G107" s="2" t="s">
        <v>17</v>
      </c>
    </row>
    <row r="108" spans="1:7" x14ac:dyDescent="0.2">
      <c r="A108" s="2" t="s">
        <v>198</v>
      </c>
      <c r="B108" s="2" t="s">
        <v>202</v>
      </c>
      <c r="C108" s="2" t="s">
        <v>203</v>
      </c>
      <c r="D108" s="2" t="s">
        <v>10</v>
      </c>
      <c r="E108" s="2" t="s">
        <v>11</v>
      </c>
      <c r="F108" s="2">
        <v>1</v>
      </c>
      <c r="G108" s="2" t="s">
        <v>12</v>
      </c>
    </row>
    <row r="109" spans="1:7" x14ac:dyDescent="0.2">
      <c r="A109" s="2" t="s">
        <v>198</v>
      </c>
      <c r="B109" s="2" t="s">
        <v>204</v>
      </c>
      <c r="C109" s="2" t="s">
        <v>205</v>
      </c>
      <c r="D109" s="2" t="s">
        <v>10</v>
      </c>
      <c r="E109" s="2" t="s">
        <v>16</v>
      </c>
      <c r="F109" s="2">
        <v>1</v>
      </c>
      <c r="G109" s="2" t="s">
        <v>17</v>
      </c>
    </row>
    <row r="110" spans="1:7" x14ac:dyDescent="0.2">
      <c r="A110" s="2" t="s">
        <v>198</v>
      </c>
      <c r="B110" s="2" t="s">
        <v>206</v>
      </c>
      <c r="C110" s="2" t="s">
        <v>207</v>
      </c>
      <c r="D110" s="2" t="s">
        <v>10</v>
      </c>
      <c r="E110" s="2" t="s">
        <v>16</v>
      </c>
      <c r="F110" s="2">
        <v>1</v>
      </c>
      <c r="G110" s="2" t="s">
        <v>17</v>
      </c>
    </row>
    <row r="111" spans="1:7" x14ac:dyDescent="0.2">
      <c r="A111" s="2" t="s">
        <v>198</v>
      </c>
      <c r="B111" s="2" t="s">
        <v>208</v>
      </c>
      <c r="C111" s="2" t="s">
        <v>209</v>
      </c>
      <c r="D111" s="2" t="s">
        <v>10</v>
      </c>
      <c r="E111" s="2" t="s">
        <v>11</v>
      </c>
      <c r="F111" s="2">
        <v>1</v>
      </c>
      <c r="G111" s="2" t="s">
        <v>17</v>
      </c>
    </row>
    <row r="112" spans="1:7" x14ac:dyDescent="0.2">
      <c r="A112" s="2" t="s">
        <v>198</v>
      </c>
      <c r="B112" s="2" t="s">
        <v>210</v>
      </c>
      <c r="C112" s="2" t="s">
        <v>211</v>
      </c>
      <c r="D112" s="2" t="s">
        <v>10</v>
      </c>
      <c r="E112" s="2" t="s">
        <v>11</v>
      </c>
      <c r="F112" s="2">
        <v>1</v>
      </c>
      <c r="G112" s="2" t="s">
        <v>17</v>
      </c>
    </row>
    <row r="113" spans="1:7" x14ac:dyDescent="0.2">
      <c r="A113" s="2" t="s">
        <v>198</v>
      </c>
      <c r="B113" s="2" t="s">
        <v>212</v>
      </c>
      <c r="C113" s="2" t="s">
        <v>211</v>
      </c>
      <c r="D113" s="2" t="s">
        <v>10</v>
      </c>
      <c r="E113" s="2" t="s">
        <v>11</v>
      </c>
      <c r="F113" s="2">
        <v>1</v>
      </c>
      <c r="G113" s="2" t="s">
        <v>17</v>
      </c>
    </row>
    <row r="114" spans="1:7" x14ac:dyDescent="0.2">
      <c r="A114" s="2" t="s">
        <v>198</v>
      </c>
      <c r="B114" s="2" t="s">
        <v>213</v>
      </c>
      <c r="C114" s="2" t="s">
        <v>201</v>
      </c>
      <c r="D114" s="2" t="s">
        <v>10</v>
      </c>
      <c r="E114" s="2" t="s">
        <v>11</v>
      </c>
      <c r="F114" s="2">
        <v>1</v>
      </c>
      <c r="G114" s="2" t="s">
        <v>17</v>
      </c>
    </row>
    <row r="115" spans="1:7" x14ac:dyDescent="0.2">
      <c r="A115" s="2" t="s">
        <v>198</v>
      </c>
      <c r="B115" s="2" t="s">
        <v>214</v>
      </c>
      <c r="C115" s="2" t="s">
        <v>215</v>
      </c>
      <c r="D115" s="2" t="s">
        <v>10</v>
      </c>
      <c r="E115" s="2" t="s">
        <v>11</v>
      </c>
      <c r="F115" s="2">
        <v>1</v>
      </c>
      <c r="G115" s="2" t="s">
        <v>17</v>
      </c>
    </row>
    <row r="116" spans="1:7" x14ac:dyDescent="0.2">
      <c r="A116" s="2" t="s">
        <v>198</v>
      </c>
      <c r="B116" s="2" t="s">
        <v>216</v>
      </c>
      <c r="C116" s="2" t="s">
        <v>205</v>
      </c>
      <c r="D116" s="2" t="s">
        <v>10</v>
      </c>
      <c r="E116" s="2" t="s">
        <v>16</v>
      </c>
      <c r="F116" s="2">
        <v>1</v>
      </c>
      <c r="G116" s="2" t="s">
        <v>17</v>
      </c>
    </row>
    <row r="117" spans="1:7" x14ac:dyDescent="0.2">
      <c r="A117" s="2" t="s">
        <v>198</v>
      </c>
      <c r="B117" s="2" t="s">
        <v>217</v>
      </c>
      <c r="C117" s="2" t="s">
        <v>201</v>
      </c>
      <c r="D117" s="2" t="s">
        <v>10</v>
      </c>
      <c r="E117" s="2" t="s">
        <v>11</v>
      </c>
      <c r="F117" s="2">
        <v>1</v>
      </c>
      <c r="G117" s="2" t="s">
        <v>17</v>
      </c>
    </row>
    <row r="118" spans="1:7" x14ac:dyDescent="0.2">
      <c r="A118" s="2" t="s">
        <v>198</v>
      </c>
      <c r="B118" s="2" t="s">
        <v>218</v>
      </c>
      <c r="C118" s="2" t="s">
        <v>203</v>
      </c>
      <c r="D118" s="2" t="s">
        <v>10</v>
      </c>
      <c r="E118" s="2" t="s">
        <v>11</v>
      </c>
      <c r="F118" s="2">
        <v>1</v>
      </c>
      <c r="G118" s="2" t="s">
        <v>12</v>
      </c>
    </row>
    <row r="119" spans="1:7" x14ac:dyDescent="0.2">
      <c r="A119" s="2" t="s">
        <v>198</v>
      </c>
      <c r="B119" s="2" t="s">
        <v>219</v>
      </c>
      <c r="C119" s="2" t="s">
        <v>203</v>
      </c>
      <c r="D119" s="2" t="s">
        <v>10</v>
      </c>
      <c r="E119" s="2" t="s">
        <v>11</v>
      </c>
      <c r="F119" s="2">
        <v>1</v>
      </c>
      <c r="G119" s="2" t="s">
        <v>12</v>
      </c>
    </row>
    <row r="120" spans="1:7" x14ac:dyDescent="0.2">
      <c r="A120" s="2" t="s">
        <v>198</v>
      </c>
      <c r="B120" s="2" t="s">
        <v>220</v>
      </c>
      <c r="C120" s="2" t="s">
        <v>209</v>
      </c>
      <c r="D120" s="2" t="s">
        <v>10</v>
      </c>
      <c r="E120" s="2" t="s">
        <v>11</v>
      </c>
      <c r="F120" s="2">
        <v>1</v>
      </c>
      <c r="G120" s="2" t="s">
        <v>17</v>
      </c>
    </row>
    <row r="121" spans="1:7" x14ac:dyDescent="0.2">
      <c r="A121" s="2" t="s">
        <v>198</v>
      </c>
      <c r="B121" s="2" t="s">
        <v>221</v>
      </c>
      <c r="C121" s="2" t="s">
        <v>209</v>
      </c>
      <c r="D121" s="2" t="s">
        <v>10</v>
      </c>
      <c r="E121" s="2" t="s">
        <v>11</v>
      </c>
      <c r="F121" s="2">
        <v>1</v>
      </c>
      <c r="G121" s="2" t="s">
        <v>17</v>
      </c>
    </row>
    <row r="122" spans="1:7" x14ac:dyDescent="0.2">
      <c r="A122" s="2" t="s">
        <v>198</v>
      </c>
      <c r="B122" s="2" t="s">
        <v>222</v>
      </c>
      <c r="C122" s="2" t="s">
        <v>207</v>
      </c>
      <c r="D122" s="2" t="s">
        <v>10</v>
      </c>
      <c r="E122" s="2" t="s">
        <v>16</v>
      </c>
      <c r="F122" s="2">
        <v>1</v>
      </c>
      <c r="G122" s="2" t="s">
        <v>17</v>
      </c>
    </row>
    <row r="123" spans="1:7" x14ac:dyDescent="0.2">
      <c r="A123" s="2" t="s">
        <v>198</v>
      </c>
      <c r="B123" s="2" t="s">
        <v>223</v>
      </c>
      <c r="C123" s="2" t="s">
        <v>224</v>
      </c>
      <c r="D123" s="2" t="s">
        <v>10</v>
      </c>
      <c r="E123" s="2" t="s">
        <v>52</v>
      </c>
      <c r="F123" s="2">
        <v>1</v>
      </c>
      <c r="G123" s="2" t="s">
        <v>17</v>
      </c>
    </row>
    <row r="124" spans="1:7" x14ac:dyDescent="0.2">
      <c r="A124" s="2" t="s">
        <v>198</v>
      </c>
      <c r="B124" s="2" t="s">
        <v>225</v>
      </c>
      <c r="C124" s="2" t="s">
        <v>224</v>
      </c>
      <c r="D124" s="2" t="s">
        <v>10</v>
      </c>
      <c r="E124" s="2" t="s">
        <v>52</v>
      </c>
      <c r="F124" s="2">
        <v>1</v>
      </c>
      <c r="G124" s="2" t="s">
        <v>17</v>
      </c>
    </row>
    <row r="125" spans="1:7" x14ac:dyDescent="0.2">
      <c r="A125" s="2" t="s">
        <v>226</v>
      </c>
      <c r="B125" s="2" t="s">
        <v>227</v>
      </c>
      <c r="C125" s="2" t="s">
        <v>228</v>
      </c>
      <c r="D125" s="2" t="s">
        <v>10</v>
      </c>
      <c r="E125" s="2" t="s">
        <v>16</v>
      </c>
      <c r="F125" s="2">
        <v>1</v>
      </c>
      <c r="G125" s="2" t="s">
        <v>17</v>
      </c>
    </row>
    <row r="126" spans="1:7" x14ac:dyDescent="0.2">
      <c r="A126" s="2" t="s">
        <v>226</v>
      </c>
      <c r="B126" s="2" t="s">
        <v>229</v>
      </c>
      <c r="C126" s="2" t="s">
        <v>230</v>
      </c>
      <c r="D126" s="2" t="s">
        <v>10</v>
      </c>
      <c r="E126" s="2" t="s">
        <v>16</v>
      </c>
      <c r="F126" s="2">
        <v>1</v>
      </c>
      <c r="G126" s="2" t="s">
        <v>17</v>
      </c>
    </row>
    <row r="127" spans="1:7" x14ac:dyDescent="0.2">
      <c r="A127" s="2" t="s">
        <v>226</v>
      </c>
      <c r="B127" s="2" t="s">
        <v>231</v>
      </c>
      <c r="C127" s="2" t="s">
        <v>232</v>
      </c>
      <c r="D127" s="2" t="s">
        <v>10</v>
      </c>
      <c r="E127" s="2" t="s">
        <v>16</v>
      </c>
      <c r="F127" s="2">
        <v>1</v>
      </c>
      <c r="G127" s="2" t="s">
        <v>17</v>
      </c>
    </row>
    <row r="128" spans="1:7" x14ac:dyDescent="0.2">
      <c r="A128" s="2" t="s">
        <v>226</v>
      </c>
      <c r="B128" s="2" t="s">
        <v>233</v>
      </c>
      <c r="C128" s="2" t="s">
        <v>232</v>
      </c>
      <c r="D128" s="2" t="s">
        <v>10</v>
      </c>
      <c r="E128" s="2" t="s">
        <v>16</v>
      </c>
      <c r="F128" s="2">
        <v>1</v>
      </c>
      <c r="G128" s="2" t="s">
        <v>17</v>
      </c>
    </row>
    <row r="129" spans="1:7" x14ac:dyDescent="0.2">
      <c r="A129" s="2" t="s">
        <v>234</v>
      </c>
      <c r="B129" s="2" t="s">
        <v>235</v>
      </c>
      <c r="C129" s="2" t="s">
        <v>236</v>
      </c>
      <c r="D129" s="2" t="s">
        <v>29</v>
      </c>
      <c r="E129" s="2" t="s">
        <v>16</v>
      </c>
      <c r="F129" s="2">
        <v>1</v>
      </c>
      <c r="G129" s="2" t="s">
        <v>17</v>
      </c>
    </row>
    <row r="130" spans="1:7" x14ac:dyDescent="0.2">
      <c r="A130" s="2" t="s">
        <v>234</v>
      </c>
      <c r="B130" s="2" t="s">
        <v>237</v>
      </c>
      <c r="C130" s="2" t="s">
        <v>238</v>
      </c>
      <c r="D130" s="2" t="s">
        <v>10</v>
      </c>
      <c r="E130" s="2" t="s">
        <v>16</v>
      </c>
      <c r="F130" s="2">
        <v>1</v>
      </c>
      <c r="G130" s="2" t="s">
        <v>17</v>
      </c>
    </row>
    <row r="131" spans="1:7" x14ac:dyDescent="0.2">
      <c r="A131" s="2" t="s">
        <v>239</v>
      </c>
      <c r="B131" s="2" t="s">
        <v>240</v>
      </c>
      <c r="C131" s="2" t="s">
        <v>241</v>
      </c>
      <c r="D131" s="2" t="s">
        <v>10</v>
      </c>
      <c r="E131" s="2" t="s">
        <v>16</v>
      </c>
      <c r="F131" s="2">
        <v>1</v>
      </c>
      <c r="G131" s="2" t="s">
        <v>17</v>
      </c>
    </row>
    <row r="132" spans="1:7" x14ac:dyDescent="0.2">
      <c r="A132" s="2" t="s">
        <v>239</v>
      </c>
      <c r="B132" s="2" t="s">
        <v>242</v>
      </c>
      <c r="C132" s="2" t="s">
        <v>243</v>
      </c>
      <c r="D132" s="2" t="s">
        <v>10</v>
      </c>
      <c r="E132" s="2" t="s">
        <v>16</v>
      </c>
      <c r="F132" s="2">
        <v>1</v>
      </c>
      <c r="G132" s="2" t="s">
        <v>17</v>
      </c>
    </row>
    <row r="133" spans="1:7" x14ac:dyDescent="0.2">
      <c r="A133" s="2" t="s">
        <v>239</v>
      </c>
      <c r="B133" s="2" t="s">
        <v>244</v>
      </c>
      <c r="C133" s="2" t="s">
        <v>245</v>
      </c>
      <c r="D133" s="2" t="s">
        <v>10</v>
      </c>
      <c r="E133" s="2" t="s">
        <v>16</v>
      </c>
      <c r="F133" s="2">
        <v>1</v>
      </c>
      <c r="G133" s="2" t="s">
        <v>17</v>
      </c>
    </row>
    <row r="134" spans="1:7" x14ac:dyDescent="0.2">
      <c r="A134" s="2" t="s">
        <v>239</v>
      </c>
      <c r="B134" s="2" t="s">
        <v>246</v>
      </c>
      <c r="C134" s="2" t="s">
        <v>247</v>
      </c>
      <c r="D134" s="2" t="s">
        <v>10</v>
      </c>
      <c r="E134" s="2" t="s">
        <v>16</v>
      </c>
      <c r="F134" s="2">
        <v>1</v>
      </c>
      <c r="G134" s="2" t="s">
        <v>17</v>
      </c>
    </row>
    <row r="135" spans="1:7" x14ac:dyDescent="0.2">
      <c r="A135" s="2" t="s">
        <v>248</v>
      </c>
      <c r="B135" s="2" t="s">
        <v>249</v>
      </c>
      <c r="C135" s="2" t="s">
        <v>250</v>
      </c>
      <c r="D135" s="2" t="s">
        <v>10</v>
      </c>
      <c r="E135" s="2" t="s">
        <v>16</v>
      </c>
      <c r="F135" s="2">
        <v>1</v>
      </c>
      <c r="G135" s="2" t="s">
        <v>17</v>
      </c>
    </row>
    <row r="136" spans="1:7" x14ac:dyDescent="0.2">
      <c r="A136" s="2" t="s">
        <v>248</v>
      </c>
      <c r="B136" s="2" t="s">
        <v>251</v>
      </c>
      <c r="C136" s="2" t="s">
        <v>252</v>
      </c>
      <c r="D136" s="2" t="s">
        <v>10</v>
      </c>
      <c r="E136" s="2" t="s">
        <v>16</v>
      </c>
      <c r="F136" s="2">
        <v>1</v>
      </c>
      <c r="G136" s="2" t="s">
        <v>17</v>
      </c>
    </row>
    <row r="137" spans="1:7" x14ac:dyDescent="0.2">
      <c r="A137" s="2" t="s">
        <v>248</v>
      </c>
      <c r="B137" s="2" t="s">
        <v>253</v>
      </c>
      <c r="C137" s="2" t="s">
        <v>183</v>
      </c>
      <c r="D137" s="2" t="s">
        <v>10</v>
      </c>
      <c r="E137" s="2" t="s">
        <v>16</v>
      </c>
      <c r="F137" s="2">
        <v>2</v>
      </c>
      <c r="G137" s="2" t="s">
        <v>17</v>
      </c>
    </row>
    <row r="138" spans="1:7" x14ac:dyDescent="0.2">
      <c r="A138" s="2" t="s">
        <v>248</v>
      </c>
      <c r="B138" s="2" t="s">
        <v>254</v>
      </c>
      <c r="C138" s="2" t="s">
        <v>187</v>
      </c>
      <c r="D138" s="2" t="s">
        <v>10</v>
      </c>
      <c r="E138" s="2" t="s">
        <v>16</v>
      </c>
      <c r="F138" s="2">
        <v>2</v>
      </c>
      <c r="G138" s="2" t="s">
        <v>17</v>
      </c>
    </row>
    <row r="139" spans="1:7" x14ac:dyDescent="0.2">
      <c r="A139" s="2" t="s">
        <v>248</v>
      </c>
      <c r="B139" s="2" t="s">
        <v>255</v>
      </c>
      <c r="C139" s="2" t="s">
        <v>189</v>
      </c>
      <c r="D139" s="2" t="s">
        <v>10</v>
      </c>
      <c r="E139" s="2" t="s">
        <v>16</v>
      </c>
      <c r="F139" s="2">
        <v>2</v>
      </c>
      <c r="G139" s="2" t="s">
        <v>17</v>
      </c>
    </row>
    <row r="140" spans="1:7" x14ac:dyDescent="0.2">
      <c r="A140" s="2" t="s">
        <v>248</v>
      </c>
      <c r="B140" s="2" t="s">
        <v>256</v>
      </c>
      <c r="C140" s="2" t="s">
        <v>257</v>
      </c>
      <c r="D140" s="2" t="s">
        <v>10</v>
      </c>
      <c r="E140" s="2" t="s">
        <v>16</v>
      </c>
      <c r="F140" s="2">
        <v>2</v>
      </c>
      <c r="G140" s="2" t="s">
        <v>17</v>
      </c>
    </row>
    <row r="141" spans="1:7" x14ac:dyDescent="0.2">
      <c r="A141" s="2" t="s">
        <v>248</v>
      </c>
      <c r="B141" s="2" t="s">
        <v>258</v>
      </c>
      <c r="C141" s="2" t="s">
        <v>189</v>
      </c>
      <c r="D141" s="2" t="s">
        <v>10</v>
      </c>
      <c r="E141" s="2" t="s">
        <v>16</v>
      </c>
      <c r="F141" s="2">
        <v>2</v>
      </c>
      <c r="G141" s="2" t="s">
        <v>17</v>
      </c>
    </row>
    <row r="142" spans="1:7" x14ac:dyDescent="0.2">
      <c r="A142" s="2" t="s">
        <v>248</v>
      </c>
      <c r="B142" s="2" t="s">
        <v>259</v>
      </c>
      <c r="C142" s="2" t="s">
        <v>260</v>
      </c>
      <c r="D142" s="2" t="s">
        <v>10</v>
      </c>
      <c r="E142" s="2" t="s">
        <v>52</v>
      </c>
      <c r="F142" s="2">
        <v>2</v>
      </c>
      <c r="G142" s="2" t="s">
        <v>17</v>
      </c>
    </row>
    <row r="143" spans="1:7" x14ac:dyDescent="0.2">
      <c r="A143" s="2" t="s">
        <v>248</v>
      </c>
      <c r="B143" s="2" t="s">
        <v>261</v>
      </c>
      <c r="C143" s="2" t="s">
        <v>260</v>
      </c>
      <c r="D143" s="2" t="s">
        <v>10</v>
      </c>
      <c r="E143" s="2" t="s">
        <v>52</v>
      </c>
      <c r="F143" s="2">
        <v>2</v>
      </c>
      <c r="G143" s="2" t="s">
        <v>17</v>
      </c>
    </row>
    <row r="144" spans="1:7" x14ac:dyDescent="0.2">
      <c r="A144" s="2" t="s">
        <v>248</v>
      </c>
      <c r="B144" s="2" t="s">
        <v>262</v>
      </c>
      <c r="C144" s="2" t="s">
        <v>263</v>
      </c>
      <c r="D144" s="2" t="s">
        <v>10</v>
      </c>
      <c r="E144" s="2" t="s">
        <v>11</v>
      </c>
      <c r="F144" s="2">
        <v>2</v>
      </c>
      <c r="G144" s="2" t="s">
        <v>12</v>
      </c>
    </row>
    <row r="145" spans="1:7" x14ac:dyDescent="0.2">
      <c r="A145" s="2" t="s">
        <v>248</v>
      </c>
      <c r="B145" s="2" t="s">
        <v>264</v>
      </c>
      <c r="C145" s="2" t="s">
        <v>47</v>
      </c>
      <c r="D145" s="2" t="s">
        <v>10</v>
      </c>
      <c r="E145" s="2" t="s">
        <v>16</v>
      </c>
      <c r="F145" s="2">
        <v>1</v>
      </c>
      <c r="G145" s="2" t="s">
        <v>17</v>
      </c>
    </row>
    <row r="146" spans="1:7" x14ac:dyDescent="0.2">
      <c r="A146" s="2" t="s">
        <v>248</v>
      </c>
      <c r="B146" s="2" t="s">
        <v>265</v>
      </c>
      <c r="C146" s="2" t="s">
        <v>47</v>
      </c>
      <c r="D146" s="2" t="s">
        <v>10</v>
      </c>
      <c r="E146" s="2" t="s">
        <v>16</v>
      </c>
      <c r="F146" s="2">
        <v>1</v>
      </c>
      <c r="G146" s="2" t="s">
        <v>17</v>
      </c>
    </row>
    <row r="147" spans="1:7" x14ac:dyDescent="0.2">
      <c r="A147" s="2" t="s">
        <v>248</v>
      </c>
      <c r="B147" s="2" t="s">
        <v>266</v>
      </c>
      <c r="C147" s="2" t="s">
        <v>267</v>
      </c>
      <c r="D147" s="2" t="s">
        <v>10</v>
      </c>
      <c r="E147" s="2" t="s">
        <v>16</v>
      </c>
      <c r="F147" s="2">
        <v>1</v>
      </c>
      <c r="G147" s="2" t="s">
        <v>17</v>
      </c>
    </row>
    <row r="148" spans="1:7" x14ac:dyDescent="0.2">
      <c r="A148" s="2" t="s">
        <v>248</v>
      </c>
      <c r="B148" s="2" t="s">
        <v>268</v>
      </c>
      <c r="C148" s="2" t="s">
        <v>269</v>
      </c>
      <c r="D148" s="2" t="s">
        <v>10</v>
      </c>
      <c r="E148" s="2" t="s">
        <v>16</v>
      </c>
      <c r="F148" s="2">
        <v>1</v>
      </c>
      <c r="G148" s="2" t="s">
        <v>17</v>
      </c>
    </row>
    <row r="149" spans="1:7" x14ac:dyDescent="0.2">
      <c r="A149" s="2" t="s">
        <v>248</v>
      </c>
      <c r="B149" s="2" t="s">
        <v>270</v>
      </c>
      <c r="C149" s="2" t="s">
        <v>267</v>
      </c>
      <c r="D149" s="2" t="s">
        <v>10</v>
      </c>
      <c r="E149" s="2" t="s">
        <v>16</v>
      </c>
      <c r="F149" s="2">
        <v>1</v>
      </c>
      <c r="G149" s="2" t="s">
        <v>17</v>
      </c>
    </row>
    <row r="150" spans="1:7" x14ac:dyDescent="0.2">
      <c r="A150" s="2" t="s">
        <v>248</v>
      </c>
      <c r="B150" s="2" t="s">
        <v>271</v>
      </c>
      <c r="C150" s="2" t="s">
        <v>250</v>
      </c>
      <c r="D150" s="2" t="s">
        <v>10</v>
      </c>
      <c r="E150" s="2" t="s">
        <v>16</v>
      </c>
      <c r="F150" s="2">
        <v>1</v>
      </c>
      <c r="G150" s="2" t="s">
        <v>17</v>
      </c>
    </row>
    <row r="151" spans="1:7" x14ac:dyDescent="0.2">
      <c r="A151" s="2" t="s">
        <v>248</v>
      </c>
      <c r="B151" s="2" t="s">
        <v>272</v>
      </c>
      <c r="C151" s="2" t="s">
        <v>252</v>
      </c>
      <c r="D151" s="2" t="s">
        <v>10</v>
      </c>
      <c r="E151" s="2" t="s">
        <v>16</v>
      </c>
      <c r="F151" s="2">
        <v>1</v>
      </c>
      <c r="G151" s="2" t="s">
        <v>17</v>
      </c>
    </row>
    <row r="152" spans="1:7" x14ac:dyDescent="0.2">
      <c r="A152" s="2" t="s">
        <v>248</v>
      </c>
      <c r="B152" s="2" t="s">
        <v>182</v>
      </c>
      <c r="C152" s="2" t="s">
        <v>183</v>
      </c>
      <c r="D152" s="2" t="s">
        <v>10</v>
      </c>
      <c r="E152" s="2" t="s">
        <v>16</v>
      </c>
      <c r="F152" s="2">
        <v>2</v>
      </c>
      <c r="G152" s="2" t="s">
        <v>17</v>
      </c>
    </row>
    <row r="153" spans="1:7" x14ac:dyDescent="0.2">
      <c r="A153" s="2" t="s">
        <v>248</v>
      </c>
      <c r="B153" s="2" t="s">
        <v>186</v>
      </c>
      <c r="C153" s="2" t="s">
        <v>187</v>
      </c>
      <c r="D153" s="2" t="s">
        <v>10</v>
      </c>
      <c r="E153" s="2" t="s">
        <v>16</v>
      </c>
      <c r="F153" s="2">
        <v>2</v>
      </c>
      <c r="G153" s="2" t="s">
        <v>17</v>
      </c>
    </row>
    <row r="154" spans="1:7" x14ac:dyDescent="0.2">
      <c r="A154" s="2" t="s">
        <v>248</v>
      </c>
      <c r="B154" s="2" t="s">
        <v>191</v>
      </c>
      <c r="C154" s="2" t="s">
        <v>189</v>
      </c>
      <c r="D154" s="2" t="s">
        <v>10</v>
      </c>
      <c r="E154" s="2" t="s">
        <v>16</v>
      </c>
      <c r="F154" s="2">
        <v>2</v>
      </c>
      <c r="G154" s="2" t="s">
        <v>17</v>
      </c>
    </row>
    <row r="155" spans="1:7" x14ac:dyDescent="0.2">
      <c r="A155" s="2" t="s">
        <v>248</v>
      </c>
      <c r="B155" s="2" t="s">
        <v>273</v>
      </c>
      <c r="C155" s="2" t="s">
        <v>189</v>
      </c>
      <c r="D155" s="2" t="s">
        <v>10</v>
      </c>
      <c r="E155" s="2" t="s">
        <v>16</v>
      </c>
      <c r="F155" s="2">
        <v>2</v>
      </c>
      <c r="G155" s="2" t="s">
        <v>17</v>
      </c>
    </row>
    <row r="156" spans="1:7" x14ac:dyDescent="0.2">
      <c r="A156" s="2" t="s">
        <v>248</v>
      </c>
      <c r="B156" s="2" t="s">
        <v>274</v>
      </c>
      <c r="C156" s="2" t="s">
        <v>257</v>
      </c>
      <c r="D156" s="2" t="s">
        <v>10</v>
      </c>
      <c r="E156" s="2" t="s">
        <v>16</v>
      </c>
      <c r="F156" s="2">
        <v>2</v>
      </c>
      <c r="G156" s="2" t="s">
        <v>17</v>
      </c>
    </row>
    <row r="157" spans="1:7" x14ac:dyDescent="0.2">
      <c r="A157" s="2" t="s">
        <v>248</v>
      </c>
      <c r="B157" s="2" t="s">
        <v>275</v>
      </c>
      <c r="C157" s="2" t="s">
        <v>263</v>
      </c>
      <c r="D157" s="2" t="s">
        <v>10</v>
      </c>
      <c r="E157" s="2" t="s">
        <v>11</v>
      </c>
      <c r="F157" s="2">
        <v>2</v>
      </c>
      <c r="G157" s="2" t="s">
        <v>12</v>
      </c>
    </row>
    <row r="158" spans="1:7" x14ac:dyDescent="0.2">
      <c r="A158" s="2" t="s">
        <v>248</v>
      </c>
      <c r="B158" s="2" t="s">
        <v>276</v>
      </c>
      <c r="C158" s="2" t="s">
        <v>269</v>
      </c>
      <c r="D158" s="2" t="s">
        <v>10</v>
      </c>
      <c r="E158" s="2" t="s">
        <v>16</v>
      </c>
      <c r="F158" s="2">
        <v>1</v>
      </c>
      <c r="G158" s="2" t="s">
        <v>17</v>
      </c>
    </row>
    <row r="159" spans="1:7" x14ac:dyDescent="0.2">
      <c r="A159" s="2" t="s">
        <v>248</v>
      </c>
      <c r="B159" s="2" t="s">
        <v>277</v>
      </c>
      <c r="C159" s="2" t="s">
        <v>260</v>
      </c>
      <c r="D159" s="2" t="s">
        <v>10</v>
      </c>
      <c r="E159" s="2" t="s">
        <v>52</v>
      </c>
      <c r="F159" s="2">
        <v>2</v>
      </c>
      <c r="G159" s="2" t="s">
        <v>17</v>
      </c>
    </row>
    <row r="160" spans="1:7" x14ac:dyDescent="0.2">
      <c r="A160" s="2" t="s">
        <v>278</v>
      </c>
      <c r="B160" s="2" t="s">
        <v>279</v>
      </c>
      <c r="C160" s="2" t="s">
        <v>280</v>
      </c>
      <c r="D160" s="2" t="s">
        <v>10</v>
      </c>
      <c r="E160" s="2" t="s">
        <v>16</v>
      </c>
      <c r="F160" s="2">
        <v>1</v>
      </c>
      <c r="G160" s="2" t="s">
        <v>17</v>
      </c>
    </row>
    <row r="161" spans="1:7" x14ac:dyDescent="0.2">
      <c r="A161" s="2" t="s">
        <v>281</v>
      </c>
      <c r="B161" s="2" t="s">
        <v>282</v>
      </c>
      <c r="C161" s="2" t="s">
        <v>283</v>
      </c>
      <c r="D161" s="2" t="s">
        <v>56</v>
      </c>
      <c r="E161" s="2" t="s">
        <v>16</v>
      </c>
      <c r="F161" s="2">
        <v>1</v>
      </c>
      <c r="G161" s="2" t="s">
        <v>17</v>
      </c>
    </row>
    <row r="162" spans="1:7" x14ac:dyDescent="0.2">
      <c r="A162" s="2" t="s">
        <v>284</v>
      </c>
      <c r="B162" s="2" t="s">
        <v>285</v>
      </c>
      <c r="C162" s="2" t="s">
        <v>286</v>
      </c>
      <c r="D162" s="2" t="s">
        <v>29</v>
      </c>
      <c r="E162" s="2" t="s">
        <v>16</v>
      </c>
      <c r="F162" s="2">
        <v>1</v>
      </c>
      <c r="G162" s="2" t="s">
        <v>17</v>
      </c>
    </row>
    <row r="163" spans="1:7" x14ac:dyDescent="0.2">
      <c r="A163" s="2" t="s">
        <v>287</v>
      </c>
      <c r="B163" s="2" t="s">
        <v>288</v>
      </c>
      <c r="C163" s="2" t="s">
        <v>289</v>
      </c>
      <c r="D163" s="2" t="s">
        <v>10</v>
      </c>
      <c r="E163" s="2" t="s">
        <v>16</v>
      </c>
      <c r="F163" s="2">
        <v>1</v>
      </c>
      <c r="G163" s="2" t="s">
        <v>17</v>
      </c>
    </row>
    <row r="164" spans="1:7" x14ac:dyDescent="0.2">
      <c r="A164" s="2" t="s">
        <v>290</v>
      </c>
      <c r="B164" s="2" t="s">
        <v>291</v>
      </c>
      <c r="C164" s="2" t="s">
        <v>292</v>
      </c>
      <c r="D164" s="2" t="s">
        <v>10</v>
      </c>
      <c r="E164" s="2" t="s">
        <v>16</v>
      </c>
      <c r="F164" s="2">
        <v>1</v>
      </c>
      <c r="G164" s="2" t="s">
        <v>17</v>
      </c>
    </row>
    <row r="165" spans="1:7" x14ac:dyDescent="0.2">
      <c r="A165" s="2" t="s">
        <v>290</v>
      </c>
      <c r="B165" s="2" t="s">
        <v>293</v>
      </c>
      <c r="C165" s="2" t="s">
        <v>292</v>
      </c>
      <c r="D165" s="2" t="s">
        <v>10</v>
      </c>
      <c r="E165" s="2" t="s">
        <v>16</v>
      </c>
      <c r="F165" s="2">
        <v>1</v>
      </c>
      <c r="G165" s="2" t="s">
        <v>17</v>
      </c>
    </row>
    <row r="166" spans="1:7" x14ac:dyDescent="0.2">
      <c r="A166" s="2" t="s">
        <v>294</v>
      </c>
      <c r="B166" s="2" t="s">
        <v>295</v>
      </c>
      <c r="C166" s="2" t="s">
        <v>296</v>
      </c>
      <c r="D166" s="2" t="s">
        <v>10</v>
      </c>
      <c r="E166" s="2" t="s">
        <v>16</v>
      </c>
      <c r="F166" s="2">
        <v>1</v>
      </c>
      <c r="G166" s="2" t="s">
        <v>17</v>
      </c>
    </row>
    <row r="167" spans="1:7" x14ac:dyDescent="0.2">
      <c r="A167" s="2" t="s">
        <v>297</v>
      </c>
      <c r="B167" s="2" t="s">
        <v>298</v>
      </c>
      <c r="C167" s="2" t="s">
        <v>299</v>
      </c>
      <c r="D167" s="2" t="s">
        <v>10</v>
      </c>
      <c r="E167" s="2" t="s">
        <v>16</v>
      </c>
      <c r="F167" s="2">
        <v>1</v>
      </c>
      <c r="G167" s="2" t="s">
        <v>17</v>
      </c>
    </row>
    <row r="168" spans="1:7" x14ac:dyDescent="0.2">
      <c r="A168" s="2" t="s">
        <v>297</v>
      </c>
      <c r="B168" s="2" t="s">
        <v>300</v>
      </c>
      <c r="C168" s="2" t="s">
        <v>299</v>
      </c>
      <c r="D168" s="2" t="s">
        <v>10</v>
      </c>
      <c r="E168" s="2" t="s">
        <v>16</v>
      </c>
      <c r="F168" s="2">
        <v>1</v>
      </c>
      <c r="G168" s="2" t="s">
        <v>17</v>
      </c>
    </row>
    <row r="169" spans="1:7" x14ac:dyDescent="0.2">
      <c r="A169" s="2" t="s">
        <v>301</v>
      </c>
      <c r="B169" s="2" t="s">
        <v>302</v>
      </c>
      <c r="C169" s="2" t="s">
        <v>303</v>
      </c>
      <c r="D169" s="2" t="s">
        <v>10</v>
      </c>
      <c r="E169" s="2" t="s">
        <v>16</v>
      </c>
      <c r="F169" s="2">
        <v>1</v>
      </c>
      <c r="G169" s="2" t="s">
        <v>17</v>
      </c>
    </row>
    <row r="170" spans="1:7" x14ac:dyDescent="0.2">
      <c r="A170" s="2" t="s">
        <v>304</v>
      </c>
      <c r="B170" s="2" t="s">
        <v>305</v>
      </c>
      <c r="C170" s="2" t="s">
        <v>306</v>
      </c>
      <c r="D170" s="2" t="s">
        <v>10</v>
      </c>
      <c r="E170" s="2" t="s">
        <v>16</v>
      </c>
      <c r="F170" s="2">
        <v>1</v>
      </c>
      <c r="G170" s="2" t="s">
        <v>17</v>
      </c>
    </row>
    <row r="171" spans="1:7" x14ac:dyDescent="0.2">
      <c r="A171" s="2" t="s">
        <v>304</v>
      </c>
      <c r="B171" s="2" t="s">
        <v>307</v>
      </c>
      <c r="C171" s="2" t="s">
        <v>306</v>
      </c>
      <c r="D171" s="2" t="s">
        <v>10</v>
      </c>
      <c r="E171" s="2" t="s">
        <v>16</v>
      </c>
      <c r="F171" s="2">
        <v>1</v>
      </c>
      <c r="G171" s="2" t="s">
        <v>17</v>
      </c>
    </row>
    <row r="172" spans="1:7" x14ac:dyDescent="0.2">
      <c r="A172" s="2" t="s">
        <v>308</v>
      </c>
      <c r="B172" s="2" t="s">
        <v>309</v>
      </c>
      <c r="C172" s="2" t="s">
        <v>310</v>
      </c>
      <c r="D172" s="2" t="s">
        <v>10</v>
      </c>
      <c r="E172" s="2" t="s">
        <v>16</v>
      </c>
      <c r="F172" s="2">
        <v>1</v>
      </c>
      <c r="G172" s="2" t="s">
        <v>17</v>
      </c>
    </row>
    <row r="173" spans="1:7" x14ac:dyDescent="0.2">
      <c r="A173" s="2" t="s">
        <v>308</v>
      </c>
      <c r="B173" s="2" t="s">
        <v>311</v>
      </c>
      <c r="C173" s="2" t="s">
        <v>310</v>
      </c>
      <c r="D173" s="2" t="s">
        <v>10</v>
      </c>
      <c r="E173" s="2" t="s">
        <v>16</v>
      </c>
      <c r="F173" s="2">
        <v>1</v>
      </c>
      <c r="G173" s="2" t="s">
        <v>17</v>
      </c>
    </row>
    <row r="174" spans="1:7" x14ac:dyDescent="0.2">
      <c r="A174" s="2" t="s">
        <v>308</v>
      </c>
      <c r="B174" s="2" t="s">
        <v>312</v>
      </c>
      <c r="C174" s="2" t="s">
        <v>310</v>
      </c>
      <c r="D174" s="2" t="s">
        <v>10</v>
      </c>
      <c r="E174" s="2" t="s">
        <v>16</v>
      </c>
      <c r="F174" s="2">
        <v>1</v>
      </c>
      <c r="G174" s="2" t="s">
        <v>17</v>
      </c>
    </row>
    <row r="175" spans="1:7" x14ac:dyDescent="0.2">
      <c r="A175" s="2" t="s">
        <v>308</v>
      </c>
      <c r="B175" s="2" t="s">
        <v>313</v>
      </c>
      <c r="C175" s="2" t="s">
        <v>314</v>
      </c>
      <c r="D175" s="2" t="s">
        <v>10</v>
      </c>
      <c r="E175" s="2" t="s">
        <v>16</v>
      </c>
      <c r="F175" s="2">
        <v>1</v>
      </c>
      <c r="G175" s="2" t="s">
        <v>17</v>
      </c>
    </row>
    <row r="176" spans="1:7" x14ac:dyDescent="0.2">
      <c r="A176" s="2" t="s">
        <v>315</v>
      </c>
      <c r="B176" s="2" t="s">
        <v>316</v>
      </c>
      <c r="C176" s="2" t="s">
        <v>317</v>
      </c>
      <c r="D176" s="2" t="s">
        <v>10</v>
      </c>
      <c r="E176" s="2" t="s">
        <v>52</v>
      </c>
      <c r="F176" s="2">
        <v>4</v>
      </c>
      <c r="G176" s="2" t="s">
        <v>12</v>
      </c>
    </row>
    <row r="177" spans="1:7" x14ac:dyDescent="0.2">
      <c r="A177" s="2" t="s">
        <v>315</v>
      </c>
      <c r="B177" s="2" t="s">
        <v>318</v>
      </c>
      <c r="C177" s="2" t="s">
        <v>317</v>
      </c>
      <c r="D177" s="2" t="s">
        <v>10</v>
      </c>
      <c r="E177" s="2" t="s">
        <v>52</v>
      </c>
      <c r="F177" s="2">
        <v>4</v>
      </c>
      <c r="G177" s="2" t="s">
        <v>12</v>
      </c>
    </row>
    <row r="178" spans="1:7" x14ac:dyDescent="0.2">
      <c r="A178" s="2" t="s">
        <v>319</v>
      </c>
      <c r="B178" s="2" t="s">
        <v>320</v>
      </c>
      <c r="C178" s="2" t="s">
        <v>321</v>
      </c>
      <c r="D178" s="2" t="s">
        <v>64</v>
      </c>
      <c r="E178" s="2" t="s">
        <v>16</v>
      </c>
      <c r="F178" s="2">
        <v>1</v>
      </c>
      <c r="G178" s="2" t="s">
        <v>17</v>
      </c>
    </row>
    <row r="179" spans="1:7" x14ac:dyDescent="0.2">
      <c r="A179" s="2" t="s">
        <v>322</v>
      </c>
      <c r="B179" s="2" t="s">
        <v>285</v>
      </c>
      <c r="C179" s="2" t="s">
        <v>286</v>
      </c>
      <c r="D179" s="2" t="s">
        <v>29</v>
      </c>
      <c r="E179" s="2" t="s">
        <v>16</v>
      </c>
      <c r="F179" s="2">
        <v>1</v>
      </c>
      <c r="G179" s="2" t="s">
        <v>17</v>
      </c>
    </row>
    <row r="180" spans="1:7" x14ac:dyDescent="0.2">
      <c r="A180" s="2" t="s">
        <v>323</v>
      </c>
      <c r="B180" s="2" t="s">
        <v>324</v>
      </c>
      <c r="C180" s="2" t="s">
        <v>325</v>
      </c>
      <c r="D180" s="2" t="s">
        <v>10</v>
      </c>
      <c r="E180" s="2" t="s">
        <v>16</v>
      </c>
      <c r="F180" s="2">
        <v>1</v>
      </c>
      <c r="G180" s="2" t="s">
        <v>17</v>
      </c>
    </row>
    <row r="181" spans="1:7" x14ac:dyDescent="0.2">
      <c r="A181" s="2" t="s">
        <v>323</v>
      </c>
      <c r="B181" s="2" t="s">
        <v>326</v>
      </c>
      <c r="C181" s="2" t="s">
        <v>325</v>
      </c>
      <c r="D181" s="2" t="s">
        <v>10</v>
      </c>
      <c r="E181" s="2" t="s">
        <v>16</v>
      </c>
      <c r="F181" s="2">
        <v>1</v>
      </c>
      <c r="G181" s="2" t="s">
        <v>17</v>
      </c>
    </row>
    <row r="182" spans="1:7" x14ac:dyDescent="0.2">
      <c r="A182" s="2" t="s">
        <v>323</v>
      </c>
      <c r="B182" s="2" t="s">
        <v>327</v>
      </c>
      <c r="C182" s="2" t="s">
        <v>325</v>
      </c>
      <c r="D182" s="2" t="s">
        <v>10</v>
      </c>
      <c r="E182" s="2" t="s">
        <v>16</v>
      </c>
      <c r="F182" s="2">
        <v>1</v>
      </c>
      <c r="G182" s="2" t="s">
        <v>17</v>
      </c>
    </row>
    <row r="183" spans="1:7" x14ac:dyDescent="0.2">
      <c r="A183" s="2" t="s">
        <v>323</v>
      </c>
      <c r="B183" s="2" t="s">
        <v>328</v>
      </c>
      <c r="C183" s="2" t="s">
        <v>325</v>
      </c>
      <c r="D183" s="2" t="s">
        <v>10</v>
      </c>
      <c r="E183" s="2" t="s">
        <v>16</v>
      </c>
      <c r="F183" s="2">
        <v>1</v>
      </c>
      <c r="G183" s="2" t="s">
        <v>17</v>
      </c>
    </row>
    <row r="184" spans="1:7" x14ac:dyDescent="0.2">
      <c r="A184" s="2" t="s">
        <v>323</v>
      </c>
      <c r="B184" s="2" t="s">
        <v>329</v>
      </c>
      <c r="C184" s="2" t="s">
        <v>325</v>
      </c>
      <c r="D184" s="2" t="s">
        <v>10</v>
      </c>
      <c r="E184" s="2" t="s">
        <v>16</v>
      </c>
      <c r="F184" s="2">
        <v>1</v>
      </c>
      <c r="G184" s="2" t="s">
        <v>17</v>
      </c>
    </row>
    <row r="185" spans="1:7" x14ac:dyDescent="0.2">
      <c r="A185" s="2" t="s">
        <v>330</v>
      </c>
      <c r="B185" s="2" t="s">
        <v>331</v>
      </c>
      <c r="C185" s="2" t="s">
        <v>332</v>
      </c>
      <c r="D185" s="2" t="s">
        <v>10</v>
      </c>
      <c r="E185" s="2" t="s">
        <v>16</v>
      </c>
      <c r="F185" s="2">
        <v>1</v>
      </c>
      <c r="G185" s="2" t="s">
        <v>17</v>
      </c>
    </row>
    <row r="186" spans="1:7" x14ac:dyDescent="0.2">
      <c r="A186" s="2" t="s">
        <v>330</v>
      </c>
      <c r="B186" s="2" t="s">
        <v>333</v>
      </c>
      <c r="C186" s="2" t="s">
        <v>332</v>
      </c>
      <c r="D186" s="2" t="s">
        <v>10</v>
      </c>
      <c r="E186" s="2" t="s">
        <v>16</v>
      </c>
      <c r="F186" s="2">
        <v>1</v>
      </c>
      <c r="G186" s="2" t="s">
        <v>17</v>
      </c>
    </row>
    <row r="187" spans="1:7" x14ac:dyDescent="0.2">
      <c r="A187" s="2" t="s">
        <v>330</v>
      </c>
      <c r="B187" s="2" t="s">
        <v>334</v>
      </c>
      <c r="C187" s="2" t="s">
        <v>335</v>
      </c>
      <c r="D187" s="2" t="s">
        <v>10</v>
      </c>
      <c r="E187" s="2" t="s">
        <v>16</v>
      </c>
      <c r="F187" s="2">
        <v>1</v>
      </c>
      <c r="G187" s="2" t="s">
        <v>17</v>
      </c>
    </row>
    <row r="188" spans="1:7" x14ac:dyDescent="0.2">
      <c r="A188" s="2" t="s">
        <v>330</v>
      </c>
      <c r="B188" s="2" t="s">
        <v>336</v>
      </c>
      <c r="C188" s="2" t="s">
        <v>335</v>
      </c>
      <c r="D188" s="2" t="s">
        <v>10</v>
      </c>
      <c r="E188" s="2" t="s">
        <v>16</v>
      </c>
      <c r="F188" s="2">
        <v>1</v>
      </c>
      <c r="G188" s="2" t="s">
        <v>17</v>
      </c>
    </row>
    <row r="189" spans="1:7" x14ac:dyDescent="0.2">
      <c r="A189" s="2" t="s">
        <v>330</v>
      </c>
      <c r="B189" s="2" t="s">
        <v>337</v>
      </c>
      <c r="C189" s="2" t="s">
        <v>338</v>
      </c>
      <c r="D189" s="2" t="s">
        <v>10</v>
      </c>
      <c r="E189" s="2" t="s">
        <v>16</v>
      </c>
      <c r="F189" s="2">
        <v>1</v>
      </c>
      <c r="G189" s="2" t="s">
        <v>17</v>
      </c>
    </row>
    <row r="190" spans="1:7" x14ac:dyDescent="0.2">
      <c r="A190" s="2" t="s">
        <v>339</v>
      </c>
      <c r="B190" s="2" t="s">
        <v>340</v>
      </c>
      <c r="C190" s="2" t="s">
        <v>325</v>
      </c>
      <c r="D190" s="2" t="s">
        <v>10</v>
      </c>
      <c r="E190" s="2" t="s">
        <v>16</v>
      </c>
      <c r="F190" s="2">
        <v>1</v>
      </c>
      <c r="G190" s="2" t="s">
        <v>17</v>
      </c>
    </row>
    <row r="191" spans="1:7" x14ac:dyDescent="0.2">
      <c r="A191" s="2" t="s">
        <v>341</v>
      </c>
      <c r="B191" s="2" t="s">
        <v>342</v>
      </c>
      <c r="C191" s="2" t="s">
        <v>343</v>
      </c>
      <c r="D191" s="2" t="s">
        <v>10</v>
      </c>
      <c r="E191" s="2" t="s">
        <v>16</v>
      </c>
      <c r="F191" s="2">
        <v>1</v>
      </c>
      <c r="G191" s="2" t="s">
        <v>17</v>
      </c>
    </row>
    <row r="192" spans="1:7" x14ac:dyDescent="0.2">
      <c r="A192" s="2" t="s">
        <v>341</v>
      </c>
      <c r="B192" s="2" t="s">
        <v>344</v>
      </c>
      <c r="C192" s="2" t="s">
        <v>343</v>
      </c>
      <c r="D192" s="2" t="s">
        <v>10</v>
      </c>
      <c r="E192" s="2" t="s">
        <v>16</v>
      </c>
      <c r="F192" s="2">
        <v>1</v>
      </c>
      <c r="G192" s="2" t="s">
        <v>17</v>
      </c>
    </row>
    <row r="193" spans="1:7" x14ac:dyDescent="0.2">
      <c r="A193" s="2" t="s">
        <v>345</v>
      </c>
      <c r="B193" s="2" t="s">
        <v>346</v>
      </c>
      <c r="C193" s="2" t="s">
        <v>347</v>
      </c>
      <c r="D193" s="2" t="s">
        <v>10</v>
      </c>
      <c r="E193" s="2" t="s">
        <v>16</v>
      </c>
      <c r="F193" s="2">
        <v>1</v>
      </c>
      <c r="G193" s="2" t="s">
        <v>17</v>
      </c>
    </row>
    <row r="194" spans="1:7" x14ac:dyDescent="0.2">
      <c r="A194" s="2" t="s">
        <v>348</v>
      </c>
      <c r="B194" s="2" t="s">
        <v>349</v>
      </c>
      <c r="C194" s="2" t="s">
        <v>350</v>
      </c>
      <c r="D194" s="2" t="s">
        <v>10</v>
      </c>
      <c r="E194" s="2" t="s">
        <v>16</v>
      </c>
      <c r="F194" s="2">
        <v>1</v>
      </c>
      <c r="G194" s="2" t="s">
        <v>17</v>
      </c>
    </row>
    <row r="195" spans="1:7" x14ac:dyDescent="0.2">
      <c r="A195" s="2" t="s">
        <v>348</v>
      </c>
      <c r="B195" s="2" t="s">
        <v>351</v>
      </c>
      <c r="C195" s="2" t="s">
        <v>350</v>
      </c>
      <c r="D195" s="2" t="s">
        <v>10</v>
      </c>
      <c r="E195" s="2" t="s">
        <v>16</v>
      </c>
      <c r="F195" s="2">
        <v>1</v>
      </c>
      <c r="G195" s="2" t="s">
        <v>17</v>
      </c>
    </row>
    <row r="196" spans="1:7" x14ac:dyDescent="0.2">
      <c r="A196" s="2" t="s">
        <v>348</v>
      </c>
      <c r="B196" s="2" t="s">
        <v>352</v>
      </c>
      <c r="C196" s="2" t="s">
        <v>335</v>
      </c>
      <c r="D196" s="2" t="s">
        <v>10</v>
      </c>
      <c r="E196" s="2" t="s">
        <v>16</v>
      </c>
      <c r="F196" s="2">
        <v>1</v>
      </c>
      <c r="G196" s="2" t="s">
        <v>17</v>
      </c>
    </row>
    <row r="197" spans="1:7" x14ac:dyDescent="0.2">
      <c r="A197" s="2" t="s">
        <v>348</v>
      </c>
      <c r="B197" s="2" t="s">
        <v>336</v>
      </c>
      <c r="C197" s="2" t="s">
        <v>335</v>
      </c>
      <c r="D197" s="2" t="s">
        <v>10</v>
      </c>
      <c r="E197" s="2" t="s">
        <v>16</v>
      </c>
      <c r="F197" s="2">
        <v>1</v>
      </c>
      <c r="G197" s="2" t="s">
        <v>17</v>
      </c>
    </row>
    <row r="198" spans="1:7" x14ac:dyDescent="0.2">
      <c r="A198" s="2" t="s">
        <v>348</v>
      </c>
      <c r="B198" s="2" t="s">
        <v>353</v>
      </c>
      <c r="C198" s="2" t="s">
        <v>332</v>
      </c>
      <c r="D198" s="2" t="s">
        <v>10</v>
      </c>
      <c r="E198" s="2" t="s">
        <v>16</v>
      </c>
      <c r="F198" s="2">
        <v>1</v>
      </c>
      <c r="G198" s="2" t="s">
        <v>17</v>
      </c>
    </row>
    <row r="199" spans="1:7" x14ac:dyDescent="0.2">
      <c r="A199" s="2" t="s">
        <v>348</v>
      </c>
      <c r="B199" s="2" t="s">
        <v>333</v>
      </c>
      <c r="C199" s="2" t="s">
        <v>332</v>
      </c>
      <c r="D199" s="2" t="s">
        <v>10</v>
      </c>
      <c r="E199" s="2" t="s">
        <v>16</v>
      </c>
      <c r="F199" s="2">
        <v>1</v>
      </c>
      <c r="G199" s="2" t="s">
        <v>17</v>
      </c>
    </row>
    <row r="200" spans="1:7" x14ac:dyDescent="0.2">
      <c r="A200" s="2" t="s">
        <v>348</v>
      </c>
      <c r="B200" s="2" t="s">
        <v>354</v>
      </c>
      <c r="C200" s="2" t="s">
        <v>335</v>
      </c>
      <c r="D200" s="2" t="s">
        <v>10</v>
      </c>
      <c r="E200" s="2" t="s">
        <v>16</v>
      </c>
      <c r="F200" s="2">
        <v>1</v>
      </c>
      <c r="G200" s="2" t="s">
        <v>17</v>
      </c>
    </row>
    <row r="201" spans="1:7" x14ac:dyDescent="0.2">
      <c r="A201" s="2" t="s">
        <v>348</v>
      </c>
      <c r="B201" s="2" t="s">
        <v>355</v>
      </c>
      <c r="C201" s="2" t="s">
        <v>335</v>
      </c>
      <c r="D201" s="2" t="s">
        <v>10</v>
      </c>
      <c r="E201" s="2" t="s">
        <v>16</v>
      </c>
      <c r="F201" s="2">
        <v>1</v>
      </c>
      <c r="G201" s="2" t="s">
        <v>17</v>
      </c>
    </row>
    <row r="202" spans="1:7" x14ac:dyDescent="0.2">
      <c r="A202" s="2" t="s">
        <v>356</v>
      </c>
      <c r="B202" s="2" t="s">
        <v>357</v>
      </c>
      <c r="C202" s="2" t="s">
        <v>358</v>
      </c>
      <c r="D202" s="2" t="s">
        <v>10</v>
      </c>
      <c r="E202" s="2" t="s">
        <v>16</v>
      </c>
      <c r="F202" s="2">
        <v>1</v>
      </c>
      <c r="G202" s="2" t="s">
        <v>17</v>
      </c>
    </row>
    <row r="203" spans="1:7" x14ac:dyDescent="0.2">
      <c r="A203" s="2" t="s">
        <v>359</v>
      </c>
      <c r="B203" s="2" t="s">
        <v>360</v>
      </c>
      <c r="C203" s="2" t="s">
        <v>361</v>
      </c>
      <c r="D203" s="2" t="s">
        <v>10</v>
      </c>
      <c r="E203" s="2" t="s">
        <v>16</v>
      </c>
      <c r="F203" s="2">
        <v>1</v>
      </c>
      <c r="G203" s="2" t="s">
        <v>17</v>
      </c>
    </row>
    <row r="204" spans="1:7" x14ac:dyDescent="0.2">
      <c r="A204" s="2" t="s">
        <v>362</v>
      </c>
      <c r="B204" s="2" t="s">
        <v>363</v>
      </c>
      <c r="C204" s="2" t="s">
        <v>364</v>
      </c>
      <c r="D204" s="2" t="s">
        <v>10</v>
      </c>
      <c r="E204" s="2" t="s">
        <v>16</v>
      </c>
      <c r="F204" s="2">
        <v>1</v>
      </c>
      <c r="G204" s="2" t="s">
        <v>17</v>
      </c>
    </row>
    <row r="205" spans="1:7" x14ac:dyDescent="0.2">
      <c r="A205" s="2" t="s">
        <v>362</v>
      </c>
      <c r="B205" s="2" t="s">
        <v>365</v>
      </c>
      <c r="C205" s="2" t="s">
        <v>366</v>
      </c>
      <c r="D205" s="2" t="s">
        <v>29</v>
      </c>
      <c r="E205" s="2" t="s">
        <v>16</v>
      </c>
      <c r="F205" s="2">
        <v>1</v>
      </c>
      <c r="G205" s="2" t="s">
        <v>17</v>
      </c>
    </row>
    <row r="206" spans="1:7" x14ac:dyDescent="0.2">
      <c r="A206" s="2" t="s">
        <v>362</v>
      </c>
      <c r="B206" s="2" t="s">
        <v>367</v>
      </c>
      <c r="C206" s="2" t="s">
        <v>368</v>
      </c>
      <c r="D206" s="2" t="s">
        <v>10</v>
      </c>
      <c r="E206" s="2" t="s">
        <v>16</v>
      </c>
      <c r="F206" s="2">
        <v>1</v>
      </c>
      <c r="G206" s="2" t="s">
        <v>17</v>
      </c>
    </row>
    <row r="207" spans="1:7" x14ac:dyDescent="0.2">
      <c r="A207" s="2" t="s">
        <v>362</v>
      </c>
      <c r="B207" s="2" t="s">
        <v>369</v>
      </c>
      <c r="C207" s="2" t="s">
        <v>366</v>
      </c>
      <c r="D207" s="2" t="s">
        <v>29</v>
      </c>
      <c r="E207" s="2" t="s">
        <v>16</v>
      </c>
      <c r="F207" s="2">
        <v>1</v>
      </c>
      <c r="G207" s="2" t="s">
        <v>17</v>
      </c>
    </row>
    <row r="208" spans="1:7" x14ac:dyDescent="0.2">
      <c r="A208" s="2" t="s">
        <v>370</v>
      </c>
      <c r="B208" s="2" t="s">
        <v>371</v>
      </c>
      <c r="C208" s="2" t="s">
        <v>372</v>
      </c>
      <c r="D208" s="2" t="s">
        <v>10</v>
      </c>
      <c r="E208" s="2" t="s">
        <v>16</v>
      </c>
      <c r="F208" s="2">
        <v>1</v>
      </c>
      <c r="G208" s="2" t="s">
        <v>17</v>
      </c>
    </row>
    <row r="209" spans="1:7" x14ac:dyDescent="0.2">
      <c r="A209" s="2" t="s">
        <v>370</v>
      </c>
      <c r="B209" s="2" t="s">
        <v>373</v>
      </c>
      <c r="C209" s="2" t="s">
        <v>374</v>
      </c>
      <c r="D209" s="2" t="s">
        <v>10</v>
      </c>
      <c r="E209" s="2" t="s">
        <v>16</v>
      </c>
      <c r="F209" s="2">
        <v>1</v>
      </c>
      <c r="G209" s="2" t="s">
        <v>17</v>
      </c>
    </row>
    <row r="210" spans="1:7" x14ac:dyDescent="0.2">
      <c r="A210" s="2" t="s">
        <v>370</v>
      </c>
      <c r="B210" s="2" t="s">
        <v>375</v>
      </c>
      <c r="C210" s="2" t="s">
        <v>374</v>
      </c>
      <c r="D210" s="2" t="s">
        <v>10</v>
      </c>
      <c r="E210" s="2" t="s">
        <v>16</v>
      </c>
      <c r="F210" s="2">
        <v>1</v>
      </c>
      <c r="G210" s="2" t="s">
        <v>17</v>
      </c>
    </row>
    <row r="211" spans="1:7" x14ac:dyDescent="0.2">
      <c r="A211" s="2" t="s">
        <v>370</v>
      </c>
      <c r="B211" s="2" t="s">
        <v>376</v>
      </c>
      <c r="C211" s="2" t="s">
        <v>377</v>
      </c>
      <c r="D211" s="2" t="s">
        <v>10</v>
      </c>
      <c r="E211" s="2" t="s">
        <v>16</v>
      </c>
      <c r="F211" s="2">
        <v>1</v>
      </c>
      <c r="G211" s="2" t="s">
        <v>17</v>
      </c>
    </row>
    <row r="212" spans="1:7" x14ac:dyDescent="0.2">
      <c r="A212" s="2" t="s">
        <v>370</v>
      </c>
      <c r="B212" s="2" t="s">
        <v>378</v>
      </c>
      <c r="C212" s="2" t="s">
        <v>379</v>
      </c>
      <c r="D212" s="2" t="s">
        <v>10</v>
      </c>
      <c r="E212" s="2" t="s">
        <v>16</v>
      </c>
      <c r="F212" s="2">
        <v>1</v>
      </c>
      <c r="G212" s="2" t="s">
        <v>17</v>
      </c>
    </row>
    <row r="213" spans="1:7" x14ac:dyDescent="0.2">
      <c r="A213" s="2" t="s">
        <v>370</v>
      </c>
      <c r="B213" s="2" t="s">
        <v>380</v>
      </c>
      <c r="C213" s="2" t="s">
        <v>379</v>
      </c>
      <c r="D213" s="2" t="s">
        <v>10</v>
      </c>
      <c r="E213" s="2" t="s">
        <v>16</v>
      </c>
      <c r="F213" s="2">
        <v>1</v>
      </c>
      <c r="G213" s="2" t="s">
        <v>17</v>
      </c>
    </row>
    <row r="214" spans="1:7" x14ac:dyDescent="0.2">
      <c r="A214" s="2" t="s">
        <v>370</v>
      </c>
      <c r="B214" s="2" t="s">
        <v>381</v>
      </c>
      <c r="C214" s="2" t="s">
        <v>382</v>
      </c>
      <c r="D214" s="2" t="s">
        <v>10</v>
      </c>
      <c r="E214" s="2" t="s">
        <v>52</v>
      </c>
      <c r="F214" s="2">
        <v>1</v>
      </c>
      <c r="G214" s="2" t="s">
        <v>17</v>
      </c>
    </row>
    <row r="215" spans="1:7" x14ac:dyDescent="0.2">
      <c r="A215" s="2" t="s">
        <v>370</v>
      </c>
      <c r="B215" s="2" t="s">
        <v>383</v>
      </c>
      <c r="C215" s="2" t="s">
        <v>382</v>
      </c>
      <c r="D215" s="2" t="s">
        <v>10</v>
      </c>
      <c r="E215" s="2" t="s">
        <v>52</v>
      </c>
      <c r="F215" s="2">
        <v>1</v>
      </c>
      <c r="G215" s="2" t="s">
        <v>17</v>
      </c>
    </row>
    <row r="216" spans="1:7" x14ac:dyDescent="0.2">
      <c r="A216" s="2" t="s">
        <v>370</v>
      </c>
      <c r="B216" s="2" t="s">
        <v>384</v>
      </c>
      <c r="C216" s="2" t="s">
        <v>385</v>
      </c>
      <c r="D216" s="2" t="s">
        <v>10</v>
      </c>
      <c r="E216" s="2" t="s">
        <v>52</v>
      </c>
      <c r="F216" s="2">
        <v>1</v>
      </c>
      <c r="G216" s="2" t="s">
        <v>17</v>
      </c>
    </row>
    <row r="217" spans="1:7" x14ac:dyDescent="0.2">
      <c r="A217" s="2" t="s">
        <v>370</v>
      </c>
      <c r="B217" s="2" t="s">
        <v>386</v>
      </c>
      <c r="C217" s="2" t="s">
        <v>387</v>
      </c>
      <c r="D217" s="2" t="s">
        <v>10</v>
      </c>
      <c r="E217" s="2" t="s">
        <v>16</v>
      </c>
      <c r="F217" s="2">
        <v>1</v>
      </c>
      <c r="G217" s="2" t="s">
        <v>17</v>
      </c>
    </row>
    <row r="218" spans="1:7" x14ac:dyDescent="0.2">
      <c r="A218" s="2" t="s">
        <v>370</v>
      </c>
      <c r="B218" s="2" t="s">
        <v>388</v>
      </c>
      <c r="C218" s="2" t="s">
        <v>389</v>
      </c>
      <c r="D218" s="2" t="s">
        <v>10</v>
      </c>
      <c r="E218" s="2" t="s">
        <v>52</v>
      </c>
      <c r="F218" s="2">
        <v>1</v>
      </c>
      <c r="G218" s="2" t="s">
        <v>17</v>
      </c>
    </row>
    <row r="219" spans="1:7" x14ac:dyDescent="0.2">
      <c r="A219" s="2" t="s">
        <v>370</v>
      </c>
      <c r="B219" s="2" t="s">
        <v>390</v>
      </c>
      <c r="C219" s="2" t="s">
        <v>389</v>
      </c>
      <c r="D219" s="2" t="s">
        <v>10</v>
      </c>
      <c r="E219" s="2" t="s">
        <v>52</v>
      </c>
      <c r="F219" s="2">
        <v>1</v>
      </c>
      <c r="G219" s="2" t="s">
        <v>17</v>
      </c>
    </row>
    <row r="220" spans="1:7" x14ac:dyDescent="0.2">
      <c r="A220" s="2" t="s">
        <v>370</v>
      </c>
      <c r="B220" s="2" t="s">
        <v>391</v>
      </c>
      <c r="C220" s="2" t="s">
        <v>392</v>
      </c>
      <c r="D220" s="2" t="s">
        <v>10</v>
      </c>
      <c r="E220" s="2" t="s">
        <v>11</v>
      </c>
      <c r="F220" s="2">
        <v>1</v>
      </c>
      <c r="G220" s="2" t="s">
        <v>17</v>
      </c>
    </row>
    <row r="221" spans="1:7" x14ac:dyDescent="0.2">
      <c r="A221" s="2" t="s">
        <v>370</v>
      </c>
      <c r="B221" s="2" t="s">
        <v>393</v>
      </c>
      <c r="C221" s="2" t="s">
        <v>372</v>
      </c>
      <c r="D221" s="2" t="s">
        <v>10</v>
      </c>
      <c r="E221" s="2" t="s">
        <v>16</v>
      </c>
      <c r="F221" s="2">
        <v>1</v>
      </c>
      <c r="G221" s="2" t="s">
        <v>17</v>
      </c>
    </row>
    <row r="222" spans="1:7" x14ac:dyDescent="0.2">
      <c r="A222" s="2" t="s">
        <v>370</v>
      </c>
      <c r="B222" s="2" t="s">
        <v>394</v>
      </c>
      <c r="C222" s="2" t="s">
        <v>374</v>
      </c>
      <c r="D222" s="2" t="s">
        <v>10</v>
      </c>
      <c r="E222" s="2" t="s">
        <v>16</v>
      </c>
      <c r="F222" s="2">
        <v>1</v>
      </c>
      <c r="G222" s="2" t="s">
        <v>17</v>
      </c>
    </row>
    <row r="223" spans="1:7" x14ac:dyDescent="0.2">
      <c r="A223" s="2" t="s">
        <v>370</v>
      </c>
      <c r="B223" s="2" t="s">
        <v>395</v>
      </c>
      <c r="C223" s="2" t="s">
        <v>377</v>
      </c>
      <c r="D223" s="2" t="s">
        <v>10</v>
      </c>
      <c r="E223" s="2" t="s">
        <v>16</v>
      </c>
      <c r="F223" s="2">
        <v>1</v>
      </c>
      <c r="G223" s="2" t="s">
        <v>17</v>
      </c>
    </row>
    <row r="224" spans="1:7" x14ac:dyDescent="0.2">
      <c r="A224" s="2" t="s">
        <v>370</v>
      </c>
      <c r="B224" s="2" t="s">
        <v>396</v>
      </c>
      <c r="C224" s="2" t="s">
        <v>379</v>
      </c>
      <c r="D224" s="2" t="s">
        <v>10</v>
      </c>
      <c r="E224" s="2" t="s">
        <v>16</v>
      </c>
      <c r="F224" s="2">
        <v>1</v>
      </c>
      <c r="G224" s="2" t="s">
        <v>17</v>
      </c>
    </row>
    <row r="225" spans="1:7" x14ac:dyDescent="0.2">
      <c r="A225" s="2" t="s">
        <v>370</v>
      </c>
      <c r="B225" s="2" t="s">
        <v>397</v>
      </c>
      <c r="C225" s="2" t="s">
        <v>379</v>
      </c>
      <c r="D225" s="2" t="s">
        <v>10</v>
      </c>
      <c r="E225" s="2" t="s">
        <v>16</v>
      </c>
      <c r="F225" s="2">
        <v>1</v>
      </c>
      <c r="G225" s="2" t="s">
        <v>17</v>
      </c>
    </row>
    <row r="226" spans="1:7" x14ac:dyDescent="0.2">
      <c r="A226" s="2" t="s">
        <v>370</v>
      </c>
      <c r="B226" s="2" t="s">
        <v>398</v>
      </c>
      <c r="C226" s="2" t="s">
        <v>382</v>
      </c>
      <c r="D226" s="2" t="s">
        <v>10</v>
      </c>
      <c r="E226" s="2" t="s">
        <v>52</v>
      </c>
      <c r="F226" s="2">
        <v>1</v>
      </c>
      <c r="G226" s="2" t="s">
        <v>17</v>
      </c>
    </row>
    <row r="227" spans="1:7" x14ac:dyDescent="0.2">
      <c r="A227" s="2" t="s">
        <v>370</v>
      </c>
      <c r="B227" s="2" t="s">
        <v>399</v>
      </c>
      <c r="C227" s="2" t="s">
        <v>382</v>
      </c>
      <c r="D227" s="2" t="s">
        <v>10</v>
      </c>
      <c r="E227" s="2" t="s">
        <v>52</v>
      </c>
      <c r="F227" s="2">
        <v>1</v>
      </c>
      <c r="G227" s="2" t="s">
        <v>17</v>
      </c>
    </row>
    <row r="228" spans="1:7" x14ac:dyDescent="0.2">
      <c r="A228" s="2" t="s">
        <v>370</v>
      </c>
      <c r="B228" s="2" t="s">
        <v>400</v>
      </c>
      <c r="C228" s="2" t="s">
        <v>385</v>
      </c>
      <c r="D228" s="2" t="s">
        <v>10</v>
      </c>
      <c r="E228" s="2" t="s">
        <v>52</v>
      </c>
      <c r="F228" s="2">
        <v>1</v>
      </c>
      <c r="G228" s="2" t="s">
        <v>17</v>
      </c>
    </row>
    <row r="229" spans="1:7" x14ac:dyDescent="0.2">
      <c r="A229" s="2" t="s">
        <v>370</v>
      </c>
      <c r="B229" s="2" t="s">
        <v>401</v>
      </c>
      <c r="C229" s="2" t="s">
        <v>387</v>
      </c>
      <c r="D229" s="2" t="s">
        <v>10</v>
      </c>
      <c r="E229" s="2" t="s">
        <v>16</v>
      </c>
      <c r="F229" s="2">
        <v>1</v>
      </c>
      <c r="G229" s="2" t="s">
        <v>17</v>
      </c>
    </row>
    <row r="230" spans="1:7" x14ac:dyDescent="0.2">
      <c r="A230" s="2" t="s">
        <v>370</v>
      </c>
      <c r="B230" s="2" t="s">
        <v>402</v>
      </c>
      <c r="C230" s="2" t="s">
        <v>389</v>
      </c>
      <c r="D230" s="2" t="s">
        <v>10</v>
      </c>
      <c r="E230" s="2" t="s">
        <v>52</v>
      </c>
      <c r="F230" s="2">
        <v>1</v>
      </c>
      <c r="G230" s="2" t="s">
        <v>17</v>
      </c>
    </row>
    <row r="231" spans="1:7" x14ac:dyDescent="0.2">
      <c r="A231" s="2" t="s">
        <v>370</v>
      </c>
      <c r="B231" s="2" t="s">
        <v>403</v>
      </c>
      <c r="C231" s="2" t="s">
        <v>392</v>
      </c>
      <c r="D231" s="2" t="s">
        <v>10</v>
      </c>
      <c r="E231" s="2" t="s">
        <v>11</v>
      </c>
      <c r="F231" s="2">
        <v>1</v>
      </c>
      <c r="G231" s="2" t="s">
        <v>17</v>
      </c>
    </row>
    <row r="232" spans="1:7" x14ac:dyDescent="0.2">
      <c r="A232" s="2" t="s">
        <v>370</v>
      </c>
      <c r="B232" s="2" t="s">
        <v>404</v>
      </c>
      <c r="C232" s="2" t="s">
        <v>374</v>
      </c>
      <c r="D232" s="2" t="s">
        <v>10</v>
      </c>
      <c r="E232" s="2" t="s">
        <v>16</v>
      </c>
      <c r="F232" s="2">
        <v>1</v>
      </c>
      <c r="G232" s="2" t="s">
        <v>17</v>
      </c>
    </row>
    <row r="233" spans="1:7" x14ac:dyDescent="0.2">
      <c r="A233" s="2" t="s">
        <v>370</v>
      </c>
      <c r="B233" s="2" t="s">
        <v>405</v>
      </c>
      <c r="C233" s="2" t="s">
        <v>406</v>
      </c>
      <c r="D233" s="2" t="s">
        <v>10</v>
      </c>
      <c r="E233" s="2" t="s">
        <v>16</v>
      </c>
      <c r="F233" s="2">
        <v>1</v>
      </c>
      <c r="G233" s="2" t="s">
        <v>17</v>
      </c>
    </row>
    <row r="234" spans="1:7" x14ac:dyDescent="0.2">
      <c r="A234" s="2" t="s">
        <v>370</v>
      </c>
      <c r="B234" s="2" t="s">
        <v>407</v>
      </c>
      <c r="C234" s="2" t="s">
        <v>408</v>
      </c>
      <c r="D234" s="2" t="s">
        <v>10</v>
      </c>
      <c r="E234" s="2" t="s">
        <v>16</v>
      </c>
      <c r="F234" s="2">
        <v>1</v>
      </c>
      <c r="G234" s="2" t="s">
        <v>17</v>
      </c>
    </row>
    <row r="235" spans="1:7" x14ac:dyDescent="0.2">
      <c r="A235" s="2" t="s">
        <v>409</v>
      </c>
      <c r="B235" s="2" t="s">
        <v>410</v>
      </c>
      <c r="C235" s="2" t="s">
        <v>411</v>
      </c>
      <c r="D235" s="2" t="s">
        <v>10</v>
      </c>
      <c r="E235" s="2" t="s">
        <v>16</v>
      </c>
      <c r="F235" s="2">
        <v>1</v>
      </c>
      <c r="G235" s="2" t="s">
        <v>17</v>
      </c>
    </row>
    <row r="236" spans="1:7" x14ac:dyDescent="0.2">
      <c r="A236" s="2" t="s">
        <v>409</v>
      </c>
      <c r="B236" s="2" t="s">
        <v>412</v>
      </c>
      <c r="C236" s="2" t="s">
        <v>411</v>
      </c>
      <c r="D236" s="2" t="s">
        <v>10</v>
      </c>
      <c r="E236" s="2" t="s">
        <v>16</v>
      </c>
      <c r="F236" s="2">
        <v>1</v>
      </c>
      <c r="G236" s="2" t="s">
        <v>17</v>
      </c>
    </row>
    <row r="237" spans="1:7" x14ac:dyDescent="0.2">
      <c r="A237" s="2" t="s">
        <v>413</v>
      </c>
      <c r="B237" s="2" t="s">
        <v>414</v>
      </c>
      <c r="C237" s="2" t="s">
        <v>415</v>
      </c>
      <c r="D237" s="2" t="s">
        <v>10</v>
      </c>
      <c r="E237" s="2" t="s">
        <v>16</v>
      </c>
      <c r="F237" s="2">
        <v>1</v>
      </c>
      <c r="G237" s="2" t="s">
        <v>17</v>
      </c>
    </row>
    <row r="238" spans="1:7" x14ac:dyDescent="0.2">
      <c r="A238" s="2" t="s">
        <v>413</v>
      </c>
      <c r="B238" s="2" t="s">
        <v>416</v>
      </c>
      <c r="C238" s="2" t="s">
        <v>415</v>
      </c>
      <c r="D238" s="2" t="s">
        <v>10</v>
      </c>
      <c r="E238" s="2" t="s">
        <v>16</v>
      </c>
      <c r="F238" s="2">
        <v>1</v>
      </c>
      <c r="G238" s="2" t="s">
        <v>17</v>
      </c>
    </row>
    <row r="239" spans="1:7" x14ac:dyDescent="0.2">
      <c r="A239" s="2" t="s">
        <v>413</v>
      </c>
      <c r="B239" s="2" t="s">
        <v>417</v>
      </c>
      <c r="C239" s="2" t="s">
        <v>415</v>
      </c>
      <c r="D239" s="2" t="s">
        <v>10</v>
      </c>
      <c r="E239" s="2" t="s">
        <v>16</v>
      </c>
      <c r="F239" s="2">
        <v>1</v>
      </c>
      <c r="G239" s="2" t="s">
        <v>17</v>
      </c>
    </row>
    <row r="240" spans="1:7" x14ac:dyDescent="0.2">
      <c r="A240" s="2" t="s">
        <v>413</v>
      </c>
      <c r="B240" s="2" t="s">
        <v>418</v>
      </c>
      <c r="C240" s="2" t="s">
        <v>415</v>
      </c>
      <c r="D240" s="2" t="s">
        <v>10</v>
      </c>
      <c r="E240" s="2" t="s">
        <v>16</v>
      </c>
      <c r="F240" s="2">
        <v>1</v>
      </c>
      <c r="G240" s="2" t="s">
        <v>17</v>
      </c>
    </row>
    <row r="241" spans="1:7" x14ac:dyDescent="0.2">
      <c r="A241" s="2" t="s">
        <v>419</v>
      </c>
      <c r="B241" s="2" t="s">
        <v>420</v>
      </c>
      <c r="C241" s="2" t="s">
        <v>421</v>
      </c>
      <c r="D241" s="2" t="s">
        <v>10</v>
      </c>
      <c r="E241" s="2" t="s">
        <v>16</v>
      </c>
      <c r="F241" s="2">
        <v>1</v>
      </c>
      <c r="G241" s="2" t="s">
        <v>17</v>
      </c>
    </row>
    <row r="242" spans="1:7" x14ac:dyDescent="0.2">
      <c r="A242" s="2" t="s">
        <v>419</v>
      </c>
      <c r="B242" s="2" t="s">
        <v>422</v>
      </c>
      <c r="C242" s="2" t="s">
        <v>421</v>
      </c>
      <c r="D242" s="2" t="s">
        <v>10</v>
      </c>
      <c r="E242" s="2" t="s">
        <v>16</v>
      </c>
      <c r="F242" s="2">
        <v>1</v>
      </c>
      <c r="G242" s="2" t="s">
        <v>17</v>
      </c>
    </row>
    <row r="243" spans="1:7" x14ac:dyDescent="0.2">
      <c r="A243" s="2" t="s">
        <v>423</v>
      </c>
      <c r="B243" s="2" t="s">
        <v>424</v>
      </c>
      <c r="C243" s="2" t="s">
        <v>425</v>
      </c>
      <c r="D243" s="2" t="s">
        <v>56</v>
      </c>
      <c r="E243" s="2" t="s">
        <v>16</v>
      </c>
      <c r="F243" s="2">
        <v>1</v>
      </c>
      <c r="G243" s="2" t="s">
        <v>17</v>
      </c>
    </row>
    <row r="244" spans="1:7" x14ac:dyDescent="0.2">
      <c r="A244" s="2" t="s">
        <v>423</v>
      </c>
      <c r="B244" s="2" t="s">
        <v>426</v>
      </c>
      <c r="C244" s="2" t="s">
        <v>425</v>
      </c>
      <c r="D244" s="2" t="s">
        <v>56</v>
      </c>
      <c r="E244" s="2" t="s">
        <v>16</v>
      </c>
      <c r="F244" s="2">
        <v>1</v>
      </c>
      <c r="G244" s="2" t="s">
        <v>17</v>
      </c>
    </row>
    <row r="245" spans="1:7" x14ac:dyDescent="0.2">
      <c r="A245" s="2" t="s">
        <v>423</v>
      </c>
      <c r="B245" s="2" t="s">
        <v>427</v>
      </c>
      <c r="C245" s="2" t="s">
        <v>425</v>
      </c>
      <c r="D245" s="2" t="s">
        <v>56</v>
      </c>
      <c r="E245" s="2" t="s">
        <v>16</v>
      </c>
      <c r="F245" s="2">
        <v>1</v>
      </c>
      <c r="G245" s="2" t="s">
        <v>17</v>
      </c>
    </row>
    <row r="246" spans="1:7" x14ac:dyDescent="0.2">
      <c r="A246" s="2" t="s">
        <v>428</v>
      </c>
      <c r="B246" s="2" t="s">
        <v>429</v>
      </c>
      <c r="C246" s="2" t="s">
        <v>430</v>
      </c>
      <c r="D246" s="2" t="s">
        <v>10</v>
      </c>
      <c r="E246" s="2" t="s">
        <v>16</v>
      </c>
      <c r="F246" s="2">
        <v>1</v>
      </c>
      <c r="G246" s="2" t="s">
        <v>17</v>
      </c>
    </row>
    <row r="247" spans="1:7" x14ac:dyDescent="0.2">
      <c r="A247" s="2" t="s">
        <v>431</v>
      </c>
      <c r="B247" s="2" t="s">
        <v>432</v>
      </c>
      <c r="C247" s="2" t="s">
        <v>433</v>
      </c>
      <c r="D247" s="2" t="s">
        <v>29</v>
      </c>
      <c r="E247" s="2" t="s">
        <v>16</v>
      </c>
      <c r="F247" s="2">
        <v>1</v>
      </c>
      <c r="G247" s="2" t="s">
        <v>17</v>
      </c>
    </row>
    <row r="248" spans="1:7" x14ac:dyDescent="0.2">
      <c r="A248" s="2" t="s">
        <v>434</v>
      </c>
      <c r="B248" s="2" t="s">
        <v>435</v>
      </c>
      <c r="C248" s="2" t="s">
        <v>436</v>
      </c>
      <c r="D248" s="2" t="s">
        <v>10</v>
      </c>
      <c r="E248" s="2" t="s">
        <v>16</v>
      </c>
      <c r="F248" s="2">
        <v>1</v>
      </c>
      <c r="G248" s="2" t="s">
        <v>17</v>
      </c>
    </row>
    <row r="249" spans="1:7" x14ac:dyDescent="0.2">
      <c r="A249" s="2" t="s">
        <v>434</v>
      </c>
      <c r="B249" s="2" t="s">
        <v>437</v>
      </c>
      <c r="C249" s="2" t="s">
        <v>436</v>
      </c>
      <c r="D249" s="2" t="s">
        <v>10</v>
      </c>
      <c r="E249" s="2" t="s">
        <v>16</v>
      </c>
      <c r="F249" s="2">
        <v>1</v>
      </c>
      <c r="G249" s="2" t="s">
        <v>17</v>
      </c>
    </row>
    <row r="250" spans="1:7" x14ac:dyDescent="0.2">
      <c r="A250" s="2" t="s">
        <v>438</v>
      </c>
      <c r="B250" s="2" t="s">
        <v>439</v>
      </c>
      <c r="C250" s="2" t="s">
        <v>440</v>
      </c>
      <c r="D250" s="2" t="s">
        <v>10</v>
      </c>
      <c r="E250" s="2" t="s">
        <v>16</v>
      </c>
      <c r="F250" s="2">
        <v>1</v>
      </c>
      <c r="G250" s="2" t="s">
        <v>17</v>
      </c>
    </row>
    <row r="251" spans="1:7" x14ac:dyDescent="0.2">
      <c r="A251" s="2" t="s">
        <v>438</v>
      </c>
      <c r="B251" s="2" t="s">
        <v>441</v>
      </c>
      <c r="C251" s="2" t="s">
        <v>440</v>
      </c>
      <c r="D251" s="2" t="s">
        <v>10</v>
      </c>
      <c r="E251" s="2" t="s">
        <v>16</v>
      </c>
      <c r="F251" s="2">
        <v>1</v>
      </c>
      <c r="G251" s="2" t="s">
        <v>17</v>
      </c>
    </row>
    <row r="252" spans="1:7" x14ac:dyDescent="0.2">
      <c r="A252" s="2" t="s">
        <v>438</v>
      </c>
      <c r="B252" s="2" t="s">
        <v>442</v>
      </c>
      <c r="C252" s="2" t="s">
        <v>440</v>
      </c>
      <c r="D252" s="2" t="s">
        <v>10</v>
      </c>
      <c r="E252" s="2" t="s">
        <v>16</v>
      </c>
      <c r="F252" s="2">
        <v>1</v>
      </c>
      <c r="G252" s="2" t="s">
        <v>17</v>
      </c>
    </row>
    <row r="253" spans="1:7" x14ac:dyDescent="0.2">
      <c r="A253" s="2" t="s">
        <v>438</v>
      </c>
      <c r="B253" s="2" t="s">
        <v>443</v>
      </c>
      <c r="C253" s="2" t="s">
        <v>444</v>
      </c>
      <c r="D253" s="2" t="s">
        <v>10</v>
      </c>
      <c r="E253" s="2" t="s">
        <v>16</v>
      </c>
      <c r="F253" s="2">
        <v>1</v>
      </c>
      <c r="G253" s="2" t="s">
        <v>17</v>
      </c>
    </row>
    <row r="254" spans="1:7" x14ac:dyDescent="0.2">
      <c r="A254" s="2" t="s">
        <v>438</v>
      </c>
      <c r="B254" s="2" t="s">
        <v>445</v>
      </c>
      <c r="C254" s="2" t="s">
        <v>444</v>
      </c>
      <c r="D254" s="2" t="s">
        <v>10</v>
      </c>
      <c r="E254" s="2" t="s">
        <v>16</v>
      </c>
      <c r="F254" s="2">
        <v>1</v>
      </c>
      <c r="G254" s="2" t="s">
        <v>17</v>
      </c>
    </row>
    <row r="255" spans="1:7" x14ac:dyDescent="0.2">
      <c r="A255" s="2" t="s">
        <v>438</v>
      </c>
      <c r="B255" s="2" t="s">
        <v>446</v>
      </c>
      <c r="C255" s="2" t="s">
        <v>440</v>
      </c>
      <c r="D255" s="2" t="s">
        <v>10</v>
      </c>
      <c r="E255" s="2" t="s">
        <v>16</v>
      </c>
      <c r="F255" s="2">
        <v>1</v>
      </c>
      <c r="G255" s="2" t="s">
        <v>17</v>
      </c>
    </row>
    <row r="256" spans="1:7" x14ac:dyDescent="0.2">
      <c r="A256" s="2" t="s">
        <v>438</v>
      </c>
      <c r="B256" s="2" t="s">
        <v>447</v>
      </c>
      <c r="C256" s="2" t="s">
        <v>440</v>
      </c>
      <c r="D256" s="2" t="s">
        <v>10</v>
      </c>
      <c r="E256" s="2" t="s">
        <v>16</v>
      </c>
      <c r="F256" s="2">
        <v>1</v>
      </c>
      <c r="G256" s="2" t="s">
        <v>17</v>
      </c>
    </row>
    <row r="257" spans="1:7" x14ac:dyDescent="0.2">
      <c r="A257" s="2" t="s">
        <v>438</v>
      </c>
      <c r="B257" s="2" t="s">
        <v>448</v>
      </c>
      <c r="C257" s="2" t="s">
        <v>440</v>
      </c>
      <c r="D257" s="2" t="s">
        <v>10</v>
      </c>
      <c r="E257" s="2" t="s">
        <v>16</v>
      </c>
      <c r="F257" s="2">
        <v>1</v>
      </c>
      <c r="G257" s="2" t="s">
        <v>17</v>
      </c>
    </row>
    <row r="258" spans="1:7" x14ac:dyDescent="0.2">
      <c r="A258" s="2" t="s">
        <v>438</v>
      </c>
      <c r="B258" s="2" t="s">
        <v>449</v>
      </c>
      <c r="C258" s="2" t="s">
        <v>440</v>
      </c>
      <c r="D258" s="2" t="s">
        <v>10</v>
      </c>
      <c r="E258" s="2" t="s">
        <v>16</v>
      </c>
      <c r="F258" s="2">
        <v>1</v>
      </c>
      <c r="G258" s="2" t="s">
        <v>17</v>
      </c>
    </row>
    <row r="259" spans="1:7" x14ac:dyDescent="0.2">
      <c r="A259" s="2" t="s">
        <v>450</v>
      </c>
      <c r="B259" s="2" t="s">
        <v>451</v>
      </c>
      <c r="C259" s="2" t="s">
        <v>452</v>
      </c>
      <c r="D259" s="2" t="s">
        <v>10</v>
      </c>
      <c r="E259" s="2" t="s">
        <v>16</v>
      </c>
      <c r="F259" s="2">
        <v>1</v>
      </c>
      <c r="G259" s="2" t="s">
        <v>17</v>
      </c>
    </row>
    <row r="260" spans="1:7" x14ac:dyDescent="0.2">
      <c r="A260" s="2" t="s">
        <v>450</v>
      </c>
      <c r="B260" s="2" t="s">
        <v>453</v>
      </c>
      <c r="C260" s="2" t="s">
        <v>452</v>
      </c>
      <c r="D260" s="2" t="s">
        <v>10</v>
      </c>
      <c r="E260" s="2" t="s">
        <v>16</v>
      </c>
      <c r="F260" s="2">
        <v>1</v>
      </c>
      <c r="G260" s="2" t="s">
        <v>17</v>
      </c>
    </row>
    <row r="261" spans="1:7" x14ac:dyDescent="0.2">
      <c r="A261" s="2" t="s">
        <v>450</v>
      </c>
      <c r="B261" s="2" t="s">
        <v>454</v>
      </c>
      <c r="C261" s="2" t="s">
        <v>452</v>
      </c>
      <c r="D261" s="2" t="s">
        <v>10</v>
      </c>
      <c r="E261" s="2" t="s">
        <v>16</v>
      </c>
      <c r="F261" s="2">
        <v>1</v>
      </c>
      <c r="G261" s="2" t="s">
        <v>17</v>
      </c>
    </row>
    <row r="262" spans="1:7" x14ac:dyDescent="0.2">
      <c r="A262" s="2" t="s">
        <v>450</v>
      </c>
      <c r="B262" s="2" t="s">
        <v>455</v>
      </c>
      <c r="C262" s="2" t="s">
        <v>452</v>
      </c>
      <c r="D262" s="2" t="s">
        <v>10</v>
      </c>
      <c r="E262" s="2" t="s">
        <v>16</v>
      </c>
      <c r="F262" s="2">
        <v>1</v>
      </c>
      <c r="G262" s="2" t="s">
        <v>17</v>
      </c>
    </row>
    <row r="263" spans="1:7" x14ac:dyDescent="0.2">
      <c r="A263" s="2" t="s">
        <v>450</v>
      </c>
      <c r="B263" s="2" t="s">
        <v>456</v>
      </c>
      <c r="C263" s="2" t="s">
        <v>452</v>
      </c>
      <c r="D263" s="2" t="s">
        <v>10</v>
      </c>
      <c r="E263" s="2" t="s">
        <v>16</v>
      </c>
      <c r="F263" s="2">
        <v>1</v>
      </c>
      <c r="G263" s="2" t="s">
        <v>17</v>
      </c>
    </row>
    <row r="264" spans="1:7" x14ac:dyDescent="0.2">
      <c r="A264" s="2" t="s">
        <v>450</v>
      </c>
      <c r="B264" s="2" t="s">
        <v>457</v>
      </c>
      <c r="C264" s="2" t="s">
        <v>452</v>
      </c>
      <c r="D264" s="2" t="s">
        <v>10</v>
      </c>
      <c r="E264" s="2" t="s">
        <v>16</v>
      </c>
      <c r="F264" s="2">
        <v>1</v>
      </c>
      <c r="G264" s="2" t="s">
        <v>17</v>
      </c>
    </row>
    <row r="265" spans="1:7" x14ac:dyDescent="0.2">
      <c r="A265" s="2" t="s">
        <v>450</v>
      </c>
      <c r="B265" s="2" t="s">
        <v>458</v>
      </c>
      <c r="C265" s="2" t="s">
        <v>459</v>
      </c>
      <c r="D265" s="2" t="s">
        <v>10</v>
      </c>
      <c r="E265" s="2" t="s">
        <v>16</v>
      </c>
      <c r="F265" s="2">
        <v>1</v>
      </c>
      <c r="G265" s="2" t="s">
        <v>17</v>
      </c>
    </row>
    <row r="266" spans="1:7" x14ac:dyDescent="0.2">
      <c r="A266" s="2" t="s">
        <v>450</v>
      </c>
      <c r="B266" s="2" t="s">
        <v>460</v>
      </c>
      <c r="C266" s="2" t="s">
        <v>461</v>
      </c>
      <c r="D266" s="2" t="s">
        <v>10</v>
      </c>
      <c r="E266" s="2" t="s">
        <v>16</v>
      </c>
      <c r="F266" s="2">
        <v>1</v>
      </c>
      <c r="G266" s="2" t="s">
        <v>17</v>
      </c>
    </row>
    <row r="267" spans="1:7" x14ac:dyDescent="0.2">
      <c r="A267" s="2" t="s">
        <v>450</v>
      </c>
      <c r="B267" s="2" t="s">
        <v>462</v>
      </c>
      <c r="C267" s="2" t="s">
        <v>452</v>
      </c>
      <c r="D267" s="2" t="s">
        <v>10</v>
      </c>
      <c r="E267" s="2" t="s">
        <v>16</v>
      </c>
      <c r="F267" s="2">
        <v>1</v>
      </c>
      <c r="G267" s="2" t="s">
        <v>17</v>
      </c>
    </row>
    <row r="268" spans="1:7" x14ac:dyDescent="0.2">
      <c r="A268" s="2" t="s">
        <v>450</v>
      </c>
      <c r="B268" s="2" t="s">
        <v>463</v>
      </c>
      <c r="C268" s="2" t="s">
        <v>452</v>
      </c>
      <c r="D268" s="2" t="s">
        <v>10</v>
      </c>
      <c r="E268" s="2" t="s">
        <v>16</v>
      </c>
      <c r="F268" s="2">
        <v>1</v>
      </c>
      <c r="G268" s="2" t="s">
        <v>17</v>
      </c>
    </row>
    <row r="269" spans="1:7" x14ac:dyDescent="0.2">
      <c r="A269" s="2" t="s">
        <v>450</v>
      </c>
      <c r="B269" s="2" t="s">
        <v>464</v>
      </c>
      <c r="C269" s="2" t="s">
        <v>461</v>
      </c>
      <c r="D269" s="2" t="s">
        <v>10</v>
      </c>
      <c r="E269" s="2" t="s">
        <v>16</v>
      </c>
      <c r="F269" s="2">
        <v>1</v>
      </c>
      <c r="G269" s="2" t="s">
        <v>17</v>
      </c>
    </row>
    <row r="270" spans="1:7" x14ac:dyDescent="0.2">
      <c r="A270" s="2" t="s">
        <v>450</v>
      </c>
      <c r="B270" s="2" t="s">
        <v>465</v>
      </c>
      <c r="C270" s="2" t="s">
        <v>452</v>
      </c>
      <c r="D270" s="2" t="s">
        <v>10</v>
      </c>
      <c r="E270" s="2" t="s">
        <v>16</v>
      </c>
      <c r="F270" s="2">
        <v>1</v>
      </c>
      <c r="G270" s="2" t="s">
        <v>17</v>
      </c>
    </row>
    <row r="271" spans="1:7" x14ac:dyDescent="0.2">
      <c r="A271" s="2" t="s">
        <v>450</v>
      </c>
      <c r="B271" s="2" t="s">
        <v>466</v>
      </c>
      <c r="C271" s="2" t="s">
        <v>459</v>
      </c>
      <c r="D271" s="2" t="s">
        <v>10</v>
      </c>
      <c r="E271" s="2" t="s">
        <v>16</v>
      </c>
      <c r="F271" s="2">
        <v>1</v>
      </c>
      <c r="G271" s="2" t="s">
        <v>17</v>
      </c>
    </row>
    <row r="272" spans="1:7" x14ac:dyDescent="0.2">
      <c r="A272" s="2" t="s">
        <v>450</v>
      </c>
      <c r="B272" s="2" t="s">
        <v>467</v>
      </c>
      <c r="C272" s="2" t="s">
        <v>468</v>
      </c>
      <c r="D272" s="2" t="s">
        <v>10</v>
      </c>
      <c r="E272" s="2" t="s">
        <v>16</v>
      </c>
      <c r="F272" s="2">
        <v>1</v>
      </c>
      <c r="G272" s="2" t="s">
        <v>17</v>
      </c>
    </row>
    <row r="273" spans="1:7" x14ac:dyDescent="0.2">
      <c r="A273" s="2" t="s">
        <v>450</v>
      </c>
      <c r="B273" s="2" t="s">
        <v>469</v>
      </c>
      <c r="C273" s="2" t="s">
        <v>468</v>
      </c>
      <c r="D273" s="2" t="s">
        <v>10</v>
      </c>
      <c r="E273" s="2" t="s">
        <v>16</v>
      </c>
      <c r="F273" s="2">
        <v>1</v>
      </c>
      <c r="G273" s="2" t="s">
        <v>17</v>
      </c>
    </row>
    <row r="274" spans="1:7" x14ac:dyDescent="0.2">
      <c r="A274" s="2" t="s">
        <v>450</v>
      </c>
      <c r="B274" s="2" t="s">
        <v>470</v>
      </c>
      <c r="C274" s="2" t="s">
        <v>468</v>
      </c>
      <c r="D274" s="2" t="s">
        <v>10</v>
      </c>
      <c r="E274" s="2" t="s">
        <v>16</v>
      </c>
      <c r="F274" s="2">
        <v>1</v>
      </c>
      <c r="G274" s="2" t="s">
        <v>17</v>
      </c>
    </row>
    <row r="275" spans="1:7" x14ac:dyDescent="0.2">
      <c r="A275" s="2" t="s">
        <v>450</v>
      </c>
      <c r="B275" s="2" t="s">
        <v>471</v>
      </c>
      <c r="C275" s="2" t="s">
        <v>468</v>
      </c>
      <c r="D275" s="2" t="s">
        <v>10</v>
      </c>
      <c r="E275" s="2" t="s">
        <v>16</v>
      </c>
      <c r="F275" s="2">
        <v>1</v>
      </c>
      <c r="G275" s="2" t="s">
        <v>17</v>
      </c>
    </row>
    <row r="276" spans="1:7" x14ac:dyDescent="0.2">
      <c r="A276" s="2" t="s">
        <v>450</v>
      </c>
      <c r="B276" s="2" t="s">
        <v>472</v>
      </c>
      <c r="C276" s="2" t="s">
        <v>468</v>
      </c>
      <c r="D276" s="2" t="s">
        <v>10</v>
      </c>
      <c r="E276" s="2" t="s">
        <v>16</v>
      </c>
      <c r="F276" s="2">
        <v>1</v>
      </c>
      <c r="G276" s="2" t="s">
        <v>17</v>
      </c>
    </row>
    <row r="277" spans="1:7" x14ac:dyDescent="0.2">
      <c r="A277" s="2" t="s">
        <v>450</v>
      </c>
      <c r="B277" s="2" t="s">
        <v>473</v>
      </c>
      <c r="C277" s="2" t="s">
        <v>474</v>
      </c>
      <c r="D277" s="2" t="s">
        <v>10</v>
      </c>
      <c r="E277" s="2" t="s">
        <v>16</v>
      </c>
      <c r="F277" s="2">
        <v>1</v>
      </c>
      <c r="G277" s="2" t="s">
        <v>17</v>
      </c>
    </row>
    <row r="278" spans="1:7" x14ac:dyDescent="0.2">
      <c r="A278" s="2" t="s">
        <v>450</v>
      </c>
      <c r="B278" s="2" t="s">
        <v>475</v>
      </c>
      <c r="C278" s="2" t="s">
        <v>474</v>
      </c>
      <c r="D278" s="2" t="s">
        <v>10</v>
      </c>
      <c r="E278" s="2" t="s">
        <v>16</v>
      </c>
      <c r="F278" s="2">
        <v>1</v>
      </c>
      <c r="G278" s="2" t="s">
        <v>17</v>
      </c>
    </row>
    <row r="279" spans="1:7" x14ac:dyDescent="0.2">
      <c r="A279" s="2" t="s">
        <v>450</v>
      </c>
      <c r="B279" s="2" t="s">
        <v>476</v>
      </c>
      <c r="C279" s="2" t="s">
        <v>477</v>
      </c>
      <c r="D279" s="2" t="s">
        <v>10</v>
      </c>
      <c r="E279" s="2" t="s">
        <v>16</v>
      </c>
      <c r="F279" s="2">
        <v>1</v>
      </c>
      <c r="G279" s="2" t="s">
        <v>17</v>
      </c>
    </row>
    <row r="280" spans="1:7" x14ac:dyDescent="0.2">
      <c r="A280" s="2" t="s">
        <v>450</v>
      </c>
      <c r="B280" s="2" t="s">
        <v>478</v>
      </c>
      <c r="C280" s="2" t="s">
        <v>477</v>
      </c>
      <c r="D280" s="2" t="s">
        <v>10</v>
      </c>
      <c r="E280" s="2" t="s">
        <v>16</v>
      </c>
      <c r="F280" s="2">
        <v>1</v>
      </c>
      <c r="G280" s="2" t="s">
        <v>17</v>
      </c>
    </row>
    <row r="281" spans="1:7" x14ac:dyDescent="0.2">
      <c r="A281" s="2" t="s">
        <v>450</v>
      </c>
      <c r="B281" s="2" t="s">
        <v>479</v>
      </c>
      <c r="C281" s="2" t="s">
        <v>480</v>
      </c>
      <c r="D281" s="2" t="s">
        <v>10</v>
      </c>
      <c r="E281" s="2" t="s">
        <v>16</v>
      </c>
      <c r="F281" s="2">
        <v>1</v>
      </c>
      <c r="G281" s="2" t="s">
        <v>17</v>
      </c>
    </row>
    <row r="282" spans="1:7" x14ac:dyDescent="0.2">
      <c r="A282" s="2" t="s">
        <v>450</v>
      </c>
      <c r="B282" s="2" t="s">
        <v>481</v>
      </c>
      <c r="C282" s="2" t="s">
        <v>480</v>
      </c>
      <c r="D282" s="2" t="s">
        <v>10</v>
      </c>
      <c r="E282" s="2" t="s">
        <v>16</v>
      </c>
      <c r="F282" s="2">
        <v>1</v>
      </c>
      <c r="G282" s="2" t="s">
        <v>17</v>
      </c>
    </row>
    <row r="283" spans="1:7" x14ac:dyDescent="0.2">
      <c r="A283" s="2" t="s">
        <v>450</v>
      </c>
      <c r="B283" s="2" t="s">
        <v>482</v>
      </c>
      <c r="C283" s="2" t="s">
        <v>483</v>
      </c>
      <c r="D283" s="2" t="s">
        <v>10</v>
      </c>
      <c r="E283" s="2" t="s">
        <v>16</v>
      </c>
      <c r="F283" s="2">
        <v>1</v>
      </c>
      <c r="G283" s="2" t="s">
        <v>17</v>
      </c>
    </row>
    <row r="284" spans="1:7" x14ac:dyDescent="0.2">
      <c r="A284" s="2" t="s">
        <v>450</v>
      </c>
      <c r="B284" s="2" t="s">
        <v>484</v>
      </c>
      <c r="C284" s="2" t="s">
        <v>483</v>
      </c>
      <c r="D284" s="2" t="s">
        <v>10</v>
      </c>
      <c r="E284" s="2" t="s">
        <v>16</v>
      </c>
      <c r="F284" s="2">
        <v>1</v>
      </c>
      <c r="G284" s="2" t="s">
        <v>17</v>
      </c>
    </row>
    <row r="285" spans="1:7" x14ac:dyDescent="0.2">
      <c r="A285" s="2" t="s">
        <v>450</v>
      </c>
      <c r="B285" s="2" t="s">
        <v>485</v>
      </c>
      <c r="C285" s="2" t="s">
        <v>483</v>
      </c>
      <c r="D285" s="2" t="s">
        <v>10</v>
      </c>
      <c r="E285" s="2" t="s">
        <v>16</v>
      </c>
      <c r="F285" s="2">
        <v>1</v>
      </c>
      <c r="G285" s="2" t="s">
        <v>17</v>
      </c>
    </row>
    <row r="286" spans="1:7" x14ac:dyDescent="0.2">
      <c r="A286" s="2" t="s">
        <v>450</v>
      </c>
      <c r="B286" s="2" t="s">
        <v>486</v>
      </c>
      <c r="C286" s="2" t="s">
        <v>483</v>
      </c>
      <c r="D286" s="2" t="s">
        <v>10</v>
      </c>
      <c r="E286" s="2" t="s">
        <v>16</v>
      </c>
      <c r="F286" s="2">
        <v>1</v>
      </c>
      <c r="G286" s="2" t="s">
        <v>17</v>
      </c>
    </row>
    <row r="287" spans="1:7" x14ac:dyDescent="0.2">
      <c r="A287" s="2" t="s">
        <v>450</v>
      </c>
      <c r="B287" s="2" t="s">
        <v>487</v>
      </c>
      <c r="C287" s="2" t="s">
        <v>483</v>
      </c>
      <c r="D287" s="2" t="s">
        <v>10</v>
      </c>
      <c r="E287" s="2" t="s">
        <v>16</v>
      </c>
      <c r="F287" s="2">
        <v>1</v>
      </c>
      <c r="G287" s="2" t="s">
        <v>17</v>
      </c>
    </row>
    <row r="288" spans="1:7" x14ac:dyDescent="0.2">
      <c r="A288" s="2" t="s">
        <v>450</v>
      </c>
      <c r="B288" s="2" t="s">
        <v>488</v>
      </c>
      <c r="C288" s="2" t="s">
        <v>483</v>
      </c>
      <c r="D288" s="2" t="s">
        <v>10</v>
      </c>
      <c r="E288" s="2" t="s">
        <v>16</v>
      </c>
      <c r="F288" s="2">
        <v>1</v>
      </c>
      <c r="G288" s="2" t="s">
        <v>17</v>
      </c>
    </row>
    <row r="289" spans="1:7" x14ac:dyDescent="0.2">
      <c r="A289" s="2" t="s">
        <v>450</v>
      </c>
      <c r="B289" s="2" t="s">
        <v>489</v>
      </c>
      <c r="C289" s="2" t="s">
        <v>483</v>
      </c>
      <c r="D289" s="2" t="s">
        <v>10</v>
      </c>
      <c r="E289" s="2" t="s">
        <v>16</v>
      </c>
      <c r="F289" s="2">
        <v>1</v>
      </c>
      <c r="G289" s="2" t="s">
        <v>17</v>
      </c>
    </row>
    <row r="290" spans="1:7" x14ac:dyDescent="0.2">
      <c r="A290" s="2" t="s">
        <v>450</v>
      </c>
      <c r="B290" s="2" t="s">
        <v>490</v>
      </c>
      <c r="C290" s="2" t="s">
        <v>483</v>
      </c>
      <c r="D290" s="2" t="s">
        <v>10</v>
      </c>
      <c r="E290" s="2" t="s">
        <v>16</v>
      </c>
      <c r="F290" s="2">
        <v>1</v>
      </c>
      <c r="G290" s="2" t="s">
        <v>17</v>
      </c>
    </row>
    <row r="291" spans="1:7" x14ac:dyDescent="0.2">
      <c r="A291" s="2" t="s">
        <v>450</v>
      </c>
      <c r="B291" s="2" t="s">
        <v>491</v>
      </c>
      <c r="C291" s="2" t="s">
        <v>483</v>
      </c>
      <c r="D291" s="2" t="s">
        <v>10</v>
      </c>
      <c r="E291" s="2" t="s">
        <v>16</v>
      </c>
      <c r="F291" s="2">
        <v>1</v>
      </c>
      <c r="G291" s="2" t="s">
        <v>17</v>
      </c>
    </row>
    <row r="292" spans="1:7" x14ac:dyDescent="0.2">
      <c r="A292" s="2" t="s">
        <v>450</v>
      </c>
      <c r="B292" s="2" t="s">
        <v>492</v>
      </c>
      <c r="C292" s="2" t="s">
        <v>483</v>
      </c>
      <c r="D292" s="2" t="s">
        <v>10</v>
      </c>
      <c r="E292" s="2" t="s">
        <v>16</v>
      </c>
      <c r="F292" s="2">
        <v>1</v>
      </c>
      <c r="G292" s="2" t="s">
        <v>17</v>
      </c>
    </row>
    <row r="293" spans="1:7" x14ac:dyDescent="0.2">
      <c r="A293" s="2" t="s">
        <v>493</v>
      </c>
      <c r="B293" s="2" t="s">
        <v>494</v>
      </c>
      <c r="C293" s="2" t="s">
        <v>495</v>
      </c>
      <c r="D293" s="2" t="s">
        <v>10</v>
      </c>
      <c r="E293" s="2" t="s">
        <v>16</v>
      </c>
      <c r="F293" s="2">
        <v>2</v>
      </c>
      <c r="G293" s="2" t="s">
        <v>17</v>
      </c>
    </row>
    <row r="294" spans="1:7" x14ac:dyDescent="0.2">
      <c r="A294" s="2" t="s">
        <v>496</v>
      </c>
      <c r="B294" s="2" t="s">
        <v>497</v>
      </c>
      <c r="C294" s="2" t="s">
        <v>498</v>
      </c>
      <c r="D294" s="2" t="s">
        <v>10</v>
      </c>
      <c r="E294" s="2" t="s">
        <v>16</v>
      </c>
      <c r="F294" s="2">
        <v>1</v>
      </c>
      <c r="G294" s="2" t="s">
        <v>17</v>
      </c>
    </row>
    <row r="295" spans="1:7" x14ac:dyDescent="0.2">
      <c r="A295" s="2" t="s">
        <v>499</v>
      </c>
      <c r="B295" s="2" t="s">
        <v>500</v>
      </c>
      <c r="C295" s="2" t="s">
        <v>501</v>
      </c>
      <c r="D295" s="2" t="s">
        <v>10</v>
      </c>
      <c r="E295" s="2" t="s">
        <v>16</v>
      </c>
      <c r="F295" s="2">
        <v>1</v>
      </c>
      <c r="G295" s="2" t="s">
        <v>17</v>
      </c>
    </row>
    <row r="296" spans="1:7" x14ac:dyDescent="0.2">
      <c r="A296" s="2" t="s">
        <v>499</v>
      </c>
      <c r="B296" s="2" t="s">
        <v>502</v>
      </c>
      <c r="C296" s="2" t="s">
        <v>503</v>
      </c>
      <c r="D296" s="2" t="s">
        <v>10</v>
      </c>
      <c r="E296" s="2" t="s">
        <v>16</v>
      </c>
      <c r="F296" s="2">
        <v>1</v>
      </c>
      <c r="G296" s="2" t="s">
        <v>17</v>
      </c>
    </row>
    <row r="297" spans="1:7" x14ac:dyDescent="0.2">
      <c r="A297" s="2" t="s">
        <v>499</v>
      </c>
      <c r="B297" s="2" t="s">
        <v>504</v>
      </c>
      <c r="C297" s="2" t="s">
        <v>505</v>
      </c>
      <c r="D297" s="2" t="s">
        <v>10</v>
      </c>
      <c r="E297" s="2" t="s">
        <v>16</v>
      </c>
      <c r="F297" s="2">
        <v>1</v>
      </c>
      <c r="G297" s="2" t="s">
        <v>17</v>
      </c>
    </row>
    <row r="298" spans="1:7" x14ac:dyDescent="0.2">
      <c r="A298" s="2" t="s">
        <v>499</v>
      </c>
      <c r="B298" s="2" t="s">
        <v>506</v>
      </c>
      <c r="C298" s="2" t="s">
        <v>507</v>
      </c>
      <c r="D298" s="2" t="s">
        <v>29</v>
      </c>
      <c r="E298" s="2" t="s">
        <v>16</v>
      </c>
      <c r="F298" s="2">
        <v>1</v>
      </c>
      <c r="G298" s="2" t="s">
        <v>17</v>
      </c>
    </row>
    <row r="299" spans="1:7" x14ac:dyDescent="0.2">
      <c r="A299" s="2" t="s">
        <v>499</v>
      </c>
      <c r="B299" s="2" t="s">
        <v>508</v>
      </c>
      <c r="C299" s="2" t="s">
        <v>509</v>
      </c>
      <c r="D299" s="2" t="s">
        <v>10</v>
      </c>
      <c r="E299" s="2" t="s">
        <v>16</v>
      </c>
      <c r="F299" s="2">
        <v>1</v>
      </c>
      <c r="G299" s="2" t="s">
        <v>17</v>
      </c>
    </row>
    <row r="300" spans="1:7" x14ac:dyDescent="0.2">
      <c r="A300" s="2" t="s">
        <v>499</v>
      </c>
      <c r="B300" s="2" t="s">
        <v>510</v>
      </c>
      <c r="C300" s="2" t="s">
        <v>511</v>
      </c>
      <c r="D300" s="2" t="s">
        <v>10</v>
      </c>
      <c r="E300" s="2" t="s">
        <v>16</v>
      </c>
      <c r="F300" s="2">
        <v>1</v>
      </c>
      <c r="G300" s="2" t="s">
        <v>17</v>
      </c>
    </row>
    <row r="301" spans="1:7" x14ac:dyDescent="0.2">
      <c r="A301" s="2" t="s">
        <v>499</v>
      </c>
      <c r="B301" s="2" t="s">
        <v>512</v>
      </c>
      <c r="C301" s="2" t="s">
        <v>513</v>
      </c>
      <c r="D301" s="2" t="s">
        <v>10</v>
      </c>
      <c r="E301" s="2" t="s">
        <v>16</v>
      </c>
      <c r="F301" s="2">
        <v>2</v>
      </c>
      <c r="G301" s="2" t="s">
        <v>17</v>
      </c>
    </row>
    <row r="302" spans="1:7" x14ac:dyDescent="0.2">
      <c r="A302" s="2" t="s">
        <v>499</v>
      </c>
      <c r="B302" s="2" t="s">
        <v>514</v>
      </c>
      <c r="C302" s="2" t="s">
        <v>507</v>
      </c>
      <c r="D302" s="2" t="s">
        <v>29</v>
      </c>
      <c r="E302" s="2" t="s">
        <v>16</v>
      </c>
      <c r="F302" s="2">
        <v>1</v>
      </c>
      <c r="G302" s="2" t="s">
        <v>17</v>
      </c>
    </row>
    <row r="303" spans="1:7" x14ac:dyDescent="0.2">
      <c r="A303" s="2" t="s">
        <v>499</v>
      </c>
      <c r="B303" s="2" t="s">
        <v>515</v>
      </c>
      <c r="C303" s="2" t="s">
        <v>505</v>
      </c>
      <c r="D303" s="2" t="s">
        <v>10</v>
      </c>
      <c r="E303" s="2" t="s">
        <v>16</v>
      </c>
      <c r="F303" s="2">
        <v>1</v>
      </c>
      <c r="G303" s="2" t="s">
        <v>17</v>
      </c>
    </row>
    <row r="304" spans="1:7" x14ac:dyDescent="0.2">
      <c r="A304" s="2" t="s">
        <v>499</v>
      </c>
      <c r="B304" s="2" t="s">
        <v>516</v>
      </c>
      <c r="C304" s="2" t="s">
        <v>503</v>
      </c>
      <c r="D304" s="2" t="s">
        <v>10</v>
      </c>
      <c r="E304" s="2" t="s">
        <v>16</v>
      </c>
      <c r="F304" s="2">
        <v>1</v>
      </c>
      <c r="G304" s="2" t="s">
        <v>17</v>
      </c>
    </row>
    <row r="305" spans="1:7" x14ac:dyDescent="0.2">
      <c r="A305" s="2" t="s">
        <v>517</v>
      </c>
      <c r="B305" s="2" t="s">
        <v>518</v>
      </c>
      <c r="C305" s="2" t="s">
        <v>519</v>
      </c>
      <c r="D305" s="2" t="s">
        <v>10</v>
      </c>
      <c r="E305" s="2" t="s">
        <v>16</v>
      </c>
      <c r="F305" s="2">
        <v>1</v>
      </c>
      <c r="G305" s="2" t="s">
        <v>17</v>
      </c>
    </row>
    <row r="306" spans="1:7" x14ac:dyDescent="0.2">
      <c r="A306" s="2" t="s">
        <v>517</v>
      </c>
      <c r="B306" s="2" t="s">
        <v>520</v>
      </c>
      <c r="C306" s="2" t="s">
        <v>519</v>
      </c>
      <c r="D306" s="2" t="s">
        <v>10</v>
      </c>
      <c r="E306" s="2" t="s">
        <v>16</v>
      </c>
      <c r="F306" s="2">
        <v>1</v>
      </c>
      <c r="G306" s="2" t="s">
        <v>17</v>
      </c>
    </row>
    <row r="307" spans="1:7" x14ac:dyDescent="0.2">
      <c r="A307" s="2" t="s">
        <v>517</v>
      </c>
      <c r="B307" s="2" t="s">
        <v>521</v>
      </c>
      <c r="C307" s="2" t="s">
        <v>519</v>
      </c>
      <c r="D307" s="2" t="s">
        <v>10</v>
      </c>
      <c r="E307" s="2" t="s">
        <v>16</v>
      </c>
      <c r="F307" s="2">
        <v>1</v>
      </c>
      <c r="G307" s="2" t="s">
        <v>17</v>
      </c>
    </row>
    <row r="308" spans="1:7" x14ac:dyDescent="0.2">
      <c r="A308" s="2" t="s">
        <v>517</v>
      </c>
      <c r="B308" s="2" t="s">
        <v>522</v>
      </c>
      <c r="C308" s="2" t="s">
        <v>519</v>
      </c>
      <c r="D308" s="2" t="s">
        <v>10</v>
      </c>
      <c r="E308" s="2" t="s">
        <v>16</v>
      </c>
      <c r="F308" s="2">
        <v>1</v>
      </c>
      <c r="G308" s="2" t="s">
        <v>17</v>
      </c>
    </row>
    <row r="309" spans="1:7" x14ac:dyDescent="0.2">
      <c r="A309" s="2" t="s">
        <v>517</v>
      </c>
      <c r="B309" s="2" t="s">
        <v>523</v>
      </c>
      <c r="C309" s="2" t="s">
        <v>519</v>
      </c>
      <c r="D309" s="2" t="s">
        <v>10</v>
      </c>
      <c r="E309" s="2" t="s">
        <v>16</v>
      </c>
      <c r="F309" s="2">
        <v>1</v>
      </c>
      <c r="G309" s="2" t="s">
        <v>17</v>
      </c>
    </row>
    <row r="310" spans="1:7" x14ac:dyDescent="0.2">
      <c r="A310" s="2" t="s">
        <v>517</v>
      </c>
      <c r="B310" s="2" t="s">
        <v>524</v>
      </c>
      <c r="C310" s="2" t="s">
        <v>525</v>
      </c>
      <c r="D310" s="2" t="s">
        <v>10</v>
      </c>
      <c r="E310" s="2" t="s">
        <v>16</v>
      </c>
      <c r="F310" s="2">
        <v>1</v>
      </c>
      <c r="G310" s="2" t="s">
        <v>17</v>
      </c>
    </row>
    <row r="311" spans="1:7" x14ac:dyDescent="0.2">
      <c r="A311" s="2" t="s">
        <v>517</v>
      </c>
      <c r="B311" s="2" t="s">
        <v>526</v>
      </c>
      <c r="C311" s="2" t="s">
        <v>525</v>
      </c>
      <c r="D311" s="2" t="s">
        <v>10</v>
      </c>
      <c r="E311" s="2" t="s">
        <v>16</v>
      </c>
      <c r="F311" s="2">
        <v>1</v>
      </c>
      <c r="G311" s="2" t="s">
        <v>17</v>
      </c>
    </row>
    <row r="312" spans="1:7" x14ac:dyDescent="0.2">
      <c r="A312" s="2" t="s">
        <v>517</v>
      </c>
      <c r="B312" s="2" t="s">
        <v>527</v>
      </c>
      <c r="C312" s="2" t="s">
        <v>525</v>
      </c>
      <c r="D312" s="2" t="s">
        <v>10</v>
      </c>
      <c r="E312" s="2" t="s">
        <v>16</v>
      </c>
      <c r="F312" s="2">
        <v>1</v>
      </c>
      <c r="G312" s="2" t="s">
        <v>17</v>
      </c>
    </row>
    <row r="313" spans="1:7" x14ac:dyDescent="0.2">
      <c r="A313" s="2" t="s">
        <v>517</v>
      </c>
      <c r="B313" s="2" t="s">
        <v>528</v>
      </c>
      <c r="C313" s="2" t="s">
        <v>525</v>
      </c>
      <c r="D313" s="2" t="s">
        <v>10</v>
      </c>
      <c r="E313" s="2" t="s">
        <v>16</v>
      </c>
      <c r="F313" s="2">
        <v>1</v>
      </c>
      <c r="G313" s="2" t="s">
        <v>17</v>
      </c>
    </row>
    <row r="314" spans="1:7" x14ac:dyDescent="0.2">
      <c r="A314" s="2" t="s">
        <v>517</v>
      </c>
      <c r="B314" s="2" t="s">
        <v>529</v>
      </c>
      <c r="C314" s="2" t="s">
        <v>530</v>
      </c>
      <c r="D314" s="2" t="s">
        <v>29</v>
      </c>
      <c r="E314" s="2" t="s">
        <v>16</v>
      </c>
      <c r="F314" s="2">
        <v>1</v>
      </c>
      <c r="G314" s="2" t="s">
        <v>17</v>
      </c>
    </row>
    <row r="315" spans="1:7" x14ac:dyDescent="0.2">
      <c r="A315" s="2" t="s">
        <v>517</v>
      </c>
      <c r="B315" s="2" t="s">
        <v>531</v>
      </c>
      <c r="C315" s="2" t="s">
        <v>532</v>
      </c>
      <c r="D315" s="2" t="s">
        <v>10</v>
      </c>
      <c r="E315" s="2" t="s">
        <v>16</v>
      </c>
      <c r="F315" s="2">
        <v>2</v>
      </c>
      <c r="G315" s="2" t="s">
        <v>17</v>
      </c>
    </row>
    <row r="316" spans="1:7" x14ac:dyDescent="0.2">
      <c r="A316" s="2" t="s">
        <v>517</v>
      </c>
      <c r="B316" s="2" t="s">
        <v>533</v>
      </c>
      <c r="C316" s="2" t="s">
        <v>534</v>
      </c>
      <c r="D316" s="2" t="s">
        <v>10</v>
      </c>
      <c r="E316" s="2" t="s">
        <v>16</v>
      </c>
      <c r="F316" s="2">
        <v>2</v>
      </c>
      <c r="G316" s="2" t="s">
        <v>17</v>
      </c>
    </row>
    <row r="317" spans="1:7" x14ac:dyDescent="0.2">
      <c r="A317" s="2" t="s">
        <v>517</v>
      </c>
      <c r="B317" s="2" t="s">
        <v>535</v>
      </c>
      <c r="C317" s="2" t="s">
        <v>536</v>
      </c>
      <c r="D317" s="2" t="s">
        <v>10</v>
      </c>
      <c r="E317" s="2" t="s">
        <v>16</v>
      </c>
      <c r="F317" s="2">
        <v>2</v>
      </c>
      <c r="G317" s="2" t="s">
        <v>17</v>
      </c>
    </row>
    <row r="318" spans="1:7" x14ac:dyDescent="0.2">
      <c r="A318" s="2" t="s">
        <v>517</v>
      </c>
      <c r="B318" s="2" t="s">
        <v>537</v>
      </c>
      <c r="C318" s="2" t="s">
        <v>525</v>
      </c>
      <c r="D318" s="2" t="s">
        <v>10</v>
      </c>
      <c r="E318" s="2" t="s">
        <v>16</v>
      </c>
      <c r="F318" s="2">
        <v>1</v>
      </c>
      <c r="G318" s="2" t="s">
        <v>17</v>
      </c>
    </row>
    <row r="319" spans="1:7" x14ac:dyDescent="0.2">
      <c r="A319" s="2" t="s">
        <v>517</v>
      </c>
      <c r="B319" s="2" t="s">
        <v>538</v>
      </c>
      <c r="C319" s="2" t="s">
        <v>519</v>
      </c>
      <c r="D319" s="2" t="s">
        <v>10</v>
      </c>
      <c r="E319" s="2" t="s">
        <v>16</v>
      </c>
      <c r="F319" s="2">
        <v>1</v>
      </c>
      <c r="G319" s="2" t="s">
        <v>17</v>
      </c>
    </row>
    <row r="320" spans="1:7" x14ac:dyDescent="0.2">
      <c r="A320" s="2" t="s">
        <v>517</v>
      </c>
      <c r="B320" s="2" t="s">
        <v>539</v>
      </c>
      <c r="C320" s="2" t="s">
        <v>532</v>
      </c>
      <c r="D320" s="2" t="s">
        <v>10</v>
      </c>
      <c r="E320" s="2" t="s">
        <v>16</v>
      </c>
      <c r="F320" s="2">
        <v>2</v>
      </c>
      <c r="G320" s="2" t="s">
        <v>17</v>
      </c>
    </row>
    <row r="321" spans="1:7" x14ac:dyDescent="0.2">
      <c r="A321" s="2" t="s">
        <v>517</v>
      </c>
      <c r="B321" s="2" t="s">
        <v>540</v>
      </c>
      <c r="C321" s="2" t="s">
        <v>534</v>
      </c>
      <c r="D321" s="2" t="s">
        <v>10</v>
      </c>
      <c r="E321" s="2" t="s">
        <v>16</v>
      </c>
      <c r="F321" s="2">
        <v>2</v>
      </c>
      <c r="G321" s="2" t="s">
        <v>17</v>
      </c>
    </row>
    <row r="322" spans="1:7" x14ac:dyDescent="0.2">
      <c r="A322" s="2" t="s">
        <v>517</v>
      </c>
      <c r="B322" s="2" t="s">
        <v>541</v>
      </c>
      <c r="C322" s="2" t="s">
        <v>519</v>
      </c>
      <c r="D322" s="2" t="s">
        <v>10</v>
      </c>
      <c r="E322" s="2" t="s">
        <v>16</v>
      </c>
      <c r="F322" s="2">
        <v>1</v>
      </c>
      <c r="G322" s="2" t="s">
        <v>17</v>
      </c>
    </row>
    <row r="323" spans="1:7" x14ac:dyDescent="0.2">
      <c r="A323" s="2" t="s">
        <v>517</v>
      </c>
      <c r="B323" s="2" t="s">
        <v>542</v>
      </c>
      <c r="C323" s="2" t="s">
        <v>519</v>
      </c>
      <c r="D323" s="2" t="s">
        <v>10</v>
      </c>
      <c r="E323" s="2" t="s">
        <v>16</v>
      </c>
      <c r="F323" s="2">
        <v>1</v>
      </c>
      <c r="G323" s="2" t="s">
        <v>17</v>
      </c>
    </row>
    <row r="324" spans="1:7" x14ac:dyDescent="0.2">
      <c r="A324" s="2" t="s">
        <v>517</v>
      </c>
      <c r="B324" s="2" t="s">
        <v>543</v>
      </c>
      <c r="C324" s="2" t="s">
        <v>532</v>
      </c>
      <c r="D324" s="2" t="s">
        <v>10</v>
      </c>
      <c r="E324" s="2" t="s">
        <v>16</v>
      </c>
      <c r="F324" s="2">
        <v>2</v>
      </c>
      <c r="G324" s="2" t="s">
        <v>17</v>
      </c>
    </row>
    <row r="325" spans="1:7" x14ac:dyDescent="0.2">
      <c r="A325" s="2" t="s">
        <v>517</v>
      </c>
      <c r="B325" s="2" t="s">
        <v>544</v>
      </c>
      <c r="C325" s="2" t="s">
        <v>525</v>
      </c>
      <c r="D325" s="2" t="s">
        <v>10</v>
      </c>
      <c r="E325" s="2" t="s">
        <v>16</v>
      </c>
      <c r="F325" s="2">
        <v>1</v>
      </c>
      <c r="G325" s="2" t="s">
        <v>17</v>
      </c>
    </row>
    <row r="326" spans="1:7" x14ac:dyDescent="0.2">
      <c r="A326" s="2" t="s">
        <v>517</v>
      </c>
      <c r="B326" s="2" t="s">
        <v>545</v>
      </c>
      <c r="C326" s="2" t="s">
        <v>519</v>
      </c>
      <c r="D326" s="2" t="s">
        <v>10</v>
      </c>
      <c r="E326" s="2" t="s">
        <v>16</v>
      </c>
      <c r="F326" s="2">
        <v>1</v>
      </c>
      <c r="G326" s="2" t="s">
        <v>17</v>
      </c>
    </row>
    <row r="327" spans="1:7" x14ac:dyDescent="0.2">
      <c r="A327" s="2" t="s">
        <v>517</v>
      </c>
      <c r="B327" s="2" t="s">
        <v>546</v>
      </c>
      <c r="C327" s="2" t="s">
        <v>534</v>
      </c>
      <c r="D327" s="2" t="s">
        <v>10</v>
      </c>
      <c r="E327" s="2" t="s">
        <v>16</v>
      </c>
      <c r="F327" s="2">
        <v>2</v>
      </c>
      <c r="G327" s="2" t="s">
        <v>17</v>
      </c>
    </row>
    <row r="328" spans="1:7" x14ac:dyDescent="0.2">
      <c r="A328" s="2" t="s">
        <v>517</v>
      </c>
      <c r="B328" s="2" t="s">
        <v>547</v>
      </c>
      <c r="C328" s="2" t="s">
        <v>530</v>
      </c>
      <c r="D328" s="2" t="s">
        <v>29</v>
      </c>
      <c r="E328" s="2" t="s">
        <v>16</v>
      </c>
      <c r="F328" s="2">
        <v>1</v>
      </c>
      <c r="G328" s="2" t="s">
        <v>17</v>
      </c>
    </row>
    <row r="329" spans="1:7" x14ac:dyDescent="0.2">
      <c r="A329" s="2" t="s">
        <v>517</v>
      </c>
      <c r="B329" s="2" t="s">
        <v>548</v>
      </c>
      <c r="C329" s="2" t="s">
        <v>525</v>
      </c>
      <c r="D329" s="2" t="s">
        <v>10</v>
      </c>
      <c r="E329" s="2" t="s">
        <v>16</v>
      </c>
      <c r="F329" s="2">
        <v>1</v>
      </c>
      <c r="G329" s="2" t="s">
        <v>17</v>
      </c>
    </row>
    <row r="330" spans="1:7" x14ac:dyDescent="0.2">
      <c r="A330" s="2" t="s">
        <v>517</v>
      </c>
      <c r="B330" s="2" t="s">
        <v>549</v>
      </c>
      <c r="C330" s="2" t="s">
        <v>519</v>
      </c>
      <c r="D330" s="2" t="s">
        <v>10</v>
      </c>
      <c r="E330" s="2" t="s">
        <v>16</v>
      </c>
      <c r="F330" s="2">
        <v>1</v>
      </c>
      <c r="G330" s="2" t="s">
        <v>17</v>
      </c>
    </row>
    <row r="331" spans="1:7" x14ac:dyDescent="0.2">
      <c r="A331" s="2" t="s">
        <v>517</v>
      </c>
      <c r="B331" s="2" t="s">
        <v>550</v>
      </c>
      <c r="C331" s="2" t="s">
        <v>536</v>
      </c>
      <c r="D331" s="2" t="s">
        <v>10</v>
      </c>
      <c r="E331" s="2" t="s">
        <v>16</v>
      </c>
      <c r="F331" s="2">
        <v>2</v>
      </c>
      <c r="G331" s="2" t="s">
        <v>17</v>
      </c>
    </row>
    <row r="332" spans="1:7" x14ac:dyDescent="0.2">
      <c r="A332" s="2" t="s">
        <v>517</v>
      </c>
      <c r="B332" s="2" t="s">
        <v>551</v>
      </c>
      <c r="C332" s="2" t="s">
        <v>552</v>
      </c>
      <c r="D332" s="2" t="s">
        <v>10</v>
      </c>
      <c r="E332" s="2" t="s">
        <v>16</v>
      </c>
      <c r="F332" s="2">
        <v>1</v>
      </c>
      <c r="G332" s="2" t="s">
        <v>17</v>
      </c>
    </row>
    <row r="333" spans="1:7" x14ac:dyDescent="0.2">
      <c r="A333" s="2" t="s">
        <v>517</v>
      </c>
      <c r="B333" s="2" t="s">
        <v>553</v>
      </c>
      <c r="C333" s="2" t="s">
        <v>552</v>
      </c>
      <c r="D333" s="2" t="s">
        <v>10</v>
      </c>
      <c r="E333" s="2" t="s">
        <v>16</v>
      </c>
      <c r="F333" s="2">
        <v>1</v>
      </c>
      <c r="G333" s="2" t="s">
        <v>17</v>
      </c>
    </row>
    <row r="334" spans="1:7" x14ac:dyDescent="0.2">
      <c r="A334" s="2" t="s">
        <v>517</v>
      </c>
      <c r="B334" s="2" t="s">
        <v>554</v>
      </c>
      <c r="C334" s="2" t="s">
        <v>525</v>
      </c>
      <c r="D334" s="2" t="s">
        <v>10</v>
      </c>
      <c r="E334" s="2" t="s">
        <v>16</v>
      </c>
      <c r="F334" s="2">
        <v>1</v>
      </c>
      <c r="G334" s="2" t="s">
        <v>17</v>
      </c>
    </row>
    <row r="335" spans="1:7" x14ac:dyDescent="0.2">
      <c r="A335" s="2" t="s">
        <v>517</v>
      </c>
      <c r="B335" s="2" t="s">
        <v>555</v>
      </c>
      <c r="C335" s="2" t="s">
        <v>525</v>
      </c>
      <c r="D335" s="2" t="s">
        <v>10</v>
      </c>
      <c r="E335" s="2" t="s">
        <v>16</v>
      </c>
      <c r="F335" s="2">
        <v>1</v>
      </c>
      <c r="G335" s="2" t="s">
        <v>17</v>
      </c>
    </row>
    <row r="336" spans="1:7" x14ac:dyDescent="0.2">
      <c r="A336" s="2" t="s">
        <v>517</v>
      </c>
      <c r="B336" s="2" t="s">
        <v>556</v>
      </c>
      <c r="C336" s="2" t="s">
        <v>525</v>
      </c>
      <c r="D336" s="2" t="s">
        <v>10</v>
      </c>
      <c r="E336" s="2" t="s">
        <v>16</v>
      </c>
      <c r="F336" s="2">
        <v>1</v>
      </c>
      <c r="G336" s="2" t="s">
        <v>17</v>
      </c>
    </row>
    <row r="337" spans="1:7" x14ac:dyDescent="0.2">
      <c r="A337" s="2" t="s">
        <v>517</v>
      </c>
      <c r="B337" s="2" t="s">
        <v>557</v>
      </c>
      <c r="C337" s="2" t="s">
        <v>525</v>
      </c>
      <c r="D337" s="2" t="s">
        <v>10</v>
      </c>
      <c r="E337" s="2" t="s">
        <v>16</v>
      </c>
      <c r="F337" s="2">
        <v>1</v>
      </c>
      <c r="G337" s="2" t="s">
        <v>17</v>
      </c>
    </row>
    <row r="338" spans="1:7" x14ac:dyDescent="0.2">
      <c r="A338" s="2" t="s">
        <v>558</v>
      </c>
      <c r="B338" s="2" t="s">
        <v>559</v>
      </c>
      <c r="C338" s="2" t="s">
        <v>560</v>
      </c>
      <c r="D338" s="2" t="s">
        <v>10</v>
      </c>
      <c r="E338" s="2" t="s">
        <v>16</v>
      </c>
      <c r="F338" s="2">
        <v>1</v>
      </c>
      <c r="G338" s="2" t="s">
        <v>17</v>
      </c>
    </row>
    <row r="339" spans="1:7" x14ac:dyDescent="0.2">
      <c r="A339" s="2" t="s">
        <v>561</v>
      </c>
      <c r="B339" s="2" t="s">
        <v>562</v>
      </c>
      <c r="C339" s="2" t="s">
        <v>563</v>
      </c>
      <c r="D339" s="2" t="s">
        <v>10</v>
      </c>
      <c r="E339" s="2" t="s">
        <v>16</v>
      </c>
      <c r="F339" s="2">
        <v>1</v>
      </c>
      <c r="G339" s="2" t="s">
        <v>17</v>
      </c>
    </row>
    <row r="340" spans="1:7" x14ac:dyDescent="0.2">
      <c r="A340" s="2" t="s">
        <v>561</v>
      </c>
      <c r="B340" s="2" t="s">
        <v>564</v>
      </c>
      <c r="C340" s="2" t="s">
        <v>565</v>
      </c>
      <c r="D340" s="2" t="s">
        <v>10</v>
      </c>
      <c r="E340" s="2" t="s">
        <v>52</v>
      </c>
      <c r="F340" s="2">
        <v>1</v>
      </c>
      <c r="G340" s="2" t="s">
        <v>17</v>
      </c>
    </row>
    <row r="341" spans="1:7" x14ac:dyDescent="0.2">
      <c r="A341" s="2" t="s">
        <v>561</v>
      </c>
      <c r="B341" s="2" t="s">
        <v>566</v>
      </c>
      <c r="C341" s="2" t="s">
        <v>565</v>
      </c>
      <c r="D341" s="2" t="s">
        <v>10</v>
      </c>
      <c r="E341" s="2" t="s">
        <v>52</v>
      </c>
      <c r="F341" s="2">
        <v>1</v>
      </c>
      <c r="G341" s="2" t="s">
        <v>17</v>
      </c>
    </row>
    <row r="342" spans="1:7" x14ac:dyDescent="0.2">
      <c r="A342" s="2" t="s">
        <v>561</v>
      </c>
      <c r="B342" s="2" t="s">
        <v>567</v>
      </c>
      <c r="C342" s="2" t="s">
        <v>563</v>
      </c>
      <c r="D342" s="2" t="s">
        <v>10</v>
      </c>
      <c r="E342" s="2" t="s">
        <v>16</v>
      </c>
      <c r="F342" s="2">
        <v>1</v>
      </c>
      <c r="G342" s="2" t="s">
        <v>17</v>
      </c>
    </row>
    <row r="343" spans="1:7" x14ac:dyDescent="0.2">
      <c r="A343" s="2" t="s">
        <v>568</v>
      </c>
      <c r="B343" s="2" t="s">
        <v>569</v>
      </c>
      <c r="C343" s="2" t="s">
        <v>570</v>
      </c>
      <c r="D343" s="2" t="s">
        <v>10</v>
      </c>
      <c r="E343" s="2" t="s">
        <v>16</v>
      </c>
      <c r="F343" s="2">
        <v>1</v>
      </c>
      <c r="G343" s="2" t="s">
        <v>17</v>
      </c>
    </row>
    <row r="344" spans="1:7" x14ac:dyDescent="0.2">
      <c r="A344" s="2" t="s">
        <v>571</v>
      </c>
      <c r="B344" s="2" t="s">
        <v>572</v>
      </c>
      <c r="C344" s="2" t="s">
        <v>573</v>
      </c>
      <c r="D344" s="2" t="s">
        <v>29</v>
      </c>
      <c r="E344" s="2" t="s">
        <v>52</v>
      </c>
      <c r="F344" s="2">
        <v>1</v>
      </c>
      <c r="G344" s="2" t="s">
        <v>17</v>
      </c>
    </row>
    <row r="345" spans="1:7" x14ac:dyDescent="0.2">
      <c r="A345" s="2" t="s">
        <v>574</v>
      </c>
      <c r="B345" s="2" t="s">
        <v>43</v>
      </c>
      <c r="C345" s="2" t="s">
        <v>575</v>
      </c>
      <c r="D345" s="2" t="s">
        <v>10</v>
      </c>
      <c r="E345" s="2" t="s">
        <v>16</v>
      </c>
      <c r="F345" s="2">
        <v>1</v>
      </c>
      <c r="G345" s="2" t="s">
        <v>17</v>
      </c>
    </row>
    <row r="346" spans="1:7" x14ac:dyDescent="0.2">
      <c r="A346" s="2" t="s">
        <v>574</v>
      </c>
      <c r="B346" s="2" t="s">
        <v>576</v>
      </c>
      <c r="C346" s="2" t="s">
        <v>575</v>
      </c>
      <c r="D346" s="2" t="s">
        <v>10</v>
      </c>
      <c r="E346" s="2" t="s">
        <v>16</v>
      </c>
      <c r="F346" s="2">
        <v>1</v>
      </c>
      <c r="G346" s="2" t="s">
        <v>17</v>
      </c>
    </row>
    <row r="347" spans="1:7" x14ac:dyDescent="0.2">
      <c r="A347" s="2" t="s">
        <v>577</v>
      </c>
      <c r="B347" s="2" t="s">
        <v>578</v>
      </c>
      <c r="C347" s="2" t="s">
        <v>579</v>
      </c>
      <c r="D347" s="2" t="s">
        <v>10</v>
      </c>
      <c r="E347" s="2" t="s">
        <v>16</v>
      </c>
      <c r="F347" s="2">
        <v>1</v>
      </c>
      <c r="G347" s="2" t="s">
        <v>17</v>
      </c>
    </row>
    <row r="348" spans="1:7" x14ac:dyDescent="0.2">
      <c r="A348" s="2" t="s">
        <v>577</v>
      </c>
      <c r="B348" s="2" t="s">
        <v>580</v>
      </c>
      <c r="C348" s="2" t="s">
        <v>581</v>
      </c>
      <c r="D348" s="2" t="s">
        <v>10</v>
      </c>
      <c r="E348" s="2" t="s">
        <v>16</v>
      </c>
      <c r="F348" s="2">
        <v>2</v>
      </c>
      <c r="G348" s="2" t="s">
        <v>17</v>
      </c>
    </row>
    <row r="349" spans="1:7" x14ac:dyDescent="0.2">
      <c r="A349" s="2" t="s">
        <v>577</v>
      </c>
      <c r="B349" s="2" t="s">
        <v>582</v>
      </c>
      <c r="C349" s="2" t="s">
        <v>581</v>
      </c>
      <c r="D349" s="2" t="s">
        <v>10</v>
      </c>
      <c r="E349" s="2" t="s">
        <v>16</v>
      </c>
      <c r="F349" s="2">
        <v>2</v>
      </c>
      <c r="G349" s="2" t="s">
        <v>17</v>
      </c>
    </row>
    <row r="350" spans="1:7" x14ac:dyDescent="0.2">
      <c r="A350" s="2" t="s">
        <v>583</v>
      </c>
      <c r="B350" s="2" t="s">
        <v>584</v>
      </c>
      <c r="C350" s="2" t="s">
        <v>585</v>
      </c>
      <c r="D350" s="2" t="s">
        <v>10</v>
      </c>
      <c r="E350" s="2" t="s">
        <v>16</v>
      </c>
      <c r="F350" s="2">
        <v>1</v>
      </c>
      <c r="G350" s="2" t="s">
        <v>17</v>
      </c>
    </row>
    <row r="351" spans="1:7" x14ac:dyDescent="0.2">
      <c r="A351" s="2" t="s">
        <v>583</v>
      </c>
      <c r="B351" s="2" t="s">
        <v>586</v>
      </c>
      <c r="C351" s="2" t="s">
        <v>585</v>
      </c>
      <c r="D351" s="2" t="s">
        <v>10</v>
      </c>
      <c r="E351" s="2" t="s">
        <v>16</v>
      </c>
      <c r="F351" s="2">
        <v>1</v>
      </c>
      <c r="G351" s="2" t="s">
        <v>17</v>
      </c>
    </row>
    <row r="352" spans="1:7" x14ac:dyDescent="0.2">
      <c r="A352" s="2" t="s">
        <v>587</v>
      </c>
      <c r="B352" s="2" t="s">
        <v>588</v>
      </c>
      <c r="C352" s="2" t="s">
        <v>589</v>
      </c>
      <c r="D352" s="2" t="s">
        <v>56</v>
      </c>
      <c r="E352" s="2" t="s">
        <v>52</v>
      </c>
      <c r="F352" s="2">
        <v>1</v>
      </c>
      <c r="G352" s="2" t="s">
        <v>17</v>
      </c>
    </row>
    <row r="353" spans="1:7" x14ac:dyDescent="0.2">
      <c r="A353" s="2" t="s">
        <v>587</v>
      </c>
      <c r="B353" s="2" t="s">
        <v>590</v>
      </c>
      <c r="C353" s="2" t="s">
        <v>591</v>
      </c>
      <c r="D353" s="2" t="s">
        <v>56</v>
      </c>
      <c r="E353" s="2" t="s">
        <v>52</v>
      </c>
      <c r="F353" s="2">
        <v>1</v>
      </c>
      <c r="G353" s="2" t="s">
        <v>17</v>
      </c>
    </row>
    <row r="354" spans="1:7" x14ac:dyDescent="0.2">
      <c r="A354" s="2" t="s">
        <v>587</v>
      </c>
      <c r="B354" s="2" t="s">
        <v>592</v>
      </c>
      <c r="C354" s="2" t="s">
        <v>593</v>
      </c>
      <c r="D354" s="2" t="s">
        <v>56</v>
      </c>
      <c r="E354" s="2" t="s">
        <v>52</v>
      </c>
      <c r="F354" s="2">
        <v>2</v>
      </c>
      <c r="G354" s="2" t="s">
        <v>12</v>
      </c>
    </row>
    <row r="355" spans="1:7" x14ac:dyDescent="0.2">
      <c r="A355" s="2" t="s">
        <v>587</v>
      </c>
      <c r="B355" s="2" t="s">
        <v>594</v>
      </c>
      <c r="C355" s="2" t="s">
        <v>593</v>
      </c>
      <c r="D355" s="2" t="s">
        <v>56</v>
      </c>
      <c r="E355" s="2" t="s">
        <v>52</v>
      </c>
      <c r="F355" s="2">
        <v>2</v>
      </c>
      <c r="G355" s="2" t="s">
        <v>12</v>
      </c>
    </row>
    <row r="356" spans="1:7" x14ac:dyDescent="0.2">
      <c r="A356" s="2" t="s">
        <v>587</v>
      </c>
      <c r="B356" s="2" t="s">
        <v>595</v>
      </c>
      <c r="C356" s="2" t="s">
        <v>593</v>
      </c>
      <c r="D356" s="2" t="s">
        <v>56</v>
      </c>
      <c r="E356" s="2" t="s">
        <v>52</v>
      </c>
      <c r="F356" s="2">
        <v>2</v>
      </c>
      <c r="G356" s="2" t="s">
        <v>12</v>
      </c>
    </row>
    <row r="357" spans="1:7" x14ac:dyDescent="0.2">
      <c r="A357" s="2" t="s">
        <v>587</v>
      </c>
      <c r="B357" s="2" t="s">
        <v>596</v>
      </c>
      <c r="C357" s="2" t="s">
        <v>593</v>
      </c>
      <c r="D357" s="2" t="s">
        <v>56</v>
      </c>
      <c r="E357" s="2" t="s">
        <v>52</v>
      </c>
      <c r="F357" s="2">
        <v>2</v>
      </c>
      <c r="G357" s="2" t="s">
        <v>12</v>
      </c>
    </row>
    <row r="358" spans="1:7" x14ac:dyDescent="0.2">
      <c r="A358" s="2" t="s">
        <v>587</v>
      </c>
      <c r="B358" s="2" t="s">
        <v>597</v>
      </c>
      <c r="C358" s="2" t="s">
        <v>593</v>
      </c>
      <c r="D358" s="2" t="s">
        <v>56</v>
      </c>
      <c r="E358" s="2" t="s">
        <v>52</v>
      </c>
      <c r="F358" s="2">
        <v>2</v>
      </c>
      <c r="G358" s="2" t="s">
        <v>12</v>
      </c>
    </row>
    <row r="359" spans="1:7" x14ac:dyDescent="0.2">
      <c r="A359" s="2" t="s">
        <v>587</v>
      </c>
      <c r="B359" s="2" t="s">
        <v>598</v>
      </c>
      <c r="C359" s="2" t="s">
        <v>599</v>
      </c>
      <c r="D359" s="2" t="s">
        <v>56</v>
      </c>
      <c r="E359" s="2" t="s">
        <v>52</v>
      </c>
      <c r="F359" s="2">
        <v>2</v>
      </c>
      <c r="G359" s="2" t="s">
        <v>12</v>
      </c>
    </row>
    <row r="360" spans="1:7" x14ac:dyDescent="0.2">
      <c r="A360" s="2" t="s">
        <v>587</v>
      </c>
      <c r="B360" s="2" t="s">
        <v>600</v>
      </c>
      <c r="C360" s="2" t="s">
        <v>593</v>
      </c>
      <c r="D360" s="2" t="s">
        <v>56</v>
      </c>
      <c r="E360" s="2" t="s">
        <v>52</v>
      </c>
      <c r="F360" s="2">
        <v>2</v>
      </c>
      <c r="G360" s="2" t="s">
        <v>12</v>
      </c>
    </row>
    <row r="361" spans="1:7" x14ac:dyDescent="0.2">
      <c r="A361" s="2" t="s">
        <v>587</v>
      </c>
      <c r="B361" s="2" t="s">
        <v>601</v>
      </c>
      <c r="C361" s="2" t="s">
        <v>593</v>
      </c>
      <c r="D361" s="2" t="s">
        <v>56</v>
      </c>
      <c r="E361" s="2" t="s">
        <v>52</v>
      </c>
      <c r="F361" s="2">
        <v>2</v>
      </c>
      <c r="G361" s="2" t="s">
        <v>12</v>
      </c>
    </row>
    <row r="362" spans="1:7" x14ac:dyDescent="0.2">
      <c r="A362" s="2" t="s">
        <v>587</v>
      </c>
      <c r="B362" s="2" t="s">
        <v>602</v>
      </c>
      <c r="C362" s="2" t="s">
        <v>593</v>
      </c>
      <c r="D362" s="2" t="s">
        <v>56</v>
      </c>
      <c r="E362" s="2" t="s">
        <v>52</v>
      </c>
      <c r="F362" s="2">
        <v>2</v>
      </c>
      <c r="G362" s="2" t="s">
        <v>12</v>
      </c>
    </row>
    <row r="363" spans="1:7" x14ac:dyDescent="0.2">
      <c r="A363" s="2" t="s">
        <v>587</v>
      </c>
      <c r="B363" s="2" t="s">
        <v>603</v>
      </c>
      <c r="C363" s="2" t="s">
        <v>593</v>
      </c>
      <c r="D363" s="2" t="s">
        <v>56</v>
      </c>
      <c r="E363" s="2" t="s">
        <v>52</v>
      </c>
      <c r="F363" s="2">
        <v>2</v>
      </c>
      <c r="G363" s="2" t="s">
        <v>12</v>
      </c>
    </row>
    <row r="364" spans="1:7" x14ac:dyDescent="0.2">
      <c r="A364" s="2" t="s">
        <v>587</v>
      </c>
      <c r="B364" s="2" t="s">
        <v>604</v>
      </c>
      <c r="C364" s="2" t="s">
        <v>605</v>
      </c>
      <c r="D364" s="2" t="s">
        <v>56</v>
      </c>
      <c r="E364" s="2" t="s">
        <v>52</v>
      </c>
      <c r="F364" s="2">
        <v>1</v>
      </c>
      <c r="G364" s="2" t="s">
        <v>17</v>
      </c>
    </row>
    <row r="365" spans="1:7" x14ac:dyDescent="0.2">
      <c r="A365" s="2" t="s">
        <v>587</v>
      </c>
      <c r="B365" s="2" t="s">
        <v>606</v>
      </c>
      <c r="C365" s="2" t="s">
        <v>605</v>
      </c>
      <c r="D365" s="2" t="s">
        <v>56</v>
      </c>
      <c r="E365" s="2" t="s">
        <v>52</v>
      </c>
      <c r="F365" s="2">
        <v>1</v>
      </c>
      <c r="G365" s="2" t="s">
        <v>17</v>
      </c>
    </row>
    <row r="366" spans="1:7" x14ac:dyDescent="0.2">
      <c r="A366" s="2" t="s">
        <v>587</v>
      </c>
      <c r="B366" s="2" t="s">
        <v>607</v>
      </c>
      <c r="C366" s="2" t="s">
        <v>605</v>
      </c>
      <c r="D366" s="2" t="s">
        <v>56</v>
      </c>
      <c r="E366" s="2" t="s">
        <v>52</v>
      </c>
      <c r="F366" s="2">
        <v>1</v>
      </c>
      <c r="G366" s="2" t="s">
        <v>17</v>
      </c>
    </row>
    <row r="367" spans="1:7" x14ac:dyDescent="0.2">
      <c r="A367" s="2" t="s">
        <v>587</v>
      </c>
      <c r="B367" s="2" t="s">
        <v>608</v>
      </c>
      <c r="C367" s="2" t="s">
        <v>609</v>
      </c>
      <c r="D367" s="2" t="s">
        <v>56</v>
      </c>
      <c r="E367" s="2" t="s">
        <v>52</v>
      </c>
      <c r="F367" s="2">
        <v>2</v>
      </c>
      <c r="G367" s="2" t="s">
        <v>17</v>
      </c>
    </row>
    <row r="368" spans="1:7" x14ac:dyDescent="0.2">
      <c r="A368" s="2" t="s">
        <v>587</v>
      </c>
      <c r="B368" s="2" t="s">
        <v>610</v>
      </c>
      <c r="C368" s="2" t="s">
        <v>609</v>
      </c>
      <c r="D368" s="2" t="s">
        <v>56</v>
      </c>
      <c r="E368" s="2" t="s">
        <v>52</v>
      </c>
      <c r="F368" s="2">
        <v>2</v>
      </c>
      <c r="G368" s="2" t="s">
        <v>17</v>
      </c>
    </row>
    <row r="369" spans="1:7" x14ac:dyDescent="0.2">
      <c r="A369" s="2" t="s">
        <v>587</v>
      </c>
      <c r="B369" s="2" t="s">
        <v>611</v>
      </c>
      <c r="C369" s="2" t="s">
        <v>612</v>
      </c>
      <c r="D369" s="2" t="s">
        <v>56</v>
      </c>
      <c r="E369" s="2" t="s">
        <v>52</v>
      </c>
      <c r="F369" s="2">
        <v>2</v>
      </c>
      <c r="G369" s="2" t="s">
        <v>17</v>
      </c>
    </row>
    <row r="370" spans="1:7" x14ac:dyDescent="0.2">
      <c r="A370" s="2" t="s">
        <v>587</v>
      </c>
      <c r="B370" s="2" t="s">
        <v>613</v>
      </c>
      <c r="C370" s="2" t="s">
        <v>612</v>
      </c>
      <c r="D370" s="2" t="s">
        <v>56</v>
      </c>
      <c r="E370" s="2" t="s">
        <v>52</v>
      </c>
      <c r="F370" s="2">
        <v>2</v>
      </c>
      <c r="G370" s="2" t="s">
        <v>17</v>
      </c>
    </row>
    <row r="371" spans="1:7" x14ac:dyDescent="0.2">
      <c r="A371" s="2" t="s">
        <v>587</v>
      </c>
      <c r="B371" s="2" t="s">
        <v>614</v>
      </c>
      <c r="C371" s="2" t="s">
        <v>599</v>
      </c>
      <c r="D371" s="2" t="s">
        <v>56</v>
      </c>
      <c r="E371" s="2" t="s">
        <v>52</v>
      </c>
      <c r="F371" s="2">
        <v>2</v>
      </c>
      <c r="G371" s="2" t="s">
        <v>12</v>
      </c>
    </row>
    <row r="372" spans="1:7" x14ac:dyDescent="0.2">
      <c r="A372" s="2" t="s">
        <v>587</v>
      </c>
      <c r="B372" s="2" t="s">
        <v>615</v>
      </c>
      <c r="C372" s="2" t="s">
        <v>593</v>
      </c>
      <c r="D372" s="2" t="s">
        <v>56</v>
      </c>
      <c r="E372" s="2" t="s">
        <v>52</v>
      </c>
      <c r="F372" s="2">
        <v>2</v>
      </c>
      <c r="G372" s="2" t="s">
        <v>12</v>
      </c>
    </row>
    <row r="373" spans="1:7" x14ac:dyDescent="0.2">
      <c r="A373" s="2" t="s">
        <v>587</v>
      </c>
      <c r="B373" s="2" t="s">
        <v>616</v>
      </c>
      <c r="C373" s="2" t="s">
        <v>599</v>
      </c>
      <c r="D373" s="2" t="s">
        <v>56</v>
      </c>
      <c r="E373" s="2" t="s">
        <v>52</v>
      </c>
      <c r="F373" s="2">
        <v>2</v>
      </c>
      <c r="G373" s="2" t="s">
        <v>12</v>
      </c>
    </row>
    <row r="374" spans="1:7" x14ac:dyDescent="0.2">
      <c r="A374" s="2" t="s">
        <v>587</v>
      </c>
      <c r="B374" s="2" t="s">
        <v>617</v>
      </c>
      <c r="C374" s="2" t="s">
        <v>593</v>
      </c>
      <c r="D374" s="2" t="s">
        <v>56</v>
      </c>
      <c r="E374" s="2" t="s">
        <v>52</v>
      </c>
      <c r="F374" s="2">
        <v>2</v>
      </c>
      <c r="G374" s="2" t="s">
        <v>12</v>
      </c>
    </row>
    <row r="375" spans="1:7" x14ac:dyDescent="0.2">
      <c r="A375" s="2" t="s">
        <v>587</v>
      </c>
      <c r="B375" s="2" t="s">
        <v>618</v>
      </c>
      <c r="C375" s="2" t="s">
        <v>593</v>
      </c>
      <c r="D375" s="2" t="s">
        <v>56</v>
      </c>
      <c r="E375" s="2" t="s">
        <v>52</v>
      </c>
      <c r="F375" s="2">
        <v>2</v>
      </c>
      <c r="G375" s="2" t="s">
        <v>12</v>
      </c>
    </row>
    <row r="376" spans="1:7" x14ac:dyDescent="0.2">
      <c r="A376" s="2" t="s">
        <v>587</v>
      </c>
      <c r="B376" s="2" t="s">
        <v>619</v>
      </c>
      <c r="C376" s="2" t="s">
        <v>605</v>
      </c>
      <c r="D376" s="2" t="s">
        <v>56</v>
      </c>
      <c r="E376" s="2" t="s">
        <v>52</v>
      </c>
      <c r="F376" s="2">
        <v>1</v>
      </c>
      <c r="G376" s="2" t="s">
        <v>17</v>
      </c>
    </row>
    <row r="377" spans="1:7" x14ac:dyDescent="0.2">
      <c r="A377" s="2" t="s">
        <v>587</v>
      </c>
      <c r="B377" s="2" t="s">
        <v>620</v>
      </c>
      <c r="C377" s="2" t="s">
        <v>609</v>
      </c>
      <c r="D377" s="2" t="s">
        <v>56</v>
      </c>
      <c r="E377" s="2" t="s">
        <v>52</v>
      </c>
      <c r="F377" s="2">
        <v>2</v>
      </c>
      <c r="G377" s="2" t="s">
        <v>17</v>
      </c>
    </row>
    <row r="378" spans="1:7" x14ac:dyDescent="0.2">
      <c r="A378" s="2" t="s">
        <v>587</v>
      </c>
      <c r="B378" s="2" t="s">
        <v>621</v>
      </c>
      <c r="C378" s="2" t="s">
        <v>612</v>
      </c>
      <c r="D378" s="2" t="s">
        <v>56</v>
      </c>
      <c r="E378" s="2" t="s">
        <v>52</v>
      </c>
      <c r="F378" s="2">
        <v>2</v>
      </c>
      <c r="G378" s="2" t="s">
        <v>17</v>
      </c>
    </row>
    <row r="379" spans="1:7" x14ac:dyDescent="0.2">
      <c r="A379" s="2" t="s">
        <v>587</v>
      </c>
      <c r="B379" s="2" t="s">
        <v>622</v>
      </c>
      <c r="C379" s="2" t="s">
        <v>605</v>
      </c>
      <c r="D379" s="2" t="s">
        <v>56</v>
      </c>
      <c r="E379" s="2" t="s">
        <v>52</v>
      </c>
      <c r="F379" s="2">
        <v>1</v>
      </c>
      <c r="G379" s="2" t="s">
        <v>17</v>
      </c>
    </row>
    <row r="380" spans="1:7" x14ac:dyDescent="0.2">
      <c r="A380" s="2" t="s">
        <v>587</v>
      </c>
      <c r="B380" s="2" t="s">
        <v>623</v>
      </c>
      <c r="C380" s="2" t="s">
        <v>624</v>
      </c>
      <c r="D380" s="2" t="s">
        <v>56</v>
      </c>
      <c r="E380" s="2" t="s">
        <v>52</v>
      </c>
      <c r="F380" s="2">
        <v>2</v>
      </c>
      <c r="G380" s="2" t="s">
        <v>17</v>
      </c>
    </row>
    <row r="381" spans="1:7" x14ac:dyDescent="0.2">
      <c r="A381" s="2" t="s">
        <v>587</v>
      </c>
      <c r="B381" s="2" t="s">
        <v>625</v>
      </c>
      <c r="C381" s="2" t="s">
        <v>626</v>
      </c>
      <c r="D381" s="2" t="s">
        <v>10</v>
      </c>
      <c r="E381" s="2" t="s">
        <v>11</v>
      </c>
      <c r="F381" s="2">
        <v>2</v>
      </c>
      <c r="G381" s="2" t="s">
        <v>17</v>
      </c>
    </row>
    <row r="382" spans="1:7" x14ac:dyDescent="0.2">
      <c r="A382" s="2" t="s">
        <v>587</v>
      </c>
      <c r="B382" s="2" t="s">
        <v>627</v>
      </c>
      <c r="C382" s="2" t="s">
        <v>628</v>
      </c>
      <c r="D382" s="2" t="s">
        <v>10</v>
      </c>
      <c r="E382" s="2" t="s">
        <v>11</v>
      </c>
      <c r="F382" s="2">
        <v>2</v>
      </c>
      <c r="G382" s="2" t="s">
        <v>17</v>
      </c>
    </row>
    <row r="383" spans="1:7" x14ac:dyDescent="0.2">
      <c r="A383" s="2" t="s">
        <v>587</v>
      </c>
      <c r="B383" s="2" t="s">
        <v>88</v>
      </c>
      <c r="C383" s="2" t="s">
        <v>593</v>
      </c>
      <c r="D383" s="2" t="s">
        <v>56</v>
      </c>
      <c r="E383" s="2" t="s">
        <v>52</v>
      </c>
      <c r="F383" s="2">
        <v>2</v>
      </c>
      <c r="G383" s="2" t="s">
        <v>12</v>
      </c>
    </row>
    <row r="384" spans="1:7" x14ac:dyDescent="0.2">
      <c r="A384" s="2" t="s">
        <v>587</v>
      </c>
      <c r="B384" s="2" t="s">
        <v>629</v>
      </c>
      <c r="C384" s="2" t="s">
        <v>599</v>
      </c>
      <c r="D384" s="2" t="s">
        <v>56</v>
      </c>
      <c r="E384" s="2" t="s">
        <v>52</v>
      </c>
      <c r="F384" s="2">
        <v>2</v>
      </c>
      <c r="G384" s="2" t="s">
        <v>12</v>
      </c>
    </row>
    <row r="385" spans="1:7" x14ac:dyDescent="0.2">
      <c r="A385" s="2" t="s">
        <v>587</v>
      </c>
      <c r="B385" s="2" t="s">
        <v>630</v>
      </c>
      <c r="C385" s="2" t="s">
        <v>631</v>
      </c>
      <c r="D385" s="2" t="s">
        <v>56</v>
      </c>
      <c r="E385" s="2" t="s">
        <v>52</v>
      </c>
      <c r="F385" s="2">
        <v>1</v>
      </c>
      <c r="G385" s="2" t="s">
        <v>17</v>
      </c>
    </row>
    <row r="386" spans="1:7" x14ac:dyDescent="0.2">
      <c r="A386" s="2" t="s">
        <v>587</v>
      </c>
      <c r="B386" s="2" t="s">
        <v>632</v>
      </c>
      <c r="C386" s="2" t="s">
        <v>612</v>
      </c>
      <c r="D386" s="2" t="s">
        <v>56</v>
      </c>
      <c r="E386" s="2" t="s">
        <v>52</v>
      </c>
      <c r="F386" s="2">
        <v>2</v>
      </c>
      <c r="G386" s="2" t="s">
        <v>17</v>
      </c>
    </row>
    <row r="387" spans="1:7" x14ac:dyDescent="0.2">
      <c r="A387" s="2" t="s">
        <v>587</v>
      </c>
      <c r="B387" s="2" t="s">
        <v>633</v>
      </c>
      <c r="C387" s="2" t="s">
        <v>634</v>
      </c>
      <c r="D387" s="2" t="s">
        <v>56</v>
      </c>
      <c r="E387" s="2" t="s">
        <v>52</v>
      </c>
      <c r="F387" s="2">
        <v>2</v>
      </c>
      <c r="G387" s="2" t="s">
        <v>17</v>
      </c>
    </row>
    <row r="388" spans="1:7" x14ac:dyDescent="0.2">
      <c r="A388" s="2" t="s">
        <v>587</v>
      </c>
      <c r="B388" s="2" t="s">
        <v>635</v>
      </c>
      <c r="C388" s="2" t="s">
        <v>612</v>
      </c>
      <c r="D388" s="2" t="s">
        <v>56</v>
      </c>
      <c r="E388" s="2" t="s">
        <v>52</v>
      </c>
      <c r="F388" s="2">
        <v>2</v>
      </c>
      <c r="G388" s="2" t="s">
        <v>17</v>
      </c>
    </row>
    <row r="389" spans="1:7" x14ac:dyDescent="0.2">
      <c r="A389" s="2" t="s">
        <v>587</v>
      </c>
      <c r="B389" s="2" t="s">
        <v>636</v>
      </c>
      <c r="C389" s="2" t="s">
        <v>605</v>
      </c>
      <c r="D389" s="2" t="s">
        <v>56</v>
      </c>
      <c r="E389" s="2" t="s">
        <v>52</v>
      </c>
      <c r="F389" s="2">
        <v>1</v>
      </c>
      <c r="G389" s="2" t="s">
        <v>17</v>
      </c>
    </row>
    <row r="390" spans="1:7" x14ac:dyDescent="0.2">
      <c r="A390" s="2" t="s">
        <v>587</v>
      </c>
      <c r="B390" s="2" t="s">
        <v>637</v>
      </c>
      <c r="C390" s="2" t="s">
        <v>609</v>
      </c>
      <c r="D390" s="2" t="s">
        <v>56</v>
      </c>
      <c r="E390" s="2" t="s">
        <v>52</v>
      </c>
      <c r="F390" s="2">
        <v>2</v>
      </c>
      <c r="G390" s="2" t="s">
        <v>17</v>
      </c>
    </row>
    <row r="391" spans="1:7" x14ac:dyDescent="0.2">
      <c r="A391" s="2" t="s">
        <v>587</v>
      </c>
      <c r="B391" s="2" t="s">
        <v>638</v>
      </c>
      <c r="C391" s="2" t="s">
        <v>639</v>
      </c>
      <c r="D391" s="2" t="s">
        <v>10</v>
      </c>
      <c r="E391" s="2" t="s">
        <v>16</v>
      </c>
      <c r="F391" s="2">
        <v>1</v>
      </c>
      <c r="G391" s="2" t="s">
        <v>17</v>
      </c>
    </row>
    <row r="392" spans="1:7" x14ac:dyDescent="0.2">
      <c r="A392" s="2" t="s">
        <v>587</v>
      </c>
      <c r="B392" s="2" t="s">
        <v>640</v>
      </c>
      <c r="C392" s="2" t="s">
        <v>605</v>
      </c>
      <c r="D392" s="2" t="s">
        <v>56</v>
      </c>
      <c r="E392" s="2" t="s">
        <v>52</v>
      </c>
      <c r="F392" s="2">
        <v>1</v>
      </c>
      <c r="G392" s="2" t="s">
        <v>17</v>
      </c>
    </row>
    <row r="393" spans="1:7" x14ac:dyDescent="0.2">
      <c r="A393" s="2" t="s">
        <v>587</v>
      </c>
      <c r="B393" s="2" t="s">
        <v>641</v>
      </c>
      <c r="C393" s="2" t="s">
        <v>609</v>
      </c>
      <c r="D393" s="2" t="s">
        <v>56</v>
      </c>
      <c r="E393" s="2" t="s">
        <v>52</v>
      </c>
      <c r="F393" s="2">
        <v>2</v>
      </c>
      <c r="G393" s="2" t="s">
        <v>17</v>
      </c>
    </row>
    <row r="394" spans="1:7" x14ac:dyDescent="0.2">
      <c r="A394" s="2" t="s">
        <v>587</v>
      </c>
      <c r="B394" s="2" t="s">
        <v>642</v>
      </c>
      <c r="C394" s="2" t="s">
        <v>643</v>
      </c>
      <c r="D394" s="2" t="s">
        <v>10</v>
      </c>
      <c r="E394" s="2" t="s">
        <v>52</v>
      </c>
      <c r="F394" s="2">
        <v>2</v>
      </c>
      <c r="G394" s="2" t="s">
        <v>12</v>
      </c>
    </row>
    <row r="395" spans="1:7" x14ac:dyDescent="0.2">
      <c r="A395" s="2" t="s">
        <v>587</v>
      </c>
      <c r="B395" s="2" t="s">
        <v>54</v>
      </c>
      <c r="C395" s="2" t="s">
        <v>55</v>
      </c>
      <c r="D395" s="2" t="s">
        <v>56</v>
      </c>
      <c r="E395" s="2" t="s">
        <v>52</v>
      </c>
      <c r="F395" s="2">
        <v>1</v>
      </c>
      <c r="G395" s="2" t="s">
        <v>17</v>
      </c>
    </row>
    <row r="396" spans="1:7" x14ac:dyDescent="0.2">
      <c r="A396" s="2" t="s">
        <v>587</v>
      </c>
      <c r="B396" s="2" t="s">
        <v>644</v>
      </c>
      <c r="C396" s="2" t="s">
        <v>612</v>
      </c>
      <c r="D396" s="2" t="s">
        <v>56</v>
      </c>
      <c r="E396" s="2" t="s">
        <v>52</v>
      </c>
      <c r="F396" s="2">
        <v>2</v>
      </c>
      <c r="G396" s="2" t="s">
        <v>17</v>
      </c>
    </row>
    <row r="397" spans="1:7" x14ac:dyDescent="0.2">
      <c r="A397" s="2" t="s">
        <v>587</v>
      </c>
      <c r="B397" s="2" t="s">
        <v>645</v>
      </c>
      <c r="C397" s="2" t="s">
        <v>593</v>
      </c>
      <c r="D397" s="2" t="s">
        <v>56</v>
      </c>
      <c r="E397" s="2" t="s">
        <v>52</v>
      </c>
      <c r="F397" s="2">
        <v>2</v>
      </c>
      <c r="G397" s="2" t="s">
        <v>12</v>
      </c>
    </row>
    <row r="398" spans="1:7" x14ac:dyDescent="0.2">
      <c r="A398" s="2" t="s">
        <v>587</v>
      </c>
      <c r="B398" s="2" t="s">
        <v>646</v>
      </c>
      <c r="C398" s="2" t="s">
        <v>647</v>
      </c>
      <c r="D398" s="2" t="s">
        <v>56</v>
      </c>
      <c r="E398" s="2" t="s">
        <v>52</v>
      </c>
      <c r="F398" s="2">
        <v>1</v>
      </c>
      <c r="G398" s="2" t="s">
        <v>17</v>
      </c>
    </row>
    <row r="399" spans="1:7" x14ac:dyDescent="0.2">
      <c r="A399" s="2" t="s">
        <v>587</v>
      </c>
      <c r="B399" s="2" t="s">
        <v>648</v>
      </c>
      <c r="C399" s="2" t="s">
        <v>626</v>
      </c>
      <c r="D399" s="2" t="s">
        <v>10</v>
      </c>
      <c r="E399" s="2" t="s">
        <v>11</v>
      </c>
      <c r="F399" s="2">
        <v>2</v>
      </c>
      <c r="G399" s="2" t="s">
        <v>17</v>
      </c>
    </row>
    <row r="400" spans="1:7" x14ac:dyDescent="0.2">
      <c r="A400" s="2" t="s">
        <v>587</v>
      </c>
      <c r="B400" s="2" t="s">
        <v>649</v>
      </c>
      <c r="C400" s="2" t="s">
        <v>643</v>
      </c>
      <c r="D400" s="2" t="s">
        <v>10</v>
      </c>
      <c r="E400" s="2" t="s">
        <v>52</v>
      </c>
      <c r="F400" s="2">
        <v>2</v>
      </c>
      <c r="G400" s="2" t="s">
        <v>12</v>
      </c>
    </row>
    <row r="401" spans="1:7" x14ac:dyDescent="0.2">
      <c r="A401" s="2" t="s">
        <v>587</v>
      </c>
      <c r="B401" s="2" t="s">
        <v>650</v>
      </c>
      <c r="C401" s="2" t="s">
        <v>643</v>
      </c>
      <c r="D401" s="2" t="s">
        <v>10</v>
      </c>
      <c r="E401" s="2" t="s">
        <v>52</v>
      </c>
      <c r="F401" s="2">
        <v>2</v>
      </c>
      <c r="G401" s="2" t="s">
        <v>12</v>
      </c>
    </row>
    <row r="402" spans="1:7" x14ac:dyDescent="0.2">
      <c r="A402" s="2" t="s">
        <v>587</v>
      </c>
      <c r="B402" s="2" t="s">
        <v>651</v>
      </c>
      <c r="C402" s="2" t="s">
        <v>643</v>
      </c>
      <c r="D402" s="2" t="s">
        <v>10</v>
      </c>
      <c r="E402" s="2" t="s">
        <v>52</v>
      </c>
      <c r="F402" s="2">
        <v>2</v>
      </c>
      <c r="G402" s="2" t="s">
        <v>12</v>
      </c>
    </row>
    <row r="403" spans="1:7" x14ac:dyDescent="0.2">
      <c r="A403" s="2" t="s">
        <v>587</v>
      </c>
      <c r="B403" s="2" t="s">
        <v>652</v>
      </c>
      <c r="C403" s="2" t="s">
        <v>612</v>
      </c>
      <c r="D403" s="2" t="s">
        <v>56</v>
      </c>
      <c r="E403" s="2" t="s">
        <v>52</v>
      </c>
      <c r="F403" s="2">
        <v>2</v>
      </c>
      <c r="G403" s="2" t="s">
        <v>17</v>
      </c>
    </row>
    <row r="404" spans="1:7" x14ac:dyDescent="0.2">
      <c r="A404" s="2" t="s">
        <v>587</v>
      </c>
      <c r="B404" s="2" t="s">
        <v>653</v>
      </c>
      <c r="C404" s="2" t="s">
        <v>624</v>
      </c>
      <c r="D404" s="2" t="s">
        <v>56</v>
      </c>
      <c r="E404" s="2" t="s">
        <v>52</v>
      </c>
      <c r="F404" s="2">
        <v>2</v>
      </c>
      <c r="G404" s="2" t="s">
        <v>17</v>
      </c>
    </row>
    <row r="405" spans="1:7" x14ac:dyDescent="0.2">
      <c r="A405" s="2" t="s">
        <v>587</v>
      </c>
      <c r="B405" s="2" t="s">
        <v>654</v>
      </c>
      <c r="C405" s="2" t="s">
        <v>647</v>
      </c>
      <c r="D405" s="2" t="s">
        <v>56</v>
      </c>
      <c r="E405" s="2" t="s">
        <v>52</v>
      </c>
      <c r="F405" s="2">
        <v>1</v>
      </c>
      <c r="G405" s="2" t="s">
        <v>17</v>
      </c>
    </row>
    <row r="406" spans="1:7" x14ac:dyDescent="0.2">
      <c r="A406" s="2" t="s">
        <v>587</v>
      </c>
      <c r="B406" s="2" t="s">
        <v>655</v>
      </c>
      <c r="C406" s="2" t="s">
        <v>591</v>
      </c>
      <c r="D406" s="2" t="s">
        <v>56</v>
      </c>
      <c r="E406" s="2" t="s">
        <v>52</v>
      </c>
      <c r="F406" s="2">
        <v>1</v>
      </c>
      <c r="G406" s="2" t="s">
        <v>17</v>
      </c>
    </row>
    <row r="407" spans="1:7" x14ac:dyDescent="0.2">
      <c r="A407" s="2" t="s">
        <v>587</v>
      </c>
      <c r="B407" s="2" t="s">
        <v>656</v>
      </c>
      <c r="C407" s="2" t="s">
        <v>589</v>
      </c>
      <c r="D407" s="2" t="s">
        <v>56</v>
      </c>
      <c r="E407" s="2" t="s">
        <v>52</v>
      </c>
      <c r="F407" s="2">
        <v>1</v>
      </c>
      <c r="G407" s="2" t="s">
        <v>17</v>
      </c>
    </row>
    <row r="408" spans="1:7" x14ac:dyDescent="0.2">
      <c r="A408" s="2" t="s">
        <v>587</v>
      </c>
      <c r="B408" s="2" t="s">
        <v>657</v>
      </c>
      <c r="C408" s="2" t="s">
        <v>591</v>
      </c>
      <c r="D408" s="2" t="s">
        <v>56</v>
      </c>
      <c r="E408" s="2" t="s">
        <v>52</v>
      </c>
      <c r="F408" s="2">
        <v>1</v>
      </c>
      <c r="G408" s="2" t="s">
        <v>17</v>
      </c>
    </row>
    <row r="409" spans="1:7" x14ac:dyDescent="0.2">
      <c r="A409" s="2" t="s">
        <v>587</v>
      </c>
      <c r="B409" s="2" t="s">
        <v>658</v>
      </c>
      <c r="C409" s="2" t="s">
        <v>659</v>
      </c>
      <c r="D409" s="2" t="s">
        <v>56</v>
      </c>
      <c r="E409" s="2" t="s">
        <v>52</v>
      </c>
      <c r="F409" s="2">
        <v>3</v>
      </c>
      <c r="G409" s="2" t="s">
        <v>12</v>
      </c>
    </row>
    <row r="410" spans="1:7" x14ac:dyDescent="0.2">
      <c r="A410" s="2" t="s">
        <v>587</v>
      </c>
      <c r="B410" s="2" t="s">
        <v>660</v>
      </c>
      <c r="C410" s="2" t="s">
        <v>624</v>
      </c>
      <c r="D410" s="2" t="s">
        <v>56</v>
      </c>
      <c r="E410" s="2" t="s">
        <v>52</v>
      </c>
      <c r="F410" s="2">
        <v>2</v>
      </c>
      <c r="G410" s="2" t="s">
        <v>17</v>
      </c>
    </row>
    <row r="411" spans="1:7" x14ac:dyDescent="0.2">
      <c r="A411" s="2" t="s">
        <v>587</v>
      </c>
      <c r="B411" s="2" t="s">
        <v>661</v>
      </c>
      <c r="C411" s="2" t="s">
        <v>55</v>
      </c>
      <c r="D411" s="2" t="s">
        <v>56</v>
      </c>
      <c r="E411" s="2" t="s">
        <v>52</v>
      </c>
      <c r="F411" s="2">
        <v>1</v>
      </c>
      <c r="G411" s="2" t="s">
        <v>17</v>
      </c>
    </row>
    <row r="412" spans="1:7" x14ac:dyDescent="0.2">
      <c r="A412" s="2" t="s">
        <v>587</v>
      </c>
      <c r="B412" s="2" t="s">
        <v>57</v>
      </c>
      <c r="C412" s="2" t="s">
        <v>55</v>
      </c>
      <c r="D412" s="2" t="s">
        <v>56</v>
      </c>
      <c r="E412" s="2" t="s">
        <v>52</v>
      </c>
      <c r="F412" s="2">
        <v>1</v>
      </c>
      <c r="G412" s="2" t="s">
        <v>17</v>
      </c>
    </row>
    <row r="413" spans="1:7" x14ac:dyDescent="0.2">
      <c r="A413" s="2" t="s">
        <v>587</v>
      </c>
      <c r="B413" s="2" t="s">
        <v>662</v>
      </c>
      <c r="C413" s="2" t="s">
        <v>631</v>
      </c>
      <c r="D413" s="2" t="s">
        <v>56</v>
      </c>
      <c r="E413" s="2" t="s">
        <v>52</v>
      </c>
      <c r="F413" s="2">
        <v>1</v>
      </c>
      <c r="G413" s="2" t="s">
        <v>17</v>
      </c>
    </row>
    <row r="414" spans="1:7" x14ac:dyDescent="0.2">
      <c r="A414" s="2" t="s">
        <v>587</v>
      </c>
      <c r="B414" s="2" t="s">
        <v>663</v>
      </c>
      <c r="C414" s="2" t="s">
        <v>631</v>
      </c>
      <c r="D414" s="2" t="s">
        <v>56</v>
      </c>
      <c r="E414" s="2" t="s">
        <v>52</v>
      </c>
      <c r="F414" s="2">
        <v>1</v>
      </c>
      <c r="G414" s="2" t="s">
        <v>17</v>
      </c>
    </row>
    <row r="415" spans="1:7" x14ac:dyDescent="0.2">
      <c r="A415" s="2" t="s">
        <v>587</v>
      </c>
      <c r="B415" s="2" t="s">
        <v>664</v>
      </c>
      <c r="C415" s="2" t="s">
        <v>634</v>
      </c>
      <c r="D415" s="2" t="s">
        <v>56</v>
      </c>
      <c r="E415" s="2" t="s">
        <v>52</v>
      </c>
      <c r="F415" s="2">
        <v>2</v>
      </c>
      <c r="G415" s="2" t="s">
        <v>17</v>
      </c>
    </row>
    <row r="416" spans="1:7" x14ac:dyDescent="0.2">
      <c r="A416" s="2" t="s">
        <v>587</v>
      </c>
      <c r="B416" s="2" t="s">
        <v>665</v>
      </c>
      <c r="C416" s="2" t="s">
        <v>612</v>
      </c>
      <c r="D416" s="2" t="s">
        <v>56</v>
      </c>
      <c r="E416" s="2" t="s">
        <v>52</v>
      </c>
      <c r="F416" s="2">
        <v>2</v>
      </c>
      <c r="G416" s="2" t="s">
        <v>17</v>
      </c>
    </row>
    <row r="417" spans="1:7" x14ac:dyDescent="0.2">
      <c r="A417" s="2" t="s">
        <v>587</v>
      </c>
      <c r="B417" s="2" t="s">
        <v>666</v>
      </c>
      <c r="C417" s="2" t="s">
        <v>612</v>
      </c>
      <c r="D417" s="2" t="s">
        <v>56</v>
      </c>
      <c r="E417" s="2" t="s">
        <v>52</v>
      </c>
      <c r="F417" s="2">
        <v>2</v>
      </c>
      <c r="G417" s="2" t="s">
        <v>17</v>
      </c>
    </row>
    <row r="418" spans="1:7" x14ac:dyDescent="0.2">
      <c r="A418" s="2" t="s">
        <v>587</v>
      </c>
      <c r="B418" s="2" t="s">
        <v>667</v>
      </c>
      <c r="C418" s="2" t="s">
        <v>612</v>
      </c>
      <c r="D418" s="2" t="s">
        <v>56</v>
      </c>
      <c r="E418" s="2" t="s">
        <v>52</v>
      </c>
      <c r="F418" s="2">
        <v>2</v>
      </c>
      <c r="G418" s="2" t="s">
        <v>17</v>
      </c>
    </row>
    <row r="419" spans="1:7" x14ac:dyDescent="0.2">
      <c r="A419" s="2" t="s">
        <v>587</v>
      </c>
      <c r="B419" s="2" t="s">
        <v>668</v>
      </c>
      <c r="C419" s="2" t="s">
        <v>612</v>
      </c>
      <c r="D419" s="2" t="s">
        <v>56</v>
      </c>
      <c r="E419" s="2" t="s">
        <v>52</v>
      </c>
      <c r="F419" s="2">
        <v>2</v>
      </c>
      <c r="G419" s="2" t="s">
        <v>17</v>
      </c>
    </row>
    <row r="420" spans="1:7" x14ac:dyDescent="0.2">
      <c r="A420" s="2" t="s">
        <v>587</v>
      </c>
      <c r="B420" s="2" t="s">
        <v>669</v>
      </c>
      <c r="C420" s="2" t="s">
        <v>612</v>
      </c>
      <c r="D420" s="2" t="s">
        <v>56</v>
      </c>
      <c r="E420" s="2" t="s">
        <v>52</v>
      </c>
      <c r="F420" s="2">
        <v>2</v>
      </c>
      <c r="G420" s="2" t="s">
        <v>17</v>
      </c>
    </row>
    <row r="421" spans="1:7" x14ac:dyDescent="0.2">
      <c r="A421" s="2" t="s">
        <v>587</v>
      </c>
      <c r="B421" s="2" t="s">
        <v>670</v>
      </c>
      <c r="C421" s="2" t="s">
        <v>628</v>
      </c>
      <c r="D421" s="2" t="s">
        <v>10</v>
      </c>
      <c r="E421" s="2" t="s">
        <v>11</v>
      </c>
      <c r="F421" s="2">
        <v>2</v>
      </c>
      <c r="G421" s="2" t="s">
        <v>17</v>
      </c>
    </row>
    <row r="422" spans="1:7" x14ac:dyDescent="0.2">
      <c r="A422" s="2" t="s">
        <v>587</v>
      </c>
      <c r="B422" s="2" t="s">
        <v>671</v>
      </c>
      <c r="C422" s="2" t="s">
        <v>659</v>
      </c>
      <c r="D422" s="2" t="s">
        <v>56</v>
      </c>
      <c r="E422" s="2" t="s">
        <v>52</v>
      </c>
      <c r="F422" s="2">
        <v>3</v>
      </c>
      <c r="G422" s="2" t="s">
        <v>12</v>
      </c>
    </row>
    <row r="423" spans="1:7" x14ac:dyDescent="0.2">
      <c r="A423" s="2" t="s">
        <v>587</v>
      </c>
      <c r="B423" s="2" t="s">
        <v>672</v>
      </c>
      <c r="C423" s="2" t="s">
        <v>593</v>
      </c>
      <c r="D423" s="2" t="s">
        <v>56</v>
      </c>
      <c r="E423" s="2" t="s">
        <v>52</v>
      </c>
      <c r="F423" s="2">
        <v>2</v>
      </c>
      <c r="G423" s="2" t="s">
        <v>12</v>
      </c>
    </row>
    <row r="424" spans="1:7" x14ac:dyDescent="0.2">
      <c r="A424" s="2" t="s">
        <v>587</v>
      </c>
      <c r="B424" s="2" t="s">
        <v>673</v>
      </c>
      <c r="C424" s="2" t="s">
        <v>599</v>
      </c>
      <c r="D424" s="2" t="s">
        <v>56</v>
      </c>
      <c r="E424" s="2" t="s">
        <v>52</v>
      </c>
      <c r="F424" s="2">
        <v>2</v>
      </c>
      <c r="G424" s="2" t="s">
        <v>12</v>
      </c>
    </row>
    <row r="425" spans="1:7" x14ac:dyDescent="0.2">
      <c r="A425" s="2" t="s">
        <v>587</v>
      </c>
      <c r="B425" s="2" t="s">
        <v>674</v>
      </c>
      <c r="C425" s="2" t="s">
        <v>605</v>
      </c>
      <c r="D425" s="2" t="s">
        <v>56</v>
      </c>
      <c r="E425" s="2" t="s">
        <v>52</v>
      </c>
      <c r="F425" s="2">
        <v>1</v>
      </c>
      <c r="G425" s="2" t="s">
        <v>17</v>
      </c>
    </row>
    <row r="426" spans="1:7" x14ac:dyDescent="0.2">
      <c r="A426" s="2" t="s">
        <v>587</v>
      </c>
      <c r="B426" s="2" t="s">
        <v>675</v>
      </c>
      <c r="C426" s="2" t="s">
        <v>639</v>
      </c>
      <c r="D426" s="2" t="s">
        <v>10</v>
      </c>
      <c r="E426" s="2" t="s">
        <v>16</v>
      </c>
      <c r="F426" s="2">
        <v>1</v>
      </c>
      <c r="G426" s="2" t="s">
        <v>17</v>
      </c>
    </row>
    <row r="427" spans="1:7" x14ac:dyDescent="0.2">
      <c r="A427" s="2" t="s">
        <v>587</v>
      </c>
      <c r="B427" s="2" t="s">
        <v>676</v>
      </c>
      <c r="C427" s="2" t="s">
        <v>593</v>
      </c>
      <c r="D427" s="2" t="s">
        <v>56</v>
      </c>
      <c r="E427" s="2" t="s">
        <v>52</v>
      </c>
      <c r="F427" s="2">
        <v>2</v>
      </c>
      <c r="G427" s="2" t="s">
        <v>12</v>
      </c>
    </row>
    <row r="428" spans="1:7" x14ac:dyDescent="0.2">
      <c r="A428" s="2" t="s">
        <v>587</v>
      </c>
      <c r="B428" s="2" t="s">
        <v>677</v>
      </c>
      <c r="C428" s="2" t="s">
        <v>609</v>
      </c>
      <c r="D428" s="2" t="s">
        <v>56</v>
      </c>
      <c r="E428" s="2" t="s">
        <v>52</v>
      </c>
      <c r="F428" s="2">
        <v>2</v>
      </c>
      <c r="G428" s="2" t="s">
        <v>17</v>
      </c>
    </row>
    <row r="429" spans="1:7" x14ac:dyDescent="0.2">
      <c r="A429" s="2" t="s">
        <v>678</v>
      </c>
      <c r="B429" s="2" t="s">
        <v>679</v>
      </c>
      <c r="C429" s="2" t="s">
        <v>680</v>
      </c>
      <c r="D429" s="2" t="s">
        <v>10</v>
      </c>
      <c r="E429" s="2" t="s">
        <v>16</v>
      </c>
      <c r="F429" s="2">
        <v>1</v>
      </c>
      <c r="G429" s="2" t="s">
        <v>17</v>
      </c>
    </row>
    <row r="430" spans="1:7" x14ac:dyDescent="0.2">
      <c r="A430" s="2" t="s">
        <v>678</v>
      </c>
      <c r="B430" s="2" t="s">
        <v>681</v>
      </c>
      <c r="C430" s="2" t="s">
        <v>680</v>
      </c>
      <c r="D430" s="2" t="s">
        <v>10</v>
      </c>
      <c r="E430" s="2" t="s">
        <v>16</v>
      </c>
      <c r="F430" s="2">
        <v>1</v>
      </c>
      <c r="G430" s="2" t="s">
        <v>17</v>
      </c>
    </row>
    <row r="431" spans="1:7" x14ac:dyDescent="0.2">
      <c r="A431" s="2" t="s">
        <v>682</v>
      </c>
      <c r="B431" s="2" t="s">
        <v>48</v>
      </c>
      <c r="C431" s="2" t="s">
        <v>683</v>
      </c>
      <c r="D431" s="2" t="s">
        <v>10</v>
      </c>
      <c r="E431" s="2" t="s">
        <v>16</v>
      </c>
      <c r="F431" s="2">
        <v>1</v>
      </c>
      <c r="G431" s="2" t="s">
        <v>17</v>
      </c>
    </row>
    <row r="432" spans="1:7" x14ac:dyDescent="0.2">
      <c r="A432" s="2" t="s">
        <v>682</v>
      </c>
      <c r="B432" s="2" t="s">
        <v>684</v>
      </c>
      <c r="C432" s="2" t="s">
        <v>685</v>
      </c>
      <c r="D432" s="2" t="s">
        <v>10</v>
      </c>
      <c r="E432" s="2" t="s">
        <v>16</v>
      </c>
      <c r="F432" s="2">
        <v>1</v>
      </c>
      <c r="G432" s="2" t="s">
        <v>17</v>
      </c>
    </row>
    <row r="433" spans="1:7" x14ac:dyDescent="0.2">
      <c r="A433" s="2" t="s">
        <v>682</v>
      </c>
      <c r="B433" s="2" t="s">
        <v>686</v>
      </c>
      <c r="C433" s="2" t="s">
        <v>687</v>
      </c>
      <c r="D433" s="2" t="s">
        <v>10</v>
      </c>
      <c r="E433" s="2" t="s">
        <v>16</v>
      </c>
      <c r="F433" s="2">
        <v>1</v>
      </c>
      <c r="G433" s="2" t="s">
        <v>17</v>
      </c>
    </row>
    <row r="434" spans="1:7" x14ac:dyDescent="0.2">
      <c r="A434" s="2" t="s">
        <v>682</v>
      </c>
      <c r="B434" s="2" t="s">
        <v>688</v>
      </c>
      <c r="C434" s="2" t="s">
        <v>689</v>
      </c>
      <c r="D434" s="2" t="s">
        <v>10</v>
      </c>
      <c r="E434" s="2" t="s">
        <v>16</v>
      </c>
      <c r="F434" s="2">
        <v>1</v>
      </c>
      <c r="G434" s="2" t="s">
        <v>17</v>
      </c>
    </row>
    <row r="435" spans="1:7" x14ac:dyDescent="0.2">
      <c r="A435" s="2" t="s">
        <v>690</v>
      </c>
      <c r="B435" s="2">
        <v>90</v>
      </c>
      <c r="C435" s="2" t="s">
        <v>691</v>
      </c>
      <c r="D435" s="2" t="s">
        <v>10</v>
      </c>
      <c r="E435" s="2" t="s">
        <v>16</v>
      </c>
      <c r="F435" s="2">
        <v>1</v>
      </c>
      <c r="G435" s="2" t="s">
        <v>17</v>
      </c>
    </row>
    <row r="436" spans="1:7" x14ac:dyDescent="0.2">
      <c r="A436" s="2" t="s">
        <v>690</v>
      </c>
      <c r="B436" s="2">
        <v>200</v>
      </c>
      <c r="C436" s="2" t="s">
        <v>692</v>
      </c>
      <c r="D436" s="2" t="s">
        <v>10</v>
      </c>
      <c r="E436" s="2" t="s">
        <v>16</v>
      </c>
      <c r="F436" s="2">
        <v>1</v>
      </c>
      <c r="G436" s="2" t="s">
        <v>17</v>
      </c>
    </row>
    <row r="437" spans="1:7" x14ac:dyDescent="0.2">
      <c r="A437" s="2" t="s">
        <v>690</v>
      </c>
      <c r="B437" s="2">
        <v>201</v>
      </c>
      <c r="C437" s="2" t="s">
        <v>692</v>
      </c>
      <c r="D437" s="2" t="s">
        <v>10</v>
      </c>
      <c r="E437" s="2" t="s">
        <v>16</v>
      </c>
      <c r="F437" s="2">
        <v>1</v>
      </c>
      <c r="G437" s="2" t="s">
        <v>17</v>
      </c>
    </row>
    <row r="438" spans="1:7" x14ac:dyDescent="0.2">
      <c r="A438" s="2" t="s">
        <v>690</v>
      </c>
      <c r="B438" s="2">
        <v>202</v>
      </c>
      <c r="C438" s="2" t="s">
        <v>692</v>
      </c>
      <c r="D438" s="2" t="s">
        <v>10</v>
      </c>
      <c r="E438" s="2" t="s">
        <v>16</v>
      </c>
      <c r="F438" s="2">
        <v>1</v>
      </c>
      <c r="G438" s="2" t="s">
        <v>17</v>
      </c>
    </row>
    <row r="439" spans="1:7" x14ac:dyDescent="0.2">
      <c r="A439" s="2" t="s">
        <v>690</v>
      </c>
      <c r="B439" s="2">
        <v>220</v>
      </c>
      <c r="C439" s="2" t="s">
        <v>692</v>
      </c>
      <c r="D439" s="2" t="s">
        <v>10</v>
      </c>
      <c r="E439" s="2" t="s">
        <v>16</v>
      </c>
      <c r="F439" s="2">
        <v>1</v>
      </c>
      <c r="G439" s="2" t="s">
        <v>17</v>
      </c>
    </row>
    <row r="440" spans="1:7" x14ac:dyDescent="0.2">
      <c r="A440" s="2" t="s">
        <v>690</v>
      </c>
      <c r="B440" s="2">
        <v>600</v>
      </c>
      <c r="C440" s="2" t="s">
        <v>693</v>
      </c>
      <c r="D440" s="2" t="s">
        <v>10</v>
      </c>
      <c r="E440" s="2" t="s">
        <v>16</v>
      </c>
      <c r="F440" s="2">
        <v>2</v>
      </c>
      <c r="G440" s="2" t="s">
        <v>17</v>
      </c>
    </row>
    <row r="441" spans="1:7" x14ac:dyDescent="0.2">
      <c r="A441" s="2" t="s">
        <v>690</v>
      </c>
      <c r="B441" s="2">
        <v>601</v>
      </c>
      <c r="C441" s="2" t="s">
        <v>693</v>
      </c>
      <c r="D441" s="2" t="s">
        <v>10</v>
      </c>
      <c r="E441" s="2" t="s">
        <v>16</v>
      </c>
      <c r="F441" s="2">
        <v>2</v>
      </c>
      <c r="G441" s="2" t="s">
        <v>17</v>
      </c>
    </row>
    <row r="442" spans="1:7" x14ac:dyDescent="0.2">
      <c r="A442" s="2" t="s">
        <v>690</v>
      </c>
      <c r="B442" s="2" t="s">
        <v>694</v>
      </c>
      <c r="C442" s="2" t="s">
        <v>695</v>
      </c>
      <c r="D442" s="2" t="s">
        <v>10</v>
      </c>
      <c r="E442" s="2" t="s">
        <v>11</v>
      </c>
      <c r="F442" s="2">
        <v>2</v>
      </c>
      <c r="G442" s="2" t="s">
        <v>17</v>
      </c>
    </row>
    <row r="443" spans="1:7" x14ac:dyDescent="0.2">
      <c r="A443" s="2" t="s">
        <v>696</v>
      </c>
      <c r="B443" s="2" t="s">
        <v>697</v>
      </c>
      <c r="C443" s="2" t="s">
        <v>698</v>
      </c>
      <c r="D443" s="2" t="s">
        <v>10</v>
      </c>
      <c r="E443" s="2" t="s">
        <v>16</v>
      </c>
      <c r="F443" s="2">
        <v>1</v>
      </c>
      <c r="G443" s="2" t="s">
        <v>17</v>
      </c>
    </row>
    <row r="444" spans="1:7" x14ac:dyDescent="0.2">
      <c r="A444" s="2" t="s">
        <v>696</v>
      </c>
      <c r="B444" s="2" t="s">
        <v>699</v>
      </c>
      <c r="C444" s="2" t="s">
        <v>698</v>
      </c>
      <c r="D444" s="2" t="s">
        <v>10</v>
      </c>
      <c r="E444" s="2" t="s">
        <v>16</v>
      </c>
      <c r="F444" s="2">
        <v>1</v>
      </c>
      <c r="G444" s="2" t="s">
        <v>17</v>
      </c>
    </row>
    <row r="445" spans="1:7" x14ac:dyDescent="0.2">
      <c r="A445" s="2" t="s">
        <v>696</v>
      </c>
      <c r="B445" s="2" t="s">
        <v>700</v>
      </c>
      <c r="C445" s="2" t="s">
        <v>701</v>
      </c>
      <c r="D445" s="2" t="s">
        <v>10</v>
      </c>
      <c r="E445" s="2" t="s">
        <v>16</v>
      </c>
      <c r="F445" s="2">
        <v>1</v>
      </c>
      <c r="G445" s="2" t="s">
        <v>17</v>
      </c>
    </row>
    <row r="446" spans="1:7" x14ac:dyDescent="0.2">
      <c r="A446" s="2" t="s">
        <v>696</v>
      </c>
      <c r="B446" s="2" t="s">
        <v>702</v>
      </c>
      <c r="C446" s="2" t="s">
        <v>703</v>
      </c>
      <c r="D446" s="2" t="s">
        <v>10</v>
      </c>
      <c r="E446" s="2" t="s">
        <v>11</v>
      </c>
      <c r="F446" s="2">
        <v>1</v>
      </c>
      <c r="G446" s="2" t="s">
        <v>12</v>
      </c>
    </row>
    <row r="447" spans="1:7" x14ac:dyDescent="0.2">
      <c r="A447" s="2" t="s">
        <v>696</v>
      </c>
      <c r="B447" s="2" t="s">
        <v>704</v>
      </c>
      <c r="C447" s="2" t="s">
        <v>703</v>
      </c>
      <c r="D447" s="2" t="s">
        <v>10</v>
      </c>
      <c r="E447" s="2" t="s">
        <v>11</v>
      </c>
      <c r="F447" s="2">
        <v>1</v>
      </c>
      <c r="G447" s="2" t="s">
        <v>12</v>
      </c>
    </row>
    <row r="448" spans="1:7" x14ac:dyDescent="0.2">
      <c r="A448" s="2" t="s">
        <v>696</v>
      </c>
      <c r="B448" s="2" t="s">
        <v>705</v>
      </c>
      <c r="C448" s="2" t="s">
        <v>706</v>
      </c>
      <c r="D448" s="2" t="s">
        <v>10</v>
      </c>
      <c r="E448" s="2" t="s">
        <v>16</v>
      </c>
      <c r="F448" s="2">
        <v>1</v>
      </c>
      <c r="G448" s="2" t="s">
        <v>17</v>
      </c>
    </row>
    <row r="449" spans="1:7" x14ac:dyDescent="0.2">
      <c r="A449" s="2" t="s">
        <v>696</v>
      </c>
      <c r="B449" s="2" t="s">
        <v>707</v>
      </c>
      <c r="C449" s="2" t="s">
        <v>706</v>
      </c>
      <c r="D449" s="2" t="s">
        <v>10</v>
      </c>
      <c r="E449" s="2" t="s">
        <v>16</v>
      </c>
      <c r="F449" s="2">
        <v>1</v>
      </c>
      <c r="G449" s="2" t="s">
        <v>17</v>
      </c>
    </row>
    <row r="450" spans="1:7" x14ac:dyDescent="0.2">
      <c r="A450" s="2" t="s">
        <v>696</v>
      </c>
      <c r="B450" s="2" t="s">
        <v>708</v>
      </c>
      <c r="C450" s="2" t="s">
        <v>706</v>
      </c>
      <c r="D450" s="2" t="s">
        <v>10</v>
      </c>
      <c r="E450" s="2" t="s">
        <v>16</v>
      </c>
      <c r="F450" s="2">
        <v>1</v>
      </c>
      <c r="G450" s="2" t="s">
        <v>17</v>
      </c>
    </row>
    <row r="451" spans="1:7" x14ac:dyDescent="0.2">
      <c r="A451" s="2" t="s">
        <v>696</v>
      </c>
      <c r="B451" s="2" t="s">
        <v>709</v>
      </c>
      <c r="C451" s="2" t="s">
        <v>701</v>
      </c>
      <c r="D451" s="2" t="s">
        <v>10</v>
      </c>
      <c r="E451" s="2" t="s">
        <v>16</v>
      </c>
      <c r="F451" s="2">
        <v>1</v>
      </c>
      <c r="G451" s="2" t="s">
        <v>17</v>
      </c>
    </row>
    <row r="452" spans="1:7" x14ac:dyDescent="0.2">
      <c r="A452" s="2" t="s">
        <v>696</v>
      </c>
      <c r="B452" s="2" t="s">
        <v>710</v>
      </c>
      <c r="C452" s="2" t="s">
        <v>701</v>
      </c>
      <c r="D452" s="2" t="s">
        <v>10</v>
      </c>
      <c r="E452" s="2" t="s">
        <v>16</v>
      </c>
      <c r="F452" s="2">
        <v>1</v>
      </c>
      <c r="G452" s="2" t="s">
        <v>17</v>
      </c>
    </row>
    <row r="453" spans="1:7" x14ac:dyDescent="0.2">
      <c r="A453" s="2" t="s">
        <v>696</v>
      </c>
      <c r="B453" s="2" t="s">
        <v>711</v>
      </c>
      <c r="C453" s="2" t="s">
        <v>698</v>
      </c>
      <c r="D453" s="2" t="s">
        <v>10</v>
      </c>
      <c r="E453" s="2" t="s">
        <v>16</v>
      </c>
      <c r="F453" s="2">
        <v>1</v>
      </c>
      <c r="G453" s="2" t="s">
        <v>17</v>
      </c>
    </row>
    <row r="454" spans="1:7" x14ac:dyDescent="0.2">
      <c r="A454" s="2" t="s">
        <v>712</v>
      </c>
      <c r="B454" s="2" t="s">
        <v>713</v>
      </c>
      <c r="C454" s="2" t="s">
        <v>440</v>
      </c>
      <c r="D454" s="2" t="s">
        <v>10</v>
      </c>
      <c r="E454" s="2" t="s">
        <v>16</v>
      </c>
      <c r="F454" s="2">
        <v>1</v>
      </c>
      <c r="G454" s="2" t="s">
        <v>17</v>
      </c>
    </row>
    <row r="455" spans="1:7" x14ac:dyDescent="0.2">
      <c r="A455" s="2" t="s">
        <v>714</v>
      </c>
      <c r="B455" s="2" t="s">
        <v>715</v>
      </c>
      <c r="C455" s="2" t="s">
        <v>716</v>
      </c>
      <c r="D455" s="2" t="s">
        <v>10</v>
      </c>
      <c r="E455" s="2" t="s">
        <v>16</v>
      </c>
      <c r="F455" s="2">
        <v>1</v>
      </c>
      <c r="G455" s="2" t="s">
        <v>17</v>
      </c>
    </row>
    <row r="456" spans="1:7" x14ac:dyDescent="0.2">
      <c r="A456" s="2" t="s">
        <v>717</v>
      </c>
      <c r="B456" s="2" t="s">
        <v>718</v>
      </c>
      <c r="C456" s="2" t="s">
        <v>719</v>
      </c>
      <c r="D456" s="2" t="s">
        <v>10</v>
      </c>
      <c r="E456" s="2" t="s">
        <v>16</v>
      </c>
      <c r="F456" s="2">
        <v>1</v>
      </c>
      <c r="G456" s="2" t="s">
        <v>17</v>
      </c>
    </row>
    <row r="457" spans="1:7" x14ac:dyDescent="0.2">
      <c r="A457" s="2" t="s">
        <v>717</v>
      </c>
      <c r="B457" s="2" t="s">
        <v>720</v>
      </c>
      <c r="C457" s="2" t="s">
        <v>719</v>
      </c>
      <c r="D457" s="2" t="s">
        <v>10</v>
      </c>
      <c r="E457" s="2" t="s">
        <v>16</v>
      </c>
      <c r="F457" s="2">
        <v>1</v>
      </c>
      <c r="G457" s="2" t="s">
        <v>17</v>
      </c>
    </row>
    <row r="458" spans="1:7" x14ac:dyDescent="0.2">
      <c r="A458" s="2" t="s">
        <v>717</v>
      </c>
      <c r="B458" s="2" t="s">
        <v>721</v>
      </c>
      <c r="C458" s="2" t="s">
        <v>719</v>
      </c>
      <c r="D458" s="2" t="s">
        <v>10</v>
      </c>
      <c r="E458" s="2" t="s">
        <v>16</v>
      </c>
      <c r="F458" s="2">
        <v>1</v>
      </c>
      <c r="G458" s="2" t="s">
        <v>17</v>
      </c>
    </row>
    <row r="459" spans="1:7" x14ac:dyDescent="0.2">
      <c r="A459" s="2" t="s">
        <v>722</v>
      </c>
      <c r="B459" s="2" t="s">
        <v>723</v>
      </c>
      <c r="C459" s="2" t="s">
        <v>724</v>
      </c>
      <c r="D459" s="2" t="s">
        <v>10</v>
      </c>
      <c r="E459" s="2" t="s">
        <v>16</v>
      </c>
      <c r="F459" s="2">
        <v>1</v>
      </c>
      <c r="G459" s="2" t="s">
        <v>17</v>
      </c>
    </row>
    <row r="460" spans="1:7" x14ac:dyDescent="0.2">
      <c r="A460" s="2" t="s">
        <v>722</v>
      </c>
      <c r="B460" s="2" t="s">
        <v>725</v>
      </c>
      <c r="C460" s="2" t="s">
        <v>726</v>
      </c>
      <c r="D460" s="2" t="s">
        <v>10</v>
      </c>
      <c r="E460" s="2" t="s">
        <v>16</v>
      </c>
      <c r="F460" s="2">
        <v>1</v>
      </c>
      <c r="G460" s="2" t="s">
        <v>17</v>
      </c>
    </row>
    <row r="461" spans="1:7" x14ac:dyDescent="0.2">
      <c r="A461" s="2" t="s">
        <v>722</v>
      </c>
      <c r="B461" s="2" t="s">
        <v>349</v>
      </c>
      <c r="C461" s="2" t="s">
        <v>350</v>
      </c>
      <c r="D461" s="2" t="s">
        <v>10</v>
      </c>
      <c r="E461" s="2" t="s">
        <v>16</v>
      </c>
      <c r="F461" s="2">
        <v>1</v>
      </c>
      <c r="G461" s="2" t="s">
        <v>17</v>
      </c>
    </row>
    <row r="462" spans="1:7" x14ac:dyDescent="0.2">
      <c r="A462" s="2" t="s">
        <v>722</v>
      </c>
      <c r="B462" s="2" t="s">
        <v>727</v>
      </c>
      <c r="C462" s="2" t="s">
        <v>726</v>
      </c>
      <c r="D462" s="2" t="s">
        <v>10</v>
      </c>
      <c r="E462" s="2" t="s">
        <v>16</v>
      </c>
      <c r="F462" s="2">
        <v>1</v>
      </c>
      <c r="G462" s="2" t="s">
        <v>17</v>
      </c>
    </row>
    <row r="463" spans="1:7" x14ac:dyDescent="0.2">
      <c r="A463" s="2" t="s">
        <v>722</v>
      </c>
      <c r="B463" s="2" t="s">
        <v>728</v>
      </c>
      <c r="C463" s="2" t="s">
        <v>724</v>
      </c>
      <c r="D463" s="2" t="s">
        <v>10</v>
      </c>
      <c r="E463" s="2" t="s">
        <v>16</v>
      </c>
      <c r="F463" s="2">
        <v>1</v>
      </c>
      <c r="G463" s="2" t="s">
        <v>17</v>
      </c>
    </row>
    <row r="464" spans="1:7" x14ac:dyDescent="0.2">
      <c r="A464" s="2" t="s">
        <v>722</v>
      </c>
      <c r="B464" s="2" t="s">
        <v>729</v>
      </c>
      <c r="C464" s="2" t="s">
        <v>730</v>
      </c>
      <c r="D464" s="2" t="s">
        <v>10</v>
      </c>
      <c r="E464" s="2" t="s">
        <v>16</v>
      </c>
      <c r="F464" s="2">
        <v>1</v>
      </c>
      <c r="G464" s="2" t="s">
        <v>17</v>
      </c>
    </row>
    <row r="465" spans="1:7" x14ac:dyDescent="0.2">
      <c r="A465" s="2" t="s">
        <v>722</v>
      </c>
      <c r="B465" s="2" t="s">
        <v>351</v>
      </c>
      <c r="C465" s="2" t="s">
        <v>350</v>
      </c>
      <c r="D465" s="2" t="s">
        <v>10</v>
      </c>
      <c r="E465" s="2" t="s">
        <v>16</v>
      </c>
      <c r="F465" s="2">
        <v>1</v>
      </c>
      <c r="G465" s="2" t="s">
        <v>17</v>
      </c>
    </row>
    <row r="466" spans="1:7" x14ac:dyDescent="0.2">
      <c r="A466" s="2" t="s">
        <v>722</v>
      </c>
      <c r="B466" s="2" t="s">
        <v>731</v>
      </c>
      <c r="C466" s="2" t="s">
        <v>730</v>
      </c>
      <c r="D466" s="2" t="s">
        <v>10</v>
      </c>
      <c r="E466" s="2" t="s">
        <v>16</v>
      </c>
      <c r="F466" s="2">
        <v>1</v>
      </c>
      <c r="G466" s="2" t="s">
        <v>17</v>
      </c>
    </row>
    <row r="467" spans="1:7" x14ac:dyDescent="0.2">
      <c r="A467" s="2" t="s">
        <v>732</v>
      </c>
      <c r="B467" s="2" t="s">
        <v>167</v>
      </c>
      <c r="C467" s="2" t="s">
        <v>155</v>
      </c>
      <c r="D467" s="2" t="s">
        <v>10</v>
      </c>
      <c r="E467" s="2" t="s">
        <v>16</v>
      </c>
      <c r="F467" s="2">
        <v>1</v>
      </c>
      <c r="G467" s="2" t="s">
        <v>17</v>
      </c>
    </row>
    <row r="468" spans="1:7" x14ac:dyDescent="0.2">
      <c r="A468" s="2" t="s">
        <v>732</v>
      </c>
      <c r="B468" s="2" t="s">
        <v>154</v>
      </c>
      <c r="C468" s="2" t="s">
        <v>155</v>
      </c>
      <c r="D468" s="2" t="s">
        <v>10</v>
      </c>
      <c r="E468" s="2" t="s">
        <v>16</v>
      </c>
      <c r="F468" s="2">
        <v>1</v>
      </c>
      <c r="G468" s="2" t="s">
        <v>17</v>
      </c>
    </row>
    <row r="469" spans="1:7" x14ac:dyDescent="0.2">
      <c r="A469" s="2" t="s">
        <v>733</v>
      </c>
      <c r="B469" s="2" t="s">
        <v>734</v>
      </c>
      <c r="C469" s="2" t="s">
        <v>232</v>
      </c>
      <c r="D469" s="2" t="s">
        <v>10</v>
      </c>
      <c r="E469" s="2" t="s">
        <v>16</v>
      </c>
      <c r="F469" s="2">
        <v>1</v>
      </c>
      <c r="G469" s="2" t="s">
        <v>17</v>
      </c>
    </row>
    <row r="470" spans="1:7" x14ac:dyDescent="0.2">
      <c r="A470" s="2" t="s">
        <v>733</v>
      </c>
      <c r="B470" s="2" t="s">
        <v>735</v>
      </c>
      <c r="C470" s="2" t="s">
        <v>736</v>
      </c>
      <c r="D470" s="2" t="s">
        <v>10</v>
      </c>
      <c r="E470" s="2" t="s">
        <v>16</v>
      </c>
      <c r="F470" s="2">
        <v>1</v>
      </c>
      <c r="G470" s="2" t="s">
        <v>17</v>
      </c>
    </row>
    <row r="471" spans="1:7" x14ac:dyDescent="0.2">
      <c r="A471" s="2" t="s">
        <v>733</v>
      </c>
      <c r="B471" s="2" t="s">
        <v>737</v>
      </c>
      <c r="C471" s="2" t="s">
        <v>736</v>
      </c>
      <c r="D471" s="2" t="s">
        <v>10</v>
      </c>
      <c r="E471" s="2" t="s">
        <v>16</v>
      </c>
      <c r="F471" s="2">
        <v>1</v>
      </c>
      <c r="G471" s="2" t="s">
        <v>17</v>
      </c>
    </row>
    <row r="472" spans="1:7" x14ac:dyDescent="0.2">
      <c r="A472" s="2" t="s">
        <v>733</v>
      </c>
      <c r="B472" s="2" t="s">
        <v>738</v>
      </c>
      <c r="C472" s="2" t="s">
        <v>232</v>
      </c>
      <c r="D472" s="2" t="s">
        <v>10</v>
      </c>
      <c r="E472" s="2" t="s">
        <v>16</v>
      </c>
      <c r="F472" s="2">
        <v>1</v>
      </c>
      <c r="G472" s="2" t="s">
        <v>17</v>
      </c>
    </row>
    <row r="473" spans="1:7" x14ac:dyDescent="0.2">
      <c r="A473" s="2" t="s">
        <v>733</v>
      </c>
      <c r="B473" s="2" t="s">
        <v>739</v>
      </c>
      <c r="C473" s="2" t="s">
        <v>736</v>
      </c>
      <c r="D473" s="2" t="s">
        <v>10</v>
      </c>
      <c r="E473" s="2" t="s">
        <v>16</v>
      </c>
      <c r="F473" s="2">
        <v>1</v>
      </c>
      <c r="G473" s="2" t="s">
        <v>17</v>
      </c>
    </row>
    <row r="474" spans="1:7" x14ac:dyDescent="0.2">
      <c r="A474" s="2" t="s">
        <v>733</v>
      </c>
      <c r="B474" s="2" t="s">
        <v>740</v>
      </c>
      <c r="C474" s="2" t="s">
        <v>736</v>
      </c>
      <c r="D474" s="2" t="s">
        <v>10</v>
      </c>
      <c r="E474" s="2" t="s">
        <v>16</v>
      </c>
      <c r="F474" s="2">
        <v>1</v>
      </c>
      <c r="G474" s="2" t="s">
        <v>17</v>
      </c>
    </row>
    <row r="475" spans="1:7" x14ac:dyDescent="0.2">
      <c r="A475" s="2" t="s">
        <v>741</v>
      </c>
      <c r="B475" s="2" t="s">
        <v>742</v>
      </c>
      <c r="C475" s="2" t="s">
        <v>743</v>
      </c>
      <c r="D475" s="2" t="s">
        <v>10</v>
      </c>
      <c r="E475" s="2" t="s">
        <v>16</v>
      </c>
      <c r="F475" s="2">
        <v>1</v>
      </c>
      <c r="G475" s="2" t="s">
        <v>17</v>
      </c>
    </row>
    <row r="476" spans="1:7" x14ac:dyDescent="0.2">
      <c r="A476" s="2" t="s">
        <v>741</v>
      </c>
      <c r="B476" s="2" t="s">
        <v>744</v>
      </c>
      <c r="C476" s="2" t="s">
        <v>745</v>
      </c>
      <c r="D476" s="2" t="s">
        <v>10</v>
      </c>
      <c r="E476" s="2" t="s">
        <v>16</v>
      </c>
      <c r="F476" s="2">
        <v>1</v>
      </c>
      <c r="G476" s="2" t="s">
        <v>17</v>
      </c>
    </row>
    <row r="477" spans="1:7" x14ac:dyDescent="0.2">
      <c r="A477" s="2" t="s">
        <v>746</v>
      </c>
      <c r="B477" s="2" t="s">
        <v>747</v>
      </c>
      <c r="C477" s="2" t="s">
        <v>748</v>
      </c>
      <c r="D477" s="2" t="s">
        <v>10</v>
      </c>
      <c r="E477" s="2" t="s">
        <v>16</v>
      </c>
      <c r="F477" s="2">
        <v>1</v>
      </c>
      <c r="G477" s="2" t="s">
        <v>17</v>
      </c>
    </row>
    <row r="478" spans="1:7" x14ac:dyDescent="0.2">
      <c r="A478" s="2" t="s">
        <v>749</v>
      </c>
      <c r="B478" s="2" t="s">
        <v>750</v>
      </c>
      <c r="C478" s="2" t="s">
        <v>751</v>
      </c>
      <c r="D478" s="2" t="s">
        <v>10</v>
      </c>
      <c r="E478" s="2" t="s">
        <v>52</v>
      </c>
      <c r="F478" s="2">
        <v>1</v>
      </c>
      <c r="G478" s="2" t="s">
        <v>17</v>
      </c>
    </row>
    <row r="479" spans="1:7" x14ac:dyDescent="0.2">
      <c r="A479" s="2" t="s">
        <v>752</v>
      </c>
      <c r="B479" s="2" t="s">
        <v>753</v>
      </c>
      <c r="C479" s="2" t="s">
        <v>560</v>
      </c>
      <c r="D479" s="2" t="s">
        <v>10</v>
      </c>
      <c r="E479" s="2" t="s">
        <v>16</v>
      </c>
      <c r="F479" s="2">
        <v>1</v>
      </c>
      <c r="G479" s="2" t="s">
        <v>17</v>
      </c>
    </row>
    <row r="480" spans="1:7" x14ac:dyDescent="0.2">
      <c r="A480" s="2" t="s">
        <v>752</v>
      </c>
      <c r="B480" s="2" t="s">
        <v>754</v>
      </c>
      <c r="C480" s="2" t="s">
        <v>560</v>
      </c>
      <c r="D480" s="2" t="s">
        <v>10</v>
      </c>
      <c r="E480" s="2" t="s">
        <v>16</v>
      </c>
      <c r="F480" s="2">
        <v>1</v>
      </c>
      <c r="G480" s="2" t="s">
        <v>17</v>
      </c>
    </row>
    <row r="481" spans="1:7" x14ac:dyDescent="0.2">
      <c r="A481" s="2" t="s">
        <v>755</v>
      </c>
      <c r="B481" s="2" t="s">
        <v>756</v>
      </c>
      <c r="C481" s="2" t="s">
        <v>757</v>
      </c>
      <c r="D481" s="2" t="s">
        <v>29</v>
      </c>
      <c r="E481" s="2" t="s">
        <v>16</v>
      </c>
      <c r="F481" s="2">
        <v>2</v>
      </c>
      <c r="G481" s="2" t="s">
        <v>17</v>
      </c>
    </row>
    <row r="482" spans="1:7" x14ac:dyDescent="0.2">
      <c r="A482" s="2" t="s">
        <v>755</v>
      </c>
      <c r="B482" s="2" t="s">
        <v>758</v>
      </c>
      <c r="C482" s="2" t="s">
        <v>759</v>
      </c>
      <c r="D482" s="2" t="s">
        <v>29</v>
      </c>
      <c r="E482" s="2" t="s">
        <v>16</v>
      </c>
      <c r="F482" s="2">
        <v>2</v>
      </c>
      <c r="G482" s="2" t="s">
        <v>17</v>
      </c>
    </row>
    <row r="483" spans="1:7" x14ac:dyDescent="0.2">
      <c r="A483" s="2" t="s">
        <v>755</v>
      </c>
      <c r="B483" s="2" t="s">
        <v>760</v>
      </c>
      <c r="C483" s="2" t="s">
        <v>759</v>
      </c>
      <c r="D483" s="2" t="s">
        <v>29</v>
      </c>
      <c r="E483" s="2" t="s">
        <v>16</v>
      </c>
      <c r="F483" s="2">
        <v>2</v>
      </c>
      <c r="G483" s="2" t="s">
        <v>17</v>
      </c>
    </row>
    <row r="484" spans="1:7" x14ac:dyDescent="0.2">
      <c r="A484" s="2" t="s">
        <v>761</v>
      </c>
      <c r="B484" s="2" t="s">
        <v>762</v>
      </c>
      <c r="C484" s="2" t="s">
        <v>763</v>
      </c>
      <c r="D484" s="2" t="s">
        <v>10</v>
      </c>
      <c r="E484" s="2" t="s">
        <v>16</v>
      </c>
      <c r="F484" s="2">
        <v>1</v>
      </c>
      <c r="G484" s="2" t="s">
        <v>17</v>
      </c>
    </row>
    <row r="485" spans="1:7" x14ac:dyDescent="0.2">
      <c r="A485" s="2" t="s">
        <v>761</v>
      </c>
      <c r="B485" s="2" t="s">
        <v>764</v>
      </c>
      <c r="C485" s="2" t="s">
        <v>765</v>
      </c>
      <c r="D485" s="2" t="s">
        <v>10</v>
      </c>
      <c r="E485" s="2" t="s">
        <v>16</v>
      </c>
      <c r="F485" s="2">
        <v>1</v>
      </c>
      <c r="G485" s="2" t="s">
        <v>17</v>
      </c>
    </row>
    <row r="486" spans="1:7" x14ac:dyDescent="0.2">
      <c r="A486" s="2" t="s">
        <v>761</v>
      </c>
      <c r="B486" s="2" t="s">
        <v>766</v>
      </c>
      <c r="C486" s="2" t="s">
        <v>765</v>
      </c>
      <c r="D486" s="2" t="s">
        <v>10</v>
      </c>
      <c r="E486" s="2" t="s">
        <v>16</v>
      </c>
      <c r="F486" s="2">
        <v>1</v>
      </c>
      <c r="G486" s="2" t="s">
        <v>17</v>
      </c>
    </row>
    <row r="487" spans="1:7" x14ac:dyDescent="0.2">
      <c r="A487" s="2" t="s">
        <v>767</v>
      </c>
      <c r="B487" s="2" t="s">
        <v>768</v>
      </c>
      <c r="C487" s="2" t="s">
        <v>769</v>
      </c>
      <c r="D487" s="2" t="s">
        <v>10</v>
      </c>
      <c r="E487" s="2" t="s">
        <v>16</v>
      </c>
      <c r="F487" s="2">
        <v>1</v>
      </c>
      <c r="G487" s="2" t="s">
        <v>17</v>
      </c>
    </row>
    <row r="488" spans="1:7" x14ac:dyDescent="0.2">
      <c r="A488" s="2" t="s">
        <v>767</v>
      </c>
      <c r="B488" s="2" t="s">
        <v>770</v>
      </c>
      <c r="C488" s="2" t="s">
        <v>769</v>
      </c>
      <c r="D488" s="2" t="s">
        <v>10</v>
      </c>
      <c r="E488" s="2" t="s">
        <v>16</v>
      </c>
      <c r="F488" s="2">
        <v>1</v>
      </c>
      <c r="G488" s="2" t="s">
        <v>17</v>
      </c>
    </row>
    <row r="489" spans="1:7" x14ac:dyDescent="0.2">
      <c r="A489" s="2" t="s">
        <v>771</v>
      </c>
      <c r="B489" s="2" t="s">
        <v>772</v>
      </c>
      <c r="C489" s="2" t="s">
        <v>773</v>
      </c>
      <c r="D489" s="2" t="s">
        <v>10</v>
      </c>
      <c r="E489" s="2" t="s">
        <v>52</v>
      </c>
      <c r="F489" s="2">
        <v>1</v>
      </c>
      <c r="G489" s="2" t="s">
        <v>17</v>
      </c>
    </row>
    <row r="490" spans="1:7" x14ac:dyDescent="0.2">
      <c r="A490" s="2" t="s">
        <v>771</v>
      </c>
      <c r="B490" s="2" t="s">
        <v>774</v>
      </c>
      <c r="C490" s="2" t="s">
        <v>773</v>
      </c>
      <c r="D490" s="2" t="s">
        <v>10</v>
      </c>
      <c r="E490" s="2" t="s">
        <v>52</v>
      </c>
      <c r="F490" s="2">
        <v>1</v>
      </c>
      <c r="G490" s="2" t="s">
        <v>17</v>
      </c>
    </row>
    <row r="491" spans="1:7" x14ac:dyDescent="0.2">
      <c r="A491" s="2" t="s">
        <v>775</v>
      </c>
      <c r="B491" s="2" t="s">
        <v>723</v>
      </c>
      <c r="C491" s="2" t="s">
        <v>724</v>
      </c>
      <c r="D491" s="2" t="s">
        <v>10</v>
      </c>
      <c r="E491" s="2" t="s">
        <v>16</v>
      </c>
      <c r="F491" s="2">
        <v>1</v>
      </c>
      <c r="G491" s="2" t="s">
        <v>17</v>
      </c>
    </row>
    <row r="492" spans="1:7" x14ac:dyDescent="0.2">
      <c r="A492" s="2" t="s">
        <v>775</v>
      </c>
      <c r="B492" s="2" t="s">
        <v>725</v>
      </c>
      <c r="C492" s="2" t="s">
        <v>726</v>
      </c>
      <c r="D492" s="2" t="s">
        <v>10</v>
      </c>
      <c r="E492" s="2" t="s">
        <v>16</v>
      </c>
      <c r="F492" s="2">
        <v>1</v>
      </c>
      <c r="G492" s="2" t="s">
        <v>17</v>
      </c>
    </row>
    <row r="493" spans="1:7" x14ac:dyDescent="0.2">
      <c r="A493" s="2" t="s">
        <v>775</v>
      </c>
      <c r="B493" s="2" t="s">
        <v>727</v>
      </c>
      <c r="C493" s="2" t="s">
        <v>726</v>
      </c>
      <c r="D493" s="2" t="s">
        <v>10</v>
      </c>
      <c r="E493" s="2" t="s">
        <v>16</v>
      </c>
      <c r="F493" s="2">
        <v>1</v>
      </c>
      <c r="G493" s="2" t="s">
        <v>17</v>
      </c>
    </row>
    <row r="494" spans="1:7" x14ac:dyDescent="0.2">
      <c r="A494" s="2" t="s">
        <v>775</v>
      </c>
      <c r="B494" s="2" t="s">
        <v>728</v>
      </c>
      <c r="C494" s="2" t="s">
        <v>724</v>
      </c>
      <c r="D494" s="2" t="s">
        <v>10</v>
      </c>
      <c r="E494" s="2" t="s">
        <v>16</v>
      </c>
      <c r="F494" s="2">
        <v>1</v>
      </c>
      <c r="G494" s="2" t="s">
        <v>17</v>
      </c>
    </row>
    <row r="495" spans="1:7" x14ac:dyDescent="0.2">
      <c r="A495" s="2" t="s">
        <v>775</v>
      </c>
      <c r="B495" s="2" t="s">
        <v>729</v>
      </c>
      <c r="C495" s="2" t="s">
        <v>730</v>
      </c>
      <c r="D495" s="2" t="s">
        <v>10</v>
      </c>
      <c r="E495" s="2" t="s">
        <v>16</v>
      </c>
      <c r="F495" s="2">
        <v>1</v>
      </c>
      <c r="G495" s="2" t="s">
        <v>17</v>
      </c>
    </row>
    <row r="496" spans="1:7" x14ac:dyDescent="0.2">
      <c r="A496" s="2" t="s">
        <v>775</v>
      </c>
      <c r="B496" s="2" t="s">
        <v>731</v>
      </c>
      <c r="C496" s="2" t="s">
        <v>730</v>
      </c>
      <c r="D496" s="2" t="s">
        <v>10</v>
      </c>
      <c r="E496" s="2" t="s">
        <v>16</v>
      </c>
      <c r="F496" s="2">
        <v>1</v>
      </c>
      <c r="G496" s="2" t="s">
        <v>17</v>
      </c>
    </row>
    <row r="497" spans="1:7" x14ac:dyDescent="0.2">
      <c r="A497" s="2" t="s">
        <v>775</v>
      </c>
      <c r="B497" s="2" t="s">
        <v>686</v>
      </c>
      <c r="C497" s="2" t="s">
        <v>687</v>
      </c>
      <c r="D497" s="2" t="s">
        <v>10</v>
      </c>
      <c r="E497" s="2" t="s">
        <v>16</v>
      </c>
      <c r="F497" s="2">
        <v>1</v>
      </c>
      <c r="G497" s="2" t="s">
        <v>17</v>
      </c>
    </row>
    <row r="498" spans="1:7" x14ac:dyDescent="0.2">
      <c r="A498" s="2" t="s">
        <v>776</v>
      </c>
      <c r="B498" s="2" t="s">
        <v>777</v>
      </c>
      <c r="C498" s="2" t="s">
        <v>778</v>
      </c>
      <c r="D498" s="2" t="s">
        <v>10</v>
      </c>
      <c r="E498" s="2" t="s">
        <v>16</v>
      </c>
      <c r="F498" s="2">
        <v>1</v>
      </c>
      <c r="G498" s="2" t="s">
        <v>17</v>
      </c>
    </row>
    <row r="499" spans="1:7" x14ac:dyDescent="0.2">
      <c r="A499" s="2" t="s">
        <v>776</v>
      </c>
      <c r="B499" s="2" t="s">
        <v>779</v>
      </c>
      <c r="C499" s="2" t="s">
        <v>778</v>
      </c>
      <c r="D499" s="2" t="s">
        <v>10</v>
      </c>
      <c r="E499" s="2" t="s">
        <v>16</v>
      </c>
      <c r="F499" s="2">
        <v>1</v>
      </c>
      <c r="G499" s="2" t="s">
        <v>17</v>
      </c>
    </row>
    <row r="500" spans="1:7" x14ac:dyDescent="0.2">
      <c r="A500" s="2" t="s">
        <v>780</v>
      </c>
      <c r="B500" s="2" t="s">
        <v>781</v>
      </c>
      <c r="C500" s="2" t="s">
        <v>782</v>
      </c>
      <c r="D500" s="2" t="s">
        <v>56</v>
      </c>
      <c r="E500" s="2" t="s">
        <v>52</v>
      </c>
      <c r="F500" s="2">
        <v>2</v>
      </c>
      <c r="G500" s="2" t="s">
        <v>17</v>
      </c>
    </row>
    <row r="501" spans="1:7" x14ac:dyDescent="0.2">
      <c r="A501" s="2" t="s">
        <v>780</v>
      </c>
      <c r="B501" s="2" t="s">
        <v>783</v>
      </c>
      <c r="C501" s="2" t="s">
        <v>782</v>
      </c>
      <c r="D501" s="2" t="s">
        <v>56</v>
      </c>
      <c r="E501" s="2" t="s">
        <v>52</v>
      </c>
      <c r="F501" s="2">
        <v>2</v>
      </c>
      <c r="G501" s="2" t="s">
        <v>17</v>
      </c>
    </row>
    <row r="502" spans="1:7" x14ac:dyDescent="0.2">
      <c r="A502" s="2" t="s">
        <v>780</v>
      </c>
      <c r="B502" s="2" t="s">
        <v>784</v>
      </c>
      <c r="C502" s="2" t="s">
        <v>782</v>
      </c>
      <c r="D502" s="2" t="s">
        <v>56</v>
      </c>
      <c r="E502" s="2" t="s">
        <v>52</v>
      </c>
      <c r="F502" s="2">
        <v>2</v>
      </c>
      <c r="G502" s="2" t="s">
        <v>17</v>
      </c>
    </row>
    <row r="503" spans="1:7" x14ac:dyDescent="0.2">
      <c r="A503" s="2" t="s">
        <v>780</v>
      </c>
      <c r="B503" s="2" t="s">
        <v>785</v>
      </c>
      <c r="C503" s="2" t="s">
        <v>786</v>
      </c>
      <c r="D503" s="2" t="s">
        <v>56</v>
      </c>
      <c r="E503" s="2" t="s">
        <v>52</v>
      </c>
      <c r="F503" s="2">
        <v>1</v>
      </c>
      <c r="G503" s="2" t="s">
        <v>17</v>
      </c>
    </row>
    <row r="504" spans="1:7" x14ac:dyDescent="0.2">
      <c r="A504" s="2" t="s">
        <v>780</v>
      </c>
      <c r="B504" s="2" t="s">
        <v>787</v>
      </c>
      <c r="C504" s="2" t="s">
        <v>788</v>
      </c>
      <c r="D504" s="2" t="s">
        <v>56</v>
      </c>
      <c r="E504" s="2" t="s">
        <v>52</v>
      </c>
      <c r="F504" s="2">
        <v>2</v>
      </c>
      <c r="G504" s="2" t="s">
        <v>17</v>
      </c>
    </row>
    <row r="505" spans="1:7" x14ac:dyDescent="0.2">
      <c r="A505" s="2" t="s">
        <v>780</v>
      </c>
      <c r="B505" s="2" t="s">
        <v>789</v>
      </c>
      <c r="C505" s="2" t="s">
        <v>790</v>
      </c>
      <c r="D505" s="2" t="s">
        <v>56</v>
      </c>
      <c r="E505" s="2" t="s">
        <v>16</v>
      </c>
      <c r="F505" s="2">
        <v>1</v>
      </c>
      <c r="G505" s="2" t="s">
        <v>17</v>
      </c>
    </row>
    <row r="506" spans="1:7" x14ac:dyDescent="0.2">
      <c r="A506" s="2" t="s">
        <v>780</v>
      </c>
      <c r="B506" s="2" t="s">
        <v>791</v>
      </c>
      <c r="C506" s="2" t="s">
        <v>792</v>
      </c>
      <c r="D506" s="2" t="s">
        <v>56</v>
      </c>
      <c r="E506" s="2" t="s">
        <v>16</v>
      </c>
      <c r="F506" s="2">
        <v>1</v>
      </c>
      <c r="G506" s="2" t="s">
        <v>17</v>
      </c>
    </row>
    <row r="507" spans="1:7" x14ac:dyDescent="0.2">
      <c r="A507" s="2" t="s">
        <v>780</v>
      </c>
      <c r="B507" s="2" t="s">
        <v>793</v>
      </c>
      <c r="C507" s="2" t="s">
        <v>794</v>
      </c>
      <c r="D507" s="2" t="s">
        <v>56</v>
      </c>
      <c r="E507" s="2" t="s">
        <v>52</v>
      </c>
      <c r="F507" s="2">
        <v>1</v>
      </c>
      <c r="G507" s="2" t="s">
        <v>17</v>
      </c>
    </row>
    <row r="508" spans="1:7" x14ac:dyDescent="0.2">
      <c r="A508" s="2" t="s">
        <v>780</v>
      </c>
      <c r="B508" s="2" t="s">
        <v>795</v>
      </c>
      <c r="C508" s="2" t="s">
        <v>794</v>
      </c>
      <c r="D508" s="2" t="s">
        <v>56</v>
      </c>
      <c r="E508" s="2" t="s">
        <v>52</v>
      </c>
      <c r="F508" s="2">
        <v>1</v>
      </c>
      <c r="G508" s="2" t="s">
        <v>17</v>
      </c>
    </row>
    <row r="509" spans="1:7" x14ac:dyDescent="0.2">
      <c r="A509" s="2" t="s">
        <v>780</v>
      </c>
      <c r="B509" s="2" t="s">
        <v>796</v>
      </c>
      <c r="C509" s="2" t="s">
        <v>797</v>
      </c>
      <c r="D509" s="2" t="s">
        <v>56</v>
      </c>
      <c r="E509" s="2" t="s">
        <v>52</v>
      </c>
      <c r="F509" s="2">
        <v>1</v>
      </c>
      <c r="G509" s="2" t="s">
        <v>17</v>
      </c>
    </row>
    <row r="510" spans="1:7" x14ac:dyDescent="0.2">
      <c r="A510" s="2" t="s">
        <v>780</v>
      </c>
      <c r="B510" s="2" t="s">
        <v>798</v>
      </c>
      <c r="C510" s="2" t="s">
        <v>797</v>
      </c>
      <c r="D510" s="2" t="s">
        <v>56</v>
      </c>
      <c r="E510" s="2" t="s">
        <v>52</v>
      </c>
      <c r="F510" s="2">
        <v>1</v>
      </c>
      <c r="G510" s="2" t="s">
        <v>17</v>
      </c>
    </row>
    <row r="511" spans="1:7" x14ac:dyDescent="0.2">
      <c r="A511" s="2" t="s">
        <v>780</v>
      </c>
      <c r="B511" s="2" t="s">
        <v>799</v>
      </c>
      <c r="C511" s="2" t="s">
        <v>800</v>
      </c>
      <c r="D511" s="2" t="s">
        <v>56</v>
      </c>
      <c r="E511" s="2" t="s">
        <v>52</v>
      </c>
      <c r="F511" s="2">
        <v>2</v>
      </c>
      <c r="G511" s="2" t="s">
        <v>17</v>
      </c>
    </row>
    <row r="512" spans="1:7" x14ac:dyDescent="0.2">
      <c r="A512" s="2" t="s">
        <v>780</v>
      </c>
      <c r="B512" s="2" t="s">
        <v>801</v>
      </c>
      <c r="C512" s="2" t="s">
        <v>802</v>
      </c>
      <c r="D512" s="2" t="s">
        <v>56</v>
      </c>
      <c r="E512" s="2" t="s">
        <v>52</v>
      </c>
      <c r="F512" s="2">
        <v>2</v>
      </c>
      <c r="G512" s="2" t="s">
        <v>17</v>
      </c>
    </row>
    <row r="513" spans="1:7" x14ac:dyDescent="0.2">
      <c r="A513" s="2" t="s">
        <v>780</v>
      </c>
      <c r="B513" s="2" t="s">
        <v>803</v>
      </c>
      <c r="C513" s="2" t="s">
        <v>802</v>
      </c>
      <c r="D513" s="2" t="s">
        <v>56</v>
      </c>
      <c r="E513" s="2" t="s">
        <v>52</v>
      </c>
      <c r="F513" s="2">
        <v>2</v>
      </c>
      <c r="G513" s="2" t="s">
        <v>17</v>
      </c>
    </row>
    <row r="514" spans="1:7" x14ac:dyDescent="0.2">
      <c r="A514" s="2" t="s">
        <v>780</v>
      </c>
      <c r="B514" s="2" t="s">
        <v>804</v>
      </c>
      <c r="C514" s="2" t="s">
        <v>805</v>
      </c>
      <c r="D514" s="2" t="s">
        <v>56</v>
      </c>
      <c r="E514" s="2" t="s">
        <v>52</v>
      </c>
      <c r="F514" s="2">
        <v>2</v>
      </c>
      <c r="G514" s="2" t="s">
        <v>12</v>
      </c>
    </row>
    <row r="515" spans="1:7" x14ac:dyDescent="0.2">
      <c r="A515" s="2" t="s">
        <v>780</v>
      </c>
      <c r="B515" s="2" t="s">
        <v>806</v>
      </c>
      <c r="C515" s="2" t="s">
        <v>805</v>
      </c>
      <c r="D515" s="2" t="s">
        <v>56</v>
      </c>
      <c r="E515" s="2" t="s">
        <v>52</v>
      </c>
      <c r="F515" s="2">
        <v>2</v>
      </c>
      <c r="G515" s="2" t="s">
        <v>12</v>
      </c>
    </row>
    <row r="516" spans="1:7" x14ac:dyDescent="0.2">
      <c r="A516" s="2" t="s">
        <v>780</v>
      </c>
      <c r="B516" s="2" t="s">
        <v>807</v>
      </c>
      <c r="C516" s="2" t="s">
        <v>808</v>
      </c>
      <c r="D516" s="2" t="s">
        <v>56</v>
      </c>
      <c r="E516" s="2" t="s">
        <v>52</v>
      </c>
      <c r="F516" s="2">
        <v>2</v>
      </c>
      <c r="G516" s="2" t="s">
        <v>12</v>
      </c>
    </row>
    <row r="517" spans="1:7" x14ac:dyDescent="0.2">
      <c r="A517" s="2" t="s">
        <v>780</v>
      </c>
      <c r="B517" s="2" t="s">
        <v>809</v>
      </c>
      <c r="C517" s="2" t="s">
        <v>805</v>
      </c>
      <c r="D517" s="2" t="s">
        <v>56</v>
      </c>
      <c r="E517" s="2" t="s">
        <v>52</v>
      </c>
      <c r="F517" s="2">
        <v>2</v>
      </c>
      <c r="G517" s="2" t="s">
        <v>12</v>
      </c>
    </row>
    <row r="518" spans="1:7" x14ac:dyDescent="0.2">
      <c r="A518" s="2" t="s">
        <v>780</v>
      </c>
      <c r="B518" s="2" t="s">
        <v>810</v>
      </c>
      <c r="C518" s="2" t="s">
        <v>786</v>
      </c>
      <c r="D518" s="2" t="s">
        <v>56</v>
      </c>
      <c r="E518" s="2" t="s">
        <v>52</v>
      </c>
      <c r="F518" s="2">
        <v>1</v>
      </c>
      <c r="G518" s="2" t="s">
        <v>17</v>
      </c>
    </row>
    <row r="519" spans="1:7" x14ac:dyDescent="0.2">
      <c r="A519" s="2" t="s">
        <v>780</v>
      </c>
      <c r="B519" s="2" t="s">
        <v>811</v>
      </c>
      <c r="C519" s="2" t="s">
        <v>812</v>
      </c>
      <c r="D519" s="2" t="s">
        <v>56</v>
      </c>
      <c r="E519" s="2" t="s">
        <v>52</v>
      </c>
      <c r="F519" s="2">
        <v>2</v>
      </c>
      <c r="G519" s="2" t="s">
        <v>17</v>
      </c>
    </row>
    <row r="520" spans="1:7" x14ac:dyDescent="0.2">
      <c r="A520" s="2" t="s">
        <v>780</v>
      </c>
      <c r="B520" s="2" t="s">
        <v>813</v>
      </c>
      <c r="C520" s="2" t="s">
        <v>782</v>
      </c>
      <c r="D520" s="2" t="s">
        <v>56</v>
      </c>
      <c r="E520" s="2" t="s">
        <v>52</v>
      </c>
      <c r="F520" s="2">
        <v>2</v>
      </c>
      <c r="G520" s="2" t="s">
        <v>17</v>
      </c>
    </row>
    <row r="521" spans="1:7" x14ac:dyDescent="0.2">
      <c r="A521" s="2" t="s">
        <v>780</v>
      </c>
      <c r="B521" s="2" t="s">
        <v>814</v>
      </c>
      <c r="C521" s="2" t="s">
        <v>802</v>
      </c>
      <c r="D521" s="2" t="s">
        <v>56</v>
      </c>
      <c r="E521" s="2" t="s">
        <v>52</v>
      </c>
      <c r="F521" s="2">
        <v>2</v>
      </c>
      <c r="G521" s="2" t="s">
        <v>17</v>
      </c>
    </row>
    <row r="522" spans="1:7" x14ac:dyDescent="0.2">
      <c r="A522" s="2" t="s">
        <v>780</v>
      </c>
      <c r="B522" s="2" t="s">
        <v>815</v>
      </c>
      <c r="C522" s="2" t="s">
        <v>782</v>
      </c>
      <c r="D522" s="2" t="s">
        <v>56</v>
      </c>
      <c r="E522" s="2" t="s">
        <v>52</v>
      </c>
      <c r="F522" s="2">
        <v>2</v>
      </c>
      <c r="G522" s="2" t="s">
        <v>17</v>
      </c>
    </row>
    <row r="523" spans="1:7" x14ac:dyDescent="0.2">
      <c r="A523" s="2" t="s">
        <v>780</v>
      </c>
      <c r="B523" s="2" t="s">
        <v>816</v>
      </c>
      <c r="C523" s="2" t="s">
        <v>782</v>
      </c>
      <c r="D523" s="2" t="s">
        <v>56</v>
      </c>
      <c r="E523" s="2" t="s">
        <v>52</v>
      </c>
      <c r="F523" s="2">
        <v>2</v>
      </c>
      <c r="G523" s="2" t="s">
        <v>17</v>
      </c>
    </row>
    <row r="524" spans="1:7" x14ac:dyDescent="0.2">
      <c r="A524" s="2" t="s">
        <v>780</v>
      </c>
      <c r="B524" s="2" t="s">
        <v>817</v>
      </c>
      <c r="C524" s="2" t="s">
        <v>782</v>
      </c>
      <c r="D524" s="2" t="s">
        <v>56</v>
      </c>
      <c r="E524" s="2" t="s">
        <v>52</v>
      </c>
      <c r="F524" s="2">
        <v>2</v>
      </c>
      <c r="G524" s="2" t="s">
        <v>17</v>
      </c>
    </row>
    <row r="525" spans="1:7" x14ac:dyDescent="0.2">
      <c r="A525" s="2" t="s">
        <v>780</v>
      </c>
      <c r="B525" s="2" t="s">
        <v>818</v>
      </c>
      <c r="C525" s="2" t="s">
        <v>808</v>
      </c>
      <c r="D525" s="2" t="s">
        <v>56</v>
      </c>
      <c r="E525" s="2" t="s">
        <v>52</v>
      </c>
      <c r="F525" s="2">
        <v>2</v>
      </c>
      <c r="G525" s="2" t="s">
        <v>12</v>
      </c>
    </row>
    <row r="526" spans="1:7" x14ac:dyDescent="0.2">
      <c r="A526" s="2" t="s">
        <v>780</v>
      </c>
      <c r="B526" s="2" t="s">
        <v>819</v>
      </c>
      <c r="C526" s="2" t="s">
        <v>794</v>
      </c>
      <c r="D526" s="2" t="s">
        <v>56</v>
      </c>
      <c r="E526" s="2" t="s">
        <v>52</v>
      </c>
      <c r="F526" s="2">
        <v>1</v>
      </c>
      <c r="G526" s="2" t="s">
        <v>17</v>
      </c>
    </row>
    <row r="527" spans="1:7" x14ac:dyDescent="0.2">
      <c r="A527" s="2" t="s">
        <v>780</v>
      </c>
      <c r="B527" s="2" t="s">
        <v>820</v>
      </c>
      <c r="C527" s="2" t="s">
        <v>797</v>
      </c>
      <c r="D527" s="2" t="s">
        <v>56</v>
      </c>
      <c r="E527" s="2" t="s">
        <v>52</v>
      </c>
      <c r="F527" s="2">
        <v>1</v>
      </c>
      <c r="G527" s="2" t="s">
        <v>17</v>
      </c>
    </row>
    <row r="528" spans="1:7" x14ac:dyDescent="0.2">
      <c r="A528" s="2" t="s">
        <v>780</v>
      </c>
      <c r="B528" s="2" t="s">
        <v>821</v>
      </c>
      <c r="C528" s="2" t="s">
        <v>802</v>
      </c>
      <c r="D528" s="2" t="s">
        <v>56</v>
      </c>
      <c r="E528" s="2" t="s">
        <v>52</v>
      </c>
      <c r="F528" s="2">
        <v>2</v>
      </c>
      <c r="G528" s="2" t="s">
        <v>17</v>
      </c>
    </row>
    <row r="529" spans="1:7" x14ac:dyDescent="0.2">
      <c r="A529" s="2" t="s">
        <v>780</v>
      </c>
      <c r="B529" s="2" t="s">
        <v>822</v>
      </c>
      <c r="C529" s="2" t="s">
        <v>782</v>
      </c>
      <c r="D529" s="2" t="s">
        <v>56</v>
      </c>
      <c r="E529" s="2" t="s">
        <v>52</v>
      </c>
      <c r="F529" s="2">
        <v>2</v>
      </c>
      <c r="G529" s="2" t="s">
        <v>17</v>
      </c>
    </row>
    <row r="530" spans="1:7" x14ac:dyDescent="0.2">
      <c r="A530" s="2" t="s">
        <v>780</v>
      </c>
      <c r="B530" s="2" t="s">
        <v>823</v>
      </c>
      <c r="C530" s="2" t="s">
        <v>797</v>
      </c>
      <c r="D530" s="2" t="s">
        <v>56</v>
      </c>
      <c r="E530" s="2" t="s">
        <v>52</v>
      </c>
      <c r="F530" s="2">
        <v>1</v>
      </c>
      <c r="G530" s="2" t="s">
        <v>17</v>
      </c>
    </row>
    <row r="531" spans="1:7" x14ac:dyDescent="0.2">
      <c r="A531" s="2" t="s">
        <v>780</v>
      </c>
      <c r="B531" s="2" t="s">
        <v>734</v>
      </c>
      <c r="C531" s="2" t="s">
        <v>786</v>
      </c>
      <c r="D531" s="2" t="s">
        <v>56</v>
      </c>
      <c r="E531" s="2" t="s">
        <v>52</v>
      </c>
      <c r="F531" s="2">
        <v>1</v>
      </c>
      <c r="G531" s="2" t="s">
        <v>17</v>
      </c>
    </row>
    <row r="532" spans="1:7" x14ac:dyDescent="0.2">
      <c r="A532" s="2" t="s">
        <v>780</v>
      </c>
      <c r="B532" s="2" t="s">
        <v>824</v>
      </c>
      <c r="C532" s="2" t="s">
        <v>797</v>
      </c>
      <c r="D532" s="2" t="s">
        <v>56</v>
      </c>
      <c r="E532" s="2" t="s">
        <v>52</v>
      </c>
      <c r="F532" s="2">
        <v>1</v>
      </c>
      <c r="G532" s="2" t="s">
        <v>17</v>
      </c>
    </row>
    <row r="533" spans="1:7" x14ac:dyDescent="0.2">
      <c r="A533" s="2" t="s">
        <v>780</v>
      </c>
      <c r="B533" s="2" t="s">
        <v>825</v>
      </c>
      <c r="C533" s="2" t="s">
        <v>788</v>
      </c>
      <c r="D533" s="2" t="s">
        <v>56</v>
      </c>
      <c r="E533" s="2" t="s">
        <v>52</v>
      </c>
      <c r="F533" s="2">
        <v>2</v>
      </c>
      <c r="G533" s="2" t="s">
        <v>17</v>
      </c>
    </row>
    <row r="534" spans="1:7" x14ac:dyDescent="0.2">
      <c r="A534" s="2" t="s">
        <v>780</v>
      </c>
      <c r="B534" s="2" t="s">
        <v>826</v>
      </c>
      <c r="C534" s="2" t="s">
        <v>782</v>
      </c>
      <c r="D534" s="2" t="s">
        <v>56</v>
      </c>
      <c r="E534" s="2" t="s">
        <v>52</v>
      </c>
      <c r="F534" s="2">
        <v>2</v>
      </c>
      <c r="G534" s="2" t="s">
        <v>17</v>
      </c>
    </row>
    <row r="535" spans="1:7" x14ac:dyDescent="0.2">
      <c r="A535" s="2" t="s">
        <v>780</v>
      </c>
      <c r="B535" s="2" t="s">
        <v>827</v>
      </c>
      <c r="C535" s="2" t="s">
        <v>828</v>
      </c>
      <c r="D535" s="2" t="s">
        <v>56</v>
      </c>
      <c r="E535" s="2" t="s">
        <v>52</v>
      </c>
      <c r="F535" s="2">
        <v>1</v>
      </c>
      <c r="G535" s="2" t="s">
        <v>17</v>
      </c>
    </row>
    <row r="536" spans="1:7" x14ac:dyDescent="0.2">
      <c r="A536" s="2" t="s">
        <v>780</v>
      </c>
      <c r="B536" s="2" t="s">
        <v>829</v>
      </c>
      <c r="C536" s="2" t="s">
        <v>782</v>
      </c>
      <c r="D536" s="2" t="s">
        <v>56</v>
      </c>
      <c r="E536" s="2" t="s">
        <v>52</v>
      </c>
      <c r="F536" s="2">
        <v>2</v>
      </c>
      <c r="G536" s="2" t="s">
        <v>17</v>
      </c>
    </row>
    <row r="537" spans="1:7" x14ac:dyDescent="0.2">
      <c r="A537" s="2" t="s">
        <v>780</v>
      </c>
      <c r="B537" s="2" t="s">
        <v>830</v>
      </c>
      <c r="C537" s="2" t="s">
        <v>805</v>
      </c>
      <c r="D537" s="2" t="s">
        <v>56</v>
      </c>
      <c r="E537" s="2" t="s">
        <v>52</v>
      </c>
      <c r="F537" s="2">
        <v>2</v>
      </c>
      <c r="G537" s="2" t="s">
        <v>12</v>
      </c>
    </row>
    <row r="538" spans="1:7" x14ac:dyDescent="0.2">
      <c r="A538" s="2" t="s">
        <v>780</v>
      </c>
      <c r="B538" s="2" t="s">
        <v>831</v>
      </c>
      <c r="C538" s="2" t="s">
        <v>782</v>
      </c>
      <c r="D538" s="2" t="s">
        <v>56</v>
      </c>
      <c r="E538" s="2" t="s">
        <v>52</v>
      </c>
      <c r="F538" s="2">
        <v>2</v>
      </c>
      <c r="G538" s="2" t="s">
        <v>17</v>
      </c>
    </row>
    <row r="539" spans="1:7" x14ac:dyDescent="0.2">
      <c r="A539" s="2" t="s">
        <v>780</v>
      </c>
      <c r="B539" s="2" t="s">
        <v>832</v>
      </c>
      <c r="C539" s="2" t="s">
        <v>782</v>
      </c>
      <c r="D539" s="2" t="s">
        <v>56</v>
      </c>
      <c r="E539" s="2" t="s">
        <v>52</v>
      </c>
      <c r="F539" s="2">
        <v>2</v>
      </c>
      <c r="G539" s="2" t="s">
        <v>17</v>
      </c>
    </row>
    <row r="540" spans="1:7" x14ac:dyDescent="0.2">
      <c r="A540" s="2" t="s">
        <v>780</v>
      </c>
      <c r="B540" s="2" t="s">
        <v>833</v>
      </c>
      <c r="C540" s="2" t="s">
        <v>782</v>
      </c>
      <c r="D540" s="2" t="s">
        <v>56</v>
      </c>
      <c r="E540" s="2" t="s">
        <v>52</v>
      </c>
      <c r="F540" s="2">
        <v>2</v>
      </c>
      <c r="G540" s="2" t="s">
        <v>17</v>
      </c>
    </row>
    <row r="541" spans="1:7" x14ac:dyDescent="0.2">
      <c r="A541" s="2" t="s">
        <v>780</v>
      </c>
      <c r="B541" s="2" t="s">
        <v>834</v>
      </c>
      <c r="C541" s="2" t="s">
        <v>782</v>
      </c>
      <c r="D541" s="2" t="s">
        <v>56</v>
      </c>
      <c r="E541" s="2" t="s">
        <v>52</v>
      </c>
      <c r="F541" s="2">
        <v>2</v>
      </c>
      <c r="G541" s="2" t="s">
        <v>17</v>
      </c>
    </row>
    <row r="542" spans="1:7" x14ac:dyDescent="0.2">
      <c r="A542" s="2" t="s">
        <v>780</v>
      </c>
      <c r="B542" s="2" t="s">
        <v>835</v>
      </c>
      <c r="C542" s="2" t="s">
        <v>782</v>
      </c>
      <c r="D542" s="2" t="s">
        <v>56</v>
      </c>
      <c r="E542" s="2" t="s">
        <v>52</v>
      </c>
      <c r="F542" s="2">
        <v>2</v>
      </c>
      <c r="G542" s="2" t="s">
        <v>17</v>
      </c>
    </row>
    <row r="543" spans="1:7" x14ac:dyDescent="0.2">
      <c r="A543" s="2" t="s">
        <v>780</v>
      </c>
      <c r="B543" s="2" t="s">
        <v>836</v>
      </c>
      <c r="C543" s="2" t="s">
        <v>782</v>
      </c>
      <c r="D543" s="2" t="s">
        <v>56</v>
      </c>
      <c r="E543" s="2" t="s">
        <v>52</v>
      </c>
      <c r="F543" s="2">
        <v>2</v>
      </c>
      <c r="G543" s="2" t="s">
        <v>17</v>
      </c>
    </row>
    <row r="544" spans="1:7" x14ac:dyDescent="0.2">
      <c r="A544" s="2" t="s">
        <v>780</v>
      </c>
      <c r="B544" s="2" t="s">
        <v>837</v>
      </c>
      <c r="C544" s="2" t="s">
        <v>838</v>
      </c>
      <c r="D544" s="2" t="s">
        <v>56</v>
      </c>
      <c r="E544" s="2" t="s">
        <v>52</v>
      </c>
      <c r="F544" s="2">
        <v>2</v>
      </c>
      <c r="G544" s="2" t="s">
        <v>12</v>
      </c>
    </row>
    <row r="545" spans="1:7" x14ac:dyDescent="0.2">
      <c r="A545" s="2" t="s">
        <v>780</v>
      </c>
      <c r="B545" s="2" t="s">
        <v>839</v>
      </c>
      <c r="C545" s="2" t="s">
        <v>782</v>
      </c>
      <c r="D545" s="2" t="s">
        <v>56</v>
      </c>
      <c r="E545" s="2" t="s">
        <v>52</v>
      </c>
      <c r="F545" s="2">
        <v>2</v>
      </c>
      <c r="G545" s="2" t="s">
        <v>17</v>
      </c>
    </row>
    <row r="546" spans="1:7" x14ac:dyDescent="0.2">
      <c r="A546" s="2" t="s">
        <v>780</v>
      </c>
      <c r="B546" s="2" t="s">
        <v>840</v>
      </c>
      <c r="C546" s="2" t="s">
        <v>782</v>
      </c>
      <c r="D546" s="2" t="s">
        <v>56</v>
      </c>
      <c r="E546" s="2" t="s">
        <v>52</v>
      </c>
      <c r="F546" s="2">
        <v>2</v>
      </c>
      <c r="G546" s="2" t="s">
        <v>17</v>
      </c>
    </row>
    <row r="547" spans="1:7" x14ac:dyDescent="0.2">
      <c r="A547" s="2" t="s">
        <v>780</v>
      </c>
      <c r="B547" s="2" t="s">
        <v>841</v>
      </c>
      <c r="C547" s="2" t="s">
        <v>788</v>
      </c>
      <c r="D547" s="2" t="s">
        <v>56</v>
      </c>
      <c r="E547" s="2" t="s">
        <v>52</v>
      </c>
      <c r="F547" s="2">
        <v>2</v>
      </c>
      <c r="G547" s="2" t="s">
        <v>17</v>
      </c>
    </row>
    <row r="548" spans="1:7" x14ac:dyDescent="0.2">
      <c r="A548" s="2" t="s">
        <v>780</v>
      </c>
      <c r="B548" s="2" t="s">
        <v>842</v>
      </c>
      <c r="C548" s="2" t="s">
        <v>788</v>
      </c>
      <c r="D548" s="2" t="s">
        <v>56</v>
      </c>
      <c r="E548" s="2" t="s">
        <v>52</v>
      </c>
      <c r="F548" s="2">
        <v>2</v>
      </c>
      <c r="G548" s="2" t="s">
        <v>17</v>
      </c>
    </row>
    <row r="549" spans="1:7" x14ac:dyDescent="0.2">
      <c r="A549" s="2" t="s">
        <v>780</v>
      </c>
      <c r="B549" s="2" t="s">
        <v>843</v>
      </c>
      <c r="C549" s="2" t="s">
        <v>812</v>
      </c>
      <c r="D549" s="2" t="s">
        <v>56</v>
      </c>
      <c r="E549" s="2" t="s">
        <v>52</v>
      </c>
      <c r="F549" s="2">
        <v>2</v>
      </c>
      <c r="G549" s="2" t="s">
        <v>17</v>
      </c>
    </row>
    <row r="550" spans="1:7" x14ac:dyDescent="0.2">
      <c r="A550" s="2" t="s">
        <v>780</v>
      </c>
      <c r="B550" s="2" t="s">
        <v>844</v>
      </c>
      <c r="C550" s="2" t="s">
        <v>782</v>
      </c>
      <c r="D550" s="2" t="s">
        <v>56</v>
      </c>
      <c r="E550" s="2" t="s">
        <v>52</v>
      </c>
      <c r="F550" s="2">
        <v>2</v>
      </c>
      <c r="G550" s="2" t="s">
        <v>17</v>
      </c>
    </row>
    <row r="551" spans="1:7" x14ac:dyDescent="0.2">
      <c r="A551" s="2" t="s">
        <v>780</v>
      </c>
      <c r="B551" s="2" t="s">
        <v>845</v>
      </c>
      <c r="C551" s="2" t="s">
        <v>782</v>
      </c>
      <c r="D551" s="2" t="s">
        <v>56</v>
      </c>
      <c r="E551" s="2" t="s">
        <v>52</v>
      </c>
      <c r="F551" s="2">
        <v>2</v>
      </c>
      <c r="G551" s="2" t="s">
        <v>17</v>
      </c>
    </row>
    <row r="552" spans="1:7" x14ac:dyDescent="0.2">
      <c r="A552" s="2" t="s">
        <v>780</v>
      </c>
      <c r="B552" s="2" t="s">
        <v>846</v>
      </c>
      <c r="C552" s="2" t="s">
        <v>782</v>
      </c>
      <c r="D552" s="2" t="s">
        <v>56</v>
      </c>
      <c r="E552" s="2" t="s">
        <v>52</v>
      </c>
      <c r="F552" s="2">
        <v>2</v>
      </c>
      <c r="G552" s="2" t="s">
        <v>17</v>
      </c>
    </row>
    <row r="553" spans="1:7" x14ac:dyDescent="0.2">
      <c r="A553" s="2" t="s">
        <v>847</v>
      </c>
      <c r="B553" s="2" t="s">
        <v>832</v>
      </c>
      <c r="C553" s="2" t="s">
        <v>782</v>
      </c>
      <c r="D553" s="2" t="s">
        <v>56</v>
      </c>
      <c r="E553" s="2" t="s">
        <v>52</v>
      </c>
      <c r="F553" s="2">
        <v>2</v>
      </c>
      <c r="G553" s="2" t="s">
        <v>17</v>
      </c>
    </row>
    <row r="554" spans="1:7" x14ac:dyDescent="0.2">
      <c r="A554" s="2" t="s">
        <v>847</v>
      </c>
      <c r="B554" s="2" t="s">
        <v>835</v>
      </c>
      <c r="C554" s="2" t="s">
        <v>782</v>
      </c>
      <c r="D554" s="2" t="s">
        <v>56</v>
      </c>
      <c r="E554" s="2" t="s">
        <v>52</v>
      </c>
      <c r="F554" s="2">
        <v>2</v>
      </c>
      <c r="G554" s="2" t="s">
        <v>17</v>
      </c>
    </row>
    <row r="555" spans="1:7" x14ac:dyDescent="0.2">
      <c r="A555" s="2" t="s">
        <v>847</v>
      </c>
      <c r="B555" s="2" t="s">
        <v>813</v>
      </c>
      <c r="C555" s="2" t="s">
        <v>782</v>
      </c>
      <c r="D555" s="2" t="s">
        <v>56</v>
      </c>
      <c r="E555" s="2" t="s">
        <v>52</v>
      </c>
      <c r="F555" s="2">
        <v>2</v>
      </c>
      <c r="G555" s="2" t="s">
        <v>17</v>
      </c>
    </row>
    <row r="556" spans="1:7" x14ac:dyDescent="0.2">
      <c r="A556" s="2" t="s">
        <v>847</v>
      </c>
      <c r="B556" s="2" t="s">
        <v>848</v>
      </c>
      <c r="C556" s="2" t="s">
        <v>849</v>
      </c>
      <c r="D556" s="2" t="s">
        <v>56</v>
      </c>
      <c r="E556" s="2" t="s">
        <v>52</v>
      </c>
      <c r="F556" s="2">
        <v>3</v>
      </c>
      <c r="G556" s="2" t="s">
        <v>12</v>
      </c>
    </row>
    <row r="557" spans="1:7" x14ac:dyDescent="0.2">
      <c r="A557" s="2" t="s">
        <v>847</v>
      </c>
      <c r="B557" s="2" t="s">
        <v>850</v>
      </c>
      <c r="C557" s="2" t="s">
        <v>849</v>
      </c>
      <c r="D557" s="2" t="s">
        <v>56</v>
      </c>
      <c r="E557" s="2" t="s">
        <v>52</v>
      </c>
      <c r="F557" s="2">
        <v>3</v>
      </c>
      <c r="G557" s="2" t="s">
        <v>12</v>
      </c>
    </row>
    <row r="558" spans="1:7" x14ac:dyDescent="0.2">
      <c r="A558" s="2" t="s">
        <v>847</v>
      </c>
      <c r="B558" s="2" t="s">
        <v>851</v>
      </c>
      <c r="C558" s="2" t="s">
        <v>849</v>
      </c>
      <c r="D558" s="2" t="s">
        <v>56</v>
      </c>
      <c r="E558" s="2" t="s">
        <v>52</v>
      </c>
      <c r="F558" s="2">
        <v>3</v>
      </c>
      <c r="G558" s="2" t="s">
        <v>12</v>
      </c>
    </row>
    <row r="559" spans="1:7" x14ac:dyDescent="0.2">
      <c r="A559" s="2" t="s">
        <v>847</v>
      </c>
      <c r="B559" s="2" t="s">
        <v>852</v>
      </c>
      <c r="C559" s="2" t="s">
        <v>849</v>
      </c>
      <c r="D559" s="2" t="s">
        <v>56</v>
      </c>
      <c r="E559" s="2" t="s">
        <v>52</v>
      </c>
      <c r="F559" s="2">
        <v>3</v>
      </c>
      <c r="G559" s="2" t="s">
        <v>12</v>
      </c>
    </row>
    <row r="560" spans="1:7" x14ac:dyDescent="0.2">
      <c r="A560" s="2" t="s">
        <v>847</v>
      </c>
      <c r="B560" s="2" t="s">
        <v>853</v>
      </c>
      <c r="C560" s="2" t="s">
        <v>849</v>
      </c>
      <c r="D560" s="2" t="s">
        <v>56</v>
      </c>
      <c r="E560" s="2" t="s">
        <v>52</v>
      </c>
      <c r="F560" s="2">
        <v>3</v>
      </c>
      <c r="G560" s="2" t="s">
        <v>12</v>
      </c>
    </row>
    <row r="561" spans="1:7" x14ac:dyDescent="0.2">
      <c r="A561" s="2" t="s">
        <v>847</v>
      </c>
      <c r="B561" s="2" t="s">
        <v>854</v>
      </c>
      <c r="C561" s="2" t="s">
        <v>812</v>
      </c>
      <c r="D561" s="2" t="s">
        <v>56</v>
      </c>
      <c r="E561" s="2" t="s">
        <v>52</v>
      </c>
      <c r="F561" s="2">
        <v>2</v>
      </c>
      <c r="G561" s="2" t="s">
        <v>17</v>
      </c>
    </row>
    <row r="562" spans="1:7" x14ac:dyDescent="0.2">
      <c r="A562" s="2" t="s">
        <v>847</v>
      </c>
      <c r="B562" s="2" t="s">
        <v>855</v>
      </c>
      <c r="C562" s="2" t="s">
        <v>812</v>
      </c>
      <c r="D562" s="2" t="s">
        <v>56</v>
      </c>
      <c r="E562" s="2" t="s">
        <v>52</v>
      </c>
      <c r="F562" s="2">
        <v>2</v>
      </c>
      <c r="G562" s="2" t="s">
        <v>17</v>
      </c>
    </row>
    <row r="563" spans="1:7" x14ac:dyDescent="0.2">
      <c r="A563" s="2" t="s">
        <v>847</v>
      </c>
      <c r="B563" s="2" t="s">
        <v>843</v>
      </c>
      <c r="C563" s="2" t="s">
        <v>812</v>
      </c>
      <c r="D563" s="2" t="s">
        <v>56</v>
      </c>
      <c r="E563" s="2" t="s">
        <v>52</v>
      </c>
      <c r="F563" s="2">
        <v>2</v>
      </c>
      <c r="G563" s="2" t="s">
        <v>17</v>
      </c>
    </row>
    <row r="564" spans="1:7" x14ac:dyDescent="0.2">
      <c r="A564" s="2" t="s">
        <v>847</v>
      </c>
      <c r="B564" s="2" t="s">
        <v>856</v>
      </c>
      <c r="C564" s="2" t="s">
        <v>857</v>
      </c>
      <c r="D564" s="2" t="s">
        <v>56</v>
      </c>
      <c r="E564" s="2" t="s">
        <v>52</v>
      </c>
      <c r="F564" s="2">
        <v>2</v>
      </c>
      <c r="G564" s="2" t="s">
        <v>17</v>
      </c>
    </row>
    <row r="565" spans="1:7" x14ac:dyDescent="0.2">
      <c r="A565" s="2" t="s">
        <v>847</v>
      </c>
      <c r="B565" s="2" t="s">
        <v>858</v>
      </c>
      <c r="C565" s="2" t="s">
        <v>857</v>
      </c>
      <c r="D565" s="2" t="s">
        <v>56</v>
      </c>
      <c r="E565" s="2" t="s">
        <v>52</v>
      </c>
      <c r="F565" s="2">
        <v>2</v>
      </c>
      <c r="G565" s="2" t="s">
        <v>17</v>
      </c>
    </row>
    <row r="566" spans="1:7" x14ac:dyDescent="0.2">
      <c r="A566" s="2" t="s">
        <v>847</v>
      </c>
      <c r="B566" s="2" t="s">
        <v>859</v>
      </c>
      <c r="C566" s="2" t="s">
        <v>857</v>
      </c>
      <c r="D566" s="2" t="s">
        <v>56</v>
      </c>
      <c r="E566" s="2" t="s">
        <v>52</v>
      </c>
      <c r="F566" s="2">
        <v>2</v>
      </c>
      <c r="G566" s="2" t="s">
        <v>17</v>
      </c>
    </row>
    <row r="567" spans="1:7" x14ac:dyDescent="0.2">
      <c r="A567" s="2" t="s">
        <v>847</v>
      </c>
      <c r="B567" s="2" t="s">
        <v>860</v>
      </c>
      <c r="C567" s="2" t="s">
        <v>857</v>
      </c>
      <c r="D567" s="2" t="s">
        <v>56</v>
      </c>
      <c r="E567" s="2" t="s">
        <v>52</v>
      </c>
      <c r="F567" s="2">
        <v>2</v>
      </c>
      <c r="G567" s="2" t="s">
        <v>17</v>
      </c>
    </row>
    <row r="568" spans="1:7" x14ac:dyDescent="0.2">
      <c r="A568" s="2" t="s">
        <v>847</v>
      </c>
      <c r="B568" s="2" t="s">
        <v>861</v>
      </c>
      <c r="C568" s="2" t="s">
        <v>849</v>
      </c>
      <c r="D568" s="2" t="s">
        <v>56</v>
      </c>
      <c r="E568" s="2" t="s">
        <v>52</v>
      </c>
      <c r="F568" s="2">
        <v>3</v>
      </c>
      <c r="G568" s="2" t="s">
        <v>12</v>
      </c>
    </row>
    <row r="569" spans="1:7" x14ac:dyDescent="0.2">
      <c r="A569" s="2" t="s">
        <v>847</v>
      </c>
      <c r="B569" s="2" t="s">
        <v>862</v>
      </c>
      <c r="C569" s="2" t="s">
        <v>849</v>
      </c>
      <c r="D569" s="2" t="s">
        <v>56</v>
      </c>
      <c r="E569" s="2" t="s">
        <v>52</v>
      </c>
      <c r="F569" s="2">
        <v>3</v>
      </c>
      <c r="G569" s="2" t="s">
        <v>12</v>
      </c>
    </row>
    <row r="570" spans="1:7" x14ac:dyDescent="0.2">
      <c r="A570" s="2" t="s">
        <v>847</v>
      </c>
      <c r="B570" s="2" t="s">
        <v>863</v>
      </c>
      <c r="C570" s="2" t="s">
        <v>849</v>
      </c>
      <c r="D570" s="2" t="s">
        <v>56</v>
      </c>
      <c r="E570" s="2" t="s">
        <v>52</v>
      </c>
      <c r="F570" s="2">
        <v>3</v>
      </c>
      <c r="G570" s="2" t="s">
        <v>12</v>
      </c>
    </row>
    <row r="571" spans="1:7" x14ac:dyDescent="0.2">
      <c r="A571" s="2" t="s">
        <v>847</v>
      </c>
      <c r="B571" s="2" t="s">
        <v>864</v>
      </c>
      <c r="C571" s="2" t="s">
        <v>849</v>
      </c>
      <c r="D571" s="2" t="s">
        <v>56</v>
      </c>
      <c r="E571" s="2" t="s">
        <v>52</v>
      </c>
      <c r="F571" s="2">
        <v>3</v>
      </c>
      <c r="G571" s="2" t="s">
        <v>12</v>
      </c>
    </row>
    <row r="572" spans="1:7" x14ac:dyDescent="0.2">
      <c r="A572" s="2" t="s">
        <v>847</v>
      </c>
      <c r="B572" s="2" t="s">
        <v>865</v>
      </c>
      <c r="C572" s="2" t="s">
        <v>849</v>
      </c>
      <c r="D572" s="2" t="s">
        <v>56</v>
      </c>
      <c r="E572" s="2" t="s">
        <v>52</v>
      </c>
      <c r="F572" s="2">
        <v>3</v>
      </c>
      <c r="G572" s="2" t="s">
        <v>12</v>
      </c>
    </row>
    <row r="573" spans="1:7" x14ac:dyDescent="0.2">
      <c r="A573" s="2" t="s">
        <v>847</v>
      </c>
      <c r="B573" s="2" t="s">
        <v>866</v>
      </c>
      <c r="C573" s="2" t="s">
        <v>849</v>
      </c>
      <c r="D573" s="2" t="s">
        <v>56</v>
      </c>
      <c r="E573" s="2" t="s">
        <v>52</v>
      </c>
      <c r="F573" s="2">
        <v>3</v>
      </c>
      <c r="G573" s="2" t="s">
        <v>12</v>
      </c>
    </row>
    <row r="574" spans="1:7" x14ac:dyDescent="0.2">
      <c r="A574" s="2" t="s">
        <v>847</v>
      </c>
      <c r="B574" s="2" t="s">
        <v>834</v>
      </c>
      <c r="C574" s="2" t="s">
        <v>782</v>
      </c>
      <c r="D574" s="2" t="s">
        <v>56</v>
      </c>
      <c r="E574" s="2" t="s">
        <v>52</v>
      </c>
      <c r="F574" s="2">
        <v>2</v>
      </c>
      <c r="G574" s="2" t="s">
        <v>17</v>
      </c>
    </row>
    <row r="575" spans="1:7" x14ac:dyDescent="0.2">
      <c r="A575" s="2" t="s">
        <v>847</v>
      </c>
      <c r="B575" s="2" t="s">
        <v>829</v>
      </c>
      <c r="C575" s="2" t="s">
        <v>782</v>
      </c>
      <c r="D575" s="2" t="s">
        <v>56</v>
      </c>
      <c r="E575" s="2" t="s">
        <v>52</v>
      </c>
      <c r="F575" s="2">
        <v>2</v>
      </c>
      <c r="G575" s="2" t="s">
        <v>17</v>
      </c>
    </row>
    <row r="576" spans="1:7" x14ac:dyDescent="0.2">
      <c r="A576" s="2" t="s">
        <v>847</v>
      </c>
      <c r="B576" s="2" t="s">
        <v>833</v>
      </c>
      <c r="C576" s="2" t="s">
        <v>782</v>
      </c>
      <c r="D576" s="2" t="s">
        <v>56</v>
      </c>
      <c r="E576" s="2" t="s">
        <v>52</v>
      </c>
      <c r="F576" s="2">
        <v>2</v>
      </c>
      <c r="G576" s="2" t="s">
        <v>17</v>
      </c>
    </row>
    <row r="577" spans="1:7" x14ac:dyDescent="0.2">
      <c r="A577" s="2" t="s">
        <v>847</v>
      </c>
      <c r="B577" s="2" t="s">
        <v>815</v>
      </c>
      <c r="C577" s="2" t="s">
        <v>782</v>
      </c>
      <c r="D577" s="2" t="s">
        <v>56</v>
      </c>
      <c r="E577" s="2" t="s">
        <v>52</v>
      </c>
      <c r="F577" s="2">
        <v>2</v>
      </c>
      <c r="G577" s="2" t="s">
        <v>17</v>
      </c>
    </row>
    <row r="578" spans="1:7" x14ac:dyDescent="0.2">
      <c r="A578" s="2" t="s">
        <v>847</v>
      </c>
      <c r="B578" s="2" t="s">
        <v>810</v>
      </c>
      <c r="C578" s="2" t="s">
        <v>786</v>
      </c>
      <c r="D578" s="2" t="s">
        <v>56</v>
      </c>
      <c r="E578" s="2" t="s">
        <v>52</v>
      </c>
      <c r="F578" s="2">
        <v>1</v>
      </c>
      <c r="G578" s="2" t="s">
        <v>17</v>
      </c>
    </row>
    <row r="579" spans="1:7" x14ac:dyDescent="0.2">
      <c r="A579" s="2" t="s">
        <v>847</v>
      </c>
      <c r="B579" s="2" t="s">
        <v>734</v>
      </c>
      <c r="C579" s="2" t="s">
        <v>786</v>
      </c>
      <c r="D579" s="2" t="s">
        <v>56</v>
      </c>
      <c r="E579" s="2" t="s">
        <v>52</v>
      </c>
      <c r="F579" s="2">
        <v>1</v>
      </c>
      <c r="G579" s="2" t="s">
        <v>17</v>
      </c>
    </row>
    <row r="580" spans="1:7" x14ac:dyDescent="0.2">
      <c r="A580" s="2" t="s">
        <v>847</v>
      </c>
      <c r="B580" s="2" t="s">
        <v>841</v>
      </c>
      <c r="C580" s="2" t="s">
        <v>788</v>
      </c>
      <c r="D580" s="2" t="s">
        <v>56</v>
      </c>
      <c r="E580" s="2" t="s">
        <v>52</v>
      </c>
      <c r="F580" s="2">
        <v>2</v>
      </c>
      <c r="G580" s="2" t="s">
        <v>17</v>
      </c>
    </row>
    <row r="581" spans="1:7" x14ac:dyDescent="0.2">
      <c r="A581" s="2" t="s">
        <v>847</v>
      </c>
      <c r="B581" s="2" t="s">
        <v>811</v>
      </c>
      <c r="C581" s="2" t="s">
        <v>812</v>
      </c>
      <c r="D581" s="2" t="s">
        <v>56</v>
      </c>
      <c r="E581" s="2" t="s">
        <v>52</v>
      </c>
      <c r="F581" s="2">
        <v>2</v>
      </c>
      <c r="G581" s="2" t="s">
        <v>17</v>
      </c>
    </row>
    <row r="582" spans="1:7" x14ac:dyDescent="0.2">
      <c r="A582" s="2" t="s">
        <v>847</v>
      </c>
      <c r="B582" s="2" t="s">
        <v>837</v>
      </c>
      <c r="C582" s="2" t="s">
        <v>838</v>
      </c>
      <c r="D582" s="2" t="s">
        <v>56</v>
      </c>
      <c r="E582" s="2" t="s">
        <v>52</v>
      </c>
      <c r="F582" s="2">
        <v>2</v>
      </c>
      <c r="G582" s="2" t="s">
        <v>12</v>
      </c>
    </row>
    <row r="583" spans="1:7" x14ac:dyDescent="0.2">
      <c r="A583" s="2" t="s">
        <v>847</v>
      </c>
      <c r="B583" s="2" t="s">
        <v>867</v>
      </c>
      <c r="C583" s="2" t="s">
        <v>868</v>
      </c>
      <c r="D583" s="2" t="s">
        <v>56</v>
      </c>
      <c r="E583" s="2" t="s">
        <v>52</v>
      </c>
      <c r="F583" s="2">
        <v>2</v>
      </c>
      <c r="G583" s="2" t="s">
        <v>17</v>
      </c>
    </row>
    <row r="584" spans="1:7" x14ac:dyDescent="0.2">
      <c r="A584" s="2" t="s">
        <v>847</v>
      </c>
      <c r="B584" s="2" t="s">
        <v>869</v>
      </c>
      <c r="C584" s="2" t="s">
        <v>870</v>
      </c>
      <c r="D584" s="2" t="s">
        <v>56</v>
      </c>
      <c r="E584" s="2" t="s">
        <v>52</v>
      </c>
      <c r="F584" s="2">
        <v>2</v>
      </c>
      <c r="G584" s="2" t="s">
        <v>12</v>
      </c>
    </row>
    <row r="585" spans="1:7" x14ac:dyDescent="0.2">
      <c r="A585" s="2" t="s">
        <v>847</v>
      </c>
      <c r="B585" s="2" t="s">
        <v>871</v>
      </c>
      <c r="C585" s="2" t="s">
        <v>872</v>
      </c>
      <c r="D585" s="2" t="s">
        <v>873</v>
      </c>
      <c r="E585" s="2" t="s">
        <v>52</v>
      </c>
      <c r="F585" s="2">
        <v>2</v>
      </c>
      <c r="G585" s="2" t="s">
        <v>12</v>
      </c>
    </row>
    <row r="586" spans="1:7" x14ac:dyDescent="0.2">
      <c r="A586" s="2" t="s">
        <v>847</v>
      </c>
      <c r="B586" s="2" t="s">
        <v>407</v>
      </c>
      <c r="C586" s="2" t="s">
        <v>849</v>
      </c>
      <c r="D586" s="2" t="s">
        <v>56</v>
      </c>
      <c r="E586" s="2" t="s">
        <v>52</v>
      </c>
      <c r="F586" s="2">
        <v>3</v>
      </c>
      <c r="G586" s="2" t="s">
        <v>12</v>
      </c>
    </row>
    <row r="587" spans="1:7" x14ac:dyDescent="0.2">
      <c r="A587" s="2" t="s">
        <v>847</v>
      </c>
      <c r="B587" s="2" t="s">
        <v>874</v>
      </c>
      <c r="C587" s="2" t="s">
        <v>875</v>
      </c>
      <c r="D587" s="2" t="s">
        <v>56</v>
      </c>
      <c r="E587" s="2" t="s">
        <v>52</v>
      </c>
      <c r="F587" s="2">
        <v>2</v>
      </c>
      <c r="G587" s="2" t="s">
        <v>12</v>
      </c>
    </row>
    <row r="588" spans="1:7" x14ac:dyDescent="0.2">
      <c r="A588" s="2" t="s">
        <v>847</v>
      </c>
      <c r="B588" s="2" t="s">
        <v>876</v>
      </c>
      <c r="C588" s="2" t="s">
        <v>875</v>
      </c>
      <c r="D588" s="2" t="s">
        <v>56</v>
      </c>
      <c r="E588" s="2" t="s">
        <v>52</v>
      </c>
      <c r="F588" s="2">
        <v>2</v>
      </c>
      <c r="G588" s="2" t="s">
        <v>12</v>
      </c>
    </row>
    <row r="589" spans="1:7" x14ac:dyDescent="0.2">
      <c r="A589" s="2" t="s">
        <v>847</v>
      </c>
      <c r="B589" s="2" t="s">
        <v>877</v>
      </c>
      <c r="C589" s="2" t="s">
        <v>857</v>
      </c>
      <c r="D589" s="2" t="s">
        <v>56</v>
      </c>
      <c r="E589" s="2" t="s">
        <v>52</v>
      </c>
      <c r="F589" s="2">
        <v>2</v>
      </c>
      <c r="G589" s="2" t="s">
        <v>17</v>
      </c>
    </row>
    <row r="590" spans="1:7" x14ac:dyDescent="0.2">
      <c r="A590" s="2" t="s">
        <v>847</v>
      </c>
      <c r="B590" s="2" t="s">
        <v>878</v>
      </c>
      <c r="C590" s="2" t="s">
        <v>857</v>
      </c>
      <c r="D590" s="2" t="s">
        <v>56</v>
      </c>
      <c r="E590" s="2" t="s">
        <v>52</v>
      </c>
      <c r="F590" s="2">
        <v>2</v>
      </c>
      <c r="G590" s="2" t="s">
        <v>17</v>
      </c>
    </row>
    <row r="591" spans="1:7" x14ac:dyDescent="0.2">
      <c r="A591" s="2" t="s">
        <v>879</v>
      </c>
      <c r="B591" s="2" t="s">
        <v>880</v>
      </c>
      <c r="C591" s="2" t="s">
        <v>881</v>
      </c>
      <c r="D591" s="2" t="s">
        <v>10</v>
      </c>
      <c r="E591" s="2" t="s">
        <v>11</v>
      </c>
      <c r="F591" s="2">
        <v>4</v>
      </c>
      <c r="G591" s="2" t="s">
        <v>12</v>
      </c>
    </row>
    <row r="592" spans="1:7" x14ac:dyDescent="0.2">
      <c r="A592" s="2" t="s">
        <v>879</v>
      </c>
      <c r="B592" s="2" t="s">
        <v>882</v>
      </c>
      <c r="C592" s="2" t="s">
        <v>883</v>
      </c>
      <c r="D592" s="2" t="s">
        <v>10</v>
      </c>
      <c r="E592" s="2" t="s">
        <v>11</v>
      </c>
      <c r="F592" s="2">
        <v>4</v>
      </c>
      <c r="G592" s="2" t="s">
        <v>12</v>
      </c>
    </row>
    <row r="593" spans="1:7" x14ac:dyDescent="0.2">
      <c r="A593" s="2" t="s">
        <v>879</v>
      </c>
      <c r="B593" s="2" t="s">
        <v>884</v>
      </c>
      <c r="C593" s="2" t="s">
        <v>885</v>
      </c>
      <c r="D593" s="2" t="s">
        <v>10</v>
      </c>
      <c r="E593" s="2" t="s">
        <v>11</v>
      </c>
      <c r="F593" s="2">
        <v>4</v>
      </c>
      <c r="G593" s="2" t="s">
        <v>12</v>
      </c>
    </row>
    <row r="594" spans="1:7" x14ac:dyDescent="0.2">
      <c r="A594" s="2" t="s">
        <v>879</v>
      </c>
      <c r="B594" s="2" t="s">
        <v>886</v>
      </c>
      <c r="C594" s="2" t="s">
        <v>887</v>
      </c>
      <c r="D594" s="2" t="s">
        <v>10</v>
      </c>
      <c r="E594" s="2" t="s">
        <v>52</v>
      </c>
      <c r="F594" s="2">
        <v>2</v>
      </c>
      <c r="G594" s="2" t="s">
        <v>12</v>
      </c>
    </row>
    <row r="595" spans="1:7" x14ac:dyDescent="0.2">
      <c r="A595" s="2" t="s">
        <v>879</v>
      </c>
      <c r="B595" s="2" t="s">
        <v>888</v>
      </c>
      <c r="C595" s="2" t="s">
        <v>887</v>
      </c>
      <c r="D595" s="2" t="s">
        <v>10</v>
      </c>
      <c r="E595" s="2" t="s">
        <v>52</v>
      </c>
      <c r="F595" s="2">
        <v>2</v>
      </c>
      <c r="G595" s="2" t="s">
        <v>12</v>
      </c>
    </row>
    <row r="596" spans="1:7" x14ac:dyDescent="0.2">
      <c r="A596" s="2" t="s">
        <v>879</v>
      </c>
      <c r="B596" s="2" t="s">
        <v>889</v>
      </c>
      <c r="C596" s="2" t="s">
        <v>881</v>
      </c>
      <c r="D596" s="2" t="s">
        <v>10</v>
      </c>
      <c r="E596" s="2" t="s">
        <v>11</v>
      </c>
      <c r="F596" s="2">
        <v>4</v>
      </c>
      <c r="G596" s="2" t="s">
        <v>12</v>
      </c>
    </row>
    <row r="597" spans="1:7" x14ac:dyDescent="0.2">
      <c r="A597" s="2" t="s">
        <v>879</v>
      </c>
      <c r="B597" s="2" t="s">
        <v>890</v>
      </c>
      <c r="C597" s="2" t="s">
        <v>883</v>
      </c>
      <c r="D597" s="2" t="s">
        <v>10</v>
      </c>
      <c r="E597" s="2" t="s">
        <v>11</v>
      </c>
      <c r="F597" s="2">
        <v>4</v>
      </c>
      <c r="G597" s="2" t="s">
        <v>12</v>
      </c>
    </row>
    <row r="598" spans="1:7" x14ac:dyDescent="0.2">
      <c r="A598" s="2" t="s">
        <v>879</v>
      </c>
      <c r="B598" s="2" t="s">
        <v>891</v>
      </c>
      <c r="C598" s="2" t="s">
        <v>885</v>
      </c>
      <c r="D598" s="2" t="s">
        <v>10</v>
      </c>
      <c r="E598" s="2" t="s">
        <v>11</v>
      </c>
      <c r="F598" s="2">
        <v>4</v>
      </c>
      <c r="G598" s="2" t="s">
        <v>12</v>
      </c>
    </row>
    <row r="599" spans="1:7" x14ac:dyDescent="0.2">
      <c r="A599" s="2" t="s">
        <v>892</v>
      </c>
      <c r="B599" s="2" t="s">
        <v>893</v>
      </c>
      <c r="C599" s="2" t="s">
        <v>894</v>
      </c>
      <c r="D599" s="2" t="s">
        <v>10</v>
      </c>
      <c r="E599" s="2" t="s">
        <v>16</v>
      </c>
      <c r="F599" s="2">
        <v>1</v>
      </c>
      <c r="G599" s="2" t="s">
        <v>17</v>
      </c>
    </row>
    <row r="600" spans="1:7" x14ac:dyDescent="0.2">
      <c r="A600" s="2" t="s">
        <v>895</v>
      </c>
      <c r="B600" s="2" t="s">
        <v>896</v>
      </c>
      <c r="C600" s="2" t="s">
        <v>693</v>
      </c>
      <c r="D600" s="2" t="s">
        <v>10</v>
      </c>
      <c r="E600" s="2" t="s">
        <v>16</v>
      </c>
      <c r="F600" s="2">
        <v>2</v>
      </c>
      <c r="G600" s="2" t="s">
        <v>17</v>
      </c>
    </row>
    <row r="601" spans="1:7" x14ac:dyDescent="0.2">
      <c r="A601" s="2" t="s">
        <v>895</v>
      </c>
      <c r="B601" s="2" t="s">
        <v>897</v>
      </c>
      <c r="C601" s="2" t="s">
        <v>898</v>
      </c>
      <c r="D601" s="2" t="s">
        <v>10</v>
      </c>
      <c r="E601" s="2" t="s">
        <v>16</v>
      </c>
      <c r="F601" s="2">
        <v>1</v>
      </c>
      <c r="G601" s="2" t="s">
        <v>17</v>
      </c>
    </row>
    <row r="602" spans="1:7" x14ac:dyDescent="0.2">
      <c r="A602" s="2" t="s">
        <v>895</v>
      </c>
      <c r="B602" s="2" t="s">
        <v>899</v>
      </c>
      <c r="C602" s="2" t="s">
        <v>900</v>
      </c>
      <c r="D602" s="2" t="s">
        <v>10</v>
      </c>
      <c r="E602" s="2" t="s">
        <v>16</v>
      </c>
      <c r="F602" s="2">
        <v>1</v>
      </c>
      <c r="G602" s="2" t="s">
        <v>17</v>
      </c>
    </row>
    <row r="603" spans="1:7" x14ac:dyDescent="0.2">
      <c r="A603" s="2" t="s">
        <v>895</v>
      </c>
      <c r="B603" s="2" t="s">
        <v>901</v>
      </c>
      <c r="C603" s="2" t="s">
        <v>900</v>
      </c>
      <c r="D603" s="2" t="s">
        <v>10</v>
      </c>
      <c r="E603" s="2" t="s">
        <v>16</v>
      </c>
      <c r="F603" s="2">
        <v>1</v>
      </c>
      <c r="G603" s="2" t="s">
        <v>17</v>
      </c>
    </row>
    <row r="604" spans="1:7" x14ac:dyDescent="0.2">
      <c r="A604" s="2" t="s">
        <v>895</v>
      </c>
      <c r="B604" s="2" t="s">
        <v>902</v>
      </c>
      <c r="C604" s="2" t="s">
        <v>903</v>
      </c>
      <c r="D604" s="2" t="s">
        <v>10</v>
      </c>
      <c r="E604" s="2" t="s">
        <v>16</v>
      </c>
      <c r="F604" s="2">
        <v>1</v>
      </c>
      <c r="G604" s="2" t="s">
        <v>17</v>
      </c>
    </row>
    <row r="605" spans="1:7" x14ac:dyDescent="0.2">
      <c r="A605" s="2" t="s">
        <v>895</v>
      </c>
      <c r="B605" s="2" t="s">
        <v>904</v>
      </c>
      <c r="C605" s="2" t="s">
        <v>900</v>
      </c>
      <c r="D605" s="2" t="s">
        <v>10</v>
      </c>
      <c r="E605" s="2" t="s">
        <v>16</v>
      </c>
      <c r="F605" s="2">
        <v>1</v>
      </c>
      <c r="G605" s="2" t="s">
        <v>17</v>
      </c>
    </row>
    <row r="606" spans="1:7" x14ac:dyDescent="0.2">
      <c r="A606" s="2" t="s">
        <v>895</v>
      </c>
      <c r="B606" s="2" t="s">
        <v>905</v>
      </c>
      <c r="C606" s="2" t="s">
        <v>900</v>
      </c>
      <c r="D606" s="2" t="s">
        <v>10</v>
      </c>
      <c r="E606" s="2" t="s">
        <v>16</v>
      </c>
      <c r="F606" s="2">
        <v>1</v>
      </c>
      <c r="G606" s="2" t="s">
        <v>17</v>
      </c>
    </row>
    <row r="607" spans="1:7" x14ac:dyDescent="0.2">
      <c r="A607" s="2" t="s">
        <v>895</v>
      </c>
      <c r="B607" s="2" t="s">
        <v>906</v>
      </c>
      <c r="C607" s="2" t="s">
        <v>907</v>
      </c>
      <c r="D607" s="2" t="s">
        <v>10</v>
      </c>
      <c r="E607" s="2" t="s">
        <v>16</v>
      </c>
      <c r="F607" s="2">
        <v>1</v>
      </c>
      <c r="G607" s="2" t="s">
        <v>17</v>
      </c>
    </row>
    <row r="608" spans="1:7" x14ac:dyDescent="0.2">
      <c r="A608" s="2" t="s">
        <v>895</v>
      </c>
      <c r="B608" s="2" t="s">
        <v>908</v>
      </c>
      <c r="C608" s="2" t="s">
        <v>907</v>
      </c>
      <c r="D608" s="2" t="s">
        <v>10</v>
      </c>
      <c r="E608" s="2" t="s">
        <v>16</v>
      </c>
      <c r="F608" s="2">
        <v>1</v>
      </c>
      <c r="G608" s="2" t="s">
        <v>17</v>
      </c>
    </row>
    <row r="609" spans="1:7" x14ac:dyDescent="0.2">
      <c r="A609" s="2" t="s">
        <v>895</v>
      </c>
      <c r="B609" s="2" t="s">
        <v>909</v>
      </c>
      <c r="C609" s="2" t="s">
        <v>903</v>
      </c>
      <c r="D609" s="2" t="s">
        <v>10</v>
      </c>
      <c r="E609" s="2" t="s">
        <v>16</v>
      </c>
      <c r="F609" s="2">
        <v>1</v>
      </c>
      <c r="G609" s="2" t="s">
        <v>17</v>
      </c>
    </row>
    <row r="610" spans="1:7" x14ac:dyDescent="0.2">
      <c r="A610" s="2" t="s">
        <v>895</v>
      </c>
      <c r="B610" s="2" t="s">
        <v>910</v>
      </c>
      <c r="C610" s="2" t="s">
        <v>900</v>
      </c>
      <c r="D610" s="2" t="s">
        <v>10</v>
      </c>
      <c r="E610" s="2" t="s">
        <v>16</v>
      </c>
      <c r="F610" s="2">
        <v>1</v>
      </c>
      <c r="G610" s="2" t="s">
        <v>17</v>
      </c>
    </row>
    <row r="611" spans="1:7" x14ac:dyDescent="0.2">
      <c r="A611" s="2" t="s">
        <v>895</v>
      </c>
      <c r="B611" s="2" t="s">
        <v>911</v>
      </c>
      <c r="C611" s="2" t="s">
        <v>903</v>
      </c>
      <c r="D611" s="2" t="s">
        <v>10</v>
      </c>
      <c r="E611" s="2" t="s">
        <v>16</v>
      </c>
      <c r="F611" s="2">
        <v>1</v>
      </c>
      <c r="G611" s="2" t="s">
        <v>17</v>
      </c>
    </row>
    <row r="612" spans="1:7" x14ac:dyDescent="0.2">
      <c r="A612" s="2" t="s">
        <v>895</v>
      </c>
      <c r="B612" s="2" t="s">
        <v>912</v>
      </c>
      <c r="C612" s="2" t="s">
        <v>913</v>
      </c>
      <c r="D612" s="2" t="s">
        <v>10</v>
      </c>
      <c r="E612" s="2" t="s">
        <v>16</v>
      </c>
      <c r="F612" s="2">
        <v>1</v>
      </c>
      <c r="G612" s="2" t="s">
        <v>17</v>
      </c>
    </row>
    <row r="613" spans="1:7" x14ac:dyDescent="0.2">
      <c r="A613" s="2" t="s">
        <v>895</v>
      </c>
      <c r="B613" s="2" t="s">
        <v>914</v>
      </c>
      <c r="C613" s="2" t="s">
        <v>900</v>
      </c>
      <c r="D613" s="2" t="s">
        <v>10</v>
      </c>
      <c r="E613" s="2" t="s">
        <v>16</v>
      </c>
      <c r="F613" s="2">
        <v>1</v>
      </c>
      <c r="G613" s="2" t="s">
        <v>17</v>
      </c>
    </row>
    <row r="614" spans="1:7" x14ac:dyDescent="0.2">
      <c r="A614" s="2" t="s">
        <v>895</v>
      </c>
      <c r="B614" s="2" t="s">
        <v>915</v>
      </c>
      <c r="C614" s="2" t="s">
        <v>916</v>
      </c>
      <c r="D614" s="2" t="s">
        <v>10</v>
      </c>
      <c r="E614" s="2" t="s">
        <v>52</v>
      </c>
      <c r="F614" s="2">
        <v>2</v>
      </c>
      <c r="G614" s="2" t="s">
        <v>17</v>
      </c>
    </row>
    <row r="615" spans="1:7" x14ac:dyDescent="0.2">
      <c r="A615" s="2" t="s">
        <v>895</v>
      </c>
      <c r="B615" s="2" t="s">
        <v>917</v>
      </c>
      <c r="C615" s="2" t="s">
        <v>916</v>
      </c>
      <c r="D615" s="2" t="s">
        <v>10</v>
      </c>
      <c r="E615" s="2" t="s">
        <v>52</v>
      </c>
      <c r="F615" s="2">
        <v>2</v>
      </c>
      <c r="G615" s="2" t="s">
        <v>17</v>
      </c>
    </row>
    <row r="616" spans="1:7" x14ac:dyDescent="0.2">
      <c r="A616" s="2" t="s">
        <v>895</v>
      </c>
      <c r="B616" s="2" t="s">
        <v>918</v>
      </c>
      <c r="C616" s="2" t="s">
        <v>919</v>
      </c>
      <c r="D616" s="2" t="s">
        <v>10</v>
      </c>
      <c r="E616" s="2" t="s">
        <v>52</v>
      </c>
      <c r="F616" s="2">
        <v>2</v>
      </c>
      <c r="G616" s="2" t="s">
        <v>17</v>
      </c>
    </row>
    <row r="617" spans="1:7" x14ac:dyDescent="0.2">
      <c r="A617" s="2" t="s">
        <v>895</v>
      </c>
      <c r="B617" s="2" t="s">
        <v>920</v>
      </c>
      <c r="C617" s="2" t="s">
        <v>921</v>
      </c>
      <c r="D617" s="2" t="s">
        <v>10</v>
      </c>
      <c r="E617" s="2" t="s">
        <v>16</v>
      </c>
      <c r="F617" s="2">
        <v>2</v>
      </c>
      <c r="G617" s="2" t="s">
        <v>17</v>
      </c>
    </row>
    <row r="618" spans="1:7" x14ac:dyDescent="0.2">
      <c r="A618" s="2" t="s">
        <v>895</v>
      </c>
      <c r="B618" s="2" t="s">
        <v>922</v>
      </c>
      <c r="C618" s="2" t="s">
        <v>903</v>
      </c>
      <c r="D618" s="2" t="s">
        <v>10</v>
      </c>
      <c r="E618" s="2" t="s">
        <v>16</v>
      </c>
      <c r="F618" s="2">
        <v>1</v>
      </c>
      <c r="G618" s="2" t="s">
        <v>17</v>
      </c>
    </row>
    <row r="619" spans="1:7" x14ac:dyDescent="0.2">
      <c r="A619" s="2" t="s">
        <v>895</v>
      </c>
      <c r="B619" s="2" t="s">
        <v>923</v>
      </c>
      <c r="C619" s="2" t="s">
        <v>924</v>
      </c>
      <c r="D619" s="2" t="s">
        <v>10</v>
      </c>
      <c r="E619" s="2" t="s">
        <v>16</v>
      </c>
      <c r="F619" s="2">
        <v>1</v>
      </c>
      <c r="G619" s="2" t="s">
        <v>17</v>
      </c>
    </row>
    <row r="620" spans="1:7" x14ac:dyDescent="0.2">
      <c r="A620" s="2" t="s">
        <v>895</v>
      </c>
      <c r="B620" s="2" t="s">
        <v>925</v>
      </c>
      <c r="C620" s="2" t="s">
        <v>921</v>
      </c>
      <c r="D620" s="2" t="s">
        <v>10</v>
      </c>
      <c r="E620" s="2" t="s">
        <v>16</v>
      </c>
      <c r="F620" s="2">
        <v>2</v>
      </c>
      <c r="G620" s="2" t="s">
        <v>17</v>
      </c>
    </row>
    <row r="621" spans="1:7" x14ac:dyDescent="0.2">
      <c r="A621" s="2" t="s">
        <v>895</v>
      </c>
      <c r="B621" s="2" t="s">
        <v>926</v>
      </c>
      <c r="C621" s="2" t="s">
        <v>921</v>
      </c>
      <c r="D621" s="2" t="s">
        <v>10</v>
      </c>
      <c r="E621" s="2" t="s">
        <v>16</v>
      </c>
      <c r="F621" s="2">
        <v>2</v>
      </c>
      <c r="G621" s="2" t="s">
        <v>17</v>
      </c>
    </row>
    <row r="622" spans="1:7" x14ac:dyDescent="0.2">
      <c r="A622" s="2" t="s">
        <v>895</v>
      </c>
      <c r="B622" s="2" t="s">
        <v>927</v>
      </c>
      <c r="C622" s="2" t="s">
        <v>921</v>
      </c>
      <c r="D622" s="2" t="s">
        <v>10</v>
      </c>
      <c r="E622" s="2" t="s">
        <v>16</v>
      </c>
      <c r="F622" s="2">
        <v>2</v>
      </c>
      <c r="G622" s="2" t="s">
        <v>17</v>
      </c>
    </row>
    <row r="623" spans="1:7" x14ac:dyDescent="0.2">
      <c r="A623" s="2" t="s">
        <v>895</v>
      </c>
      <c r="B623" s="2" t="s">
        <v>928</v>
      </c>
      <c r="C623" s="2" t="s">
        <v>900</v>
      </c>
      <c r="D623" s="2" t="s">
        <v>10</v>
      </c>
      <c r="E623" s="2" t="s">
        <v>16</v>
      </c>
      <c r="F623" s="2">
        <v>1</v>
      </c>
      <c r="G623" s="2" t="s">
        <v>17</v>
      </c>
    </row>
    <row r="624" spans="1:7" x14ac:dyDescent="0.2">
      <c r="A624" s="2" t="s">
        <v>895</v>
      </c>
      <c r="B624" s="2" t="s">
        <v>929</v>
      </c>
      <c r="C624" s="2" t="s">
        <v>900</v>
      </c>
      <c r="D624" s="2" t="s">
        <v>10</v>
      </c>
      <c r="E624" s="2" t="s">
        <v>16</v>
      </c>
      <c r="F624" s="2">
        <v>1</v>
      </c>
      <c r="G624" s="2" t="s">
        <v>17</v>
      </c>
    </row>
    <row r="625" spans="1:7" x14ac:dyDescent="0.2">
      <c r="A625" s="2" t="s">
        <v>895</v>
      </c>
      <c r="B625" s="2" t="s">
        <v>930</v>
      </c>
      <c r="C625" s="2" t="s">
        <v>900</v>
      </c>
      <c r="D625" s="2" t="s">
        <v>10</v>
      </c>
      <c r="E625" s="2" t="s">
        <v>16</v>
      </c>
      <c r="F625" s="2">
        <v>1</v>
      </c>
      <c r="G625" s="2" t="s">
        <v>17</v>
      </c>
    </row>
    <row r="626" spans="1:7" x14ac:dyDescent="0.2">
      <c r="A626" s="2" t="s">
        <v>895</v>
      </c>
      <c r="B626" s="2" t="s">
        <v>931</v>
      </c>
      <c r="C626" s="2" t="s">
        <v>900</v>
      </c>
      <c r="D626" s="2" t="s">
        <v>10</v>
      </c>
      <c r="E626" s="2" t="s">
        <v>16</v>
      </c>
      <c r="F626" s="2">
        <v>1</v>
      </c>
      <c r="G626" s="2" t="s">
        <v>17</v>
      </c>
    </row>
    <row r="627" spans="1:7" x14ac:dyDescent="0.2">
      <c r="A627" s="2" t="s">
        <v>895</v>
      </c>
      <c r="B627" s="2" t="s">
        <v>932</v>
      </c>
      <c r="C627" s="2" t="s">
        <v>900</v>
      </c>
      <c r="D627" s="2" t="s">
        <v>10</v>
      </c>
      <c r="E627" s="2" t="s">
        <v>16</v>
      </c>
      <c r="F627" s="2">
        <v>1</v>
      </c>
      <c r="G627" s="2" t="s">
        <v>17</v>
      </c>
    </row>
    <row r="628" spans="1:7" x14ac:dyDescent="0.2">
      <c r="A628" s="2" t="s">
        <v>895</v>
      </c>
      <c r="B628" s="2" t="s">
        <v>933</v>
      </c>
      <c r="C628" s="2" t="s">
        <v>900</v>
      </c>
      <c r="D628" s="2" t="s">
        <v>10</v>
      </c>
      <c r="E628" s="2" t="s">
        <v>16</v>
      </c>
      <c r="F628" s="2">
        <v>1</v>
      </c>
      <c r="G628" s="2" t="s">
        <v>17</v>
      </c>
    </row>
    <row r="629" spans="1:7" x14ac:dyDescent="0.2">
      <c r="A629" s="2" t="s">
        <v>895</v>
      </c>
      <c r="B629" s="2" t="s">
        <v>934</v>
      </c>
      <c r="C629" s="2" t="s">
        <v>900</v>
      </c>
      <c r="D629" s="2" t="s">
        <v>10</v>
      </c>
      <c r="E629" s="2" t="s">
        <v>16</v>
      </c>
      <c r="F629" s="2">
        <v>1</v>
      </c>
      <c r="G629" s="2" t="s">
        <v>17</v>
      </c>
    </row>
    <row r="630" spans="1:7" x14ac:dyDescent="0.2">
      <c r="A630" s="2" t="s">
        <v>895</v>
      </c>
      <c r="B630" s="2" t="s">
        <v>935</v>
      </c>
      <c r="C630" s="2" t="s">
        <v>900</v>
      </c>
      <c r="D630" s="2" t="s">
        <v>10</v>
      </c>
      <c r="E630" s="2" t="s">
        <v>16</v>
      </c>
      <c r="F630" s="2">
        <v>1</v>
      </c>
      <c r="G630" s="2" t="s">
        <v>17</v>
      </c>
    </row>
    <row r="631" spans="1:7" x14ac:dyDescent="0.2">
      <c r="A631" s="2" t="s">
        <v>895</v>
      </c>
      <c r="B631" s="2" t="s">
        <v>936</v>
      </c>
      <c r="C631" s="2" t="s">
        <v>903</v>
      </c>
      <c r="D631" s="2" t="s">
        <v>10</v>
      </c>
      <c r="E631" s="2" t="s">
        <v>16</v>
      </c>
      <c r="F631" s="2">
        <v>1</v>
      </c>
      <c r="G631" s="2" t="s">
        <v>17</v>
      </c>
    </row>
    <row r="632" spans="1:7" x14ac:dyDescent="0.2">
      <c r="A632" s="2" t="s">
        <v>895</v>
      </c>
      <c r="B632" s="2" t="s">
        <v>937</v>
      </c>
      <c r="C632" s="2" t="s">
        <v>903</v>
      </c>
      <c r="D632" s="2" t="s">
        <v>10</v>
      </c>
      <c r="E632" s="2" t="s">
        <v>16</v>
      </c>
      <c r="F632" s="2">
        <v>1</v>
      </c>
      <c r="G632" s="2" t="s">
        <v>17</v>
      </c>
    </row>
    <row r="633" spans="1:7" x14ac:dyDescent="0.2">
      <c r="A633" s="2" t="s">
        <v>895</v>
      </c>
      <c r="B633" s="2" t="s">
        <v>938</v>
      </c>
      <c r="C633" s="2" t="s">
        <v>903</v>
      </c>
      <c r="D633" s="2" t="s">
        <v>10</v>
      </c>
      <c r="E633" s="2" t="s">
        <v>16</v>
      </c>
      <c r="F633" s="2">
        <v>1</v>
      </c>
      <c r="G633" s="2" t="s">
        <v>17</v>
      </c>
    </row>
    <row r="634" spans="1:7" x14ac:dyDescent="0.2">
      <c r="A634" s="2" t="s">
        <v>895</v>
      </c>
      <c r="B634" s="2" t="s">
        <v>939</v>
      </c>
      <c r="C634" s="2" t="s">
        <v>903</v>
      </c>
      <c r="D634" s="2" t="s">
        <v>10</v>
      </c>
      <c r="E634" s="2" t="s">
        <v>16</v>
      </c>
      <c r="F634" s="2">
        <v>1</v>
      </c>
      <c r="G634" s="2" t="s">
        <v>17</v>
      </c>
    </row>
    <row r="635" spans="1:7" x14ac:dyDescent="0.2">
      <c r="A635" s="2" t="s">
        <v>895</v>
      </c>
      <c r="B635" s="2" t="s">
        <v>940</v>
      </c>
      <c r="C635" s="2" t="s">
        <v>903</v>
      </c>
      <c r="D635" s="2" t="s">
        <v>10</v>
      </c>
      <c r="E635" s="2" t="s">
        <v>16</v>
      </c>
      <c r="F635" s="2">
        <v>1</v>
      </c>
      <c r="G635" s="2" t="s">
        <v>17</v>
      </c>
    </row>
    <row r="636" spans="1:7" x14ac:dyDescent="0.2">
      <c r="A636" s="2" t="s">
        <v>895</v>
      </c>
      <c r="B636" s="2" t="s">
        <v>941</v>
      </c>
      <c r="C636" s="2" t="s">
        <v>907</v>
      </c>
      <c r="D636" s="2" t="s">
        <v>10</v>
      </c>
      <c r="E636" s="2" t="s">
        <v>16</v>
      </c>
      <c r="F636" s="2">
        <v>1</v>
      </c>
      <c r="G636" s="2" t="s">
        <v>17</v>
      </c>
    </row>
    <row r="637" spans="1:7" x14ac:dyDescent="0.2">
      <c r="A637" s="2" t="s">
        <v>895</v>
      </c>
      <c r="B637" s="2" t="s">
        <v>942</v>
      </c>
      <c r="C637" s="2" t="s">
        <v>907</v>
      </c>
      <c r="D637" s="2" t="s">
        <v>10</v>
      </c>
      <c r="E637" s="2" t="s">
        <v>16</v>
      </c>
      <c r="F637" s="2">
        <v>1</v>
      </c>
      <c r="G637" s="2" t="s">
        <v>17</v>
      </c>
    </row>
    <row r="638" spans="1:7" x14ac:dyDescent="0.2">
      <c r="A638" s="2" t="s">
        <v>895</v>
      </c>
      <c r="B638" s="2" t="s">
        <v>943</v>
      </c>
      <c r="C638" s="2" t="s">
        <v>944</v>
      </c>
      <c r="D638" s="2" t="s">
        <v>10</v>
      </c>
      <c r="E638" s="2" t="s">
        <v>16</v>
      </c>
      <c r="F638" s="2">
        <v>2</v>
      </c>
      <c r="G638" s="2" t="s">
        <v>17</v>
      </c>
    </row>
    <row r="639" spans="1:7" x14ac:dyDescent="0.2">
      <c r="A639" s="2" t="s">
        <v>895</v>
      </c>
      <c r="B639" s="2" t="s">
        <v>945</v>
      </c>
      <c r="C639" s="2" t="s">
        <v>921</v>
      </c>
      <c r="D639" s="2" t="s">
        <v>10</v>
      </c>
      <c r="E639" s="2" t="s">
        <v>16</v>
      </c>
      <c r="F639" s="2">
        <v>2</v>
      </c>
      <c r="G639" s="2" t="s">
        <v>17</v>
      </c>
    </row>
    <row r="640" spans="1:7" x14ac:dyDescent="0.2">
      <c r="A640" s="2" t="s">
        <v>895</v>
      </c>
      <c r="B640" s="2" t="s">
        <v>946</v>
      </c>
      <c r="C640" s="2" t="s">
        <v>921</v>
      </c>
      <c r="D640" s="2" t="s">
        <v>10</v>
      </c>
      <c r="E640" s="2" t="s">
        <v>16</v>
      </c>
      <c r="F640" s="2">
        <v>2</v>
      </c>
      <c r="G640" s="2" t="s">
        <v>17</v>
      </c>
    </row>
    <row r="641" spans="1:7" x14ac:dyDescent="0.2">
      <c r="A641" s="2" t="s">
        <v>895</v>
      </c>
      <c r="B641" s="2" t="s">
        <v>947</v>
      </c>
      <c r="C641" s="2" t="s">
        <v>921</v>
      </c>
      <c r="D641" s="2" t="s">
        <v>10</v>
      </c>
      <c r="E641" s="2" t="s">
        <v>16</v>
      </c>
      <c r="F641" s="2">
        <v>2</v>
      </c>
      <c r="G641" s="2" t="s">
        <v>17</v>
      </c>
    </row>
    <row r="642" spans="1:7" x14ac:dyDescent="0.2">
      <c r="A642" s="2" t="s">
        <v>895</v>
      </c>
      <c r="B642" s="2" t="s">
        <v>948</v>
      </c>
      <c r="C642" s="2" t="s">
        <v>921</v>
      </c>
      <c r="D642" s="2" t="s">
        <v>10</v>
      </c>
      <c r="E642" s="2" t="s">
        <v>16</v>
      </c>
      <c r="F642" s="2">
        <v>2</v>
      </c>
      <c r="G642" s="2" t="s">
        <v>17</v>
      </c>
    </row>
    <row r="643" spans="1:7" x14ac:dyDescent="0.2">
      <c r="A643" s="2" t="s">
        <v>895</v>
      </c>
      <c r="B643" s="2" t="s">
        <v>949</v>
      </c>
      <c r="C643" s="2" t="s">
        <v>916</v>
      </c>
      <c r="D643" s="2" t="s">
        <v>10</v>
      </c>
      <c r="E643" s="2" t="s">
        <v>52</v>
      </c>
      <c r="F643" s="2">
        <v>2</v>
      </c>
      <c r="G643" s="2" t="s">
        <v>17</v>
      </c>
    </row>
    <row r="644" spans="1:7" x14ac:dyDescent="0.2">
      <c r="A644" s="2" t="s">
        <v>895</v>
      </c>
      <c r="B644" s="2" t="s">
        <v>950</v>
      </c>
      <c r="C644" s="2" t="s">
        <v>916</v>
      </c>
      <c r="D644" s="2" t="s">
        <v>10</v>
      </c>
      <c r="E644" s="2" t="s">
        <v>52</v>
      </c>
      <c r="F644" s="2">
        <v>2</v>
      </c>
      <c r="G644" s="2" t="s">
        <v>17</v>
      </c>
    </row>
    <row r="645" spans="1:7" x14ac:dyDescent="0.2">
      <c r="A645" s="2" t="s">
        <v>895</v>
      </c>
      <c r="B645" s="2" t="s">
        <v>951</v>
      </c>
      <c r="C645" s="2" t="s">
        <v>913</v>
      </c>
      <c r="D645" s="2" t="s">
        <v>10</v>
      </c>
      <c r="E645" s="2" t="s">
        <v>16</v>
      </c>
      <c r="F645" s="2">
        <v>1</v>
      </c>
      <c r="G645" s="2" t="s">
        <v>17</v>
      </c>
    </row>
    <row r="646" spans="1:7" x14ac:dyDescent="0.2">
      <c r="A646" s="2" t="s">
        <v>895</v>
      </c>
      <c r="B646" s="2" t="s">
        <v>952</v>
      </c>
      <c r="C646" s="2" t="s">
        <v>913</v>
      </c>
      <c r="D646" s="2" t="s">
        <v>10</v>
      </c>
      <c r="E646" s="2" t="s">
        <v>16</v>
      </c>
      <c r="F646" s="2">
        <v>1</v>
      </c>
      <c r="G646" s="2" t="s">
        <v>17</v>
      </c>
    </row>
    <row r="647" spans="1:7" x14ac:dyDescent="0.2">
      <c r="A647" s="2" t="s">
        <v>895</v>
      </c>
      <c r="B647" s="2" t="s">
        <v>953</v>
      </c>
      <c r="C647" s="2" t="s">
        <v>913</v>
      </c>
      <c r="D647" s="2" t="s">
        <v>10</v>
      </c>
      <c r="E647" s="2" t="s">
        <v>16</v>
      </c>
      <c r="F647" s="2">
        <v>1</v>
      </c>
      <c r="G647" s="2" t="s">
        <v>17</v>
      </c>
    </row>
    <row r="648" spans="1:7" x14ac:dyDescent="0.2">
      <c r="A648" s="2" t="s">
        <v>895</v>
      </c>
      <c r="B648" s="2" t="s">
        <v>954</v>
      </c>
      <c r="C648" s="2" t="s">
        <v>913</v>
      </c>
      <c r="D648" s="2" t="s">
        <v>10</v>
      </c>
      <c r="E648" s="2" t="s">
        <v>16</v>
      </c>
      <c r="F648" s="2">
        <v>1</v>
      </c>
      <c r="G648" s="2" t="s">
        <v>17</v>
      </c>
    </row>
    <row r="649" spans="1:7" x14ac:dyDescent="0.2">
      <c r="A649" s="2" t="s">
        <v>895</v>
      </c>
      <c r="B649" s="2" t="s">
        <v>955</v>
      </c>
      <c r="C649" s="2" t="s">
        <v>924</v>
      </c>
      <c r="D649" s="2" t="s">
        <v>10</v>
      </c>
      <c r="E649" s="2" t="s">
        <v>16</v>
      </c>
      <c r="F649" s="2">
        <v>1</v>
      </c>
      <c r="G649" s="2" t="s">
        <v>17</v>
      </c>
    </row>
    <row r="650" spans="1:7" x14ac:dyDescent="0.2">
      <c r="A650" s="2" t="s">
        <v>895</v>
      </c>
      <c r="B650" s="2" t="s">
        <v>956</v>
      </c>
      <c r="C650" s="2" t="s">
        <v>924</v>
      </c>
      <c r="D650" s="2" t="s">
        <v>10</v>
      </c>
      <c r="E650" s="2" t="s">
        <v>16</v>
      </c>
      <c r="F650" s="2">
        <v>1</v>
      </c>
      <c r="G650" s="2" t="s">
        <v>17</v>
      </c>
    </row>
    <row r="651" spans="1:7" x14ac:dyDescent="0.2">
      <c r="A651" s="2" t="s">
        <v>895</v>
      </c>
      <c r="B651" s="2" t="s">
        <v>957</v>
      </c>
      <c r="C651" s="2" t="s">
        <v>958</v>
      </c>
      <c r="D651" s="2" t="s">
        <v>10</v>
      </c>
      <c r="E651" s="2" t="s">
        <v>16</v>
      </c>
      <c r="F651" s="2">
        <v>1</v>
      </c>
      <c r="G651" s="2" t="s">
        <v>17</v>
      </c>
    </row>
    <row r="652" spans="1:7" x14ac:dyDescent="0.2">
      <c r="A652" s="2" t="s">
        <v>895</v>
      </c>
      <c r="B652" s="2" t="s">
        <v>959</v>
      </c>
      <c r="C652" s="2" t="s">
        <v>960</v>
      </c>
      <c r="D652" s="2" t="s">
        <v>10</v>
      </c>
      <c r="E652" s="2" t="s">
        <v>16</v>
      </c>
      <c r="F652" s="2">
        <v>2</v>
      </c>
      <c r="G652" s="2" t="s">
        <v>17</v>
      </c>
    </row>
    <row r="653" spans="1:7" x14ac:dyDescent="0.2">
      <c r="A653" s="2" t="s">
        <v>895</v>
      </c>
      <c r="B653" s="2" t="s">
        <v>961</v>
      </c>
      <c r="C653" s="2" t="s">
        <v>962</v>
      </c>
      <c r="D653" s="2" t="s">
        <v>10</v>
      </c>
      <c r="E653" s="2" t="s">
        <v>16</v>
      </c>
      <c r="F653" s="2">
        <v>1</v>
      </c>
      <c r="G653" s="2" t="s">
        <v>17</v>
      </c>
    </row>
    <row r="654" spans="1:7" x14ac:dyDescent="0.2">
      <c r="A654" s="2" t="s">
        <v>895</v>
      </c>
      <c r="B654" s="2" t="s">
        <v>963</v>
      </c>
      <c r="C654" s="2" t="s">
        <v>964</v>
      </c>
      <c r="D654" s="2" t="s">
        <v>10</v>
      </c>
      <c r="E654" s="2" t="s">
        <v>16</v>
      </c>
      <c r="F654" s="2">
        <v>1</v>
      </c>
      <c r="G654" s="2" t="s">
        <v>17</v>
      </c>
    </row>
    <row r="655" spans="1:7" x14ac:dyDescent="0.2">
      <c r="A655" s="2" t="s">
        <v>895</v>
      </c>
      <c r="B655" s="2" t="s">
        <v>965</v>
      </c>
      <c r="C655" s="2" t="s">
        <v>919</v>
      </c>
      <c r="D655" s="2" t="s">
        <v>10</v>
      </c>
      <c r="E655" s="2" t="s">
        <v>52</v>
      </c>
      <c r="F655" s="2">
        <v>2</v>
      </c>
      <c r="G655" s="2" t="s">
        <v>17</v>
      </c>
    </row>
    <row r="656" spans="1:7" x14ac:dyDescent="0.2">
      <c r="A656" s="2" t="s">
        <v>895</v>
      </c>
      <c r="B656" s="2" t="s">
        <v>966</v>
      </c>
      <c r="C656" s="2" t="s">
        <v>967</v>
      </c>
      <c r="D656" s="2" t="s">
        <v>10</v>
      </c>
      <c r="E656" s="2" t="s">
        <v>16</v>
      </c>
      <c r="F656" s="2">
        <v>2</v>
      </c>
      <c r="G656" s="2" t="s">
        <v>17</v>
      </c>
    </row>
    <row r="657" spans="1:7" x14ac:dyDescent="0.2">
      <c r="A657" s="2" t="s">
        <v>895</v>
      </c>
      <c r="B657" s="2" t="s">
        <v>968</v>
      </c>
      <c r="C657" s="2" t="s">
        <v>962</v>
      </c>
      <c r="D657" s="2" t="s">
        <v>10</v>
      </c>
      <c r="E657" s="2" t="s">
        <v>16</v>
      </c>
      <c r="F657" s="2">
        <v>1</v>
      </c>
      <c r="G657" s="2" t="s">
        <v>17</v>
      </c>
    </row>
    <row r="658" spans="1:7" x14ac:dyDescent="0.2">
      <c r="A658" s="2" t="s">
        <v>895</v>
      </c>
      <c r="B658" s="2" t="s">
        <v>969</v>
      </c>
      <c r="C658" s="2" t="s">
        <v>913</v>
      </c>
      <c r="D658" s="2" t="s">
        <v>10</v>
      </c>
      <c r="E658" s="2" t="s">
        <v>16</v>
      </c>
      <c r="F658" s="2">
        <v>1</v>
      </c>
      <c r="G658" s="2" t="s">
        <v>17</v>
      </c>
    </row>
    <row r="659" spans="1:7" x14ac:dyDescent="0.2">
      <c r="A659" s="2" t="s">
        <v>895</v>
      </c>
      <c r="B659" s="2" t="s">
        <v>970</v>
      </c>
      <c r="C659" s="2" t="s">
        <v>967</v>
      </c>
      <c r="D659" s="2" t="s">
        <v>10</v>
      </c>
      <c r="E659" s="2" t="s">
        <v>16</v>
      </c>
      <c r="F659" s="2">
        <v>2</v>
      </c>
      <c r="G659" s="2" t="s">
        <v>17</v>
      </c>
    </row>
    <row r="660" spans="1:7" x14ac:dyDescent="0.2">
      <c r="A660" s="2" t="s">
        <v>895</v>
      </c>
      <c r="B660" s="2" t="s">
        <v>971</v>
      </c>
      <c r="C660" s="2" t="s">
        <v>960</v>
      </c>
      <c r="D660" s="2" t="s">
        <v>10</v>
      </c>
      <c r="E660" s="2" t="s">
        <v>16</v>
      </c>
      <c r="F660" s="2">
        <v>2</v>
      </c>
      <c r="G660" s="2" t="s">
        <v>17</v>
      </c>
    </row>
    <row r="661" spans="1:7" x14ac:dyDescent="0.2">
      <c r="A661" s="2" t="s">
        <v>895</v>
      </c>
      <c r="B661" s="2" t="s">
        <v>972</v>
      </c>
      <c r="C661" s="2" t="s">
        <v>913</v>
      </c>
      <c r="D661" s="2" t="s">
        <v>10</v>
      </c>
      <c r="E661" s="2" t="s">
        <v>16</v>
      </c>
      <c r="F661" s="2">
        <v>1</v>
      </c>
      <c r="G661" s="2" t="s">
        <v>17</v>
      </c>
    </row>
    <row r="662" spans="1:7" x14ac:dyDescent="0.2">
      <c r="A662" s="2" t="s">
        <v>895</v>
      </c>
      <c r="B662" s="2" t="s">
        <v>973</v>
      </c>
      <c r="C662" s="2" t="s">
        <v>964</v>
      </c>
      <c r="D662" s="2" t="s">
        <v>10</v>
      </c>
      <c r="E662" s="2" t="s">
        <v>16</v>
      </c>
      <c r="F662" s="2">
        <v>1</v>
      </c>
      <c r="G662" s="2" t="s">
        <v>17</v>
      </c>
    </row>
    <row r="663" spans="1:7" x14ac:dyDescent="0.2">
      <c r="A663" s="2" t="s">
        <v>895</v>
      </c>
      <c r="B663" s="2" t="s">
        <v>974</v>
      </c>
      <c r="C663" s="2" t="s">
        <v>903</v>
      </c>
      <c r="D663" s="2" t="s">
        <v>10</v>
      </c>
      <c r="E663" s="2" t="s">
        <v>16</v>
      </c>
      <c r="F663" s="2">
        <v>1</v>
      </c>
      <c r="G663" s="2" t="s">
        <v>17</v>
      </c>
    </row>
    <row r="664" spans="1:7" x14ac:dyDescent="0.2">
      <c r="A664" s="2" t="s">
        <v>895</v>
      </c>
      <c r="B664" s="2" t="s">
        <v>975</v>
      </c>
      <c r="C664" s="2" t="s">
        <v>913</v>
      </c>
      <c r="D664" s="2" t="s">
        <v>10</v>
      </c>
      <c r="E664" s="2" t="s">
        <v>16</v>
      </c>
      <c r="F664" s="2">
        <v>1</v>
      </c>
      <c r="G664" s="2" t="s">
        <v>17</v>
      </c>
    </row>
    <row r="665" spans="1:7" x14ac:dyDescent="0.2">
      <c r="A665" s="2" t="s">
        <v>895</v>
      </c>
      <c r="B665" s="2" t="s">
        <v>976</v>
      </c>
      <c r="C665" s="2" t="s">
        <v>924</v>
      </c>
      <c r="D665" s="2" t="s">
        <v>10</v>
      </c>
      <c r="E665" s="2" t="s">
        <v>16</v>
      </c>
      <c r="F665" s="2">
        <v>1</v>
      </c>
      <c r="G665" s="2" t="s">
        <v>17</v>
      </c>
    </row>
    <row r="666" spans="1:7" x14ac:dyDescent="0.2">
      <c r="A666" s="2" t="s">
        <v>895</v>
      </c>
      <c r="B666" s="2" t="s">
        <v>977</v>
      </c>
      <c r="C666" s="2" t="s">
        <v>944</v>
      </c>
      <c r="D666" s="2" t="s">
        <v>10</v>
      </c>
      <c r="E666" s="2" t="s">
        <v>16</v>
      </c>
      <c r="F666" s="2">
        <v>2</v>
      </c>
      <c r="G666" s="2" t="s">
        <v>17</v>
      </c>
    </row>
    <row r="667" spans="1:7" x14ac:dyDescent="0.2">
      <c r="A667" s="2" t="s">
        <v>895</v>
      </c>
      <c r="B667" s="2" t="s">
        <v>978</v>
      </c>
      <c r="C667" s="2" t="s">
        <v>900</v>
      </c>
      <c r="D667" s="2" t="s">
        <v>10</v>
      </c>
      <c r="E667" s="2" t="s">
        <v>16</v>
      </c>
      <c r="F667" s="2">
        <v>1</v>
      </c>
      <c r="G667" s="2" t="s">
        <v>17</v>
      </c>
    </row>
    <row r="668" spans="1:7" x14ac:dyDescent="0.2">
      <c r="A668" s="2" t="s">
        <v>895</v>
      </c>
      <c r="B668" s="2" t="s">
        <v>979</v>
      </c>
      <c r="C668" s="2" t="s">
        <v>980</v>
      </c>
      <c r="D668" s="2" t="s">
        <v>10</v>
      </c>
      <c r="E668" s="2" t="s">
        <v>16</v>
      </c>
      <c r="F668" s="2">
        <v>1</v>
      </c>
      <c r="G668" s="2" t="s">
        <v>17</v>
      </c>
    </row>
    <row r="669" spans="1:7" x14ac:dyDescent="0.2">
      <c r="A669" s="2" t="s">
        <v>895</v>
      </c>
      <c r="B669" s="2" t="s">
        <v>981</v>
      </c>
      <c r="C669" s="2" t="s">
        <v>982</v>
      </c>
      <c r="D669" s="2" t="s">
        <v>10</v>
      </c>
      <c r="E669" s="2" t="s">
        <v>16</v>
      </c>
      <c r="F669" s="2">
        <v>1</v>
      </c>
      <c r="G669" s="2" t="s">
        <v>17</v>
      </c>
    </row>
    <row r="670" spans="1:7" x14ac:dyDescent="0.2">
      <c r="A670" s="2" t="s">
        <v>895</v>
      </c>
      <c r="B670" s="2" t="s">
        <v>983</v>
      </c>
      <c r="C670" s="2" t="s">
        <v>980</v>
      </c>
      <c r="D670" s="2" t="s">
        <v>10</v>
      </c>
      <c r="E670" s="2" t="s">
        <v>16</v>
      </c>
      <c r="F670" s="2">
        <v>1</v>
      </c>
      <c r="G670" s="2" t="s">
        <v>17</v>
      </c>
    </row>
    <row r="671" spans="1:7" x14ac:dyDescent="0.2">
      <c r="A671" s="2" t="s">
        <v>895</v>
      </c>
      <c r="B671" s="2" t="s">
        <v>984</v>
      </c>
      <c r="C671" s="2" t="s">
        <v>980</v>
      </c>
      <c r="D671" s="2" t="s">
        <v>10</v>
      </c>
      <c r="E671" s="2" t="s">
        <v>16</v>
      </c>
      <c r="F671" s="2">
        <v>1</v>
      </c>
      <c r="G671" s="2" t="s">
        <v>17</v>
      </c>
    </row>
    <row r="672" spans="1:7" x14ac:dyDescent="0.2">
      <c r="A672" s="2" t="s">
        <v>895</v>
      </c>
      <c r="B672" s="2" t="s">
        <v>985</v>
      </c>
      <c r="C672" s="2" t="s">
        <v>980</v>
      </c>
      <c r="D672" s="2" t="s">
        <v>10</v>
      </c>
      <c r="E672" s="2" t="s">
        <v>16</v>
      </c>
      <c r="F672" s="2">
        <v>1</v>
      </c>
      <c r="G672" s="2" t="s">
        <v>17</v>
      </c>
    </row>
    <row r="673" spans="1:7" x14ac:dyDescent="0.2">
      <c r="A673" s="2" t="s">
        <v>895</v>
      </c>
      <c r="B673" s="2" t="s">
        <v>986</v>
      </c>
      <c r="C673" s="2" t="s">
        <v>982</v>
      </c>
      <c r="D673" s="2" t="s">
        <v>10</v>
      </c>
      <c r="E673" s="2" t="s">
        <v>16</v>
      </c>
      <c r="F673" s="2">
        <v>1</v>
      </c>
      <c r="G673" s="2" t="s">
        <v>17</v>
      </c>
    </row>
    <row r="674" spans="1:7" x14ac:dyDescent="0.2">
      <c r="A674" s="2" t="s">
        <v>987</v>
      </c>
      <c r="B674" s="2" t="s">
        <v>988</v>
      </c>
      <c r="C674" s="2" t="s">
        <v>989</v>
      </c>
      <c r="D674" s="2" t="s">
        <v>10</v>
      </c>
      <c r="E674" s="2" t="s">
        <v>52</v>
      </c>
      <c r="F674" s="2">
        <v>1</v>
      </c>
      <c r="G674" s="2" t="s">
        <v>17</v>
      </c>
    </row>
    <row r="675" spans="1:7" x14ac:dyDescent="0.2">
      <c r="A675" s="2" t="s">
        <v>987</v>
      </c>
      <c r="B675" s="2" t="s">
        <v>990</v>
      </c>
      <c r="C675" s="2" t="s">
        <v>991</v>
      </c>
      <c r="D675" s="2" t="s">
        <v>10</v>
      </c>
      <c r="E675" s="2" t="s">
        <v>11</v>
      </c>
      <c r="F675" s="2">
        <v>2</v>
      </c>
      <c r="G675" s="2" t="s">
        <v>12</v>
      </c>
    </row>
    <row r="676" spans="1:7" x14ac:dyDescent="0.2">
      <c r="A676" s="2" t="s">
        <v>987</v>
      </c>
      <c r="B676" s="2" t="s">
        <v>992</v>
      </c>
      <c r="C676" s="2" t="s">
        <v>993</v>
      </c>
      <c r="D676" s="2" t="s">
        <v>10</v>
      </c>
      <c r="E676" s="2" t="s">
        <v>11</v>
      </c>
      <c r="F676" s="2">
        <v>2</v>
      </c>
      <c r="G676" s="2" t="s">
        <v>12</v>
      </c>
    </row>
    <row r="677" spans="1:7" x14ac:dyDescent="0.2">
      <c r="A677" s="2" t="s">
        <v>987</v>
      </c>
      <c r="B677" s="2" t="s">
        <v>994</v>
      </c>
      <c r="C677" s="2" t="s">
        <v>995</v>
      </c>
      <c r="D677" s="2" t="s">
        <v>10</v>
      </c>
      <c r="E677" s="2" t="s">
        <v>11</v>
      </c>
      <c r="F677" s="2">
        <v>2</v>
      </c>
      <c r="G677" s="2" t="s">
        <v>12</v>
      </c>
    </row>
    <row r="678" spans="1:7" x14ac:dyDescent="0.2">
      <c r="A678" s="2" t="s">
        <v>987</v>
      </c>
      <c r="B678" s="2" t="s">
        <v>996</v>
      </c>
      <c r="C678" s="2" t="s">
        <v>989</v>
      </c>
      <c r="D678" s="2" t="s">
        <v>10</v>
      </c>
      <c r="E678" s="2" t="s">
        <v>52</v>
      </c>
      <c r="F678" s="2">
        <v>1</v>
      </c>
      <c r="G678" s="2" t="s">
        <v>17</v>
      </c>
    </row>
    <row r="679" spans="1:7" x14ac:dyDescent="0.2">
      <c r="A679" s="2" t="s">
        <v>987</v>
      </c>
      <c r="B679" s="2" t="s">
        <v>997</v>
      </c>
      <c r="C679" s="2" t="s">
        <v>995</v>
      </c>
      <c r="D679" s="2" t="s">
        <v>10</v>
      </c>
      <c r="E679" s="2" t="s">
        <v>11</v>
      </c>
      <c r="F679" s="2">
        <v>2</v>
      </c>
      <c r="G679" s="2" t="s">
        <v>12</v>
      </c>
    </row>
    <row r="680" spans="1:7" x14ac:dyDescent="0.2">
      <c r="A680" s="2" t="s">
        <v>987</v>
      </c>
      <c r="B680" s="2" t="s">
        <v>998</v>
      </c>
      <c r="C680" s="2" t="s">
        <v>993</v>
      </c>
      <c r="D680" s="2" t="s">
        <v>10</v>
      </c>
      <c r="E680" s="2" t="s">
        <v>11</v>
      </c>
      <c r="F680" s="2">
        <v>2</v>
      </c>
      <c r="G680" s="2" t="s">
        <v>12</v>
      </c>
    </row>
    <row r="681" spans="1:7" x14ac:dyDescent="0.2">
      <c r="A681" s="2" t="s">
        <v>987</v>
      </c>
      <c r="B681" s="2" t="s">
        <v>999</v>
      </c>
      <c r="C681" s="2" t="s">
        <v>989</v>
      </c>
      <c r="D681" s="2" t="s">
        <v>10</v>
      </c>
      <c r="E681" s="2" t="s">
        <v>52</v>
      </c>
      <c r="F681" s="2">
        <v>1</v>
      </c>
      <c r="G681" s="2" t="s">
        <v>17</v>
      </c>
    </row>
    <row r="682" spans="1:7" x14ac:dyDescent="0.2">
      <c r="A682" s="2" t="s">
        <v>987</v>
      </c>
      <c r="B682" s="2" t="s">
        <v>1000</v>
      </c>
      <c r="C682" s="2" t="s">
        <v>989</v>
      </c>
      <c r="D682" s="2" t="s">
        <v>10</v>
      </c>
      <c r="E682" s="2" t="s">
        <v>52</v>
      </c>
      <c r="F682" s="2">
        <v>1</v>
      </c>
      <c r="G682" s="2" t="s">
        <v>17</v>
      </c>
    </row>
    <row r="683" spans="1:7" x14ac:dyDescent="0.2">
      <c r="A683" s="2" t="s">
        <v>987</v>
      </c>
      <c r="B683" s="2" t="s">
        <v>1001</v>
      </c>
      <c r="C683" s="2" t="s">
        <v>991</v>
      </c>
      <c r="D683" s="2" t="s">
        <v>10</v>
      </c>
      <c r="E683" s="2" t="s">
        <v>11</v>
      </c>
      <c r="F683" s="2">
        <v>2</v>
      </c>
      <c r="G683" s="2" t="s">
        <v>12</v>
      </c>
    </row>
    <row r="684" spans="1:7" x14ac:dyDescent="0.2">
      <c r="A684" s="2" t="s">
        <v>987</v>
      </c>
      <c r="B684" s="2" t="s">
        <v>1002</v>
      </c>
      <c r="C684" s="2" t="s">
        <v>794</v>
      </c>
      <c r="D684" s="2" t="s">
        <v>56</v>
      </c>
      <c r="E684" s="2" t="s">
        <v>52</v>
      </c>
      <c r="F684" s="2">
        <v>1</v>
      </c>
      <c r="G684" s="2" t="s">
        <v>17</v>
      </c>
    </row>
    <row r="685" spans="1:7" x14ac:dyDescent="0.2">
      <c r="A685" s="2" t="s">
        <v>1003</v>
      </c>
      <c r="B685" s="2" t="s">
        <v>1004</v>
      </c>
      <c r="C685" s="2" t="s">
        <v>1005</v>
      </c>
      <c r="D685" s="2" t="s">
        <v>10</v>
      </c>
      <c r="E685" s="2" t="s">
        <v>16</v>
      </c>
      <c r="F685" s="2">
        <v>1</v>
      </c>
      <c r="G685" s="2" t="s">
        <v>17</v>
      </c>
    </row>
    <row r="686" spans="1:7" x14ac:dyDescent="0.2">
      <c r="A686" s="2" t="s">
        <v>1006</v>
      </c>
      <c r="B686" s="2" t="s">
        <v>1007</v>
      </c>
      <c r="C686" s="2" t="s">
        <v>1005</v>
      </c>
      <c r="D686" s="2" t="s">
        <v>10</v>
      </c>
      <c r="E686" s="2" t="s">
        <v>16</v>
      </c>
      <c r="F686" s="2">
        <v>1</v>
      </c>
      <c r="G686" s="2" t="s">
        <v>17</v>
      </c>
    </row>
    <row r="687" spans="1:7" x14ac:dyDescent="0.2">
      <c r="A687" s="2" t="s">
        <v>1006</v>
      </c>
      <c r="B687" s="2" t="s">
        <v>1008</v>
      </c>
      <c r="C687" s="2" t="s">
        <v>1009</v>
      </c>
      <c r="D687" s="2" t="s">
        <v>10</v>
      </c>
      <c r="E687" s="2" t="s">
        <v>16</v>
      </c>
      <c r="F687" s="2">
        <v>1</v>
      </c>
      <c r="G687" s="2" t="s">
        <v>17</v>
      </c>
    </row>
    <row r="688" spans="1:7" x14ac:dyDescent="0.2">
      <c r="A688" s="2" t="s">
        <v>1010</v>
      </c>
      <c r="B688" s="2">
        <v>748</v>
      </c>
      <c r="C688" s="2" t="s">
        <v>1011</v>
      </c>
      <c r="D688" s="2" t="s">
        <v>10</v>
      </c>
      <c r="E688" s="2" t="s">
        <v>52</v>
      </c>
      <c r="F688" s="2">
        <v>2</v>
      </c>
      <c r="G688" s="2" t="s">
        <v>12</v>
      </c>
    </row>
    <row r="689" spans="1:7" x14ac:dyDescent="0.2">
      <c r="A689" s="2" t="s">
        <v>1012</v>
      </c>
      <c r="B689" s="2" t="s">
        <v>1013</v>
      </c>
      <c r="C689" s="2" t="s">
        <v>1014</v>
      </c>
      <c r="D689" s="2" t="s">
        <v>10</v>
      </c>
      <c r="E689" s="2" t="s">
        <v>52</v>
      </c>
      <c r="F689" s="2">
        <v>1</v>
      </c>
      <c r="G689" s="2" t="s">
        <v>17</v>
      </c>
    </row>
    <row r="690" spans="1:7" x14ac:dyDescent="0.2">
      <c r="A690" s="2" t="s">
        <v>1012</v>
      </c>
      <c r="B690" s="2" t="s">
        <v>1015</v>
      </c>
      <c r="C690" s="2" t="s">
        <v>1016</v>
      </c>
      <c r="D690" s="2" t="s">
        <v>10</v>
      </c>
      <c r="E690" s="2" t="s">
        <v>11</v>
      </c>
      <c r="F690" s="2">
        <v>2</v>
      </c>
      <c r="G690" s="2" t="s">
        <v>17</v>
      </c>
    </row>
    <row r="691" spans="1:7" x14ac:dyDescent="0.2">
      <c r="A691" s="2" t="s">
        <v>1012</v>
      </c>
      <c r="B691" s="2" t="s">
        <v>1017</v>
      </c>
      <c r="C691" s="2" t="s">
        <v>1018</v>
      </c>
      <c r="D691" s="2" t="s">
        <v>10</v>
      </c>
      <c r="E691" s="2" t="s">
        <v>52</v>
      </c>
      <c r="F691" s="2">
        <v>1</v>
      </c>
      <c r="G691" s="2" t="s">
        <v>17</v>
      </c>
    </row>
    <row r="692" spans="1:7" x14ac:dyDescent="0.2">
      <c r="A692" s="2" t="s">
        <v>1012</v>
      </c>
      <c r="B692" s="2" t="s">
        <v>1019</v>
      </c>
      <c r="C692" s="2" t="s">
        <v>1014</v>
      </c>
      <c r="D692" s="2" t="s">
        <v>10</v>
      </c>
      <c r="E692" s="2" t="s">
        <v>52</v>
      </c>
      <c r="F692" s="2">
        <v>1</v>
      </c>
      <c r="G692" s="2" t="s">
        <v>17</v>
      </c>
    </row>
    <row r="693" spans="1:7" x14ac:dyDescent="0.2">
      <c r="A693" s="2" t="s">
        <v>1012</v>
      </c>
      <c r="B693" s="2" t="s">
        <v>1020</v>
      </c>
      <c r="C693" s="2" t="s">
        <v>1021</v>
      </c>
      <c r="D693" s="2" t="s">
        <v>10</v>
      </c>
      <c r="E693" s="2" t="s">
        <v>11</v>
      </c>
      <c r="F693" s="2">
        <v>1</v>
      </c>
      <c r="G693" s="2" t="s">
        <v>17</v>
      </c>
    </row>
    <row r="694" spans="1:7" x14ac:dyDescent="0.2">
      <c r="A694" s="2" t="s">
        <v>1022</v>
      </c>
      <c r="B694" s="2">
        <v>18</v>
      </c>
      <c r="C694" s="2" t="s">
        <v>1023</v>
      </c>
      <c r="D694" s="2" t="s">
        <v>64</v>
      </c>
      <c r="E694" s="2" t="s">
        <v>16</v>
      </c>
      <c r="F694" s="2">
        <v>1</v>
      </c>
      <c r="G694" s="2" t="s">
        <v>17</v>
      </c>
    </row>
    <row r="695" spans="1:7" x14ac:dyDescent="0.2">
      <c r="A695" s="2" t="s">
        <v>1022</v>
      </c>
      <c r="B695" s="2" t="s">
        <v>1024</v>
      </c>
      <c r="C695" s="2" t="s">
        <v>1025</v>
      </c>
      <c r="D695" s="2" t="s">
        <v>64</v>
      </c>
      <c r="E695" s="2" t="s">
        <v>16</v>
      </c>
      <c r="F695" s="2">
        <v>1</v>
      </c>
      <c r="G695" s="2" t="s">
        <v>17</v>
      </c>
    </row>
    <row r="696" spans="1:7" x14ac:dyDescent="0.2">
      <c r="A696" s="2" t="s">
        <v>1026</v>
      </c>
      <c r="B696" s="2" t="s">
        <v>1027</v>
      </c>
      <c r="C696" s="2" t="s">
        <v>1028</v>
      </c>
      <c r="D696" s="2" t="s">
        <v>64</v>
      </c>
      <c r="E696" s="2" t="s">
        <v>16</v>
      </c>
      <c r="F696" s="2">
        <v>1</v>
      </c>
      <c r="G696" s="2" t="s">
        <v>17</v>
      </c>
    </row>
    <row r="697" spans="1:7" x14ac:dyDescent="0.2">
      <c r="A697" s="2" t="s">
        <v>1026</v>
      </c>
      <c r="B697" s="2" t="s">
        <v>1029</v>
      </c>
      <c r="C697" s="2" t="s">
        <v>1030</v>
      </c>
      <c r="D697" s="2" t="s">
        <v>64</v>
      </c>
      <c r="E697" s="2" t="s">
        <v>16</v>
      </c>
      <c r="F697" s="2">
        <v>1</v>
      </c>
      <c r="G697" s="2" t="s">
        <v>17</v>
      </c>
    </row>
    <row r="698" spans="1:7" x14ac:dyDescent="0.2">
      <c r="A698" s="2" t="s">
        <v>1026</v>
      </c>
      <c r="B698" s="2" t="s">
        <v>1031</v>
      </c>
      <c r="C698" s="2" t="s">
        <v>1032</v>
      </c>
      <c r="D698" s="2" t="s">
        <v>64</v>
      </c>
      <c r="E698" s="2" t="s">
        <v>16</v>
      </c>
      <c r="F698" s="2">
        <v>1</v>
      </c>
      <c r="G698" s="2" t="s">
        <v>17</v>
      </c>
    </row>
    <row r="699" spans="1:7" x14ac:dyDescent="0.2">
      <c r="A699" s="2" t="s">
        <v>1033</v>
      </c>
      <c r="B699" s="2" t="s">
        <v>1034</v>
      </c>
      <c r="C699" s="2" t="s">
        <v>1035</v>
      </c>
      <c r="D699" s="2" t="s">
        <v>10</v>
      </c>
      <c r="E699" s="2" t="s">
        <v>16</v>
      </c>
      <c r="F699" s="2">
        <v>1</v>
      </c>
      <c r="G699" s="2" t="s">
        <v>17</v>
      </c>
    </row>
    <row r="700" spans="1:7" x14ac:dyDescent="0.2">
      <c r="A700" s="2" t="s">
        <v>1036</v>
      </c>
      <c r="B700" s="2" t="s">
        <v>1037</v>
      </c>
      <c r="C700" s="2" t="s">
        <v>1038</v>
      </c>
      <c r="D700" s="2" t="s">
        <v>10</v>
      </c>
      <c r="E700" s="2" t="s">
        <v>16</v>
      </c>
      <c r="F700" s="2">
        <v>1</v>
      </c>
      <c r="G700" s="2" t="s">
        <v>17</v>
      </c>
    </row>
    <row r="701" spans="1:7" x14ac:dyDescent="0.2">
      <c r="A701" s="2" t="s">
        <v>1036</v>
      </c>
      <c r="B701" s="2" t="s">
        <v>1039</v>
      </c>
      <c r="C701" s="2" t="s">
        <v>1038</v>
      </c>
      <c r="D701" s="2" t="s">
        <v>10</v>
      </c>
      <c r="E701" s="2" t="s">
        <v>16</v>
      </c>
      <c r="F701" s="2">
        <v>1</v>
      </c>
      <c r="G701" s="2" t="s">
        <v>17</v>
      </c>
    </row>
    <row r="702" spans="1:7" x14ac:dyDescent="0.2">
      <c r="A702" s="2" t="s">
        <v>1040</v>
      </c>
      <c r="B702" s="2" t="s">
        <v>1041</v>
      </c>
      <c r="C702" s="2" t="s">
        <v>1042</v>
      </c>
      <c r="D702" s="2" t="s">
        <v>10</v>
      </c>
      <c r="E702" s="2" t="s">
        <v>16</v>
      </c>
      <c r="F702" s="2">
        <v>1</v>
      </c>
      <c r="G702" s="2" t="s">
        <v>17</v>
      </c>
    </row>
    <row r="703" spans="1:7" x14ac:dyDescent="0.2">
      <c r="A703" s="2" t="s">
        <v>1040</v>
      </c>
      <c r="B703" s="2" t="s">
        <v>1043</v>
      </c>
      <c r="C703" s="2" t="s">
        <v>1042</v>
      </c>
      <c r="D703" s="2" t="s">
        <v>10</v>
      </c>
      <c r="E703" s="2" t="s">
        <v>16</v>
      </c>
      <c r="F703" s="2">
        <v>1</v>
      </c>
      <c r="G703" s="2" t="s">
        <v>17</v>
      </c>
    </row>
    <row r="704" spans="1:7" x14ac:dyDescent="0.2">
      <c r="A704" s="2" t="s">
        <v>1040</v>
      </c>
      <c r="B704" s="2" t="s">
        <v>1044</v>
      </c>
      <c r="C704" s="2" t="s">
        <v>1045</v>
      </c>
      <c r="D704" s="2" t="s">
        <v>10</v>
      </c>
      <c r="E704" s="2" t="s">
        <v>52</v>
      </c>
      <c r="F704" s="2">
        <v>1</v>
      </c>
      <c r="G704" s="2" t="s">
        <v>17</v>
      </c>
    </row>
    <row r="705" spans="1:7" x14ac:dyDescent="0.2">
      <c r="A705" s="2" t="s">
        <v>1040</v>
      </c>
      <c r="B705" s="2" t="s">
        <v>1046</v>
      </c>
      <c r="C705" s="2" t="s">
        <v>1045</v>
      </c>
      <c r="D705" s="2" t="s">
        <v>10</v>
      </c>
      <c r="E705" s="2" t="s">
        <v>52</v>
      </c>
      <c r="F705" s="2">
        <v>1</v>
      </c>
      <c r="G705" s="2" t="s">
        <v>17</v>
      </c>
    </row>
    <row r="706" spans="1:7" x14ac:dyDescent="0.2">
      <c r="A706" s="2" t="s">
        <v>1040</v>
      </c>
      <c r="B706" s="2" t="s">
        <v>1047</v>
      </c>
      <c r="C706" s="2" t="s">
        <v>1042</v>
      </c>
      <c r="D706" s="2" t="s">
        <v>10</v>
      </c>
      <c r="E706" s="2" t="s">
        <v>16</v>
      </c>
      <c r="F706" s="2">
        <v>1</v>
      </c>
      <c r="G706" s="2" t="s">
        <v>17</v>
      </c>
    </row>
    <row r="707" spans="1:7" x14ac:dyDescent="0.2">
      <c r="A707" s="2" t="s">
        <v>1040</v>
      </c>
      <c r="B707" s="2" t="s">
        <v>1048</v>
      </c>
      <c r="C707" s="2" t="s">
        <v>1045</v>
      </c>
      <c r="D707" s="2" t="s">
        <v>10</v>
      </c>
      <c r="E707" s="2" t="s">
        <v>52</v>
      </c>
      <c r="F707" s="2">
        <v>1</v>
      </c>
      <c r="G707" s="2" t="s">
        <v>17</v>
      </c>
    </row>
    <row r="708" spans="1:7" x14ac:dyDescent="0.2">
      <c r="A708" s="2" t="s">
        <v>1040</v>
      </c>
      <c r="B708" s="2" t="s">
        <v>1049</v>
      </c>
      <c r="C708" s="2" t="s">
        <v>1050</v>
      </c>
      <c r="D708" s="2" t="s">
        <v>10</v>
      </c>
      <c r="E708" s="2" t="s">
        <v>16</v>
      </c>
      <c r="F708" s="2">
        <v>1</v>
      </c>
      <c r="G708" s="2" t="s">
        <v>17</v>
      </c>
    </row>
    <row r="709" spans="1:7" x14ac:dyDescent="0.2">
      <c r="A709" s="2" t="s">
        <v>1040</v>
      </c>
      <c r="B709" s="2" t="s">
        <v>1051</v>
      </c>
      <c r="C709" s="2" t="s">
        <v>1052</v>
      </c>
      <c r="D709" s="2" t="s">
        <v>10</v>
      </c>
      <c r="E709" s="2" t="s">
        <v>52</v>
      </c>
      <c r="F709" s="2">
        <v>1</v>
      </c>
      <c r="G709" s="2" t="s">
        <v>17</v>
      </c>
    </row>
    <row r="710" spans="1:7" x14ac:dyDescent="0.2">
      <c r="A710" s="2" t="s">
        <v>1040</v>
      </c>
      <c r="B710" s="2" t="s">
        <v>1053</v>
      </c>
      <c r="C710" s="2" t="s">
        <v>1052</v>
      </c>
      <c r="D710" s="2" t="s">
        <v>10</v>
      </c>
      <c r="E710" s="2" t="s">
        <v>52</v>
      </c>
      <c r="F710" s="2">
        <v>1</v>
      </c>
      <c r="G710" s="2" t="s">
        <v>17</v>
      </c>
    </row>
    <row r="711" spans="1:7" x14ac:dyDescent="0.2">
      <c r="A711" s="2" t="s">
        <v>1040</v>
      </c>
      <c r="B711" s="2" t="s">
        <v>1054</v>
      </c>
      <c r="C711" s="2" t="s">
        <v>1055</v>
      </c>
      <c r="D711" s="2" t="s">
        <v>10</v>
      </c>
      <c r="E711" s="2" t="s">
        <v>52</v>
      </c>
      <c r="F711" s="2">
        <v>1</v>
      </c>
      <c r="G711" s="2" t="s">
        <v>17</v>
      </c>
    </row>
    <row r="712" spans="1:7" x14ac:dyDescent="0.2">
      <c r="A712" s="2" t="s">
        <v>1040</v>
      </c>
      <c r="B712" s="2" t="s">
        <v>1056</v>
      </c>
      <c r="C712" s="2" t="s">
        <v>1057</v>
      </c>
      <c r="D712" s="2" t="s">
        <v>10</v>
      </c>
      <c r="E712" s="2" t="s">
        <v>52</v>
      </c>
      <c r="F712" s="2">
        <v>1</v>
      </c>
      <c r="G712" s="2" t="s">
        <v>1058</v>
      </c>
    </row>
    <row r="713" spans="1:7" x14ac:dyDescent="0.2">
      <c r="A713" s="2" t="s">
        <v>1040</v>
      </c>
      <c r="B713" s="2" t="s">
        <v>1059</v>
      </c>
      <c r="C713" s="2" t="s">
        <v>1057</v>
      </c>
      <c r="D713" s="2" t="s">
        <v>10</v>
      </c>
      <c r="E713" s="2" t="s">
        <v>52</v>
      </c>
      <c r="F713" s="2">
        <v>1</v>
      </c>
      <c r="G713" s="2" t="s">
        <v>1058</v>
      </c>
    </row>
    <row r="714" spans="1:7" x14ac:dyDescent="0.2">
      <c r="A714" s="2" t="s">
        <v>1040</v>
      </c>
      <c r="B714" s="2" t="s">
        <v>1060</v>
      </c>
      <c r="C714" s="2" t="s">
        <v>1057</v>
      </c>
      <c r="D714" s="2" t="s">
        <v>10</v>
      </c>
      <c r="E714" s="2" t="s">
        <v>52</v>
      </c>
      <c r="F714" s="2">
        <v>1</v>
      </c>
      <c r="G714" s="2" t="s">
        <v>1058</v>
      </c>
    </row>
    <row r="715" spans="1:7" x14ac:dyDescent="0.2">
      <c r="A715" s="2" t="s">
        <v>1040</v>
      </c>
      <c r="B715" s="2" t="s">
        <v>1061</v>
      </c>
      <c r="C715" s="2" t="s">
        <v>1052</v>
      </c>
      <c r="D715" s="2" t="s">
        <v>10</v>
      </c>
      <c r="E715" s="2" t="s">
        <v>52</v>
      </c>
      <c r="F715" s="2">
        <v>1</v>
      </c>
      <c r="G715" s="2" t="s">
        <v>17</v>
      </c>
    </row>
    <row r="716" spans="1:7" x14ac:dyDescent="0.2">
      <c r="A716" s="2" t="s">
        <v>1040</v>
      </c>
      <c r="B716" s="2" t="s">
        <v>1062</v>
      </c>
      <c r="C716" s="2" t="s">
        <v>1063</v>
      </c>
      <c r="D716" s="2" t="s">
        <v>10</v>
      </c>
      <c r="E716" s="2" t="s">
        <v>16</v>
      </c>
      <c r="F716" s="2">
        <v>1</v>
      </c>
      <c r="G716" s="2" t="s">
        <v>17</v>
      </c>
    </row>
    <row r="717" spans="1:7" x14ac:dyDescent="0.2">
      <c r="A717" s="2" t="s">
        <v>1064</v>
      </c>
      <c r="B717" s="2" t="s">
        <v>625</v>
      </c>
      <c r="C717" s="2" t="s">
        <v>626</v>
      </c>
      <c r="D717" s="2" t="s">
        <v>10</v>
      </c>
      <c r="E717" s="2" t="s">
        <v>11</v>
      </c>
      <c r="F717" s="2">
        <v>2</v>
      </c>
      <c r="G717" s="2" t="s">
        <v>17</v>
      </c>
    </row>
    <row r="718" spans="1:7" x14ac:dyDescent="0.2">
      <c r="A718" s="2" t="s">
        <v>1064</v>
      </c>
      <c r="B718" s="2" t="s">
        <v>648</v>
      </c>
      <c r="C718" s="2" t="s">
        <v>626</v>
      </c>
      <c r="D718" s="2" t="s">
        <v>10</v>
      </c>
      <c r="E718" s="2" t="s">
        <v>11</v>
      </c>
      <c r="F718" s="2">
        <v>2</v>
      </c>
      <c r="G718" s="2" t="s">
        <v>17</v>
      </c>
    </row>
    <row r="719" spans="1:7" x14ac:dyDescent="0.2">
      <c r="A719" s="2" t="s">
        <v>1065</v>
      </c>
      <c r="B719" s="2" t="s">
        <v>705</v>
      </c>
      <c r="C719" s="2" t="s">
        <v>706</v>
      </c>
      <c r="D719" s="2" t="s">
        <v>10</v>
      </c>
      <c r="E719" s="2" t="s">
        <v>16</v>
      </c>
      <c r="F719" s="2">
        <v>1</v>
      </c>
      <c r="G719" s="2" t="s">
        <v>17</v>
      </c>
    </row>
    <row r="720" spans="1:7" x14ac:dyDescent="0.2">
      <c r="A720" s="2" t="s">
        <v>1065</v>
      </c>
      <c r="B720" s="2" t="s">
        <v>707</v>
      </c>
      <c r="C720" s="2" t="s">
        <v>706</v>
      </c>
      <c r="D720" s="2" t="s">
        <v>10</v>
      </c>
      <c r="E720" s="2" t="s">
        <v>16</v>
      </c>
      <c r="F720" s="2">
        <v>1</v>
      </c>
      <c r="G720" s="2" t="s">
        <v>17</v>
      </c>
    </row>
    <row r="721" spans="1:7" x14ac:dyDescent="0.2">
      <c r="A721" s="2" t="s">
        <v>1065</v>
      </c>
      <c r="B721" s="2" t="s">
        <v>708</v>
      </c>
      <c r="C721" s="2" t="s">
        <v>706</v>
      </c>
      <c r="D721" s="2" t="s">
        <v>10</v>
      </c>
      <c r="E721" s="2" t="s">
        <v>16</v>
      </c>
      <c r="F721" s="2">
        <v>1</v>
      </c>
      <c r="G721" s="2" t="s">
        <v>17</v>
      </c>
    </row>
    <row r="722" spans="1:7" x14ac:dyDescent="0.2">
      <c r="A722" s="2" t="s">
        <v>1066</v>
      </c>
      <c r="B722" s="2" t="s">
        <v>1067</v>
      </c>
      <c r="C722" s="2" t="s">
        <v>1068</v>
      </c>
      <c r="D722" s="2" t="s">
        <v>10</v>
      </c>
      <c r="E722" s="2" t="s">
        <v>11</v>
      </c>
      <c r="F722" s="2">
        <v>2</v>
      </c>
      <c r="G722" s="2" t="s">
        <v>1069</v>
      </c>
    </row>
    <row r="723" spans="1:7" x14ac:dyDescent="0.2">
      <c r="A723" s="2" t="s">
        <v>1066</v>
      </c>
      <c r="B723" s="2" t="s">
        <v>1070</v>
      </c>
      <c r="C723" s="2" t="s">
        <v>1071</v>
      </c>
      <c r="D723" s="2" t="s">
        <v>10</v>
      </c>
      <c r="E723" s="2" t="s">
        <v>11</v>
      </c>
      <c r="F723" s="2">
        <v>2</v>
      </c>
      <c r="G723" s="2" t="s">
        <v>1069</v>
      </c>
    </row>
    <row r="724" spans="1:7" x14ac:dyDescent="0.2">
      <c r="A724" s="2" t="s">
        <v>1066</v>
      </c>
      <c r="B724" s="2" t="s">
        <v>1072</v>
      </c>
      <c r="C724" s="2" t="s">
        <v>1073</v>
      </c>
      <c r="D724" s="2" t="s">
        <v>10</v>
      </c>
      <c r="E724" s="2" t="s">
        <v>11</v>
      </c>
      <c r="F724" s="2">
        <v>2</v>
      </c>
      <c r="G724" s="2" t="s">
        <v>12</v>
      </c>
    </row>
    <row r="725" spans="1:7" x14ac:dyDescent="0.2">
      <c r="A725" s="2" t="s">
        <v>1066</v>
      </c>
      <c r="B725" s="2" t="s">
        <v>1074</v>
      </c>
      <c r="C725" s="2" t="s">
        <v>1075</v>
      </c>
      <c r="D725" s="2" t="s">
        <v>10</v>
      </c>
      <c r="E725" s="2" t="s">
        <v>11</v>
      </c>
      <c r="F725" s="2">
        <v>2</v>
      </c>
      <c r="G725" s="2" t="s">
        <v>12</v>
      </c>
    </row>
    <row r="726" spans="1:7" x14ac:dyDescent="0.2">
      <c r="A726" s="2" t="s">
        <v>1066</v>
      </c>
      <c r="B726" s="2" t="s">
        <v>1076</v>
      </c>
      <c r="C726" s="2" t="s">
        <v>1077</v>
      </c>
      <c r="D726" s="2" t="s">
        <v>10</v>
      </c>
      <c r="E726" s="2" t="s">
        <v>11</v>
      </c>
      <c r="F726" s="2">
        <v>2</v>
      </c>
      <c r="G726" s="2" t="s">
        <v>12</v>
      </c>
    </row>
    <row r="727" spans="1:7" x14ac:dyDescent="0.2">
      <c r="A727" s="2" t="s">
        <v>1066</v>
      </c>
      <c r="B727" s="2" t="s">
        <v>1078</v>
      </c>
      <c r="C727" s="2" t="s">
        <v>1079</v>
      </c>
      <c r="D727" s="2" t="s">
        <v>10</v>
      </c>
      <c r="E727" s="2" t="s">
        <v>1080</v>
      </c>
      <c r="F727" s="2">
        <v>2</v>
      </c>
      <c r="G727" s="2" t="s">
        <v>17</v>
      </c>
    </row>
    <row r="728" spans="1:7" x14ac:dyDescent="0.2">
      <c r="A728" s="2" t="s">
        <v>1066</v>
      </c>
      <c r="B728" s="2" t="s">
        <v>1081</v>
      </c>
      <c r="C728" s="2" t="s">
        <v>1068</v>
      </c>
      <c r="D728" s="2" t="s">
        <v>10</v>
      </c>
      <c r="E728" s="2" t="s">
        <v>11</v>
      </c>
      <c r="F728" s="2">
        <v>2</v>
      </c>
      <c r="G728" s="2" t="s">
        <v>1069</v>
      </c>
    </row>
    <row r="729" spans="1:7" x14ac:dyDescent="0.2">
      <c r="A729" s="2" t="s">
        <v>1066</v>
      </c>
      <c r="B729" s="2" t="s">
        <v>1082</v>
      </c>
      <c r="C729" s="2" t="s">
        <v>1068</v>
      </c>
      <c r="D729" s="2" t="s">
        <v>10</v>
      </c>
      <c r="E729" s="2" t="s">
        <v>11</v>
      </c>
      <c r="F729" s="2">
        <v>2</v>
      </c>
      <c r="G729" s="2" t="s">
        <v>1069</v>
      </c>
    </row>
    <row r="730" spans="1:7" x14ac:dyDescent="0.2">
      <c r="A730" s="2" t="s">
        <v>1066</v>
      </c>
      <c r="B730" s="2" t="s">
        <v>1083</v>
      </c>
      <c r="C730" s="2" t="s">
        <v>1084</v>
      </c>
      <c r="D730" s="2" t="s">
        <v>10</v>
      </c>
      <c r="E730" s="2" t="s">
        <v>52</v>
      </c>
      <c r="F730" s="2">
        <v>4</v>
      </c>
      <c r="G730" s="2" t="s">
        <v>1069</v>
      </c>
    </row>
    <row r="731" spans="1:7" x14ac:dyDescent="0.2">
      <c r="A731" s="2" t="s">
        <v>1066</v>
      </c>
      <c r="B731" s="2" t="s">
        <v>1085</v>
      </c>
      <c r="C731" s="2" t="s">
        <v>1084</v>
      </c>
      <c r="D731" s="2" t="s">
        <v>10</v>
      </c>
      <c r="E731" s="2" t="s">
        <v>52</v>
      </c>
      <c r="F731" s="2">
        <v>4</v>
      </c>
      <c r="G731" s="2" t="s">
        <v>1069</v>
      </c>
    </row>
    <row r="732" spans="1:7" x14ac:dyDescent="0.2">
      <c r="A732" s="2" t="s">
        <v>1066</v>
      </c>
      <c r="B732" s="2" t="s">
        <v>1086</v>
      </c>
      <c r="C732" s="2" t="s">
        <v>1084</v>
      </c>
      <c r="D732" s="2" t="s">
        <v>10</v>
      </c>
      <c r="E732" s="2" t="s">
        <v>52</v>
      </c>
      <c r="F732" s="2">
        <v>4</v>
      </c>
      <c r="G732" s="2" t="s">
        <v>1069</v>
      </c>
    </row>
    <row r="733" spans="1:7" x14ac:dyDescent="0.2">
      <c r="A733" s="2" t="s">
        <v>1066</v>
      </c>
      <c r="B733" s="2" t="s">
        <v>1087</v>
      </c>
      <c r="C733" s="2" t="s">
        <v>1088</v>
      </c>
      <c r="D733" s="2" t="s">
        <v>10</v>
      </c>
      <c r="E733" s="2" t="s">
        <v>52</v>
      </c>
      <c r="F733" s="2">
        <v>2</v>
      </c>
      <c r="G733" s="2" t="s">
        <v>12</v>
      </c>
    </row>
    <row r="734" spans="1:7" x14ac:dyDescent="0.2">
      <c r="A734" s="2" t="s">
        <v>1066</v>
      </c>
      <c r="B734" s="2" t="s">
        <v>1089</v>
      </c>
      <c r="C734" s="2" t="s">
        <v>1088</v>
      </c>
      <c r="D734" s="2" t="s">
        <v>10</v>
      </c>
      <c r="E734" s="2" t="s">
        <v>52</v>
      </c>
      <c r="F734" s="2">
        <v>2</v>
      </c>
      <c r="G734" s="2" t="s">
        <v>12</v>
      </c>
    </row>
    <row r="735" spans="1:7" x14ac:dyDescent="0.2">
      <c r="A735" s="2" t="s">
        <v>1066</v>
      </c>
      <c r="B735" s="2" t="s">
        <v>1090</v>
      </c>
      <c r="C735" s="2" t="s">
        <v>1088</v>
      </c>
      <c r="D735" s="2" t="s">
        <v>10</v>
      </c>
      <c r="E735" s="2" t="s">
        <v>52</v>
      </c>
      <c r="F735" s="2">
        <v>2</v>
      </c>
      <c r="G735" s="2" t="s">
        <v>12</v>
      </c>
    </row>
    <row r="736" spans="1:7" x14ac:dyDescent="0.2">
      <c r="A736" s="2" t="s">
        <v>1066</v>
      </c>
      <c r="B736" s="2" t="s">
        <v>1091</v>
      </c>
      <c r="C736" s="2" t="s">
        <v>1088</v>
      </c>
      <c r="D736" s="2" t="s">
        <v>10</v>
      </c>
      <c r="E736" s="2" t="s">
        <v>52</v>
      </c>
      <c r="F736" s="2">
        <v>2</v>
      </c>
      <c r="G736" s="2" t="s">
        <v>12</v>
      </c>
    </row>
    <row r="737" spans="1:7" x14ac:dyDescent="0.2">
      <c r="A737" s="2" t="s">
        <v>1066</v>
      </c>
      <c r="B737" s="2" t="s">
        <v>1092</v>
      </c>
      <c r="C737" s="2" t="s">
        <v>1088</v>
      </c>
      <c r="D737" s="2" t="s">
        <v>10</v>
      </c>
      <c r="E737" s="2" t="s">
        <v>52</v>
      </c>
      <c r="F737" s="2">
        <v>2</v>
      </c>
      <c r="G737" s="2" t="s">
        <v>12</v>
      </c>
    </row>
    <row r="738" spans="1:7" x14ac:dyDescent="0.2">
      <c r="A738" s="2" t="s">
        <v>1066</v>
      </c>
      <c r="B738" s="2" t="s">
        <v>1093</v>
      </c>
      <c r="C738" s="2" t="s">
        <v>1094</v>
      </c>
      <c r="D738" s="2" t="s">
        <v>10</v>
      </c>
      <c r="E738" s="2" t="s">
        <v>52</v>
      </c>
      <c r="F738" s="2">
        <v>2</v>
      </c>
      <c r="G738" s="2" t="s">
        <v>12</v>
      </c>
    </row>
    <row r="739" spans="1:7" x14ac:dyDescent="0.2">
      <c r="A739" s="2" t="s">
        <v>1066</v>
      </c>
      <c r="B739" s="2" t="s">
        <v>1095</v>
      </c>
      <c r="C739" s="2" t="s">
        <v>1094</v>
      </c>
      <c r="D739" s="2" t="s">
        <v>10</v>
      </c>
      <c r="E739" s="2" t="s">
        <v>52</v>
      </c>
      <c r="F739" s="2">
        <v>2</v>
      </c>
      <c r="G739" s="2" t="s">
        <v>12</v>
      </c>
    </row>
    <row r="740" spans="1:7" x14ac:dyDescent="0.2">
      <c r="A740" s="2" t="s">
        <v>1066</v>
      </c>
      <c r="B740" s="2" t="s">
        <v>1096</v>
      </c>
      <c r="C740" s="2" t="s">
        <v>1094</v>
      </c>
      <c r="D740" s="2" t="s">
        <v>10</v>
      </c>
      <c r="E740" s="2" t="s">
        <v>52</v>
      </c>
      <c r="F740" s="2">
        <v>2</v>
      </c>
      <c r="G740" s="2" t="s">
        <v>12</v>
      </c>
    </row>
    <row r="741" spans="1:7" x14ac:dyDescent="0.2">
      <c r="A741" s="2" t="s">
        <v>1066</v>
      </c>
      <c r="B741" s="2" t="s">
        <v>1097</v>
      </c>
      <c r="C741" s="2" t="s">
        <v>1094</v>
      </c>
      <c r="D741" s="2" t="s">
        <v>10</v>
      </c>
      <c r="E741" s="2" t="s">
        <v>52</v>
      </c>
      <c r="F741" s="2">
        <v>2</v>
      </c>
      <c r="G741" s="2" t="s">
        <v>12</v>
      </c>
    </row>
    <row r="742" spans="1:7" x14ac:dyDescent="0.2">
      <c r="A742" s="2" t="s">
        <v>1066</v>
      </c>
      <c r="B742" s="2" t="s">
        <v>1098</v>
      </c>
      <c r="C742" s="2" t="s">
        <v>1094</v>
      </c>
      <c r="D742" s="2" t="s">
        <v>10</v>
      </c>
      <c r="E742" s="2" t="s">
        <v>52</v>
      </c>
      <c r="F742" s="2">
        <v>2</v>
      </c>
      <c r="G742" s="2" t="s">
        <v>12</v>
      </c>
    </row>
    <row r="743" spans="1:7" x14ac:dyDescent="0.2">
      <c r="A743" s="2" t="s">
        <v>1066</v>
      </c>
      <c r="B743" s="2" t="s">
        <v>1099</v>
      </c>
      <c r="C743" s="2" t="s">
        <v>1100</v>
      </c>
      <c r="D743" s="2" t="s">
        <v>10</v>
      </c>
      <c r="E743" s="2" t="s">
        <v>11</v>
      </c>
      <c r="F743" s="2">
        <v>2</v>
      </c>
      <c r="G743" s="2" t="s">
        <v>1069</v>
      </c>
    </row>
    <row r="744" spans="1:7" x14ac:dyDescent="0.2">
      <c r="A744" s="2" t="s">
        <v>1066</v>
      </c>
      <c r="B744" s="2" t="s">
        <v>1101</v>
      </c>
      <c r="C744" s="2" t="s">
        <v>1100</v>
      </c>
      <c r="D744" s="2" t="s">
        <v>10</v>
      </c>
      <c r="E744" s="2" t="s">
        <v>11</v>
      </c>
      <c r="F744" s="2">
        <v>2</v>
      </c>
      <c r="G744" s="2" t="s">
        <v>1069</v>
      </c>
    </row>
    <row r="745" spans="1:7" x14ac:dyDescent="0.2">
      <c r="A745" s="2" t="s">
        <v>1066</v>
      </c>
      <c r="B745" s="2" t="s">
        <v>1102</v>
      </c>
      <c r="C745" s="2" t="s">
        <v>1100</v>
      </c>
      <c r="D745" s="2" t="s">
        <v>10</v>
      </c>
      <c r="E745" s="2" t="s">
        <v>11</v>
      </c>
      <c r="F745" s="2">
        <v>2</v>
      </c>
      <c r="G745" s="2" t="s">
        <v>1069</v>
      </c>
    </row>
    <row r="746" spans="1:7" x14ac:dyDescent="0.2">
      <c r="A746" s="2" t="s">
        <v>1066</v>
      </c>
      <c r="B746" s="2" t="s">
        <v>1103</v>
      </c>
      <c r="C746" s="2" t="s">
        <v>1104</v>
      </c>
      <c r="D746" s="2" t="s">
        <v>10</v>
      </c>
      <c r="E746" s="2" t="s">
        <v>11</v>
      </c>
      <c r="F746" s="2">
        <v>2</v>
      </c>
      <c r="G746" s="2" t="s">
        <v>12</v>
      </c>
    </row>
    <row r="747" spans="1:7" x14ac:dyDescent="0.2">
      <c r="A747" s="2" t="s">
        <v>1066</v>
      </c>
      <c r="B747" s="2" t="s">
        <v>1105</v>
      </c>
      <c r="C747" s="2" t="s">
        <v>1084</v>
      </c>
      <c r="D747" s="2" t="s">
        <v>10</v>
      </c>
      <c r="E747" s="2" t="s">
        <v>52</v>
      </c>
      <c r="F747" s="2">
        <v>4</v>
      </c>
      <c r="G747" s="2" t="s">
        <v>1069</v>
      </c>
    </row>
    <row r="748" spans="1:7" x14ac:dyDescent="0.2">
      <c r="A748" s="2" t="s">
        <v>1066</v>
      </c>
      <c r="B748" s="2" t="s">
        <v>1106</v>
      </c>
      <c r="C748" s="2" t="s">
        <v>1107</v>
      </c>
      <c r="D748" s="2" t="s">
        <v>10</v>
      </c>
      <c r="E748" s="2" t="s">
        <v>11</v>
      </c>
      <c r="F748" s="2">
        <v>2</v>
      </c>
      <c r="G748" s="2" t="s">
        <v>12</v>
      </c>
    </row>
    <row r="749" spans="1:7" x14ac:dyDescent="0.2">
      <c r="A749" s="2" t="s">
        <v>1066</v>
      </c>
      <c r="B749" s="2" t="s">
        <v>1108</v>
      </c>
      <c r="C749" s="2" t="s">
        <v>1109</v>
      </c>
      <c r="D749" s="2" t="s">
        <v>10</v>
      </c>
      <c r="E749" s="2" t="s">
        <v>11</v>
      </c>
      <c r="F749" s="2">
        <v>2</v>
      </c>
      <c r="G749" s="2" t="s">
        <v>12</v>
      </c>
    </row>
    <row r="750" spans="1:7" x14ac:dyDescent="0.2">
      <c r="A750" s="2" t="s">
        <v>1066</v>
      </c>
      <c r="B750" s="2" t="s">
        <v>1110</v>
      </c>
      <c r="C750" s="2" t="s">
        <v>1068</v>
      </c>
      <c r="D750" s="2" t="s">
        <v>10</v>
      </c>
      <c r="E750" s="2" t="s">
        <v>11</v>
      </c>
      <c r="F750" s="2">
        <v>2</v>
      </c>
      <c r="G750" s="2" t="s">
        <v>1069</v>
      </c>
    </row>
    <row r="751" spans="1:7" x14ac:dyDescent="0.2">
      <c r="A751" s="2" t="s">
        <v>1066</v>
      </c>
      <c r="B751" s="2" t="s">
        <v>1111</v>
      </c>
      <c r="C751" s="2" t="s">
        <v>1112</v>
      </c>
      <c r="D751" s="2" t="s">
        <v>10</v>
      </c>
      <c r="E751" s="2" t="s">
        <v>11</v>
      </c>
      <c r="F751" s="2">
        <v>4</v>
      </c>
      <c r="G751" s="2" t="s">
        <v>1069</v>
      </c>
    </row>
    <row r="752" spans="1:7" x14ac:dyDescent="0.2">
      <c r="A752" s="2" t="s">
        <v>1066</v>
      </c>
      <c r="B752" s="2" t="s">
        <v>1113</v>
      </c>
      <c r="C752" s="2" t="s">
        <v>1114</v>
      </c>
      <c r="D752" s="2" t="s">
        <v>10</v>
      </c>
      <c r="E752" s="2" t="s">
        <v>11</v>
      </c>
      <c r="F752" s="2">
        <v>4</v>
      </c>
      <c r="G752" s="2" t="s">
        <v>1069</v>
      </c>
    </row>
    <row r="753" spans="1:7" x14ac:dyDescent="0.2">
      <c r="A753" s="2" t="s">
        <v>1066</v>
      </c>
      <c r="B753" s="2" t="s">
        <v>1115</v>
      </c>
      <c r="C753" s="2" t="s">
        <v>1116</v>
      </c>
      <c r="D753" s="2" t="s">
        <v>10</v>
      </c>
      <c r="E753" s="2" t="s">
        <v>11</v>
      </c>
      <c r="F753" s="2">
        <v>4</v>
      </c>
      <c r="G753" s="2" t="s">
        <v>1069</v>
      </c>
    </row>
    <row r="754" spans="1:7" x14ac:dyDescent="0.2">
      <c r="A754" s="2" t="s">
        <v>1066</v>
      </c>
      <c r="B754" s="2" t="s">
        <v>1117</v>
      </c>
      <c r="C754" s="2" t="s">
        <v>1118</v>
      </c>
      <c r="D754" s="2" t="s">
        <v>10</v>
      </c>
      <c r="E754" s="2" t="s">
        <v>11</v>
      </c>
      <c r="F754" s="2">
        <v>4</v>
      </c>
      <c r="G754" s="2" t="s">
        <v>1069</v>
      </c>
    </row>
    <row r="755" spans="1:7" x14ac:dyDescent="0.2">
      <c r="A755" s="2" t="s">
        <v>1066</v>
      </c>
      <c r="B755" s="2" t="s">
        <v>1119</v>
      </c>
      <c r="C755" s="2" t="s">
        <v>1120</v>
      </c>
      <c r="D755" s="2" t="s">
        <v>10</v>
      </c>
      <c r="E755" s="2" t="s">
        <v>11</v>
      </c>
      <c r="F755" s="2">
        <v>4</v>
      </c>
      <c r="G755" s="2" t="s">
        <v>1121</v>
      </c>
    </row>
    <row r="756" spans="1:7" x14ac:dyDescent="0.2">
      <c r="A756" s="2" t="s">
        <v>1066</v>
      </c>
      <c r="B756" s="2" t="s">
        <v>1122</v>
      </c>
      <c r="C756" s="2" t="s">
        <v>1109</v>
      </c>
      <c r="D756" s="2" t="s">
        <v>10</v>
      </c>
      <c r="E756" s="2" t="s">
        <v>11</v>
      </c>
      <c r="F756" s="2">
        <v>2</v>
      </c>
      <c r="G756" s="2" t="s">
        <v>12</v>
      </c>
    </row>
    <row r="757" spans="1:7" x14ac:dyDescent="0.2">
      <c r="A757" s="2" t="s">
        <v>1066</v>
      </c>
      <c r="B757" s="2" t="s">
        <v>1123</v>
      </c>
      <c r="C757" s="2" t="s">
        <v>1068</v>
      </c>
      <c r="D757" s="2" t="s">
        <v>10</v>
      </c>
      <c r="E757" s="2" t="s">
        <v>11</v>
      </c>
      <c r="F757" s="2">
        <v>2</v>
      </c>
      <c r="G757" s="2" t="s">
        <v>1069</v>
      </c>
    </row>
    <row r="758" spans="1:7" x14ac:dyDescent="0.2">
      <c r="A758" s="2" t="s">
        <v>1066</v>
      </c>
      <c r="B758" s="2" t="s">
        <v>1124</v>
      </c>
      <c r="C758" s="2" t="s">
        <v>1112</v>
      </c>
      <c r="D758" s="2" t="s">
        <v>10</v>
      </c>
      <c r="E758" s="2" t="s">
        <v>11</v>
      </c>
      <c r="F758" s="2">
        <v>4</v>
      </c>
      <c r="G758" s="2" t="s">
        <v>1069</v>
      </c>
    </row>
    <row r="759" spans="1:7" x14ac:dyDescent="0.2">
      <c r="A759" s="2" t="s">
        <v>1066</v>
      </c>
      <c r="B759" s="2" t="s">
        <v>1125</v>
      </c>
      <c r="C759" s="2" t="s">
        <v>1114</v>
      </c>
      <c r="D759" s="2" t="s">
        <v>10</v>
      </c>
      <c r="E759" s="2" t="s">
        <v>11</v>
      </c>
      <c r="F759" s="2">
        <v>4</v>
      </c>
      <c r="G759" s="2" t="s">
        <v>1069</v>
      </c>
    </row>
    <row r="760" spans="1:7" x14ac:dyDescent="0.2">
      <c r="A760" s="2" t="s">
        <v>1066</v>
      </c>
      <c r="B760" s="2" t="s">
        <v>1126</v>
      </c>
      <c r="C760" s="2" t="s">
        <v>1116</v>
      </c>
      <c r="D760" s="2" t="s">
        <v>10</v>
      </c>
      <c r="E760" s="2" t="s">
        <v>11</v>
      </c>
      <c r="F760" s="2">
        <v>4</v>
      </c>
      <c r="G760" s="2" t="s">
        <v>1069</v>
      </c>
    </row>
    <row r="761" spans="1:7" x14ac:dyDescent="0.2">
      <c r="A761" s="2" t="s">
        <v>1066</v>
      </c>
      <c r="B761" s="2" t="s">
        <v>1127</v>
      </c>
      <c r="C761" s="2" t="s">
        <v>1118</v>
      </c>
      <c r="D761" s="2" t="s">
        <v>10</v>
      </c>
      <c r="E761" s="2" t="s">
        <v>11</v>
      </c>
      <c r="F761" s="2">
        <v>4</v>
      </c>
      <c r="G761" s="2" t="s">
        <v>1069</v>
      </c>
    </row>
    <row r="762" spans="1:7" x14ac:dyDescent="0.2">
      <c r="A762" s="2" t="s">
        <v>1066</v>
      </c>
      <c r="B762" s="2" t="s">
        <v>1128</v>
      </c>
      <c r="C762" s="2" t="s">
        <v>1120</v>
      </c>
      <c r="D762" s="2" t="s">
        <v>10</v>
      </c>
      <c r="E762" s="2" t="s">
        <v>11</v>
      </c>
      <c r="F762" s="2">
        <v>4</v>
      </c>
      <c r="G762" s="2" t="s">
        <v>1121</v>
      </c>
    </row>
    <row r="763" spans="1:7" x14ac:dyDescent="0.2">
      <c r="A763" s="2" t="s">
        <v>1066</v>
      </c>
      <c r="B763" s="2" t="s">
        <v>1129</v>
      </c>
      <c r="C763" s="2" t="s">
        <v>1107</v>
      </c>
      <c r="D763" s="2" t="s">
        <v>10</v>
      </c>
      <c r="E763" s="2" t="s">
        <v>11</v>
      </c>
      <c r="F763" s="2">
        <v>2</v>
      </c>
      <c r="G763" s="2" t="s">
        <v>12</v>
      </c>
    </row>
    <row r="764" spans="1:7" x14ac:dyDescent="0.2">
      <c r="A764" s="2" t="s">
        <v>1066</v>
      </c>
      <c r="B764" s="2" t="s">
        <v>1130</v>
      </c>
      <c r="C764" s="2" t="s">
        <v>1131</v>
      </c>
      <c r="D764" s="2" t="s">
        <v>10</v>
      </c>
      <c r="E764" s="2" t="s">
        <v>11</v>
      </c>
      <c r="F764" s="2">
        <v>2</v>
      </c>
      <c r="G764" s="2" t="s">
        <v>1069</v>
      </c>
    </row>
    <row r="765" spans="1:7" x14ac:dyDescent="0.2">
      <c r="A765" s="2" t="s">
        <v>1066</v>
      </c>
      <c r="B765" s="2" t="s">
        <v>1132</v>
      </c>
      <c r="C765" s="2" t="s">
        <v>1131</v>
      </c>
      <c r="D765" s="2" t="s">
        <v>10</v>
      </c>
      <c r="E765" s="2" t="s">
        <v>11</v>
      </c>
      <c r="F765" s="2">
        <v>2</v>
      </c>
      <c r="G765" s="2" t="s">
        <v>1069</v>
      </c>
    </row>
    <row r="766" spans="1:7" x14ac:dyDescent="0.2">
      <c r="A766" s="2" t="s">
        <v>1066</v>
      </c>
      <c r="B766" s="2" t="s">
        <v>1133</v>
      </c>
      <c r="C766" s="2" t="s">
        <v>1134</v>
      </c>
      <c r="D766" s="2" t="s">
        <v>10</v>
      </c>
      <c r="E766" s="2" t="s">
        <v>11</v>
      </c>
      <c r="F766" s="2">
        <v>2</v>
      </c>
      <c r="G766" s="2" t="s">
        <v>1069</v>
      </c>
    </row>
    <row r="767" spans="1:7" x14ac:dyDescent="0.2">
      <c r="A767" s="2" t="s">
        <v>1066</v>
      </c>
      <c r="B767" s="2" t="s">
        <v>1135</v>
      </c>
      <c r="C767" s="2" t="s">
        <v>1136</v>
      </c>
      <c r="D767" s="2" t="s">
        <v>10</v>
      </c>
      <c r="E767" s="2" t="s">
        <v>11</v>
      </c>
      <c r="F767" s="2">
        <v>2</v>
      </c>
      <c r="G767" s="2" t="s">
        <v>12</v>
      </c>
    </row>
    <row r="768" spans="1:7" x14ac:dyDescent="0.2">
      <c r="A768" s="2" t="s">
        <v>1066</v>
      </c>
      <c r="B768" s="2" t="s">
        <v>1137</v>
      </c>
      <c r="C768" s="2" t="s">
        <v>1138</v>
      </c>
      <c r="D768" s="2" t="s">
        <v>10</v>
      </c>
      <c r="E768" s="2" t="s">
        <v>11</v>
      </c>
      <c r="F768" s="2">
        <v>2</v>
      </c>
      <c r="G768" s="2" t="s">
        <v>12</v>
      </c>
    </row>
    <row r="769" spans="1:7" x14ac:dyDescent="0.2">
      <c r="A769" s="2" t="s">
        <v>1066</v>
      </c>
      <c r="B769" s="2" t="s">
        <v>1139</v>
      </c>
      <c r="C769" s="2" t="s">
        <v>1136</v>
      </c>
      <c r="D769" s="2" t="s">
        <v>10</v>
      </c>
      <c r="E769" s="2" t="s">
        <v>11</v>
      </c>
      <c r="F769" s="2">
        <v>2</v>
      </c>
      <c r="G769" s="2" t="s">
        <v>12</v>
      </c>
    </row>
    <row r="770" spans="1:7" x14ac:dyDescent="0.2">
      <c r="A770" s="2" t="s">
        <v>1066</v>
      </c>
      <c r="B770" s="2" t="s">
        <v>1140</v>
      </c>
      <c r="C770" s="2" t="s">
        <v>1136</v>
      </c>
      <c r="D770" s="2" t="s">
        <v>10</v>
      </c>
      <c r="E770" s="2" t="s">
        <v>11</v>
      </c>
      <c r="F770" s="2">
        <v>2</v>
      </c>
      <c r="G770" s="2" t="s">
        <v>12</v>
      </c>
    </row>
    <row r="771" spans="1:7" x14ac:dyDescent="0.2">
      <c r="A771" s="2" t="s">
        <v>1066</v>
      </c>
      <c r="B771" s="2" t="s">
        <v>1141</v>
      </c>
      <c r="C771" s="2" t="s">
        <v>1104</v>
      </c>
      <c r="D771" s="2" t="s">
        <v>10</v>
      </c>
      <c r="E771" s="2" t="s">
        <v>11</v>
      </c>
      <c r="F771" s="2">
        <v>2</v>
      </c>
      <c r="G771" s="2" t="s">
        <v>12</v>
      </c>
    </row>
    <row r="772" spans="1:7" x14ac:dyDescent="0.2">
      <c r="A772" s="2" t="s">
        <v>1066</v>
      </c>
      <c r="B772" s="2" t="s">
        <v>1142</v>
      </c>
      <c r="C772" s="2" t="s">
        <v>1073</v>
      </c>
      <c r="D772" s="2" t="s">
        <v>10</v>
      </c>
      <c r="E772" s="2" t="s">
        <v>11</v>
      </c>
      <c r="F772" s="2">
        <v>2</v>
      </c>
      <c r="G772" s="2" t="s">
        <v>12</v>
      </c>
    </row>
    <row r="773" spans="1:7" x14ac:dyDescent="0.2">
      <c r="A773" s="2" t="s">
        <v>1066</v>
      </c>
      <c r="B773" s="2" t="s">
        <v>1143</v>
      </c>
      <c r="C773" s="2" t="s">
        <v>1075</v>
      </c>
      <c r="D773" s="2" t="s">
        <v>10</v>
      </c>
      <c r="E773" s="2" t="s">
        <v>11</v>
      </c>
      <c r="F773" s="2">
        <v>2</v>
      </c>
      <c r="G773" s="2" t="s">
        <v>12</v>
      </c>
    </row>
    <row r="774" spans="1:7" x14ac:dyDescent="0.2">
      <c r="A774" s="2" t="s">
        <v>1066</v>
      </c>
      <c r="B774" s="2" t="s">
        <v>1144</v>
      </c>
      <c r="C774" s="2" t="s">
        <v>1134</v>
      </c>
      <c r="D774" s="2" t="s">
        <v>10</v>
      </c>
      <c r="E774" s="2" t="s">
        <v>11</v>
      </c>
      <c r="F774" s="2">
        <v>2</v>
      </c>
      <c r="G774" s="2" t="s">
        <v>1069</v>
      </c>
    </row>
    <row r="775" spans="1:7" x14ac:dyDescent="0.2">
      <c r="A775" s="2" t="s">
        <v>1066</v>
      </c>
      <c r="B775" s="2" t="s">
        <v>1145</v>
      </c>
      <c r="C775" s="2" t="s">
        <v>1071</v>
      </c>
      <c r="D775" s="2" t="s">
        <v>10</v>
      </c>
      <c r="E775" s="2" t="s">
        <v>11</v>
      </c>
      <c r="F775" s="2">
        <v>2</v>
      </c>
      <c r="G775" s="2" t="s">
        <v>1069</v>
      </c>
    </row>
    <row r="776" spans="1:7" x14ac:dyDescent="0.2">
      <c r="A776" s="2" t="s">
        <v>1066</v>
      </c>
      <c r="B776" s="2" t="s">
        <v>1146</v>
      </c>
      <c r="C776" s="2" t="s">
        <v>1147</v>
      </c>
      <c r="D776" s="2" t="s">
        <v>10</v>
      </c>
      <c r="E776" s="2" t="s">
        <v>11</v>
      </c>
      <c r="F776" s="2">
        <v>2</v>
      </c>
      <c r="G776" s="2" t="s">
        <v>1069</v>
      </c>
    </row>
    <row r="777" spans="1:7" x14ac:dyDescent="0.2">
      <c r="A777" s="2" t="s">
        <v>1066</v>
      </c>
      <c r="B777" s="2" t="s">
        <v>1148</v>
      </c>
      <c r="C777" s="2" t="s">
        <v>1100</v>
      </c>
      <c r="D777" s="2" t="s">
        <v>10</v>
      </c>
      <c r="E777" s="2" t="s">
        <v>11</v>
      </c>
      <c r="F777" s="2">
        <v>2</v>
      </c>
      <c r="G777" s="2" t="s">
        <v>1069</v>
      </c>
    </row>
    <row r="778" spans="1:7" x14ac:dyDescent="0.2">
      <c r="A778" s="2" t="s">
        <v>1066</v>
      </c>
      <c r="B778" s="2" t="s">
        <v>1149</v>
      </c>
      <c r="C778" s="2" t="s">
        <v>1150</v>
      </c>
      <c r="D778" s="2" t="s">
        <v>10</v>
      </c>
      <c r="E778" s="2" t="s">
        <v>11</v>
      </c>
      <c r="F778" s="2">
        <v>2</v>
      </c>
      <c r="G778" s="2" t="s">
        <v>1069</v>
      </c>
    </row>
    <row r="779" spans="1:7" x14ac:dyDescent="0.2">
      <c r="A779" s="2" t="s">
        <v>1066</v>
      </c>
      <c r="B779" s="2" t="s">
        <v>1151</v>
      </c>
      <c r="C779" s="2" t="s">
        <v>1150</v>
      </c>
      <c r="D779" s="2" t="s">
        <v>10</v>
      </c>
      <c r="E779" s="2" t="s">
        <v>11</v>
      </c>
      <c r="F779" s="2">
        <v>2</v>
      </c>
      <c r="G779" s="2" t="s">
        <v>1069</v>
      </c>
    </row>
    <row r="780" spans="1:7" x14ac:dyDescent="0.2">
      <c r="A780" s="2" t="s">
        <v>1066</v>
      </c>
      <c r="B780" s="2" t="s">
        <v>1152</v>
      </c>
      <c r="C780" s="2" t="s">
        <v>1150</v>
      </c>
      <c r="D780" s="2" t="s">
        <v>10</v>
      </c>
      <c r="E780" s="2" t="s">
        <v>11</v>
      </c>
      <c r="F780" s="2">
        <v>2</v>
      </c>
      <c r="G780" s="2" t="s">
        <v>1069</v>
      </c>
    </row>
    <row r="781" spans="1:7" x14ac:dyDescent="0.2">
      <c r="A781" s="2" t="s">
        <v>1066</v>
      </c>
      <c r="B781" s="2" t="s">
        <v>1153</v>
      </c>
      <c r="C781" s="2" t="s">
        <v>1150</v>
      </c>
      <c r="D781" s="2" t="s">
        <v>10</v>
      </c>
      <c r="E781" s="2" t="s">
        <v>11</v>
      </c>
      <c r="F781" s="2">
        <v>2</v>
      </c>
      <c r="G781" s="2" t="s">
        <v>1069</v>
      </c>
    </row>
    <row r="782" spans="1:7" x14ac:dyDescent="0.2">
      <c r="A782" s="2" t="s">
        <v>1066</v>
      </c>
      <c r="B782" s="2" t="s">
        <v>1154</v>
      </c>
      <c r="C782" s="2" t="s">
        <v>1150</v>
      </c>
      <c r="D782" s="2" t="s">
        <v>10</v>
      </c>
      <c r="E782" s="2" t="s">
        <v>11</v>
      </c>
      <c r="F782" s="2">
        <v>2</v>
      </c>
      <c r="G782" s="2" t="s">
        <v>1069</v>
      </c>
    </row>
    <row r="783" spans="1:7" x14ac:dyDescent="0.2">
      <c r="A783" s="2" t="s">
        <v>1066</v>
      </c>
      <c r="B783" s="2" t="s">
        <v>1155</v>
      </c>
      <c r="C783" s="2" t="s">
        <v>1150</v>
      </c>
      <c r="D783" s="2" t="s">
        <v>10</v>
      </c>
      <c r="E783" s="2" t="s">
        <v>11</v>
      </c>
      <c r="F783" s="2">
        <v>2</v>
      </c>
      <c r="G783" s="2" t="s">
        <v>1069</v>
      </c>
    </row>
    <row r="784" spans="1:7" x14ac:dyDescent="0.2">
      <c r="A784" s="2" t="s">
        <v>1066</v>
      </c>
      <c r="B784" s="2" t="s">
        <v>1156</v>
      </c>
      <c r="C784" s="2" t="s">
        <v>1150</v>
      </c>
      <c r="D784" s="2" t="s">
        <v>10</v>
      </c>
      <c r="E784" s="2" t="s">
        <v>11</v>
      </c>
      <c r="F784" s="2">
        <v>2</v>
      </c>
      <c r="G784" s="2" t="s">
        <v>1069</v>
      </c>
    </row>
    <row r="785" spans="1:7" x14ac:dyDescent="0.2">
      <c r="A785" s="2" t="s">
        <v>1066</v>
      </c>
      <c r="B785" s="2" t="s">
        <v>1157</v>
      </c>
      <c r="C785" s="2" t="s">
        <v>1150</v>
      </c>
      <c r="D785" s="2" t="s">
        <v>10</v>
      </c>
      <c r="E785" s="2" t="s">
        <v>11</v>
      </c>
      <c r="F785" s="2">
        <v>2</v>
      </c>
      <c r="G785" s="2" t="s">
        <v>1069</v>
      </c>
    </row>
    <row r="786" spans="1:7" x14ac:dyDescent="0.2">
      <c r="A786" s="2" t="s">
        <v>1066</v>
      </c>
      <c r="B786" s="2" t="s">
        <v>1158</v>
      </c>
      <c r="C786" s="2" t="s">
        <v>1159</v>
      </c>
      <c r="D786" s="2" t="s">
        <v>10</v>
      </c>
      <c r="E786" s="2" t="s">
        <v>11</v>
      </c>
      <c r="F786" s="2">
        <v>2</v>
      </c>
      <c r="G786" s="2" t="s">
        <v>1069</v>
      </c>
    </row>
    <row r="787" spans="1:7" x14ac:dyDescent="0.2">
      <c r="A787" s="2" t="s">
        <v>1066</v>
      </c>
      <c r="B787" s="2" t="s">
        <v>1160</v>
      </c>
      <c r="C787" s="2" t="s">
        <v>1150</v>
      </c>
      <c r="D787" s="2" t="s">
        <v>10</v>
      </c>
      <c r="E787" s="2" t="s">
        <v>11</v>
      </c>
      <c r="F787" s="2">
        <v>2</v>
      </c>
      <c r="G787" s="2" t="s">
        <v>1069</v>
      </c>
    </row>
    <row r="788" spans="1:7" x14ac:dyDescent="0.2">
      <c r="A788" s="2" t="s">
        <v>1066</v>
      </c>
      <c r="B788" s="2" t="s">
        <v>1161</v>
      </c>
      <c r="C788" s="2" t="s">
        <v>1159</v>
      </c>
      <c r="D788" s="2" t="s">
        <v>10</v>
      </c>
      <c r="E788" s="2" t="s">
        <v>11</v>
      </c>
      <c r="F788" s="2">
        <v>2</v>
      </c>
      <c r="G788" s="2" t="s">
        <v>1069</v>
      </c>
    </row>
    <row r="789" spans="1:7" x14ac:dyDescent="0.2">
      <c r="A789" s="2" t="s">
        <v>1066</v>
      </c>
      <c r="B789" s="2" t="s">
        <v>1162</v>
      </c>
      <c r="C789" s="2" t="s">
        <v>1150</v>
      </c>
      <c r="D789" s="2" t="s">
        <v>10</v>
      </c>
      <c r="E789" s="2" t="s">
        <v>11</v>
      </c>
      <c r="F789" s="2">
        <v>2</v>
      </c>
      <c r="G789" s="2" t="s">
        <v>1069</v>
      </c>
    </row>
    <row r="790" spans="1:7" x14ac:dyDescent="0.2">
      <c r="A790" s="2" t="s">
        <v>1066</v>
      </c>
      <c r="B790" s="2" t="s">
        <v>1163</v>
      </c>
      <c r="C790" s="2" t="s">
        <v>1159</v>
      </c>
      <c r="D790" s="2" t="s">
        <v>10</v>
      </c>
      <c r="E790" s="2" t="s">
        <v>11</v>
      </c>
      <c r="F790" s="2">
        <v>2</v>
      </c>
      <c r="G790" s="2" t="s">
        <v>1069</v>
      </c>
    </row>
    <row r="791" spans="1:7" x14ac:dyDescent="0.2">
      <c r="A791" s="2" t="s">
        <v>1066</v>
      </c>
      <c r="B791" s="2" t="s">
        <v>1164</v>
      </c>
      <c r="C791" s="2" t="s">
        <v>1165</v>
      </c>
      <c r="D791" s="2" t="s">
        <v>10</v>
      </c>
      <c r="E791" s="2" t="s">
        <v>11</v>
      </c>
      <c r="F791" s="2">
        <v>2</v>
      </c>
      <c r="G791" s="2" t="s">
        <v>1069</v>
      </c>
    </row>
    <row r="792" spans="1:7" x14ac:dyDescent="0.2">
      <c r="A792" s="2" t="s">
        <v>1066</v>
      </c>
      <c r="B792" s="2" t="s">
        <v>1166</v>
      </c>
      <c r="C792" s="2" t="s">
        <v>1165</v>
      </c>
      <c r="D792" s="2" t="s">
        <v>10</v>
      </c>
      <c r="E792" s="2" t="s">
        <v>11</v>
      </c>
      <c r="F792" s="2">
        <v>2</v>
      </c>
      <c r="G792" s="2" t="s">
        <v>1069</v>
      </c>
    </row>
    <row r="793" spans="1:7" x14ac:dyDescent="0.2">
      <c r="A793" s="2" t="s">
        <v>1066</v>
      </c>
      <c r="B793" s="2" t="s">
        <v>1167</v>
      </c>
      <c r="C793" s="2" t="s">
        <v>1168</v>
      </c>
      <c r="D793" s="2" t="s">
        <v>10</v>
      </c>
      <c r="E793" s="2" t="s">
        <v>11</v>
      </c>
      <c r="F793" s="2">
        <v>2</v>
      </c>
      <c r="G793" s="2" t="s">
        <v>1069</v>
      </c>
    </row>
    <row r="794" spans="1:7" x14ac:dyDescent="0.2">
      <c r="A794" s="2" t="s">
        <v>1066</v>
      </c>
      <c r="B794" s="2" t="s">
        <v>1169</v>
      </c>
      <c r="C794" s="2" t="s">
        <v>1107</v>
      </c>
      <c r="D794" s="2" t="s">
        <v>10</v>
      </c>
      <c r="E794" s="2" t="s">
        <v>11</v>
      </c>
      <c r="F794" s="2">
        <v>2</v>
      </c>
      <c r="G794" s="2" t="s">
        <v>12</v>
      </c>
    </row>
    <row r="795" spans="1:7" x14ac:dyDescent="0.2">
      <c r="A795" s="2" t="s">
        <v>1066</v>
      </c>
      <c r="B795" s="2" t="s">
        <v>1170</v>
      </c>
      <c r="C795" s="2" t="s">
        <v>1104</v>
      </c>
      <c r="D795" s="2" t="s">
        <v>10</v>
      </c>
      <c r="E795" s="2" t="s">
        <v>11</v>
      </c>
      <c r="F795" s="2">
        <v>2</v>
      </c>
      <c r="G795" s="2" t="s">
        <v>12</v>
      </c>
    </row>
    <row r="796" spans="1:7" x14ac:dyDescent="0.2">
      <c r="A796" s="2" t="s">
        <v>1066</v>
      </c>
      <c r="B796" s="2" t="s">
        <v>1171</v>
      </c>
      <c r="C796" s="2" t="s">
        <v>1104</v>
      </c>
      <c r="D796" s="2" t="s">
        <v>10</v>
      </c>
      <c r="E796" s="2" t="s">
        <v>11</v>
      </c>
      <c r="F796" s="2">
        <v>2</v>
      </c>
      <c r="G796" s="2" t="s">
        <v>12</v>
      </c>
    </row>
    <row r="797" spans="1:7" x14ac:dyDescent="0.2">
      <c r="A797" s="2" t="s">
        <v>1066</v>
      </c>
      <c r="B797" s="2" t="s">
        <v>1172</v>
      </c>
      <c r="C797" s="2" t="s">
        <v>1109</v>
      </c>
      <c r="D797" s="2" t="s">
        <v>10</v>
      </c>
      <c r="E797" s="2" t="s">
        <v>11</v>
      </c>
      <c r="F797" s="2">
        <v>2</v>
      </c>
      <c r="G797" s="2" t="s">
        <v>12</v>
      </c>
    </row>
    <row r="798" spans="1:7" x14ac:dyDescent="0.2">
      <c r="A798" s="2" t="s">
        <v>1066</v>
      </c>
      <c r="B798" s="2" t="s">
        <v>1173</v>
      </c>
      <c r="C798" s="2" t="s">
        <v>1174</v>
      </c>
      <c r="D798" s="2" t="s">
        <v>10</v>
      </c>
      <c r="E798" s="2" t="s">
        <v>11</v>
      </c>
      <c r="F798" s="2">
        <v>2</v>
      </c>
      <c r="G798" s="2" t="s">
        <v>12</v>
      </c>
    </row>
    <row r="799" spans="1:7" x14ac:dyDescent="0.2">
      <c r="A799" s="2" t="s">
        <v>1066</v>
      </c>
      <c r="B799" s="2" t="s">
        <v>1175</v>
      </c>
      <c r="C799" s="2" t="s">
        <v>1068</v>
      </c>
      <c r="D799" s="2" t="s">
        <v>10</v>
      </c>
      <c r="E799" s="2" t="s">
        <v>11</v>
      </c>
      <c r="F799" s="2">
        <v>2</v>
      </c>
      <c r="G799" s="2" t="s">
        <v>1069</v>
      </c>
    </row>
    <row r="800" spans="1:7" x14ac:dyDescent="0.2">
      <c r="A800" s="2" t="s">
        <v>1066</v>
      </c>
      <c r="B800" s="2" t="s">
        <v>1176</v>
      </c>
      <c r="C800" s="2" t="s">
        <v>1177</v>
      </c>
      <c r="D800" s="2" t="s">
        <v>10</v>
      </c>
      <c r="E800" s="2" t="s">
        <v>11</v>
      </c>
      <c r="F800" s="2">
        <v>2</v>
      </c>
      <c r="G800" s="2" t="s">
        <v>1069</v>
      </c>
    </row>
    <row r="801" spans="1:7" x14ac:dyDescent="0.2">
      <c r="A801" s="2" t="s">
        <v>1066</v>
      </c>
      <c r="B801" s="2" t="s">
        <v>1178</v>
      </c>
      <c r="C801" s="2" t="s">
        <v>1112</v>
      </c>
      <c r="D801" s="2" t="s">
        <v>10</v>
      </c>
      <c r="E801" s="2" t="s">
        <v>11</v>
      </c>
      <c r="F801" s="2">
        <v>4</v>
      </c>
      <c r="G801" s="2" t="s">
        <v>1069</v>
      </c>
    </row>
    <row r="802" spans="1:7" x14ac:dyDescent="0.2">
      <c r="A802" s="2" t="s">
        <v>1066</v>
      </c>
      <c r="B802" s="2" t="s">
        <v>1179</v>
      </c>
      <c r="C802" s="2" t="s">
        <v>1114</v>
      </c>
      <c r="D802" s="2" t="s">
        <v>10</v>
      </c>
      <c r="E802" s="2" t="s">
        <v>11</v>
      </c>
      <c r="F802" s="2">
        <v>4</v>
      </c>
      <c r="G802" s="2" t="s">
        <v>1069</v>
      </c>
    </row>
    <row r="803" spans="1:7" x14ac:dyDescent="0.2">
      <c r="A803" s="2" t="s">
        <v>1066</v>
      </c>
      <c r="B803" s="2" t="s">
        <v>1180</v>
      </c>
      <c r="C803" s="2" t="s">
        <v>1116</v>
      </c>
      <c r="D803" s="2" t="s">
        <v>10</v>
      </c>
      <c r="E803" s="2" t="s">
        <v>11</v>
      </c>
      <c r="F803" s="2">
        <v>4</v>
      </c>
      <c r="G803" s="2" t="s">
        <v>1069</v>
      </c>
    </row>
    <row r="804" spans="1:7" x14ac:dyDescent="0.2">
      <c r="A804" s="2" t="s">
        <v>1066</v>
      </c>
      <c r="B804" s="2" t="s">
        <v>1181</v>
      </c>
      <c r="C804" s="2" t="s">
        <v>1118</v>
      </c>
      <c r="D804" s="2" t="s">
        <v>10</v>
      </c>
      <c r="E804" s="2" t="s">
        <v>11</v>
      </c>
      <c r="F804" s="2">
        <v>4</v>
      </c>
      <c r="G804" s="2" t="s">
        <v>1069</v>
      </c>
    </row>
    <row r="805" spans="1:7" x14ac:dyDescent="0.2">
      <c r="A805" s="2" t="s">
        <v>1066</v>
      </c>
      <c r="B805" s="2" t="s">
        <v>1182</v>
      </c>
      <c r="C805" s="2" t="s">
        <v>1120</v>
      </c>
      <c r="D805" s="2" t="s">
        <v>10</v>
      </c>
      <c r="E805" s="2" t="s">
        <v>11</v>
      </c>
      <c r="F805" s="2">
        <v>4</v>
      </c>
      <c r="G805" s="2" t="s">
        <v>1121</v>
      </c>
    </row>
    <row r="806" spans="1:7" x14ac:dyDescent="0.2">
      <c r="A806" s="2" t="s">
        <v>1066</v>
      </c>
      <c r="B806" s="2" t="s">
        <v>1183</v>
      </c>
      <c r="C806" s="2" t="s">
        <v>1165</v>
      </c>
      <c r="D806" s="2" t="s">
        <v>10</v>
      </c>
      <c r="E806" s="2" t="s">
        <v>11</v>
      </c>
      <c r="F806" s="2">
        <v>2</v>
      </c>
      <c r="G806" s="2" t="s">
        <v>1069</v>
      </c>
    </row>
    <row r="807" spans="1:7" x14ac:dyDescent="0.2">
      <c r="A807" s="2" t="s">
        <v>1066</v>
      </c>
      <c r="B807" s="2" t="s">
        <v>1184</v>
      </c>
      <c r="C807" s="2" t="s">
        <v>1168</v>
      </c>
      <c r="D807" s="2" t="s">
        <v>10</v>
      </c>
      <c r="E807" s="2" t="s">
        <v>11</v>
      </c>
      <c r="F807" s="2">
        <v>2</v>
      </c>
      <c r="G807" s="2" t="s">
        <v>1069</v>
      </c>
    </row>
    <row r="808" spans="1:7" x14ac:dyDescent="0.2">
      <c r="A808" s="2" t="s">
        <v>1066</v>
      </c>
      <c r="B808" s="2" t="s">
        <v>1185</v>
      </c>
      <c r="C808" s="2" t="s">
        <v>1168</v>
      </c>
      <c r="D808" s="2" t="s">
        <v>10</v>
      </c>
      <c r="E808" s="2" t="s">
        <v>11</v>
      </c>
      <c r="F808" s="2">
        <v>2</v>
      </c>
      <c r="G808" s="2" t="s">
        <v>1069</v>
      </c>
    </row>
    <row r="809" spans="1:7" x14ac:dyDescent="0.2">
      <c r="A809" s="2" t="s">
        <v>1066</v>
      </c>
      <c r="B809" s="2" t="s">
        <v>1186</v>
      </c>
      <c r="C809" s="2" t="s">
        <v>1165</v>
      </c>
      <c r="D809" s="2" t="s">
        <v>10</v>
      </c>
      <c r="E809" s="2" t="s">
        <v>11</v>
      </c>
      <c r="F809" s="2">
        <v>2</v>
      </c>
      <c r="G809" s="2" t="s">
        <v>1069</v>
      </c>
    </row>
    <row r="810" spans="1:7" x14ac:dyDescent="0.2">
      <c r="A810" s="2" t="s">
        <v>1066</v>
      </c>
      <c r="B810" s="2" t="s">
        <v>1187</v>
      </c>
      <c r="C810" s="2" t="s">
        <v>1147</v>
      </c>
      <c r="D810" s="2" t="s">
        <v>10</v>
      </c>
      <c r="E810" s="2" t="s">
        <v>11</v>
      </c>
      <c r="F810" s="2">
        <v>2</v>
      </c>
      <c r="G810" s="2" t="s">
        <v>1069</v>
      </c>
    </row>
    <row r="811" spans="1:7" x14ac:dyDescent="0.2">
      <c r="A811" s="2" t="s">
        <v>1066</v>
      </c>
      <c r="B811" s="2" t="s">
        <v>1188</v>
      </c>
      <c r="C811" s="2" t="s">
        <v>1147</v>
      </c>
      <c r="D811" s="2" t="s">
        <v>10</v>
      </c>
      <c r="E811" s="2" t="s">
        <v>11</v>
      </c>
      <c r="F811" s="2">
        <v>2</v>
      </c>
      <c r="G811" s="2" t="s">
        <v>1069</v>
      </c>
    </row>
    <row r="812" spans="1:7" x14ac:dyDescent="0.2">
      <c r="A812" s="2" t="s">
        <v>1066</v>
      </c>
      <c r="B812" s="2" t="s">
        <v>1189</v>
      </c>
      <c r="C812" s="2" t="s">
        <v>1147</v>
      </c>
      <c r="D812" s="2" t="s">
        <v>10</v>
      </c>
      <c r="E812" s="2" t="s">
        <v>11</v>
      </c>
      <c r="F812" s="2">
        <v>2</v>
      </c>
      <c r="G812" s="2" t="s">
        <v>1069</v>
      </c>
    </row>
    <row r="813" spans="1:7" x14ac:dyDescent="0.2">
      <c r="A813" s="2" t="s">
        <v>1066</v>
      </c>
      <c r="B813" s="2" t="s">
        <v>1190</v>
      </c>
      <c r="C813" s="2" t="s">
        <v>1191</v>
      </c>
      <c r="D813" s="2" t="s">
        <v>10</v>
      </c>
      <c r="E813" s="2" t="s">
        <v>52</v>
      </c>
      <c r="F813" s="2">
        <v>2</v>
      </c>
      <c r="G813" s="2" t="s">
        <v>12</v>
      </c>
    </row>
    <row r="814" spans="1:7" x14ac:dyDescent="0.2">
      <c r="A814" s="2" t="s">
        <v>1192</v>
      </c>
      <c r="B814" s="2" t="s">
        <v>1193</v>
      </c>
      <c r="C814" s="2" t="s">
        <v>1194</v>
      </c>
      <c r="D814" s="2" t="s">
        <v>56</v>
      </c>
      <c r="E814" s="2" t="s">
        <v>52</v>
      </c>
      <c r="F814" s="2">
        <v>2</v>
      </c>
      <c r="G814" s="2" t="s">
        <v>17</v>
      </c>
    </row>
    <row r="815" spans="1:7" x14ac:dyDescent="0.2">
      <c r="A815" s="2" t="s">
        <v>1192</v>
      </c>
      <c r="B815" s="2" t="s">
        <v>1195</v>
      </c>
      <c r="C815" s="2" t="s">
        <v>1196</v>
      </c>
      <c r="D815" s="2" t="s">
        <v>56</v>
      </c>
      <c r="E815" s="2" t="s">
        <v>52</v>
      </c>
      <c r="F815" s="2">
        <v>2</v>
      </c>
      <c r="G815" s="2" t="s">
        <v>17</v>
      </c>
    </row>
    <row r="816" spans="1:7" x14ac:dyDescent="0.2">
      <c r="A816" s="2" t="s">
        <v>1192</v>
      </c>
      <c r="B816" s="2" t="s">
        <v>676</v>
      </c>
      <c r="C816" s="2" t="s">
        <v>1196</v>
      </c>
      <c r="D816" s="2" t="s">
        <v>56</v>
      </c>
      <c r="E816" s="2" t="s">
        <v>52</v>
      </c>
      <c r="F816" s="2">
        <v>2</v>
      </c>
      <c r="G816" s="2" t="s">
        <v>17</v>
      </c>
    </row>
    <row r="817" spans="1:7" x14ac:dyDescent="0.2">
      <c r="A817" s="2" t="s">
        <v>1192</v>
      </c>
      <c r="B817" s="2" t="s">
        <v>1197</v>
      </c>
      <c r="C817" s="2" t="s">
        <v>1196</v>
      </c>
      <c r="D817" s="2" t="s">
        <v>56</v>
      </c>
      <c r="E817" s="2" t="s">
        <v>52</v>
      </c>
      <c r="F817" s="2">
        <v>2</v>
      </c>
      <c r="G817" s="2" t="s">
        <v>17</v>
      </c>
    </row>
    <row r="818" spans="1:7" x14ac:dyDescent="0.2">
      <c r="A818" s="2" t="s">
        <v>1192</v>
      </c>
      <c r="B818" s="2" t="s">
        <v>1198</v>
      </c>
      <c r="C818" s="2" t="s">
        <v>1199</v>
      </c>
      <c r="D818" s="2" t="s">
        <v>56</v>
      </c>
      <c r="E818" s="2" t="s">
        <v>52</v>
      </c>
      <c r="F818" s="2">
        <v>2</v>
      </c>
      <c r="G818" s="2" t="s">
        <v>12</v>
      </c>
    </row>
    <row r="819" spans="1:7" x14ac:dyDescent="0.2">
      <c r="A819" s="2" t="s">
        <v>1192</v>
      </c>
      <c r="B819" s="2" t="s">
        <v>606</v>
      </c>
      <c r="C819" s="2" t="s">
        <v>605</v>
      </c>
      <c r="D819" s="2" t="s">
        <v>56</v>
      </c>
      <c r="E819" s="2" t="s">
        <v>52</v>
      </c>
      <c r="F819" s="2">
        <v>1</v>
      </c>
      <c r="G819" s="2" t="s">
        <v>17</v>
      </c>
    </row>
    <row r="820" spans="1:7" x14ac:dyDescent="0.2">
      <c r="A820" s="2" t="s">
        <v>1192</v>
      </c>
      <c r="B820" s="2" t="s">
        <v>607</v>
      </c>
      <c r="C820" s="2" t="s">
        <v>605</v>
      </c>
      <c r="D820" s="2" t="s">
        <v>56</v>
      </c>
      <c r="E820" s="2" t="s">
        <v>52</v>
      </c>
      <c r="F820" s="2">
        <v>1</v>
      </c>
      <c r="G820" s="2" t="s">
        <v>17</v>
      </c>
    </row>
    <row r="821" spans="1:7" x14ac:dyDescent="0.2">
      <c r="A821" s="2" t="s">
        <v>1192</v>
      </c>
      <c r="B821" s="2" t="s">
        <v>619</v>
      </c>
      <c r="C821" s="2" t="s">
        <v>605</v>
      </c>
      <c r="D821" s="2" t="s">
        <v>56</v>
      </c>
      <c r="E821" s="2" t="s">
        <v>52</v>
      </c>
      <c r="F821" s="2">
        <v>1</v>
      </c>
      <c r="G821" s="2" t="s">
        <v>17</v>
      </c>
    </row>
    <row r="822" spans="1:7" x14ac:dyDescent="0.2">
      <c r="A822" s="2" t="s">
        <v>1192</v>
      </c>
      <c r="B822" s="2" t="s">
        <v>636</v>
      </c>
      <c r="C822" s="2" t="s">
        <v>605</v>
      </c>
      <c r="D822" s="2" t="s">
        <v>56</v>
      </c>
      <c r="E822" s="2" t="s">
        <v>52</v>
      </c>
      <c r="F822" s="2">
        <v>1</v>
      </c>
      <c r="G822" s="2" t="s">
        <v>17</v>
      </c>
    </row>
    <row r="823" spans="1:7" x14ac:dyDescent="0.2">
      <c r="A823" s="2" t="s">
        <v>1192</v>
      </c>
      <c r="B823" s="2" t="s">
        <v>674</v>
      </c>
      <c r="C823" s="2" t="s">
        <v>605</v>
      </c>
      <c r="D823" s="2" t="s">
        <v>56</v>
      </c>
      <c r="E823" s="2" t="s">
        <v>52</v>
      </c>
      <c r="F823" s="2">
        <v>1</v>
      </c>
      <c r="G823" s="2" t="s">
        <v>17</v>
      </c>
    </row>
    <row r="824" spans="1:7" x14ac:dyDescent="0.2">
      <c r="A824" s="2" t="s">
        <v>1192</v>
      </c>
      <c r="B824" s="2" t="s">
        <v>1200</v>
      </c>
      <c r="C824" s="2" t="s">
        <v>605</v>
      </c>
      <c r="D824" s="2" t="s">
        <v>56</v>
      </c>
      <c r="E824" s="2" t="s">
        <v>52</v>
      </c>
      <c r="F824" s="2">
        <v>1</v>
      </c>
      <c r="G824" s="2" t="s">
        <v>17</v>
      </c>
    </row>
    <row r="825" spans="1:7" x14ac:dyDescent="0.2">
      <c r="A825" s="2" t="s">
        <v>1192</v>
      </c>
      <c r="B825" s="2" t="s">
        <v>608</v>
      </c>
      <c r="C825" s="2" t="s">
        <v>609</v>
      </c>
      <c r="D825" s="2" t="s">
        <v>56</v>
      </c>
      <c r="E825" s="2" t="s">
        <v>52</v>
      </c>
      <c r="F825" s="2">
        <v>2</v>
      </c>
      <c r="G825" s="2" t="s">
        <v>17</v>
      </c>
    </row>
    <row r="826" spans="1:7" x14ac:dyDescent="0.2">
      <c r="A826" s="2" t="s">
        <v>1192</v>
      </c>
      <c r="B826" s="2" t="s">
        <v>637</v>
      </c>
      <c r="C826" s="2" t="s">
        <v>609</v>
      </c>
      <c r="D826" s="2" t="s">
        <v>56</v>
      </c>
      <c r="E826" s="2" t="s">
        <v>52</v>
      </c>
      <c r="F826" s="2">
        <v>2</v>
      </c>
      <c r="G826" s="2" t="s">
        <v>17</v>
      </c>
    </row>
    <row r="827" spans="1:7" x14ac:dyDescent="0.2">
      <c r="A827" s="2" t="s">
        <v>1192</v>
      </c>
      <c r="B827" s="2" t="s">
        <v>1201</v>
      </c>
      <c r="C827" s="2" t="s">
        <v>1202</v>
      </c>
      <c r="D827" s="2" t="s">
        <v>56</v>
      </c>
      <c r="E827" s="2" t="s">
        <v>52</v>
      </c>
      <c r="F827" s="2">
        <v>1</v>
      </c>
      <c r="G827" s="2" t="s">
        <v>17</v>
      </c>
    </row>
    <row r="828" spans="1:7" x14ac:dyDescent="0.2">
      <c r="A828" s="2" t="s">
        <v>1192</v>
      </c>
      <c r="B828" s="2" t="s">
        <v>611</v>
      </c>
      <c r="C828" s="2" t="s">
        <v>612</v>
      </c>
      <c r="D828" s="2" t="s">
        <v>56</v>
      </c>
      <c r="E828" s="2" t="s">
        <v>52</v>
      </c>
      <c r="F828" s="2">
        <v>2</v>
      </c>
      <c r="G828" s="2" t="s">
        <v>17</v>
      </c>
    </row>
    <row r="829" spans="1:7" x14ac:dyDescent="0.2">
      <c r="A829" s="2" t="s">
        <v>1192</v>
      </c>
      <c r="B829" s="2" t="s">
        <v>621</v>
      </c>
      <c r="C829" s="2" t="s">
        <v>612</v>
      </c>
      <c r="D829" s="2" t="s">
        <v>56</v>
      </c>
      <c r="E829" s="2" t="s">
        <v>52</v>
      </c>
      <c r="F829" s="2">
        <v>2</v>
      </c>
      <c r="G829" s="2" t="s">
        <v>17</v>
      </c>
    </row>
    <row r="830" spans="1:7" x14ac:dyDescent="0.2">
      <c r="A830" s="2" t="s">
        <v>1192</v>
      </c>
      <c r="B830" s="2" t="s">
        <v>1203</v>
      </c>
      <c r="C830" s="2" t="s">
        <v>612</v>
      </c>
      <c r="D830" s="2" t="s">
        <v>56</v>
      </c>
      <c r="E830" s="2" t="s">
        <v>52</v>
      </c>
      <c r="F830" s="2">
        <v>2</v>
      </c>
      <c r="G830" s="2" t="s">
        <v>17</v>
      </c>
    </row>
    <row r="831" spans="1:7" x14ac:dyDescent="0.2">
      <c r="A831" s="2" t="s">
        <v>1192</v>
      </c>
      <c r="B831" s="2" t="s">
        <v>652</v>
      </c>
      <c r="C831" s="2" t="s">
        <v>612</v>
      </c>
      <c r="D831" s="2" t="s">
        <v>56</v>
      </c>
      <c r="E831" s="2" t="s">
        <v>52</v>
      </c>
      <c r="F831" s="2">
        <v>2</v>
      </c>
      <c r="G831" s="2" t="s">
        <v>17</v>
      </c>
    </row>
    <row r="832" spans="1:7" x14ac:dyDescent="0.2">
      <c r="A832" s="2" t="s">
        <v>1192</v>
      </c>
      <c r="B832" s="2" t="s">
        <v>1204</v>
      </c>
      <c r="C832" s="2" t="s">
        <v>1205</v>
      </c>
      <c r="D832" s="2" t="s">
        <v>56</v>
      </c>
      <c r="E832" s="2" t="s">
        <v>52</v>
      </c>
      <c r="F832" s="2">
        <v>2</v>
      </c>
      <c r="G832" s="2" t="s">
        <v>17</v>
      </c>
    </row>
    <row r="833" spans="1:7" x14ac:dyDescent="0.2">
      <c r="A833" s="2" t="s">
        <v>1192</v>
      </c>
      <c r="B833" s="2" t="s">
        <v>1206</v>
      </c>
      <c r="C833" s="2" t="s">
        <v>1207</v>
      </c>
      <c r="D833" s="2" t="s">
        <v>56</v>
      </c>
      <c r="E833" s="2" t="s">
        <v>52</v>
      </c>
      <c r="F833" s="2">
        <v>2</v>
      </c>
      <c r="G833" s="2" t="s">
        <v>17</v>
      </c>
    </row>
    <row r="834" spans="1:7" x14ac:dyDescent="0.2">
      <c r="A834" s="2" t="s">
        <v>1192</v>
      </c>
      <c r="B834" s="2" t="s">
        <v>1208</v>
      </c>
      <c r="C834" s="2" t="s">
        <v>1207</v>
      </c>
      <c r="D834" s="2" t="s">
        <v>56</v>
      </c>
      <c r="E834" s="2" t="s">
        <v>52</v>
      </c>
      <c r="F834" s="2">
        <v>2</v>
      </c>
      <c r="G834" s="2" t="s">
        <v>17</v>
      </c>
    </row>
    <row r="835" spans="1:7" x14ac:dyDescent="0.2">
      <c r="A835" s="2" t="s">
        <v>1192</v>
      </c>
      <c r="B835" s="2" t="s">
        <v>1209</v>
      </c>
      <c r="C835" s="2" t="s">
        <v>1210</v>
      </c>
      <c r="D835" s="2" t="s">
        <v>56</v>
      </c>
      <c r="E835" s="2" t="s">
        <v>52</v>
      </c>
      <c r="F835" s="2">
        <v>1</v>
      </c>
      <c r="G835" s="2" t="s">
        <v>17</v>
      </c>
    </row>
    <row r="836" spans="1:7" x14ac:dyDescent="0.2">
      <c r="A836" s="2" t="s">
        <v>1192</v>
      </c>
      <c r="B836" s="2" t="s">
        <v>1211</v>
      </c>
      <c r="C836" s="2" t="s">
        <v>1210</v>
      </c>
      <c r="D836" s="2" t="s">
        <v>56</v>
      </c>
      <c r="E836" s="2" t="s">
        <v>52</v>
      </c>
      <c r="F836" s="2">
        <v>1</v>
      </c>
      <c r="G836" s="2" t="s">
        <v>17</v>
      </c>
    </row>
    <row r="837" spans="1:7" x14ac:dyDescent="0.2">
      <c r="A837" s="2" t="s">
        <v>1192</v>
      </c>
      <c r="B837" s="2" t="s">
        <v>595</v>
      </c>
      <c r="C837" s="2" t="s">
        <v>593</v>
      </c>
      <c r="D837" s="2" t="s">
        <v>56</v>
      </c>
      <c r="E837" s="2" t="s">
        <v>52</v>
      </c>
      <c r="F837" s="2">
        <v>2</v>
      </c>
      <c r="G837" s="2" t="s">
        <v>12</v>
      </c>
    </row>
    <row r="838" spans="1:7" x14ac:dyDescent="0.2">
      <c r="A838" s="2" t="s">
        <v>1192</v>
      </c>
      <c r="B838" s="2" t="s">
        <v>1212</v>
      </c>
      <c r="C838" s="2" t="s">
        <v>593</v>
      </c>
      <c r="D838" s="2" t="s">
        <v>56</v>
      </c>
      <c r="E838" s="2" t="s">
        <v>52</v>
      </c>
      <c r="F838" s="2">
        <v>2</v>
      </c>
      <c r="G838" s="2" t="s">
        <v>12</v>
      </c>
    </row>
    <row r="839" spans="1:7" x14ac:dyDescent="0.2">
      <c r="A839" s="2" t="s">
        <v>1192</v>
      </c>
      <c r="B839" s="2" t="s">
        <v>672</v>
      </c>
      <c r="C839" s="2" t="s">
        <v>593</v>
      </c>
      <c r="D839" s="2" t="s">
        <v>56</v>
      </c>
      <c r="E839" s="2" t="s">
        <v>52</v>
      </c>
      <c r="F839" s="2">
        <v>2</v>
      </c>
      <c r="G839" s="2" t="s">
        <v>12</v>
      </c>
    </row>
    <row r="840" spans="1:7" x14ac:dyDescent="0.2">
      <c r="A840" s="2" t="s">
        <v>1192</v>
      </c>
      <c r="B840" s="2" t="s">
        <v>88</v>
      </c>
      <c r="C840" s="2" t="s">
        <v>593</v>
      </c>
      <c r="D840" s="2" t="s">
        <v>56</v>
      </c>
      <c r="E840" s="2" t="s">
        <v>52</v>
      </c>
      <c r="F840" s="2">
        <v>2</v>
      </c>
      <c r="G840" s="2" t="s">
        <v>12</v>
      </c>
    </row>
    <row r="841" spans="1:7" x14ac:dyDescent="0.2">
      <c r="A841" s="2" t="s">
        <v>1192</v>
      </c>
      <c r="B841" s="2" t="s">
        <v>1213</v>
      </c>
      <c r="C841" s="2" t="s">
        <v>1199</v>
      </c>
      <c r="D841" s="2" t="s">
        <v>56</v>
      </c>
      <c r="E841" s="2" t="s">
        <v>52</v>
      </c>
      <c r="F841" s="2">
        <v>2</v>
      </c>
      <c r="G841" s="2" t="s">
        <v>12</v>
      </c>
    </row>
    <row r="842" spans="1:7" x14ac:dyDescent="0.2">
      <c r="A842" s="2" t="s">
        <v>1192</v>
      </c>
      <c r="B842" s="2" t="s">
        <v>1214</v>
      </c>
      <c r="C842" s="2" t="s">
        <v>1199</v>
      </c>
      <c r="D842" s="2" t="s">
        <v>56</v>
      </c>
      <c r="E842" s="2" t="s">
        <v>52</v>
      </c>
      <c r="F842" s="2">
        <v>2</v>
      </c>
      <c r="G842" s="2" t="s">
        <v>12</v>
      </c>
    </row>
    <row r="843" spans="1:7" x14ac:dyDescent="0.2">
      <c r="A843" s="2" t="s">
        <v>1192</v>
      </c>
      <c r="B843" s="2" t="s">
        <v>1215</v>
      </c>
      <c r="C843" s="2" t="s">
        <v>1199</v>
      </c>
      <c r="D843" s="2" t="s">
        <v>56</v>
      </c>
      <c r="E843" s="2" t="s">
        <v>52</v>
      </c>
      <c r="F843" s="2">
        <v>2</v>
      </c>
      <c r="G843" s="2" t="s">
        <v>12</v>
      </c>
    </row>
    <row r="844" spans="1:7" x14ac:dyDescent="0.2">
      <c r="A844" s="2" t="s">
        <v>1192</v>
      </c>
      <c r="B844" s="2" t="s">
        <v>1216</v>
      </c>
      <c r="C844" s="2" t="s">
        <v>1210</v>
      </c>
      <c r="D844" s="2" t="s">
        <v>56</v>
      </c>
      <c r="E844" s="2" t="s">
        <v>52</v>
      </c>
      <c r="F844" s="2">
        <v>1</v>
      </c>
      <c r="G844" s="2" t="s">
        <v>17</v>
      </c>
    </row>
    <row r="845" spans="1:7" x14ac:dyDescent="0.2">
      <c r="A845" s="2" t="s">
        <v>1192</v>
      </c>
      <c r="B845" s="2" t="s">
        <v>1217</v>
      </c>
      <c r="C845" s="2" t="s">
        <v>605</v>
      </c>
      <c r="D845" s="2" t="s">
        <v>56</v>
      </c>
      <c r="E845" s="2" t="s">
        <v>52</v>
      </c>
      <c r="F845" s="2">
        <v>1</v>
      </c>
      <c r="G845" s="2" t="s">
        <v>17</v>
      </c>
    </row>
    <row r="846" spans="1:7" x14ac:dyDescent="0.2">
      <c r="A846" s="2" t="s">
        <v>1192</v>
      </c>
      <c r="B846" s="2" t="s">
        <v>1218</v>
      </c>
      <c r="C846" s="2" t="s">
        <v>605</v>
      </c>
      <c r="D846" s="2" t="s">
        <v>56</v>
      </c>
      <c r="E846" s="2" t="s">
        <v>52</v>
      </c>
      <c r="F846" s="2">
        <v>1</v>
      </c>
      <c r="G846" s="2" t="s">
        <v>17</v>
      </c>
    </row>
    <row r="847" spans="1:7" x14ac:dyDescent="0.2">
      <c r="A847" s="2" t="s">
        <v>1192</v>
      </c>
      <c r="B847" s="2" t="s">
        <v>1219</v>
      </c>
      <c r="C847" s="2" t="s">
        <v>605</v>
      </c>
      <c r="D847" s="2" t="s">
        <v>56</v>
      </c>
      <c r="E847" s="2" t="s">
        <v>52</v>
      </c>
      <c r="F847" s="2">
        <v>1</v>
      </c>
      <c r="G847" s="2" t="s">
        <v>17</v>
      </c>
    </row>
    <row r="848" spans="1:7" x14ac:dyDescent="0.2">
      <c r="A848" s="2" t="s">
        <v>1192</v>
      </c>
      <c r="B848" s="2" t="s">
        <v>1220</v>
      </c>
      <c r="C848" s="2" t="s">
        <v>1202</v>
      </c>
      <c r="D848" s="2" t="s">
        <v>56</v>
      </c>
      <c r="E848" s="2" t="s">
        <v>52</v>
      </c>
      <c r="F848" s="2">
        <v>1</v>
      </c>
      <c r="G848" s="2" t="s">
        <v>17</v>
      </c>
    </row>
    <row r="849" spans="1:7" x14ac:dyDescent="0.2">
      <c r="A849" s="2" t="s">
        <v>1192</v>
      </c>
      <c r="B849" s="2" t="s">
        <v>1221</v>
      </c>
      <c r="C849" s="2" t="s">
        <v>1207</v>
      </c>
      <c r="D849" s="2" t="s">
        <v>56</v>
      </c>
      <c r="E849" s="2" t="s">
        <v>52</v>
      </c>
      <c r="F849" s="2">
        <v>2</v>
      </c>
      <c r="G849" s="2" t="s">
        <v>17</v>
      </c>
    </row>
    <row r="850" spans="1:7" x14ac:dyDescent="0.2">
      <c r="A850" s="2" t="s">
        <v>1192</v>
      </c>
      <c r="B850" s="2" t="s">
        <v>1222</v>
      </c>
      <c r="C850" s="2" t="s">
        <v>1205</v>
      </c>
      <c r="D850" s="2" t="s">
        <v>56</v>
      </c>
      <c r="E850" s="2" t="s">
        <v>52</v>
      </c>
      <c r="F850" s="2">
        <v>2</v>
      </c>
      <c r="G850" s="2" t="s">
        <v>17</v>
      </c>
    </row>
    <row r="851" spans="1:7" x14ac:dyDescent="0.2">
      <c r="A851" s="2" t="s">
        <v>1192</v>
      </c>
      <c r="B851" s="2" t="s">
        <v>1223</v>
      </c>
      <c r="C851" s="2" t="s">
        <v>1199</v>
      </c>
      <c r="D851" s="2" t="s">
        <v>56</v>
      </c>
      <c r="E851" s="2" t="s">
        <v>52</v>
      </c>
      <c r="F851" s="2">
        <v>2</v>
      </c>
      <c r="G851" s="2" t="s">
        <v>12</v>
      </c>
    </row>
    <row r="852" spans="1:7" x14ac:dyDescent="0.2">
      <c r="A852" s="2" t="s">
        <v>1192</v>
      </c>
      <c r="B852" s="2" t="s">
        <v>1224</v>
      </c>
      <c r="C852" s="2" t="s">
        <v>1199</v>
      </c>
      <c r="D852" s="2" t="s">
        <v>56</v>
      </c>
      <c r="E852" s="2" t="s">
        <v>52</v>
      </c>
      <c r="F852" s="2">
        <v>2</v>
      </c>
      <c r="G852" s="2" t="s">
        <v>12</v>
      </c>
    </row>
    <row r="853" spans="1:7" x14ac:dyDescent="0.2">
      <c r="A853" s="2" t="s">
        <v>1192</v>
      </c>
      <c r="B853" s="2" t="s">
        <v>1225</v>
      </c>
      <c r="C853" s="2" t="s">
        <v>1207</v>
      </c>
      <c r="D853" s="2" t="s">
        <v>56</v>
      </c>
      <c r="E853" s="2" t="s">
        <v>52</v>
      </c>
      <c r="F853" s="2">
        <v>2</v>
      </c>
      <c r="G853" s="2" t="s">
        <v>17</v>
      </c>
    </row>
    <row r="854" spans="1:7" x14ac:dyDescent="0.2">
      <c r="A854" s="2" t="s">
        <v>1192</v>
      </c>
      <c r="B854" s="2" t="s">
        <v>1226</v>
      </c>
      <c r="C854" s="2" t="s">
        <v>1207</v>
      </c>
      <c r="D854" s="2" t="s">
        <v>56</v>
      </c>
      <c r="E854" s="2" t="s">
        <v>52</v>
      </c>
      <c r="F854" s="2">
        <v>2</v>
      </c>
      <c r="G854" s="2" t="s">
        <v>17</v>
      </c>
    </row>
    <row r="855" spans="1:7" x14ac:dyDescent="0.2">
      <c r="A855" s="2" t="s">
        <v>1192</v>
      </c>
      <c r="B855" s="2" t="s">
        <v>597</v>
      </c>
      <c r="C855" s="2" t="s">
        <v>593</v>
      </c>
      <c r="D855" s="2" t="s">
        <v>56</v>
      </c>
      <c r="E855" s="2" t="s">
        <v>52</v>
      </c>
      <c r="F855" s="2">
        <v>2</v>
      </c>
      <c r="G855" s="2" t="s">
        <v>12</v>
      </c>
    </row>
    <row r="856" spans="1:7" x14ac:dyDescent="0.2">
      <c r="A856" s="2" t="s">
        <v>1192</v>
      </c>
      <c r="B856" s="2" t="s">
        <v>1227</v>
      </c>
      <c r="C856" s="2" t="s">
        <v>1196</v>
      </c>
      <c r="D856" s="2" t="s">
        <v>56</v>
      </c>
      <c r="E856" s="2" t="s">
        <v>52</v>
      </c>
      <c r="F856" s="2">
        <v>2</v>
      </c>
      <c r="G856" s="2" t="s">
        <v>17</v>
      </c>
    </row>
    <row r="857" spans="1:7" x14ac:dyDescent="0.2">
      <c r="A857" s="2" t="s">
        <v>1228</v>
      </c>
      <c r="B857" s="2" t="s">
        <v>1229</v>
      </c>
      <c r="C857" s="2" t="s">
        <v>1230</v>
      </c>
      <c r="D857" s="2" t="s">
        <v>56</v>
      </c>
      <c r="E857" s="2" t="s">
        <v>52</v>
      </c>
      <c r="F857" s="2">
        <v>2</v>
      </c>
      <c r="G857" s="2" t="s">
        <v>12</v>
      </c>
    </row>
    <row r="858" spans="1:7" x14ac:dyDescent="0.2">
      <c r="A858" s="2" t="s">
        <v>1228</v>
      </c>
      <c r="B858" s="2" t="s">
        <v>1231</v>
      </c>
      <c r="C858" s="2" t="s">
        <v>1230</v>
      </c>
      <c r="D858" s="2" t="s">
        <v>56</v>
      </c>
      <c r="E858" s="2" t="s">
        <v>52</v>
      </c>
      <c r="F858" s="2">
        <v>2</v>
      </c>
      <c r="G858" s="2" t="s">
        <v>12</v>
      </c>
    </row>
    <row r="859" spans="1:7" x14ac:dyDescent="0.2">
      <c r="A859" s="2" t="s">
        <v>1228</v>
      </c>
      <c r="B859" s="2" t="s">
        <v>1232</v>
      </c>
      <c r="C859" s="2" t="s">
        <v>1230</v>
      </c>
      <c r="D859" s="2" t="s">
        <v>56</v>
      </c>
      <c r="E859" s="2" t="s">
        <v>52</v>
      </c>
      <c r="F859" s="2">
        <v>2</v>
      </c>
      <c r="G859" s="2" t="s">
        <v>12</v>
      </c>
    </row>
    <row r="860" spans="1:7" x14ac:dyDescent="0.2">
      <c r="A860" s="2" t="s">
        <v>1233</v>
      </c>
      <c r="B860" s="2" t="s">
        <v>1234</v>
      </c>
      <c r="C860" s="2" t="s">
        <v>1235</v>
      </c>
      <c r="D860" s="2" t="s">
        <v>56</v>
      </c>
      <c r="E860" s="2" t="s">
        <v>52</v>
      </c>
      <c r="F860" s="2">
        <v>2</v>
      </c>
      <c r="G860" s="2" t="s">
        <v>17</v>
      </c>
    </row>
    <row r="861" spans="1:7" x14ac:dyDescent="0.2">
      <c r="A861" s="2" t="s">
        <v>1233</v>
      </c>
      <c r="B861" s="2" t="s">
        <v>1236</v>
      </c>
      <c r="C861" s="2" t="s">
        <v>1235</v>
      </c>
      <c r="D861" s="2" t="s">
        <v>56</v>
      </c>
      <c r="E861" s="2" t="s">
        <v>52</v>
      </c>
      <c r="F861" s="2">
        <v>2</v>
      </c>
      <c r="G861" s="2" t="s">
        <v>17</v>
      </c>
    </row>
    <row r="862" spans="1:7" x14ac:dyDescent="0.2">
      <c r="A862" s="2" t="s">
        <v>1233</v>
      </c>
      <c r="B862" s="2" t="s">
        <v>1237</v>
      </c>
      <c r="C862" s="2" t="s">
        <v>1235</v>
      </c>
      <c r="D862" s="2" t="s">
        <v>56</v>
      </c>
      <c r="E862" s="2" t="s">
        <v>52</v>
      </c>
      <c r="F862" s="2">
        <v>2</v>
      </c>
      <c r="G862" s="2" t="s">
        <v>17</v>
      </c>
    </row>
    <row r="863" spans="1:7" x14ac:dyDescent="0.2">
      <c r="A863" s="2" t="s">
        <v>1233</v>
      </c>
      <c r="B863" s="2" t="s">
        <v>1238</v>
      </c>
      <c r="C863" s="2" t="s">
        <v>1235</v>
      </c>
      <c r="D863" s="2" t="s">
        <v>56</v>
      </c>
      <c r="E863" s="2" t="s">
        <v>52</v>
      </c>
      <c r="F863" s="2">
        <v>2</v>
      </c>
      <c r="G863" s="2" t="s">
        <v>17</v>
      </c>
    </row>
    <row r="864" spans="1:7" x14ac:dyDescent="0.2">
      <c r="A864" s="2" t="s">
        <v>1233</v>
      </c>
      <c r="B864" s="2" t="s">
        <v>1239</v>
      </c>
      <c r="C864" s="2" t="s">
        <v>1235</v>
      </c>
      <c r="D864" s="2" t="s">
        <v>56</v>
      </c>
      <c r="E864" s="2" t="s">
        <v>52</v>
      </c>
      <c r="F864" s="2">
        <v>2</v>
      </c>
      <c r="G864" s="2" t="s">
        <v>17</v>
      </c>
    </row>
    <row r="865" spans="1:7" x14ac:dyDescent="0.2">
      <c r="A865" s="2" t="s">
        <v>1233</v>
      </c>
      <c r="B865" s="2" t="s">
        <v>1240</v>
      </c>
      <c r="C865" s="2" t="s">
        <v>1235</v>
      </c>
      <c r="D865" s="2" t="s">
        <v>56</v>
      </c>
      <c r="E865" s="2" t="s">
        <v>52</v>
      </c>
      <c r="F865" s="2">
        <v>2</v>
      </c>
      <c r="G865" s="2" t="s">
        <v>17</v>
      </c>
    </row>
    <row r="866" spans="1:7" x14ac:dyDescent="0.2">
      <c r="A866" s="2" t="s">
        <v>1233</v>
      </c>
      <c r="B866" s="2" t="s">
        <v>1241</v>
      </c>
      <c r="C866" s="2" t="s">
        <v>1235</v>
      </c>
      <c r="D866" s="2" t="s">
        <v>56</v>
      </c>
      <c r="E866" s="2" t="s">
        <v>52</v>
      </c>
      <c r="F866" s="2">
        <v>2</v>
      </c>
      <c r="G866" s="2" t="s">
        <v>17</v>
      </c>
    </row>
    <row r="867" spans="1:7" x14ac:dyDescent="0.2">
      <c r="A867" s="2" t="s">
        <v>1233</v>
      </c>
      <c r="B867" s="2" t="s">
        <v>1242</v>
      </c>
      <c r="C867" s="2" t="s">
        <v>1235</v>
      </c>
      <c r="D867" s="2" t="s">
        <v>56</v>
      </c>
      <c r="E867" s="2" t="s">
        <v>52</v>
      </c>
      <c r="F867" s="2">
        <v>2</v>
      </c>
      <c r="G867" s="2" t="s">
        <v>17</v>
      </c>
    </row>
    <row r="868" spans="1:7" x14ac:dyDescent="0.2">
      <c r="A868" s="2" t="s">
        <v>1233</v>
      </c>
      <c r="B868" s="2" t="s">
        <v>1243</v>
      </c>
      <c r="C868" s="2" t="s">
        <v>1235</v>
      </c>
      <c r="D868" s="2" t="s">
        <v>56</v>
      </c>
      <c r="E868" s="2" t="s">
        <v>52</v>
      </c>
      <c r="F868" s="2">
        <v>2</v>
      </c>
      <c r="G868" s="2" t="s">
        <v>17</v>
      </c>
    </row>
    <row r="869" spans="1:7" x14ac:dyDescent="0.2">
      <c r="A869" s="2" t="s">
        <v>1233</v>
      </c>
      <c r="B869" s="2" t="s">
        <v>1244</v>
      </c>
      <c r="C869" s="2" t="s">
        <v>1235</v>
      </c>
      <c r="D869" s="2" t="s">
        <v>56</v>
      </c>
      <c r="E869" s="2" t="s">
        <v>52</v>
      </c>
      <c r="F869" s="2">
        <v>2</v>
      </c>
      <c r="G869" s="2" t="s">
        <v>17</v>
      </c>
    </row>
    <row r="870" spans="1:7" x14ac:dyDescent="0.2">
      <c r="A870" s="2" t="s">
        <v>1245</v>
      </c>
      <c r="B870" s="2" t="s">
        <v>1246</v>
      </c>
      <c r="C870" s="2" t="s">
        <v>1247</v>
      </c>
      <c r="D870" s="2" t="s">
        <v>10</v>
      </c>
      <c r="E870" s="2" t="s">
        <v>16</v>
      </c>
      <c r="F870" s="2">
        <v>1</v>
      </c>
      <c r="G870" s="2" t="s">
        <v>17</v>
      </c>
    </row>
    <row r="871" spans="1:7" x14ac:dyDescent="0.2">
      <c r="A871" s="2" t="s">
        <v>1245</v>
      </c>
      <c r="B871" s="2" t="s">
        <v>1248</v>
      </c>
      <c r="C871" s="2" t="s">
        <v>1247</v>
      </c>
      <c r="D871" s="2" t="s">
        <v>10</v>
      </c>
      <c r="E871" s="2" t="s">
        <v>16</v>
      </c>
      <c r="F871" s="2">
        <v>1</v>
      </c>
      <c r="G871" s="2" t="s">
        <v>17</v>
      </c>
    </row>
    <row r="872" spans="1:7" x14ac:dyDescent="0.2">
      <c r="A872" s="2" t="s">
        <v>1249</v>
      </c>
      <c r="B872" s="2" t="s">
        <v>1250</v>
      </c>
      <c r="C872" s="2" t="s">
        <v>1251</v>
      </c>
      <c r="D872" s="2" t="s">
        <v>64</v>
      </c>
      <c r="E872" s="2" t="s">
        <v>16</v>
      </c>
      <c r="F872" s="2">
        <v>1</v>
      </c>
      <c r="G872" s="2" t="s">
        <v>17</v>
      </c>
    </row>
    <row r="873" spans="1:7" x14ac:dyDescent="0.2">
      <c r="A873" s="2" t="s">
        <v>1249</v>
      </c>
      <c r="B873" s="2" t="s">
        <v>1252</v>
      </c>
      <c r="C873" s="2" t="s">
        <v>1253</v>
      </c>
      <c r="D873" s="2" t="s">
        <v>10</v>
      </c>
      <c r="E873" s="2" t="s">
        <v>16</v>
      </c>
      <c r="F873" s="2">
        <v>1</v>
      </c>
      <c r="G873" s="2" t="s">
        <v>17</v>
      </c>
    </row>
    <row r="874" spans="1:7" x14ac:dyDescent="0.2">
      <c r="A874" s="2" t="s">
        <v>1249</v>
      </c>
      <c r="B874" s="2" t="s">
        <v>1254</v>
      </c>
      <c r="C874" s="2" t="s">
        <v>1253</v>
      </c>
      <c r="D874" s="2" t="s">
        <v>10</v>
      </c>
      <c r="E874" s="2" t="s">
        <v>16</v>
      </c>
      <c r="F874" s="2">
        <v>1</v>
      </c>
      <c r="G874" s="2" t="s">
        <v>17</v>
      </c>
    </row>
    <row r="875" spans="1:7" x14ac:dyDescent="0.2">
      <c r="A875" s="2" t="s">
        <v>1249</v>
      </c>
      <c r="B875" s="2" t="s">
        <v>1255</v>
      </c>
      <c r="C875" s="2" t="s">
        <v>1256</v>
      </c>
      <c r="D875" s="2" t="s">
        <v>10</v>
      </c>
      <c r="E875" s="2" t="s">
        <v>52</v>
      </c>
      <c r="F875" s="2">
        <v>1</v>
      </c>
      <c r="G875" s="2" t="s">
        <v>17</v>
      </c>
    </row>
    <row r="876" spans="1:7" x14ac:dyDescent="0.2">
      <c r="A876" s="2" t="s">
        <v>1257</v>
      </c>
      <c r="B876" s="2" t="s">
        <v>1258</v>
      </c>
      <c r="C876" s="2" t="s">
        <v>1259</v>
      </c>
      <c r="D876" s="2" t="s">
        <v>10</v>
      </c>
      <c r="E876" s="2" t="s">
        <v>16</v>
      </c>
      <c r="F876" s="2">
        <v>3</v>
      </c>
      <c r="G876" s="2" t="s">
        <v>17</v>
      </c>
    </row>
    <row r="877" spans="1:7" x14ac:dyDescent="0.2">
      <c r="A877" s="2" t="s">
        <v>1260</v>
      </c>
      <c r="B877" s="2" t="s">
        <v>1261</v>
      </c>
      <c r="C877" s="2" t="s">
        <v>1262</v>
      </c>
      <c r="D877" s="2" t="s">
        <v>10</v>
      </c>
      <c r="E877" s="2" t="s">
        <v>52</v>
      </c>
      <c r="F877" s="2">
        <v>2</v>
      </c>
      <c r="G877" s="2" t="s">
        <v>17</v>
      </c>
    </row>
    <row r="878" spans="1:7" x14ac:dyDescent="0.2">
      <c r="A878" s="2" t="s">
        <v>1260</v>
      </c>
      <c r="B878" s="2" t="s">
        <v>1263</v>
      </c>
      <c r="C878" s="2" t="s">
        <v>1262</v>
      </c>
      <c r="D878" s="2" t="s">
        <v>10</v>
      </c>
      <c r="E878" s="2" t="s">
        <v>52</v>
      </c>
      <c r="F878" s="2">
        <v>2</v>
      </c>
      <c r="G878" s="2" t="s">
        <v>17</v>
      </c>
    </row>
    <row r="879" spans="1:7" x14ac:dyDescent="0.2">
      <c r="A879" s="2" t="s">
        <v>1264</v>
      </c>
      <c r="B879" s="2" t="s">
        <v>46</v>
      </c>
      <c r="C879" s="2" t="s">
        <v>47</v>
      </c>
      <c r="D879" s="2" t="s">
        <v>10</v>
      </c>
      <c r="E879" s="2" t="s">
        <v>16</v>
      </c>
      <c r="F879" s="2">
        <v>1</v>
      </c>
      <c r="G879" s="2" t="s">
        <v>17</v>
      </c>
    </row>
    <row r="880" spans="1:7" x14ac:dyDescent="0.2">
      <c r="A880" s="2" t="s">
        <v>1264</v>
      </c>
      <c r="B880" s="2" t="s">
        <v>48</v>
      </c>
      <c r="C880" s="2" t="s">
        <v>47</v>
      </c>
      <c r="D880" s="2" t="s">
        <v>10</v>
      </c>
      <c r="E880" s="2" t="s">
        <v>16</v>
      </c>
      <c r="F880" s="2">
        <v>1</v>
      </c>
      <c r="G880" s="2" t="s">
        <v>17</v>
      </c>
    </row>
    <row r="881" spans="1:7" x14ac:dyDescent="0.2">
      <c r="A881" s="2" t="s">
        <v>1265</v>
      </c>
      <c r="B881" s="2" t="s">
        <v>1266</v>
      </c>
      <c r="C881" s="2" t="s">
        <v>1267</v>
      </c>
      <c r="D881" s="2" t="s">
        <v>10</v>
      </c>
      <c r="E881" s="2" t="s">
        <v>16</v>
      </c>
      <c r="F881" s="2">
        <v>1</v>
      </c>
      <c r="G881" s="2" t="s">
        <v>17</v>
      </c>
    </row>
    <row r="882" spans="1:7" x14ac:dyDescent="0.2">
      <c r="A882" s="2" t="s">
        <v>1265</v>
      </c>
      <c r="B882" s="2" t="s">
        <v>1268</v>
      </c>
      <c r="C882" s="2" t="s">
        <v>1267</v>
      </c>
      <c r="D882" s="2" t="s">
        <v>10</v>
      </c>
      <c r="E882" s="2" t="s">
        <v>16</v>
      </c>
      <c r="F882" s="2">
        <v>1</v>
      </c>
      <c r="G882" s="2" t="s">
        <v>17</v>
      </c>
    </row>
    <row r="883" spans="1:7" x14ac:dyDescent="0.2">
      <c r="A883" s="2" t="s">
        <v>1265</v>
      </c>
      <c r="B883" s="2" t="s">
        <v>1269</v>
      </c>
      <c r="C883" s="2" t="s">
        <v>1270</v>
      </c>
      <c r="D883" s="2" t="s">
        <v>10</v>
      </c>
      <c r="E883" s="2" t="s">
        <v>16</v>
      </c>
      <c r="F883" s="2">
        <v>1</v>
      </c>
      <c r="G883" s="2" t="s">
        <v>17</v>
      </c>
    </row>
    <row r="884" spans="1:7" x14ac:dyDescent="0.2">
      <c r="A884" s="2" t="s">
        <v>1265</v>
      </c>
      <c r="B884" s="2" t="s">
        <v>1271</v>
      </c>
      <c r="C884" s="2" t="s">
        <v>1272</v>
      </c>
      <c r="D884" s="2" t="s">
        <v>10</v>
      </c>
      <c r="E884" s="2" t="s">
        <v>16</v>
      </c>
      <c r="F884" s="2">
        <v>1</v>
      </c>
      <c r="G884" s="2" t="s">
        <v>17</v>
      </c>
    </row>
    <row r="885" spans="1:7" x14ac:dyDescent="0.2">
      <c r="A885" s="2" t="s">
        <v>1265</v>
      </c>
      <c r="B885" s="2" t="s">
        <v>1273</v>
      </c>
      <c r="C885" s="2" t="s">
        <v>1270</v>
      </c>
      <c r="D885" s="2" t="s">
        <v>10</v>
      </c>
      <c r="E885" s="2" t="s">
        <v>16</v>
      </c>
      <c r="F885" s="2">
        <v>1</v>
      </c>
      <c r="G885" s="2" t="s">
        <v>17</v>
      </c>
    </row>
    <row r="886" spans="1:7" x14ac:dyDescent="0.2">
      <c r="A886" s="2" t="s">
        <v>1265</v>
      </c>
      <c r="B886" s="2" t="s">
        <v>1274</v>
      </c>
      <c r="C886" s="2" t="s">
        <v>1272</v>
      </c>
      <c r="D886" s="2" t="s">
        <v>10</v>
      </c>
      <c r="E886" s="2" t="s">
        <v>16</v>
      </c>
      <c r="F886" s="2">
        <v>1</v>
      </c>
      <c r="G886" s="2" t="s">
        <v>17</v>
      </c>
    </row>
    <row r="887" spans="1:7" x14ac:dyDescent="0.2">
      <c r="A887" s="2" t="s">
        <v>1265</v>
      </c>
      <c r="B887" s="2" t="s">
        <v>1275</v>
      </c>
      <c r="C887" s="2" t="s">
        <v>1267</v>
      </c>
      <c r="D887" s="2" t="s">
        <v>10</v>
      </c>
      <c r="E887" s="2" t="s">
        <v>16</v>
      </c>
      <c r="F887" s="2">
        <v>1</v>
      </c>
      <c r="G887" s="2" t="s">
        <v>17</v>
      </c>
    </row>
    <row r="888" spans="1:7" x14ac:dyDescent="0.2">
      <c r="A888" s="2" t="s">
        <v>1265</v>
      </c>
      <c r="B888" s="2" t="s">
        <v>1276</v>
      </c>
      <c r="C888" s="2" t="s">
        <v>1277</v>
      </c>
      <c r="D888" s="2" t="s">
        <v>10</v>
      </c>
      <c r="E888" s="2" t="s">
        <v>16</v>
      </c>
      <c r="F888" s="2">
        <v>1</v>
      </c>
      <c r="G888" s="2" t="s">
        <v>17</v>
      </c>
    </row>
    <row r="889" spans="1:7" x14ac:dyDescent="0.2">
      <c r="A889" s="2" t="s">
        <v>1265</v>
      </c>
      <c r="B889" s="2" t="s">
        <v>1278</v>
      </c>
      <c r="C889" s="2" t="s">
        <v>1279</v>
      </c>
      <c r="D889" s="2" t="s">
        <v>10</v>
      </c>
      <c r="E889" s="2" t="s">
        <v>16</v>
      </c>
      <c r="F889" s="2">
        <v>1</v>
      </c>
      <c r="G889" s="2" t="s">
        <v>17</v>
      </c>
    </row>
    <row r="890" spans="1:7" x14ac:dyDescent="0.2">
      <c r="A890" s="2" t="s">
        <v>1265</v>
      </c>
      <c r="B890" s="2" t="s">
        <v>1280</v>
      </c>
      <c r="C890" s="2" t="s">
        <v>1277</v>
      </c>
      <c r="D890" s="2" t="s">
        <v>10</v>
      </c>
      <c r="E890" s="2" t="s">
        <v>16</v>
      </c>
      <c r="F890" s="2">
        <v>1</v>
      </c>
      <c r="G890" s="2" t="s">
        <v>17</v>
      </c>
    </row>
    <row r="891" spans="1:7" x14ac:dyDescent="0.2">
      <c r="A891" s="2" t="s">
        <v>1281</v>
      </c>
      <c r="B891" s="2" t="s">
        <v>1282</v>
      </c>
      <c r="C891" s="2" t="s">
        <v>1283</v>
      </c>
      <c r="D891" s="2" t="s">
        <v>10</v>
      </c>
      <c r="E891" s="2" t="s">
        <v>16</v>
      </c>
      <c r="F891" s="2">
        <v>1</v>
      </c>
      <c r="G891" s="2" t="s">
        <v>17</v>
      </c>
    </row>
    <row r="892" spans="1:7" x14ac:dyDescent="0.2">
      <c r="A892" s="2" t="s">
        <v>1281</v>
      </c>
      <c r="B892" s="2" t="s">
        <v>1284</v>
      </c>
      <c r="C892" s="2" t="s">
        <v>1285</v>
      </c>
      <c r="D892" s="2" t="s">
        <v>10</v>
      </c>
      <c r="E892" s="2" t="s">
        <v>16</v>
      </c>
      <c r="F892" s="2">
        <v>1</v>
      </c>
      <c r="G892" s="2" t="s">
        <v>17</v>
      </c>
    </row>
    <row r="893" spans="1:7" x14ac:dyDescent="0.2">
      <c r="A893" s="2" t="s">
        <v>1281</v>
      </c>
      <c r="B893" s="2" t="s">
        <v>1286</v>
      </c>
      <c r="C893" s="2" t="s">
        <v>1287</v>
      </c>
      <c r="D893" s="2" t="s">
        <v>10</v>
      </c>
      <c r="E893" s="2" t="s">
        <v>16</v>
      </c>
      <c r="F893" s="2">
        <v>1</v>
      </c>
      <c r="G893" s="2" t="s">
        <v>17</v>
      </c>
    </row>
    <row r="894" spans="1:7" x14ac:dyDescent="0.2">
      <c r="A894" s="2" t="s">
        <v>1288</v>
      </c>
      <c r="B894" s="2" t="s">
        <v>1289</v>
      </c>
      <c r="C894" s="2" t="s">
        <v>1290</v>
      </c>
      <c r="D894" s="2" t="s">
        <v>10</v>
      </c>
      <c r="E894" s="2" t="s">
        <v>16</v>
      </c>
      <c r="F894" s="2">
        <v>1</v>
      </c>
      <c r="G894" s="2" t="s">
        <v>17</v>
      </c>
    </row>
    <row r="895" spans="1:7" x14ac:dyDescent="0.2">
      <c r="A895" s="2" t="s">
        <v>1288</v>
      </c>
      <c r="B895" s="2" t="s">
        <v>1291</v>
      </c>
      <c r="C895" s="2" t="s">
        <v>1292</v>
      </c>
      <c r="D895" s="2" t="s">
        <v>10</v>
      </c>
      <c r="E895" s="2" t="s">
        <v>16</v>
      </c>
      <c r="F895" s="2">
        <v>1</v>
      </c>
      <c r="G895" s="2" t="s">
        <v>17</v>
      </c>
    </row>
    <row r="896" spans="1:7" x14ac:dyDescent="0.2">
      <c r="A896" s="2" t="s">
        <v>1288</v>
      </c>
      <c r="B896" s="2" t="s">
        <v>1293</v>
      </c>
      <c r="C896" s="2" t="s">
        <v>1290</v>
      </c>
      <c r="D896" s="2" t="s">
        <v>10</v>
      </c>
      <c r="E896" s="2" t="s">
        <v>16</v>
      </c>
      <c r="F896" s="2">
        <v>1</v>
      </c>
      <c r="G896" s="2" t="s">
        <v>17</v>
      </c>
    </row>
    <row r="897" spans="1:7" x14ac:dyDescent="0.2">
      <c r="A897" s="2" t="s">
        <v>1288</v>
      </c>
      <c r="B897" s="2" t="s">
        <v>1294</v>
      </c>
      <c r="C897" s="2" t="s">
        <v>1295</v>
      </c>
      <c r="D897" s="2" t="s">
        <v>10</v>
      </c>
      <c r="E897" s="2" t="s">
        <v>16</v>
      </c>
      <c r="F897" s="2">
        <v>1</v>
      </c>
      <c r="G897" s="2" t="s">
        <v>17</v>
      </c>
    </row>
    <row r="898" spans="1:7" x14ac:dyDescent="0.2">
      <c r="A898" s="2" t="s">
        <v>1296</v>
      </c>
      <c r="B898" s="2" t="s">
        <v>1297</v>
      </c>
      <c r="C898" s="2" t="s">
        <v>1298</v>
      </c>
      <c r="D898" s="2" t="s">
        <v>10</v>
      </c>
      <c r="E898" s="2" t="s">
        <v>16</v>
      </c>
      <c r="F898" s="2">
        <v>1</v>
      </c>
      <c r="G898" s="2" t="s">
        <v>17</v>
      </c>
    </row>
    <row r="899" spans="1:7" x14ac:dyDescent="0.2">
      <c r="A899" s="2" t="s">
        <v>1299</v>
      </c>
      <c r="B899" s="2" t="s">
        <v>1300</v>
      </c>
      <c r="C899" s="2" t="s">
        <v>1301</v>
      </c>
      <c r="D899" s="2" t="s">
        <v>10</v>
      </c>
      <c r="E899" s="2" t="s">
        <v>16</v>
      </c>
      <c r="F899" s="2">
        <v>1</v>
      </c>
      <c r="G899" s="2" t="s">
        <v>17</v>
      </c>
    </row>
    <row r="900" spans="1:7" x14ac:dyDescent="0.2">
      <c r="A900" s="2" t="s">
        <v>1299</v>
      </c>
      <c r="B900" s="2" t="s">
        <v>1302</v>
      </c>
      <c r="C900" s="2" t="s">
        <v>1301</v>
      </c>
      <c r="D900" s="2" t="s">
        <v>10</v>
      </c>
      <c r="E900" s="2" t="s">
        <v>16</v>
      </c>
      <c r="F900" s="2">
        <v>1</v>
      </c>
      <c r="G900" s="2" t="s">
        <v>17</v>
      </c>
    </row>
    <row r="901" spans="1:7" x14ac:dyDescent="0.2">
      <c r="A901" s="2" t="s">
        <v>1303</v>
      </c>
      <c r="B901" s="2" t="s">
        <v>1304</v>
      </c>
      <c r="C901" s="2" t="s">
        <v>1305</v>
      </c>
      <c r="D901" s="2" t="s">
        <v>10</v>
      </c>
      <c r="E901" s="2" t="s">
        <v>16</v>
      </c>
      <c r="F901" s="2">
        <v>1</v>
      </c>
      <c r="G901" s="2" t="s">
        <v>17</v>
      </c>
    </row>
    <row r="902" spans="1:7" x14ac:dyDescent="0.2">
      <c r="A902" s="2" t="s">
        <v>1306</v>
      </c>
      <c r="B902" s="2" t="s">
        <v>1307</v>
      </c>
      <c r="C902" s="2" t="s">
        <v>1308</v>
      </c>
      <c r="D902" s="2" t="s">
        <v>29</v>
      </c>
      <c r="E902" s="2" t="s">
        <v>52</v>
      </c>
      <c r="F902" s="2">
        <v>1</v>
      </c>
      <c r="G902" s="2" t="s">
        <v>17</v>
      </c>
    </row>
    <row r="903" spans="1:7" x14ac:dyDescent="0.2">
      <c r="A903" s="2" t="s">
        <v>1309</v>
      </c>
      <c r="B903" s="2" t="s">
        <v>1310</v>
      </c>
      <c r="C903" s="2" t="s">
        <v>1311</v>
      </c>
      <c r="D903" s="2" t="s">
        <v>29</v>
      </c>
      <c r="E903" s="2" t="s">
        <v>16</v>
      </c>
      <c r="F903" s="2">
        <v>1</v>
      </c>
      <c r="G903" s="2" t="s">
        <v>17</v>
      </c>
    </row>
    <row r="904" spans="1:7" x14ac:dyDescent="0.2">
      <c r="A904" s="2" t="s">
        <v>1309</v>
      </c>
      <c r="B904" s="2" t="s">
        <v>1312</v>
      </c>
      <c r="C904" s="2" t="s">
        <v>1311</v>
      </c>
      <c r="D904" s="2" t="s">
        <v>29</v>
      </c>
      <c r="E904" s="2" t="s">
        <v>16</v>
      </c>
      <c r="F904" s="2">
        <v>1</v>
      </c>
      <c r="G904" s="2" t="s">
        <v>17</v>
      </c>
    </row>
    <row r="905" spans="1:7" x14ac:dyDescent="0.2">
      <c r="A905" s="2" t="s">
        <v>1313</v>
      </c>
      <c r="B905" s="2" t="s">
        <v>1314</v>
      </c>
      <c r="C905" s="2" t="s">
        <v>1315</v>
      </c>
      <c r="D905" s="2" t="s">
        <v>10</v>
      </c>
      <c r="E905" s="2" t="s">
        <v>16</v>
      </c>
      <c r="F905" s="2">
        <v>1</v>
      </c>
      <c r="G905" s="2" t="s">
        <v>17</v>
      </c>
    </row>
    <row r="906" spans="1:7" x14ac:dyDescent="0.2">
      <c r="A906" s="2" t="s">
        <v>1316</v>
      </c>
      <c r="B906" s="2">
        <v>1</v>
      </c>
      <c r="C906" s="2" t="s">
        <v>1317</v>
      </c>
      <c r="D906" s="2" t="s">
        <v>10</v>
      </c>
      <c r="E906" s="2" t="s">
        <v>16</v>
      </c>
      <c r="F906" s="2">
        <v>1</v>
      </c>
      <c r="G906" s="2" t="s">
        <v>17</v>
      </c>
    </row>
    <row r="907" spans="1:7" x14ac:dyDescent="0.2">
      <c r="A907" s="2" t="s">
        <v>1316</v>
      </c>
      <c r="B907" s="2">
        <v>5</v>
      </c>
      <c r="C907" s="2" t="s">
        <v>1318</v>
      </c>
      <c r="D907" s="2" t="s">
        <v>10</v>
      </c>
      <c r="E907" s="2" t="s">
        <v>16</v>
      </c>
      <c r="F907" s="2">
        <v>1</v>
      </c>
      <c r="G907" s="2" t="s">
        <v>17</v>
      </c>
    </row>
    <row r="908" spans="1:7" x14ac:dyDescent="0.2">
      <c r="A908" s="2" t="s">
        <v>1319</v>
      </c>
      <c r="B908" s="2" t="s">
        <v>1320</v>
      </c>
      <c r="C908" s="2" t="s">
        <v>1321</v>
      </c>
      <c r="D908" s="2" t="s">
        <v>10</v>
      </c>
      <c r="E908" s="2" t="s">
        <v>16</v>
      </c>
      <c r="F908" s="2">
        <v>1</v>
      </c>
      <c r="G908" s="2" t="s">
        <v>17</v>
      </c>
    </row>
    <row r="909" spans="1:7" x14ac:dyDescent="0.2">
      <c r="A909" s="2" t="s">
        <v>1319</v>
      </c>
      <c r="B909" s="2" t="s">
        <v>1322</v>
      </c>
      <c r="C909" s="2" t="s">
        <v>1323</v>
      </c>
      <c r="D909" s="2" t="s">
        <v>10</v>
      </c>
      <c r="E909" s="2" t="s">
        <v>16</v>
      </c>
      <c r="F909" s="2">
        <v>1</v>
      </c>
      <c r="G909" s="2" t="s">
        <v>17</v>
      </c>
    </row>
    <row r="910" spans="1:7" x14ac:dyDescent="0.2">
      <c r="A910" s="2" t="s">
        <v>1319</v>
      </c>
      <c r="B910" s="2" t="s">
        <v>1324</v>
      </c>
      <c r="C910" s="2" t="s">
        <v>1323</v>
      </c>
      <c r="D910" s="2" t="s">
        <v>10</v>
      </c>
      <c r="E910" s="2" t="s">
        <v>16</v>
      </c>
      <c r="F910" s="2">
        <v>1</v>
      </c>
      <c r="G910" s="2" t="s">
        <v>17</v>
      </c>
    </row>
    <row r="911" spans="1:7" x14ac:dyDescent="0.2">
      <c r="A911" s="2" t="s">
        <v>1319</v>
      </c>
      <c r="B911" s="2" t="s">
        <v>1325</v>
      </c>
      <c r="C911" s="2" t="s">
        <v>1321</v>
      </c>
      <c r="D911" s="2" t="s">
        <v>10</v>
      </c>
      <c r="E911" s="2" t="s">
        <v>16</v>
      </c>
      <c r="F911" s="2">
        <v>1</v>
      </c>
      <c r="G911" s="2" t="s">
        <v>17</v>
      </c>
    </row>
    <row r="912" spans="1:7" x14ac:dyDescent="0.2">
      <c r="A912" s="2" t="s">
        <v>1326</v>
      </c>
      <c r="B912" s="2" t="s">
        <v>1327</v>
      </c>
      <c r="C912" s="2" t="s">
        <v>1328</v>
      </c>
      <c r="D912" s="2" t="s">
        <v>10</v>
      </c>
      <c r="E912" s="2" t="s">
        <v>16</v>
      </c>
      <c r="F912" s="2">
        <v>1</v>
      </c>
      <c r="G912" s="2" t="s">
        <v>17</v>
      </c>
    </row>
    <row r="913" spans="1:7" x14ac:dyDescent="0.2">
      <c r="A913" s="2" t="s">
        <v>1329</v>
      </c>
      <c r="B913" s="2" t="s">
        <v>1330</v>
      </c>
      <c r="C913" s="2" t="s">
        <v>1331</v>
      </c>
      <c r="D913" s="2" t="s">
        <v>10</v>
      </c>
      <c r="E913" s="2" t="s">
        <v>16</v>
      </c>
      <c r="F913" s="2">
        <v>1</v>
      </c>
      <c r="G913" s="2" t="s">
        <v>17</v>
      </c>
    </row>
    <row r="914" spans="1:7" x14ac:dyDescent="0.2">
      <c r="A914" s="2" t="s">
        <v>1329</v>
      </c>
      <c r="B914" s="2" t="s">
        <v>1332</v>
      </c>
      <c r="C914" s="2" t="s">
        <v>1331</v>
      </c>
      <c r="D914" s="2" t="s">
        <v>10</v>
      </c>
      <c r="E914" s="2" t="s">
        <v>16</v>
      </c>
      <c r="F914" s="2">
        <v>1</v>
      </c>
      <c r="G914" s="2" t="s">
        <v>17</v>
      </c>
    </row>
    <row r="915" spans="1:7" x14ac:dyDescent="0.2">
      <c r="A915" s="2" t="s">
        <v>1329</v>
      </c>
      <c r="B915" s="2" t="s">
        <v>1333</v>
      </c>
      <c r="C915" s="2" t="s">
        <v>1334</v>
      </c>
      <c r="D915" s="2" t="s">
        <v>10</v>
      </c>
      <c r="E915" s="2" t="s">
        <v>16</v>
      </c>
      <c r="F915" s="2">
        <v>1</v>
      </c>
      <c r="G915" s="2" t="s">
        <v>17</v>
      </c>
    </row>
    <row r="916" spans="1:7" x14ac:dyDescent="0.2">
      <c r="A916" s="2" t="s">
        <v>1329</v>
      </c>
      <c r="B916" s="2" t="s">
        <v>1335</v>
      </c>
      <c r="C916" s="2" t="s">
        <v>1334</v>
      </c>
      <c r="D916" s="2" t="s">
        <v>10</v>
      </c>
      <c r="E916" s="2" t="s">
        <v>16</v>
      </c>
      <c r="F916" s="2">
        <v>1</v>
      </c>
      <c r="G916" s="2" t="s">
        <v>17</v>
      </c>
    </row>
    <row r="917" spans="1:7" x14ac:dyDescent="0.2">
      <c r="A917" s="2" t="s">
        <v>1329</v>
      </c>
      <c r="B917" s="2" t="s">
        <v>1336</v>
      </c>
      <c r="C917" s="2" t="s">
        <v>1334</v>
      </c>
      <c r="D917" s="2" t="s">
        <v>10</v>
      </c>
      <c r="E917" s="2" t="s">
        <v>16</v>
      </c>
      <c r="F917" s="2">
        <v>1</v>
      </c>
      <c r="G917" s="2" t="s">
        <v>17</v>
      </c>
    </row>
    <row r="918" spans="1:7" x14ac:dyDescent="0.2">
      <c r="A918" s="2" t="s">
        <v>1337</v>
      </c>
      <c r="B918" s="2" t="s">
        <v>1093</v>
      </c>
      <c r="C918" s="2" t="s">
        <v>1094</v>
      </c>
      <c r="D918" s="2" t="s">
        <v>10</v>
      </c>
      <c r="E918" s="2" t="s">
        <v>52</v>
      </c>
      <c r="F918" s="2">
        <v>2</v>
      </c>
      <c r="G918" s="2" t="s">
        <v>12</v>
      </c>
    </row>
    <row r="919" spans="1:7" x14ac:dyDescent="0.2">
      <c r="A919" s="2" t="s">
        <v>1337</v>
      </c>
      <c r="B919" s="2" t="s">
        <v>1095</v>
      </c>
      <c r="C919" s="2" t="s">
        <v>1094</v>
      </c>
      <c r="D919" s="2" t="s">
        <v>10</v>
      </c>
      <c r="E919" s="2" t="s">
        <v>52</v>
      </c>
      <c r="F919" s="2">
        <v>2</v>
      </c>
      <c r="G919" s="2" t="s">
        <v>12</v>
      </c>
    </row>
    <row r="920" spans="1:7" x14ac:dyDescent="0.2">
      <c r="A920" s="2" t="s">
        <v>1337</v>
      </c>
      <c r="B920" s="2" t="s">
        <v>1338</v>
      </c>
      <c r="C920" s="2" t="s">
        <v>1094</v>
      </c>
      <c r="D920" s="2" t="s">
        <v>10</v>
      </c>
      <c r="E920" s="2" t="s">
        <v>52</v>
      </c>
      <c r="F920" s="2">
        <v>2</v>
      </c>
      <c r="G920" s="2" t="s">
        <v>12</v>
      </c>
    </row>
    <row r="921" spans="1:7" x14ac:dyDescent="0.2">
      <c r="A921" s="2" t="s">
        <v>1339</v>
      </c>
      <c r="B921" s="2" t="s">
        <v>1340</v>
      </c>
      <c r="C921" s="2" t="s">
        <v>1341</v>
      </c>
      <c r="D921" s="2" t="s">
        <v>10</v>
      </c>
      <c r="E921" s="2" t="s">
        <v>16</v>
      </c>
      <c r="F921" s="2">
        <v>1</v>
      </c>
      <c r="G921" s="2" t="s">
        <v>17</v>
      </c>
    </row>
    <row r="922" spans="1:7" x14ac:dyDescent="0.2">
      <c r="A922" s="2" t="s">
        <v>1339</v>
      </c>
      <c r="B922" s="2" t="s">
        <v>1342</v>
      </c>
      <c r="C922" s="2" t="s">
        <v>1343</v>
      </c>
      <c r="D922" s="2" t="s">
        <v>10</v>
      </c>
      <c r="E922" s="2" t="s">
        <v>16</v>
      </c>
      <c r="F922" s="2">
        <v>1</v>
      </c>
      <c r="G922" s="2" t="s">
        <v>17</v>
      </c>
    </row>
    <row r="923" spans="1:7" x14ac:dyDescent="0.2">
      <c r="A923" s="2" t="s">
        <v>1339</v>
      </c>
      <c r="B923" s="2" t="s">
        <v>1344</v>
      </c>
      <c r="C923" s="2" t="s">
        <v>1341</v>
      </c>
      <c r="D923" s="2" t="s">
        <v>10</v>
      </c>
      <c r="E923" s="2" t="s">
        <v>16</v>
      </c>
      <c r="F923" s="2">
        <v>1</v>
      </c>
      <c r="G923" s="2" t="s">
        <v>17</v>
      </c>
    </row>
    <row r="924" spans="1:7" x14ac:dyDescent="0.2">
      <c r="A924" s="2" t="s">
        <v>1345</v>
      </c>
      <c r="B924" s="2" t="s">
        <v>1276</v>
      </c>
      <c r="C924" s="2" t="s">
        <v>1277</v>
      </c>
      <c r="D924" s="2" t="s">
        <v>10</v>
      </c>
      <c r="E924" s="2" t="s">
        <v>16</v>
      </c>
      <c r="F924" s="2">
        <v>1</v>
      </c>
      <c r="G924" s="2" t="s">
        <v>17</v>
      </c>
    </row>
    <row r="925" spans="1:7" x14ac:dyDescent="0.2">
      <c r="A925" s="2" t="s">
        <v>1345</v>
      </c>
      <c r="B925" s="2" t="s">
        <v>1346</v>
      </c>
      <c r="C925" s="2" t="s">
        <v>1277</v>
      </c>
      <c r="D925" s="2" t="s">
        <v>10</v>
      </c>
      <c r="E925" s="2" t="s">
        <v>16</v>
      </c>
      <c r="F925" s="2">
        <v>1</v>
      </c>
      <c r="G925" s="2" t="s">
        <v>17</v>
      </c>
    </row>
    <row r="926" spans="1:7" x14ac:dyDescent="0.2">
      <c r="A926" s="2" t="s">
        <v>1347</v>
      </c>
      <c r="B926" s="2" t="s">
        <v>1348</v>
      </c>
      <c r="C926" s="2" t="s">
        <v>1349</v>
      </c>
      <c r="D926" s="2" t="s">
        <v>10</v>
      </c>
      <c r="E926" s="2" t="s">
        <v>52</v>
      </c>
      <c r="F926" s="2">
        <v>2</v>
      </c>
      <c r="G926" s="2" t="s">
        <v>17</v>
      </c>
    </row>
    <row r="927" spans="1:7" x14ac:dyDescent="0.2">
      <c r="A927" s="2" t="s">
        <v>1347</v>
      </c>
      <c r="B927" s="2" t="s">
        <v>1350</v>
      </c>
      <c r="C927" s="2" t="s">
        <v>1351</v>
      </c>
      <c r="D927" s="2" t="s">
        <v>10</v>
      </c>
      <c r="E927" s="2" t="s">
        <v>52</v>
      </c>
      <c r="F927" s="2">
        <v>2</v>
      </c>
      <c r="G927" s="2" t="s">
        <v>17</v>
      </c>
    </row>
    <row r="928" spans="1:7" x14ac:dyDescent="0.2">
      <c r="A928" s="2" t="s">
        <v>1352</v>
      </c>
      <c r="B928" s="2" t="s">
        <v>1353</v>
      </c>
      <c r="C928" s="2" t="s">
        <v>1354</v>
      </c>
      <c r="D928" s="2" t="s">
        <v>10</v>
      </c>
      <c r="E928" s="2" t="s">
        <v>16</v>
      </c>
      <c r="F928" s="2">
        <v>1</v>
      </c>
      <c r="G928" s="2" t="s">
        <v>17</v>
      </c>
    </row>
    <row r="929" spans="1:7" x14ac:dyDescent="0.2">
      <c r="A929" s="2" t="s">
        <v>1355</v>
      </c>
      <c r="B929" s="2" t="s">
        <v>1356</v>
      </c>
      <c r="C929" s="2" t="s">
        <v>1357</v>
      </c>
      <c r="D929" s="2" t="s">
        <v>10</v>
      </c>
      <c r="E929" s="2" t="s">
        <v>16</v>
      </c>
      <c r="F929" s="2">
        <v>1</v>
      </c>
      <c r="G929" s="2" t="s">
        <v>17</v>
      </c>
    </row>
    <row r="930" spans="1:7" x14ac:dyDescent="0.2">
      <c r="A930" s="2" t="s">
        <v>1358</v>
      </c>
      <c r="B930" s="2" t="s">
        <v>424</v>
      </c>
      <c r="C930" s="2" t="s">
        <v>1359</v>
      </c>
      <c r="D930" s="2" t="s">
        <v>10</v>
      </c>
      <c r="E930" s="2" t="s">
        <v>16</v>
      </c>
      <c r="F930" s="2">
        <v>1</v>
      </c>
      <c r="G930" s="2" t="s">
        <v>17</v>
      </c>
    </row>
    <row r="931" spans="1:7" x14ac:dyDescent="0.2">
      <c r="A931" s="2" t="s">
        <v>1360</v>
      </c>
      <c r="B931" s="2" t="s">
        <v>1361</v>
      </c>
      <c r="C931" s="2" t="s">
        <v>1362</v>
      </c>
      <c r="D931" s="2" t="s">
        <v>10</v>
      </c>
      <c r="E931" s="2" t="s">
        <v>16</v>
      </c>
      <c r="F931" s="2">
        <v>1</v>
      </c>
      <c r="G931" s="2" t="s">
        <v>17</v>
      </c>
    </row>
    <row r="932" spans="1:7" x14ac:dyDescent="0.2">
      <c r="A932" s="2" t="s">
        <v>1360</v>
      </c>
      <c r="B932" s="2" t="s">
        <v>1363</v>
      </c>
      <c r="C932" s="2" t="s">
        <v>1364</v>
      </c>
      <c r="D932" s="2" t="s">
        <v>10</v>
      </c>
      <c r="E932" s="2" t="s">
        <v>16</v>
      </c>
      <c r="F932" s="2">
        <v>1</v>
      </c>
      <c r="G932" s="2" t="s">
        <v>17</v>
      </c>
    </row>
    <row r="933" spans="1:7" x14ac:dyDescent="0.2">
      <c r="A933" s="2" t="s">
        <v>1360</v>
      </c>
      <c r="B933" s="2" t="s">
        <v>1365</v>
      </c>
      <c r="C933" s="2" t="s">
        <v>1362</v>
      </c>
      <c r="D933" s="2" t="s">
        <v>10</v>
      </c>
      <c r="E933" s="2" t="s">
        <v>16</v>
      </c>
      <c r="F933" s="2">
        <v>1</v>
      </c>
      <c r="G933" s="2" t="s">
        <v>17</v>
      </c>
    </row>
    <row r="934" spans="1:7" x14ac:dyDescent="0.2">
      <c r="A934" s="2" t="s">
        <v>1360</v>
      </c>
      <c r="B934" s="2" t="s">
        <v>1366</v>
      </c>
      <c r="C934" s="2" t="s">
        <v>1364</v>
      </c>
      <c r="D934" s="2" t="s">
        <v>10</v>
      </c>
      <c r="E934" s="2" t="s">
        <v>16</v>
      </c>
      <c r="F934" s="2">
        <v>1</v>
      </c>
      <c r="G934" s="2" t="s">
        <v>17</v>
      </c>
    </row>
    <row r="935" spans="1:7" x14ac:dyDescent="0.2">
      <c r="A935" s="2" t="s">
        <v>1367</v>
      </c>
      <c r="B935" s="2" t="s">
        <v>1368</v>
      </c>
      <c r="C935" s="2" t="s">
        <v>1369</v>
      </c>
      <c r="D935" s="2" t="s">
        <v>10</v>
      </c>
      <c r="E935" s="2" t="s">
        <v>16</v>
      </c>
      <c r="F935" s="2">
        <v>1</v>
      </c>
      <c r="G935" s="2" t="s">
        <v>17</v>
      </c>
    </row>
    <row r="936" spans="1:7" x14ac:dyDescent="0.2">
      <c r="A936" s="2" t="s">
        <v>1370</v>
      </c>
      <c r="B936" s="2" t="s">
        <v>1371</v>
      </c>
      <c r="C936" s="2" t="s">
        <v>1372</v>
      </c>
      <c r="D936" s="2" t="s">
        <v>10</v>
      </c>
      <c r="E936" s="2" t="s">
        <v>16</v>
      </c>
      <c r="F936" s="2">
        <v>1</v>
      </c>
      <c r="G936" s="2" t="s">
        <v>17</v>
      </c>
    </row>
    <row r="937" spans="1:7" x14ac:dyDescent="0.2">
      <c r="A937" s="2" t="s">
        <v>1370</v>
      </c>
      <c r="B937" s="2" t="s">
        <v>1373</v>
      </c>
      <c r="C937" s="2" t="s">
        <v>1374</v>
      </c>
      <c r="D937" s="2" t="s">
        <v>10</v>
      </c>
      <c r="E937" s="2" t="s">
        <v>16</v>
      </c>
      <c r="F937" s="2">
        <v>1</v>
      </c>
      <c r="G937" s="2" t="s">
        <v>17</v>
      </c>
    </row>
    <row r="938" spans="1:7" x14ac:dyDescent="0.2">
      <c r="A938" s="2" t="s">
        <v>1370</v>
      </c>
      <c r="B938" s="2" t="s">
        <v>1375</v>
      </c>
      <c r="C938" s="2" t="s">
        <v>1376</v>
      </c>
      <c r="D938" s="2" t="s">
        <v>10</v>
      </c>
      <c r="E938" s="2" t="s">
        <v>16</v>
      </c>
      <c r="F938" s="2">
        <v>1</v>
      </c>
      <c r="G938" s="2" t="s">
        <v>17</v>
      </c>
    </row>
    <row r="939" spans="1:7" x14ac:dyDescent="0.2">
      <c r="A939" s="2" t="s">
        <v>1377</v>
      </c>
      <c r="B939" s="2" t="s">
        <v>1378</v>
      </c>
      <c r="C939" s="2" t="s">
        <v>1379</v>
      </c>
      <c r="D939" s="2" t="s">
        <v>10</v>
      </c>
      <c r="E939" s="2" t="s">
        <v>16</v>
      </c>
      <c r="F939" s="2">
        <v>1</v>
      </c>
      <c r="G939" s="2" t="s">
        <v>17</v>
      </c>
    </row>
    <row r="940" spans="1:7" x14ac:dyDescent="0.2">
      <c r="A940" s="2" t="s">
        <v>1377</v>
      </c>
      <c r="B940" s="2" t="s">
        <v>1380</v>
      </c>
      <c r="C940" s="2" t="s">
        <v>1381</v>
      </c>
      <c r="D940" s="2" t="s">
        <v>10</v>
      </c>
      <c r="E940" s="2" t="s">
        <v>16</v>
      </c>
      <c r="F940" s="2">
        <v>1</v>
      </c>
      <c r="G940" s="2" t="s">
        <v>17</v>
      </c>
    </row>
    <row r="941" spans="1:7" x14ac:dyDescent="0.2">
      <c r="A941" s="2" t="s">
        <v>1377</v>
      </c>
      <c r="B941" s="2" t="s">
        <v>1382</v>
      </c>
      <c r="C941" s="2" t="s">
        <v>1383</v>
      </c>
      <c r="D941" s="2" t="s">
        <v>10</v>
      </c>
      <c r="E941" s="2" t="s">
        <v>16</v>
      </c>
      <c r="F941" s="2">
        <v>1</v>
      </c>
      <c r="G941" s="2" t="s">
        <v>17</v>
      </c>
    </row>
    <row r="942" spans="1:7" x14ac:dyDescent="0.2">
      <c r="A942" s="2" t="s">
        <v>1384</v>
      </c>
      <c r="B942" s="2" t="s">
        <v>1385</v>
      </c>
      <c r="C942" s="2" t="s">
        <v>1386</v>
      </c>
      <c r="D942" s="2" t="s">
        <v>10</v>
      </c>
      <c r="E942" s="2" t="s">
        <v>16</v>
      </c>
      <c r="F942" s="2">
        <v>1</v>
      </c>
      <c r="G942" s="2" t="s">
        <v>17</v>
      </c>
    </row>
    <row r="943" spans="1:7" x14ac:dyDescent="0.2">
      <c r="A943" s="2" t="s">
        <v>1387</v>
      </c>
      <c r="B943" s="2" t="s">
        <v>140</v>
      </c>
      <c r="C943" s="2" t="s">
        <v>141</v>
      </c>
      <c r="D943" s="2" t="s">
        <v>10</v>
      </c>
      <c r="E943" s="2" t="s">
        <v>11</v>
      </c>
      <c r="F943" s="2">
        <v>1</v>
      </c>
      <c r="G943" s="2" t="s">
        <v>12</v>
      </c>
    </row>
    <row r="944" spans="1:7" x14ac:dyDescent="0.2">
      <c r="A944" s="2" t="s">
        <v>1387</v>
      </c>
      <c r="B944" s="2" t="s">
        <v>1388</v>
      </c>
      <c r="C944" s="2" t="s">
        <v>1389</v>
      </c>
      <c r="D944" s="2" t="s">
        <v>10</v>
      </c>
      <c r="E944" s="2" t="s">
        <v>11</v>
      </c>
      <c r="F944" s="2">
        <v>1</v>
      </c>
      <c r="G944" s="2" t="s">
        <v>12</v>
      </c>
    </row>
    <row r="945" spans="1:7" x14ac:dyDescent="0.2">
      <c r="A945" s="2" t="s">
        <v>1387</v>
      </c>
      <c r="B945" s="2" t="s">
        <v>1390</v>
      </c>
      <c r="C945" s="2" t="s">
        <v>143</v>
      </c>
      <c r="D945" s="2" t="s">
        <v>10</v>
      </c>
      <c r="E945" s="2" t="s">
        <v>52</v>
      </c>
      <c r="F945" s="2">
        <v>2</v>
      </c>
      <c r="G945" s="2" t="s">
        <v>12</v>
      </c>
    </row>
    <row r="946" spans="1:7" x14ac:dyDescent="0.2">
      <c r="A946" s="2" t="s">
        <v>1387</v>
      </c>
      <c r="B946" s="2" t="s">
        <v>1391</v>
      </c>
      <c r="C946" s="2" t="s">
        <v>1392</v>
      </c>
      <c r="D946" s="2" t="s">
        <v>10</v>
      </c>
      <c r="E946" s="2" t="s">
        <v>52</v>
      </c>
      <c r="F946" s="2">
        <v>2</v>
      </c>
      <c r="G946" s="2" t="s">
        <v>12</v>
      </c>
    </row>
    <row r="947" spans="1:7" x14ac:dyDescent="0.2">
      <c r="A947" s="2" t="s">
        <v>1387</v>
      </c>
      <c r="B947" s="2" t="s">
        <v>1393</v>
      </c>
      <c r="C947" s="2" t="s">
        <v>1394</v>
      </c>
      <c r="D947" s="2" t="s">
        <v>10</v>
      </c>
      <c r="E947" s="2" t="s">
        <v>11</v>
      </c>
      <c r="F947" s="2">
        <v>2</v>
      </c>
      <c r="G947" s="2" t="s">
        <v>12</v>
      </c>
    </row>
    <row r="948" spans="1:7" x14ac:dyDescent="0.2">
      <c r="A948" s="2" t="s">
        <v>1387</v>
      </c>
      <c r="B948" s="2" t="s">
        <v>142</v>
      </c>
      <c r="C948" s="2" t="s">
        <v>143</v>
      </c>
      <c r="D948" s="2" t="s">
        <v>10</v>
      </c>
      <c r="E948" s="2" t="s">
        <v>52</v>
      </c>
      <c r="F948" s="2">
        <v>2</v>
      </c>
      <c r="G948" s="2" t="s">
        <v>12</v>
      </c>
    </row>
    <row r="949" spans="1:7" x14ac:dyDescent="0.2">
      <c r="A949" s="2" t="s">
        <v>1387</v>
      </c>
      <c r="B949" s="2" t="s">
        <v>144</v>
      </c>
      <c r="C949" s="2" t="s">
        <v>141</v>
      </c>
      <c r="D949" s="2" t="s">
        <v>10</v>
      </c>
      <c r="E949" s="2" t="s">
        <v>11</v>
      </c>
      <c r="F949" s="2">
        <v>1</v>
      </c>
      <c r="G949" s="2" t="s">
        <v>12</v>
      </c>
    </row>
    <row r="950" spans="1:7" x14ac:dyDescent="0.2">
      <c r="A950" s="2" t="s">
        <v>1387</v>
      </c>
      <c r="B950" s="2" t="s">
        <v>1395</v>
      </c>
      <c r="C950" s="2" t="s">
        <v>1389</v>
      </c>
      <c r="D950" s="2" t="s">
        <v>10</v>
      </c>
      <c r="E950" s="2" t="s">
        <v>11</v>
      </c>
      <c r="F950" s="2">
        <v>1</v>
      </c>
      <c r="G950" s="2" t="s">
        <v>12</v>
      </c>
    </row>
    <row r="951" spans="1:7" x14ac:dyDescent="0.2">
      <c r="A951" s="2" t="s">
        <v>1387</v>
      </c>
      <c r="B951" s="2" t="s">
        <v>1396</v>
      </c>
      <c r="C951" s="2" t="s">
        <v>143</v>
      </c>
      <c r="D951" s="2" t="s">
        <v>10</v>
      </c>
      <c r="E951" s="2" t="s">
        <v>52</v>
      </c>
      <c r="F951" s="2">
        <v>2</v>
      </c>
      <c r="G951" s="2" t="s">
        <v>12</v>
      </c>
    </row>
    <row r="952" spans="1:7" x14ac:dyDescent="0.2">
      <c r="A952" s="2" t="s">
        <v>1387</v>
      </c>
      <c r="B952" s="2" t="s">
        <v>1397</v>
      </c>
      <c r="C952" s="2" t="s">
        <v>1392</v>
      </c>
      <c r="D952" s="2" t="s">
        <v>10</v>
      </c>
      <c r="E952" s="2" t="s">
        <v>52</v>
      </c>
      <c r="F952" s="2">
        <v>2</v>
      </c>
      <c r="G952" s="2" t="s">
        <v>12</v>
      </c>
    </row>
    <row r="953" spans="1:7" x14ac:dyDescent="0.2">
      <c r="A953" s="2" t="s">
        <v>1387</v>
      </c>
      <c r="B953" s="2" t="s">
        <v>1398</v>
      </c>
      <c r="C953" s="2" t="s">
        <v>1394</v>
      </c>
      <c r="D953" s="2" t="s">
        <v>10</v>
      </c>
      <c r="E953" s="2" t="s">
        <v>11</v>
      </c>
      <c r="F953" s="2">
        <v>2</v>
      </c>
      <c r="G953" s="2" t="s">
        <v>12</v>
      </c>
    </row>
    <row r="954" spans="1:7" x14ac:dyDescent="0.2">
      <c r="A954" s="2" t="s">
        <v>1387</v>
      </c>
      <c r="B954" s="2" t="s">
        <v>1399</v>
      </c>
      <c r="C954" s="2" t="s">
        <v>1392</v>
      </c>
      <c r="D954" s="2" t="s">
        <v>10</v>
      </c>
      <c r="E954" s="2" t="s">
        <v>52</v>
      </c>
      <c r="F954" s="2">
        <v>2</v>
      </c>
      <c r="G954" s="2" t="s">
        <v>12</v>
      </c>
    </row>
    <row r="955" spans="1:7" x14ac:dyDescent="0.2">
      <c r="A955" s="2" t="s">
        <v>1400</v>
      </c>
      <c r="B955" s="2" t="s">
        <v>1401</v>
      </c>
      <c r="C955" s="2" t="s">
        <v>1392</v>
      </c>
      <c r="D955" s="2" t="s">
        <v>10</v>
      </c>
      <c r="E955" s="2" t="s">
        <v>52</v>
      </c>
      <c r="F955" s="2">
        <v>2</v>
      </c>
      <c r="G955" s="2" t="s">
        <v>12</v>
      </c>
    </row>
    <row r="956" spans="1:7" x14ac:dyDescent="0.2">
      <c r="A956" s="2" t="s">
        <v>1400</v>
      </c>
      <c r="B956" s="2" t="s">
        <v>1402</v>
      </c>
      <c r="C956" s="2" t="s">
        <v>1392</v>
      </c>
      <c r="D956" s="2" t="s">
        <v>10</v>
      </c>
      <c r="E956" s="2" t="s">
        <v>52</v>
      </c>
      <c r="F956" s="2">
        <v>2</v>
      </c>
      <c r="G956" s="2" t="s">
        <v>12</v>
      </c>
    </row>
    <row r="957" spans="1:7" x14ac:dyDescent="0.2">
      <c r="A957" s="2" t="s">
        <v>1400</v>
      </c>
      <c r="B957" s="2" t="s">
        <v>1399</v>
      </c>
      <c r="C957" s="2" t="s">
        <v>1392</v>
      </c>
      <c r="D957" s="2" t="s">
        <v>10</v>
      </c>
      <c r="E957" s="2" t="s">
        <v>52</v>
      </c>
      <c r="F957" s="2">
        <v>2</v>
      </c>
      <c r="G957" s="2" t="s">
        <v>12</v>
      </c>
    </row>
    <row r="958" spans="1:7" x14ac:dyDescent="0.2">
      <c r="A958" s="2" t="s">
        <v>1400</v>
      </c>
      <c r="B958" s="2" t="s">
        <v>170</v>
      </c>
      <c r="C958" s="2" t="s">
        <v>171</v>
      </c>
      <c r="D958" s="2" t="s">
        <v>10</v>
      </c>
      <c r="E958" s="2" t="s">
        <v>11</v>
      </c>
      <c r="F958" s="2">
        <v>2</v>
      </c>
      <c r="G958" s="2" t="s">
        <v>12</v>
      </c>
    </row>
    <row r="959" spans="1:7" x14ac:dyDescent="0.2">
      <c r="A959" s="2" t="s">
        <v>1400</v>
      </c>
      <c r="B959" s="2" t="s">
        <v>154</v>
      </c>
      <c r="C959" s="2" t="s">
        <v>155</v>
      </c>
      <c r="D959" s="2" t="s">
        <v>10</v>
      </c>
      <c r="E959" s="2" t="s">
        <v>16</v>
      </c>
      <c r="F959" s="2">
        <v>1</v>
      </c>
      <c r="G959" s="2" t="s">
        <v>17</v>
      </c>
    </row>
    <row r="960" spans="1:7" x14ac:dyDescent="0.2">
      <c r="A960" s="2" t="s">
        <v>1400</v>
      </c>
      <c r="B960" s="2" t="s">
        <v>166</v>
      </c>
      <c r="C960" s="2" t="s">
        <v>155</v>
      </c>
      <c r="D960" s="2" t="s">
        <v>10</v>
      </c>
      <c r="E960" s="2" t="s">
        <v>16</v>
      </c>
      <c r="F960" s="2">
        <v>1</v>
      </c>
      <c r="G960" s="2" t="s">
        <v>17</v>
      </c>
    </row>
    <row r="961" spans="1:7" x14ac:dyDescent="0.2">
      <c r="A961" s="2" t="s">
        <v>1400</v>
      </c>
      <c r="B961" s="2" t="s">
        <v>167</v>
      </c>
      <c r="C961" s="2" t="s">
        <v>155</v>
      </c>
      <c r="D961" s="2" t="s">
        <v>10</v>
      </c>
      <c r="E961" s="2" t="s">
        <v>16</v>
      </c>
      <c r="F961" s="2">
        <v>1</v>
      </c>
      <c r="G961" s="2" t="s">
        <v>17</v>
      </c>
    </row>
    <row r="962" spans="1:7" x14ac:dyDescent="0.2">
      <c r="A962" s="2" t="s">
        <v>1400</v>
      </c>
      <c r="B962" s="2" t="s">
        <v>168</v>
      </c>
      <c r="C962" s="2" t="s">
        <v>169</v>
      </c>
      <c r="D962" s="2" t="s">
        <v>10</v>
      </c>
      <c r="E962" s="2" t="s">
        <v>52</v>
      </c>
      <c r="F962" s="2">
        <v>1</v>
      </c>
      <c r="G962" s="2" t="s">
        <v>17</v>
      </c>
    </row>
    <row r="963" spans="1:7" x14ac:dyDescent="0.2">
      <c r="A963" s="2" t="s">
        <v>1400</v>
      </c>
      <c r="B963" s="2" t="s">
        <v>160</v>
      </c>
      <c r="C963" s="2" t="s">
        <v>161</v>
      </c>
      <c r="D963" s="2" t="s">
        <v>10</v>
      </c>
      <c r="E963" s="2" t="s">
        <v>11</v>
      </c>
      <c r="F963" s="2">
        <v>1</v>
      </c>
      <c r="G963" s="2" t="s">
        <v>17</v>
      </c>
    </row>
    <row r="964" spans="1:7" x14ac:dyDescent="0.2">
      <c r="A964" s="2" t="s">
        <v>1400</v>
      </c>
      <c r="B964" s="2" t="s">
        <v>1391</v>
      </c>
      <c r="C964" s="2" t="s">
        <v>1392</v>
      </c>
      <c r="D964" s="2" t="s">
        <v>10</v>
      </c>
      <c r="E964" s="2" t="s">
        <v>52</v>
      </c>
      <c r="F964" s="2">
        <v>2</v>
      </c>
      <c r="G964" s="2" t="s">
        <v>12</v>
      </c>
    </row>
    <row r="965" spans="1:7" x14ac:dyDescent="0.2">
      <c r="A965" s="2" t="s">
        <v>1400</v>
      </c>
      <c r="B965" s="2" t="s">
        <v>1403</v>
      </c>
      <c r="C965" s="2" t="s">
        <v>1392</v>
      </c>
      <c r="D965" s="2" t="s">
        <v>10</v>
      </c>
      <c r="E965" s="2" t="s">
        <v>52</v>
      </c>
      <c r="F965" s="2">
        <v>2</v>
      </c>
      <c r="G965" s="2" t="s">
        <v>12</v>
      </c>
    </row>
    <row r="966" spans="1:7" x14ac:dyDescent="0.2">
      <c r="A966" s="2" t="s">
        <v>1400</v>
      </c>
      <c r="B966" s="2" t="s">
        <v>172</v>
      </c>
      <c r="C966" s="2" t="s">
        <v>171</v>
      </c>
      <c r="D966" s="2" t="s">
        <v>10</v>
      </c>
      <c r="E966" s="2" t="s">
        <v>11</v>
      </c>
      <c r="F966" s="2">
        <v>2</v>
      </c>
      <c r="G966" s="2" t="s">
        <v>12</v>
      </c>
    </row>
    <row r="967" spans="1:7" x14ac:dyDescent="0.2">
      <c r="A967" s="2" t="s">
        <v>1400</v>
      </c>
      <c r="B967" s="2" t="s">
        <v>173</v>
      </c>
      <c r="C967" s="2" t="s">
        <v>171</v>
      </c>
      <c r="D967" s="2" t="s">
        <v>10</v>
      </c>
      <c r="E967" s="2" t="s">
        <v>11</v>
      </c>
      <c r="F967" s="2">
        <v>2</v>
      </c>
      <c r="G967" s="2" t="s">
        <v>12</v>
      </c>
    </row>
    <row r="968" spans="1:7" x14ac:dyDescent="0.2">
      <c r="A968" s="2" t="s">
        <v>1400</v>
      </c>
      <c r="B968" s="2" t="s">
        <v>165</v>
      </c>
      <c r="C968" s="2" t="s">
        <v>155</v>
      </c>
      <c r="D968" s="2" t="s">
        <v>10</v>
      </c>
      <c r="E968" s="2" t="s">
        <v>16</v>
      </c>
      <c r="F968" s="2">
        <v>1</v>
      </c>
      <c r="G968" s="2" t="s">
        <v>17</v>
      </c>
    </row>
    <row r="969" spans="1:7" x14ac:dyDescent="0.2">
      <c r="A969" s="2" t="s">
        <v>1404</v>
      </c>
      <c r="B969" s="2" t="s">
        <v>1405</v>
      </c>
      <c r="C969" s="2" t="s">
        <v>1406</v>
      </c>
      <c r="D969" s="2" t="s">
        <v>10</v>
      </c>
      <c r="E969" s="2" t="s">
        <v>16</v>
      </c>
      <c r="F969" s="2">
        <v>1</v>
      </c>
      <c r="G969" s="2" t="s">
        <v>17</v>
      </c>
    </row>
    <row r="970" spans="1:7" x14ac:dyDescent="0.2">
      <c r="A970" s="2" t="s">
        <v>1404</v>
      </c>
      <c r="B970" s="2" t="s">
        <v>1407</v>
      </c>
      <c r="C970" s="2" t="s">
        <v>1406</v>
      </c>
      <c r="D970" s="2" t="s">
        <v>10</v>
      </c>
      <c r="E970" s="2" t="s">
        <v>16</v>
      </c>
      <c r="F970" s="2">
        <v>1</v>
      </c>
      <c r="G970" s="2" t="s">
        <v>17</v>
      </c>
    </row>
    <row r="971" spans="1:7" x14ac:dyDescent="0.2">
      <c r="A971" s="2" t="s">
        <v>1408</v>
      </c>
      <c r="B971" s="2" t="s">
        <v>1409</v>
      </c>
      <c r="C971" s="2" t="s">
        <v>1410</v>
      </c>
      <c r="D971" s="2" t="s">
        <v>10</v>
      </c>
      <c r="E971" s="2" t="s">
        <v>16</v>
      </c>
      <c r="F971" s="2">
        <v>1</v>
      </c>
      <c r="G971" s="2" t="s">
        <v>17</v>
      </c>
    </row>
    <row r="972" spans="1:7" x14ac:dyDescent="0.2">
      <c r="A972" s="2" t="s">
        <v>1411</v>
      </c>
      <c r="B972" s="2" t="s">
        <v>1412</v>
      </c>
      <c r="C972" s="2" t="s">
        <v>1413</v>
      </c>
      <c r="D972" s="2" t="s">
        <v>10</v>
      </c>
      <c r="E972" s="2" t="s">
        <v>52</v>
      </c>
      <c r="F972" s="2">
        <v>1</v>
      </c>
      <c r="G972" s="2" t="s">
        <v>17</v>
      </c>
    </row>
    <row r="973" spans="1:7" x14ac:dyDescent="0.2">
      <c r="A973" s="2" t="s">
        <v>1411</v>
      </c>
      <c r="B973" s="2" t="s">
        <v>1414</v>
      </c>
      <c r="C973" s="2" t="s">
        <v>1413</v>
      </c>
      <c r="D973" s="2" t="s">
        <v>10</v>
      </c>
      <c r="E973" s="2" t="s">
        <v>52</v>
      </c>
      <c r="F973" s="2">
        <v>1</v>
      </c>
      <c r="G973" s="2" t="s">
        <v>17</v>
      </c>
    </row>
    <row r="974" spans="1:7" x14ac:dyDescent="0.2">
      <c r="A974" s="2" t="s">
        <v>1415</v>
      </c>
      <c r="B974" s="2" t="s">
        <v>1416</v>
      </c>
      <c r="C974" s="2" t="s">
        <v>1417</v>
      </c>
      <c r="D974" s="2" t="s">
        <v>10</v>
      </c>
      <c r="E974" s="2" t="s">
        <v>16</v>
      </c>
      <c r="F974" s="2">
        <v>1</v>
      </c>
      <c r="G974" s="2" t="s">
        <v>17</v>
      </c>
    </row>
    <row r="975" spans="1:7" x14ac:dyDescent="0.2">
      <c r="A975" s="2" t="s">
        <v>1415</v>
      </c>
      <c r="B975" s="2" t="s">
        <v>1418</v>
      </c>
      <c r="C975" s="2" t="s">
        <v>1419</v>
      </c>
      <c r="D975" s="2" t="s">
        <v>10</v>
      </c>
      <c r="E975" s="2" t="s">
        <v>16</v>
      </c>
      <c r="F975" s="2">
        <v>1</v>
      </c>
      <c r="G975" s="2" t="s">
        <v>17</v>
      </c>
    </row>
    <row r="976" spans="1:7" x14ac:dyDescent="0.2">
      <c r="A976" s="2" t="s">
        <v>1415</v>
      </c>
      <c r="B976" s="2" t="s">
        <v>1420</v>
      </c>
      <c r="C976" s="2" t="s">
        <v>1419</v>
      </c>
      <c r="D976" s="2" t="s">
        <v>10</v>
      </c>
      <c r="E976" s="2" t="s">
        <v>16</v>
      </c>
      <c r="F976" s="2">
        <v>1</v>
      </c>
      <c r="G976" s="2" t="s">
        <v>17</v>
      </c>
    </row>
    <row r="977" spans="1:7" x14ac:dyDescent="0.2">
      <c r="A977" s="2" t="s">
        <v>1415</v>
      </c>
      <c r="B977" s="2" t="s">
        <v>1421</v>
      </c>
      <c r="C977" s="2" t="s">
        <v>1417</v>
      </c>
      <c r="D977" s="2" t="s">
        <v>10</v>
      </c>
      <c r="E977" s="2" t="s">
        <v>16</v>
      </c>
      <c r="F977" s="2">
        <v>1</v>
      </c>
      <c r="G977" s="2" t="s">
        <v>17</v>
      </c>
    </row>
    <row r="978" spans="1:7" x14ac:dyDescent="0.2">
      <c r="A978" s="2" t="s">
        <v>1415</v>
      </c>
      <c r="B978" s="2" t="s">
        <v>1422</v>
      </c>
      <c r="C978" s="2" t="s">
        <v>1423</v>
      </c>
      <c r="D978" s="2" t="s">
        <v>10</v>
      </c>
      <c r="E978" s="2" t="s">
        <v>16</v>
      </c>
      <c r="F978" s="2">
        <v>1</v>
      </c>
      <c r="G978" s="2" t="s">
        <v>17</v>
      </c>
    </row>
    <row r="979" spans="1:7" x14ac:dyDescent="0.2">
      <c r="A979" s="2" t="s">
        <v>1424</v>
      </c>
      <c r="B979" s="2" t="s">
        <v>1425</v>
      </c>
      <c r="C979" s="2" t="s">
        <v>1038</v>
      </c>
      <c r="D979" s="2" t="s">
        <v>10</v>
      </c>
      <c r="E979" s="2" t="s">
        <v>16</v>
      </c>
      <c r="F979" s="2">
        <v>1</v>
      </c>
      <c r="G979" s="2" t="s">
        <v>17</v>
      </c>
    </row>
    <row r="980" spans="1:7" x14ac:dyDescent="0.2">
      <c r="A980" s="2" t="s">
        <v>1424</v>
      </c>
      <c r="B980" s="2" t="s">
        <v>1037</v>
      </c>
      <c r="C980" s="2" t="s">
        <v>1038</v>
      </c>
      <c r="D980" s="2" t="s">
        <v>10</v>
      </c>
      <c r="E980" s="2" t="s">
        <v>16</v>
      </c>
      <c r="F980" s="2">
        <v>1</v>
      </c>
      <c r="G980" s="2" t="s">
        <v>17</v>
      </c>
    </row>
    <row r="981" spans="1:7" x14ac:dyDescent="0.2">
      <c r="A981" s="2" t="s">
        <v>1426</v>
      </c>
      <c r="B981" s="2" t="s">
        <v>1427</v>
      </c>
      <c r="C981" s="2" t="s">
        <v>1428</v>
      </c>
      <c r="D981" s="2" t="s">
        <v>10</v>
      </c>
      <c r="E981" s="2" t="s">
        <v>16</v>
      </c>
      <c r="F981" s="2">
        <v>1</v>
      </c>
      <c r="G981" s="2" t="s">
        <v>17</v>
      </c>
    </row>
    <row r="982" spans="1:7" x14ac:dyDescent="0.2">
      <c r="A982" s="2" t="s">
        <v>1429</v>
      </c>
      <c r="B982" s="2" t="s">
        <v>1430</v>
      </c>
      <c r="C982" s="2" t="s">
        <v>325</v>
      </c>
      <c r="D982" s="2" t="s">
        <v>10</v>
      </c>
      <c r="E982" s="2" t="s">
        <v>16</v>
      </c>
      <c r="F982" s="2">
        <v>1</v>
      </c>
      <c r="G982" s="2" t="s">
        <v>17</v>
      </c>
    </row>
    <row r="983" spans="1:7" x14ac:dyDescent="0.2">
      <c r="A983" s="2" t="s">
        <v>1429</v>
      </c>
      <c r="B983" s="2" t="s">
        <v>1431</v>
      </c>
      <c r="C983" s="2" t="s">
        <v>1432</v>
      </c>
      <c r="D983" s="2" t="s">
        <v>10</v>
      </c>
      <c r="E983" s="2" t="s">
        <v>16</v>
      </c>
      <c r="F983" s="2">
        <v>1</v>
      </c>
      <c r="G983" s="2" t="s">
        <v>17</v>
      </c>
    </row>
    <row r="984" spans="1:7" x14ac:dyDescent="0.2">
      <c r="A984" s="2" t="s">
        <v>1429</v>
      </c>
      <c r="B984" s="2" t="s">
        <v>1433</v>
      </c>
      <c r="C984" s="2" t="s">
        <v>1434</v>
      </c>
      <c r="D984" s="2" t="s">
        <v>10</v>
      </c>
      <c r="E984" s="2" t="s">
        <v>16</v>
      </c>
      <c r="F984" s="2">
        <v>1</v>
      </c>
      <c r="G984" s="2" t="s">
        <v>17</v>
      </c>
    </row>
    <row r="985" spans="1:7" x14ac:dyDescent="0.2">
      <c r="A985" s="2" t="s">
        <v>1435</v>
      </c>
      <c r="B985" s="2" t="s">
        <v>1436</v>
      </c>
      <c r="C985" s="2" t="s">
        <v>1437</v>
      </c>
      <c r="D985" s="2" t="s">
        <v>10</v>
      </c>
      <c r="E985" s="2" t="s">
        <v>16</v>
      </c>
      <c r="F985" s="2">
        <v>1</v>
      </c>
      <c r="G985" s="2" t="s">
        <v>17</v>
      </c>
    </row>
    <row r="986" spans="1:7" x14ac:dyDescent="0.2">
      <c r="A986" s="2" t="s">
        <v>1435</v>
      </c>
      <c r="B986" s="2" t="s">
        <v>1438</v>
      </c>
      <c r="C986" s="2" t="s">
        <v>1437</v>
      </c>
      <c r="D986" s="2" t="s">
        <v>10</v>
      </c>
      <c r="E986" s="2" t="s">
        <v>16</v>
      </c>
      <c r="F986" s="2">
        <v>1</v>
      </c>
      <c r="G986" s="2" t="s">
        <v>17</v>
      </c>
    </row>
    <row r="987" spans="1:7" x14ac:dyDescent="0.2">
      <c r="A987" s="2" t="s">
        <v>1439</v>
      </c>
      <c r="B987" s="2" t="s">
        <v>1440</v>
      </c>
      <c r="C987" s="2" t="s">
        <v>1441</v>
      </c>
      <c r="D987" s="2" t="s">
        <v>10</v>
      </c>
      <c r="E987" s="2" t="s">
        <v>16</v>
      </c>
      <c r="F987" s="2">
        <v>1</v>
      </c>
      <c r="G987" s="2" t="s">
        <v>17</v>
      </c>
    </row>
    <row r="988" spans="1:7" x14ac:dyDescent="0.2">
      <c r="A988" s="2" t="s">
        <v>1439</v>
      </c>
      <c r="B988" s="2" t="s">
        <v>1442</v>
      </c>
      <c r="C988" s="2" t="s">
        <v>1441</v>
      </c>
      <c r="D988" s="2" t="s">
        <v>10</v>
      </c>
      <c r="E988" s="2" t="s">
        <v>16</v>
      </c>
      <c r="F988" s="2">
        <v>1</v>
      </c>
      <c r="G988" s="2" t="s">
        <v>17</v>
      </c>
    </row>
    <row r="989" spans="1:7" x14ac:dyDescent="0.2">
      <c r="A989" s="2" t="s">
        <v>1439</v>
      </c>
      <c r="B989" s="2" t="s">
        <v>1443</v>
      </c>
      <c r="C989" s="2" t="s">
        <v>1441</v>
      </c>
      <c r="D989" s="2" t="s">
        <v>10</v>
      </c>
      <c r="E989" s="2" t="s">
        <v>16</v>
      </c>
      <c r="F989" s="2">
        <v>1</v>
      </c>
      <c r="G989" s="2" t="s">
        <v>17</v>
      </c>
    </row>
    <row r="990" spans="1:7" x14ac:dyDescent="0.2">
      <c r="A990" s="2" t="s">
        <v>1439</v>
      </c>
      <c r="B990" s="2" t="s">
        <v>1444</v>
      </c>
      <c r="C990" s="2" t="s">
        <v>1441</v>
      </c>
      <c r="D990" s="2" t="s">
        <v>10</v>
      </c>
      <c r="E990" s="2" t="s">
        <v>16</v>
      </c>
      <c r="F990" s="2">
        <v>1</v>
      </c>
      <c r="G990" s="2" t="s">
        <v>17</v>
      </c>
    </row>
    <row r="991" spans="1:7" x14ac:dyDescent="0.2">
      <c r="A991" s="2" t="s">
        <v>1445</v>
      </c>
      <c r="B991" s="2" t="s">
        <v>1446</v>
      </c>
      <c r="C991" s="2" t="s">
        <v>1447</v>
      </c>
      <c r="D991" s="2" t="s">
        <v>10</v>
      </c>
      <c r="E991" s="2" t="s">
        <v>16</v>
      </c>
      <c r="F991" s="2">
        <v>1</v>
      </c>
      <c r="G991" s="2" t="s">
        <v>17</v>
      </c>
    </row>
    <row r="992" spans="1:7" x14ac:dyDescent="0.2">
      <c r="A992" s="2" t="s">
        <v>1445</v>
      </c>
      <c r="B992" s="2" t="s">
        <v>1448</v>
      </c>
      <c r="C992" s="2" t="s">
        <v>1449</v>
      </c>
      <c r="D992" s="2" t="s">
        <v>56</v>
      </c>
      <c r="E992" s="2" t="s">
        <v>52</v>
      </c>
      <c r="F992" s="2">
        <v>1</v>
      </c>
      <c r="G992" s="2" t="s">
        <v>17</v>
      </c>
    </row>
    <row r="993" spans="1:7" x14ac:dyDescent="0.2">
      <c r="A993" s="2" t="s">
        <v>1445</v>
      </c>
      <c r="B993" s="2" t="s">
        <v>1450</v>
      </c>
      <c r="C993" s="2" t="s">
        <v>1449</v>
      </c>
      <c r="D993" s="2" t="s">
        <v>56</v>
      </c>
      <c r="E993" s="2" t="s">
        <v>52</v>
      </c>
      <c r="F993" s="2">
        <v>1</v>
      </c>
      <c r="G993" s="2" t="s">
        <v>17</v>
      </c>
    </row>
    <row r="994" spans="1:7" x14ac:dyDescent="0.2">
      <c r="A994" s="2" t="s">
        <v>1445</v>
      </c>
      <c r="B994" s="2" t="s">
        <v>1451</v>
      </c>
      <c r="C994" s="2" t="s">
        <v>1452</v>
      </c>
      <c r="D994" s="2" t="s">
        <v>10</v>
      </c>
      <c r="E994" s="2" t="s">
        <v>16</v>
      </c>
      <c r="F994" s="2">
        <v>1</v>
      </c>
      <c r="G994" s="2" t="s">
        <v>17</v>
      </c>
    </row>
    <row r="995" spans="1:7" x14ac:dyDescent="0.2">
      <c r="A995" s="2" t="s">
        <v>1445</v>
      </c>
      <c r="B995" s="2" t="s">
        <v>1453</v>
      </c>
      <c r="C995" s="2" t="s">
        <v>1452</v>
      </c>
      <c r="D995" s="2" t="s">
        <v>10</v>
      </c>
      <c r="E995" s="2" t="s">
        <v>16</v>
      </c>
      <c r="F995" s="2">
        <v>1</v>
      </c>
      <c r="G995" s="2" t="s">
        <v>17</v>
      </c>
    </row>
    <row r="996" spans="1:7" x14ac:dyDescent="0.2">
      <c r="A996" s="2" t="s">
        <v>1445</v>
      </c>
      <c r="B996" s="2" t="s">
        <v>1454</v>
      </c>
      <c r="C996" s="2" t="s">
        <v>1455</v>
      </c>
      <c r="D996" s="2" t="s">
        <v>10</v>
      </c>
      <c r="E996" s="2" t="s">
        <v>16</v>
      </c>
      <c r="F996" s="2">
        <v>1</v>
      </c>
      <c r="G996" s="2" t="s">
        <v>17</v>
      </c>
    </row>
    <row r="997" spans="1:7" x14ac:dyDescent="0.2">
      <c r="A997" s="2" t="s">
        <v>1445</v>
      </c>
      <c r="B997" s="2" t="s">
        <v>1456</v>
      </c>
      <c r="C997" s="2" t="s">
        <v>1455</v>
      </c>
      <c r="D997" s="2" t="s">
        <v>10</v>
      </c>
      <c r="E997" s="2" t="s">
        <v>16</v>
      </c>
      <c r="F997" s="2">
        <v>1</v>
      </c>
      <c r="G997" s="2" t="s">
        <v>17</v>
      </c>
    </row>
    <row r="998" spans="1:7" x14ac:dyDescent="0.2">
      <c r="A998" s="2" t="s">
        <v>1457</v>
      </c>
      <c r="B998" s="2" t="s">
        <v>1458</v>
      </c>
      <c r="C998" s="2" t="s">
        <v>1459</v>
      </c>
      <c r="D998" s="2" t="s">
        <v>10</v>
      </c>
      <c r="E998" s="2" t="s">
        <v>16</v>
      </c>
      <c r="F998" s="2">
        <v>1</v>
      </c>
      <c r="G998" s="2" t="s">
        <v>17</v>
      </c>
    </row>
    <row r="999" spans="1:7" x14ac:dyDescent="0.2">
      <c r="A999" s="2" t="s">
        <v>1457</v>
      </c>
      <c r="B999" s="2" t="s">
        <v>1460</v>
      </c>
      <c r="C999" s="2" t="s">
        <v>1459</v>
      </c>
      <c r="D999" s="2" t="s">
        <v>10</v>
      </c>
      <c r="E999" s="2" t="s">
        <v>16</v>
      </c>
      <c r="F999" s="2">
        <v>1</v>
      </c>
      <c r="G999" s="2" t="s">
        <v>17</v>
      </c>
    </row>
    <row r="1000" spans="1:7" x14ac:dyDescent="0.2">
      <c r="A1000" s="2" t="s">
        <v>1461</v>
      </c>
      <c r="B1000" s="2" t="s">
        <v>1462</v>
      </c>
      <c r="C1000" s="2" t="s">
        <v>1463</v>
      </c>
      <c r="D1000" s="2" t="s">
        <v>10</v>
      </c>
      <c r="E1000" s="2" t="s">
        <v>16</v>
      </c>
      <c r="F1000" s="2">
        <v>1</v>
      </c>
      <c r="G1000" s="2" t="s">
        <v>17</v>
      </c>
    </row>
    <row r="1001" spans="1:7" x14ac:dyDescent="0.2">
      <c r="A1001" s="2" t="s">
        <v>1464</v>
      </c>
      <c r="B1001" s="2" t="s">
        <v>1465</v>
      </c>
      <c r="C1001" s="2" t="s">
        <v>1466</v>
      </c>
      <c r="D1001" s="2" t="s">
        <v>10</v>
      </c>
      <c r="E1001" s="2" t="s">
        <v>16</v>
      </c>
      <c r="F1001" s="2">
        <v>1</v>
      </c>
      <c r="G1001" s="2" t="s">
        <v>17</v>
      </c>
    </row>
    <row r="1002" spans="1:7" x14ac:dyDescent="0.2">
      <c r="A1002" s="2" t="s">
        <v>1464</v>
      </c>
      <c r="B1002" s="2" t="s">
        <v>1467</v>
      </c>
      <c r="C1002" s="2" t="s">
        <v>1466</v>
      </c>
      <c r="D1002" s="2" t="s">
        <v>10</v>
      </c>
      <c r="E1002" s="2" t="s">
        <v>16</v>
      </c>
      <c r="F1002" s="2">
        <v>1</v>
      </c>
      <c r="G1002" s="2" t="s">
        <v>17</v>
      </c>
    </row>
    <row r="1003" spans="1:7" x14ac:dyDescent="0.2">
      <c r="A1003" s="2" t="s">
        <v>1464</v>
      </c>
      <c r="B1003" s="2" t="s">
        <v>1468</v>
      </c>
      <c r="C1003" s="2" t="s">
        <v>1469</v>
      </c>
      <c r="D1003" s="2" t="s">
        <v>10</v>
      </c>
      <c r="E1003" s="2" t="s">
        <v>11</v>
      </c>
      <c r="F1003" s="2">
        <v>1</v>
      </c>
      <c r="G1003" s="2" t="s">
        <v>17</v>
      </c>
    </row>
    <row r="1004" spans="1:7" x14ac:dyDescent="0.2">
      <c r="A1004" s="2" t="s">
        <v>1464</v>
      </c>
      <c r="B1004" s="2" t="s">
        <v>1470</v>
      </c>
      <c r="C1004" s="2" t="s">
        <v>1466</v>
      </c>
      <c r="D1004" s="2" t="s">
        <v>10</v>
      </c>
      <c r="E1004" s="2" t="s">
        <v>16</v>
      </c>
      <c r="F1004" s="2">
        <v>1</v>
      </c>
      <c r="G1004" s="2" t="s">
        <v>17</v>
      </c>
    </row>
    <row r="1005" spans="1:7" x14ac:dyDescent="0.2">
      <c r="A1005" s="2" t="s">
        <v>1464</v>
      </c>
      <c r="B1005" s="2" t="s">
        <v>1471</v>
      </c>
      <c r="C1005" s="2" t="s">
        <v>1469</v>
      </c>
      <c r="D1005" s="2" t="s">
        <v>10</v>
      </c>
      <c r="E1005" s="2" t="s">
        <v>11</v>
      </c>
      <c r="F1005" s="2">
        <v>1</v>
      </c>
      <c r="G1005" s="2" t="s">
        <v>17</v>
      </c>
    </row>
    <row r="1006" spans="1:7" x14ac:dyDescent="0.2">
      <c r="A1006" s="2" t="s">
        <v>1472</v>
      </c>
      <c r="B1006" s="2" t="s">
        <v>1473</v>
      </c>
      <c r="C1006" s="2" t="s">
        <v>1474</v>
      </c>
      <c r="D1006" s="2" t="s">
        <v>10</v>
      </c>
      <c r="E1006" s="2" t="s">
        <v>16</v>
      </c>
      <c r="F1006" s="2">
        <v>1</v>
      </c>
      <c r="G1006" s="2" t="s">
        <v>17</v>
      </c>
    </row>
    <row r="1007" spans="1:7" x14ac:dyDescent="0.2">
      <c r="A1007" s="2" t="s">
        <v>1475</v>
      </c>
      <c r="B1007" s="2" t="s">
        <v>1476</v>
      </c>
      <c r="C1007" s="2" t="s">
        <v>1477</v>
      </c>
      <c r="D1007" s="2" t="s">
        <v>64</v>
      </c>
      <c r="E1007" s="2" t="s">
        <v>16</v>
      </c>
      <c r="F1007" s="2">
        <v>1</v>
      </c>
      <c r="G1007" s="2" t="s">
        <v>17</v>
      </c>
    </row>
    <row r="1008" spans="1:7" x14ac:dyDescent="0.2">
      <c r="A1008" s="2" t="s">
        <v>1475</v>
      </c>
      <c r="B1008" s="2" t="s">
        <v>1478</v>
      </c>
      <c r="C1008" s="2" t="s">
        <v>1479</v>
      </c>
      <c r="D1008" s="2" t="s">
        <v>10</v>
      </c>
      <c r="E1008" s="2" t="s">
        <v>16</v>
      </c>
      <c r="F1008" s="2">
        <v>1</v>
      </c>
      <c r="G1008" s="2" t="s">
        <v>17</v>
      </c>
    </row>
    <row r="1009" spans="1:7" x14ac:dyDescent="0.2">
      <c r="A1009" s="2" t="s">
        <v>1475</v>
      </c>
      <c r="B1009" s="2" t="s">
        <v>1480</v>
      </c>
      <c r="C1009" s="2" t="s">
        <v>1479</v>
      </c>
      <c r="D1009" s="2" t="s">
        <v>10</v>
      </c>
      <c r="E1009" s="2" t="s">
        <v>16</v>
      </c>
      <c r="F1009" s="2">
        <v>1</v>
      </c>
      <c r="G1009" s="2" t="s">
        <v>17</v>
      </c>
    </row>
    <row r="1010" spans="1:7" x14ac:dyDescent="0.2">
      <c r="A1010" s="2" t="s">
        <v>1475</v>
      </c>
      <c r="B1010" s="2" t="s">
        <v>1481</v>
      </c>
      <c r="C1010" s="2" t="s">
        <v>1482</v>
      </c>
      <c r="D1010" s="2" t="s">
        <v>10</v>
      </c>
      <c r="E1010" s="2" t="s">
        <v>16</v>
      </c>
      <c r="F1010" s="2">
        <v>1</v>
      </c>
      <c r="G1010" s="2" t="s">
        <v>17</v>
      </c>
    </row>
    <row r="1011" spans="1:7" x14ac:dyDescent="0.2">
      <c r="A1011" s="2" t="s">
        <v>1475</v>
      </c>
      <c r="B1011" s="2" t="s">
        <v>1483</v>
      </c>
      <c r="C1011" s="2" t="s">
        <v>1484</v>
      </c>
      <c r="D1011" s="2" t="s">
        <v>10</v>
      </c>
      <c r="E1011" s="2" t="s">
        <v>16</v>
      </c>
      <c r="F1011" s="2">
        <v>1</v>
      </c>
      <c r="G1011" s="2" t="s">
        <v>17</v>
      </c>
    </row>
    <row r="1012" spans="1:7" x14ac:dyDescent="0.2">
      <c r="A1012" s="2" t="s">
        <v>1485</v>
      </c>
      <c r="B1012" s="2" t="s">
        <v>1486</v>
      </c>
      <c r="C1012" s="2" t="s">
        <v>1487</v>
      </c>
      <c r="D1012" s="2" t="s">
        <v>10</v>
      </c>
      <c r="E1012" s="2" t="s">
        <v>16</v>
      </c>
      <c r="F1012" s="2">
        <v>1</v>
      </c>
      <c r="G1012" s="2" t="s">
        <v>17</v>
      </c>
    </row>
    <row r="1013" spans="1:7" x14ac:dyDescent="0.2">
      <c r="A1013" s="2" t="s">
        <v>1485</v>
      </c>
      <c r="B1013" s="2" t="s">
        <v>1488</v>
      </c>
      <c r="C1013" s="2" t="s">
        <v>1487</v>
      </c>
      <c r="D1013" s="2" t="s">
        <v>10</v>
      </c>
      <c r="E1013" s="2" t="s">
        <v>16</v>
      </c>
      <c r="F1013" s="2">
        <v>1</v>
      </c>
      <c r="G1013" s="2" t="s">
        <v>17</v>
      </c>
    </row>
    <row r="1014" spans="1:7" x14ac:dyDescent="0.2">
      <c r="A1014" s="2" t="s">
        <v>1489</v>
      </c>
      <c r="B1014" s="2" t="s">
        <v>1490</v>
      </c>
      <c r="C1014" s="2" t="s">
        <v>1491</v>
      </c>
      <c r="D1014" s="2" t="s">
        <v>10</v>
      </c>
      <c r="E1014" s="2" t="s">
        <v>16</v>
      </c>
      <c r="F1014" s="2">
        <v>1</v>
      </c>
      <c r="G1014" s="2" t="s">
        <v>17</v>
      </c>
    </row>
    <row r="1015" spans="1:7" x14ac:dyDescent="0.2">
      <c r="A1015" s="2" t="s">
        <v>1492</v>
      </c>
      <c r="B1015" s="2" t="s">
        <v>1493</v>
      </c>
      <c r="C1015" s="2" t="s">
        <v>1494</v>
      </c>
      <c r="D1015" s="2" t="s">
        <v>10</v>
      </c>
      <c r="E1015" s="2" t="s">
        <v>16</v>
      </c>
      <c r="F1015" s="2">
        <v>1</v>
      </c>
      <c r="G1015" s="2" t="s">
        <v>17</v>
      </c>
    </row>
    <row r="1016" spans="1:7" x14ac:dyDescent="0.2">
      <c r="A1016" s="2" t="s">
        <v>1492</v>
      </c>
      <c r="B1016" s="2" t="s">
        <v>1495</v>
      </c>
      <c r="C1016" s="2" t="s">
        <v>1496</v>
      </c>
      <c r="D1016" s="2" t="s">
        <v>10</v>
      </c>
      <c r="E1016" s="2" t="s">
        <v>16</v>
      </c>
      <c r="F1016" s="2">
        <v>1</v>
      </c>
      <c r="G1016" s="2" t="s">
        <v>17</v>
      </c>
    </row>
    <row r="1017" spans="1:7" x14ac:dyDescent="0.2">
      <c r="A1017" s="2" t="s">
        <v>1492</v>
      </c>
      <c r="B1017" s="2" t="s">
        <v>1497</v>
      </c>
      <c r="C1017" s="2" t="s">
        <v>1494</v>
      </c>
      <c r="D1017" s="2" t="s">
        <v>10</v>
      </c>
      <c r="E1017" s="2" t="s">
        <v>16</v>
      </c>
      <c r="F1017" s="2">
        <v>1</v>
      </c>
      <c r="G1017" s="2" t="s">
        <v>17</v>
      </c>
    </row>
    <row r="1018" spans="1:7" x14ac:dyDescent="0.2">
      <c r="A1018" s="2" t="s">
        <v>1492</v>
      </c>
      <c r="B1018" s="2" t="s">
        <v>1498</v>
      </c>
      <c r="C1018" s="2" t="s">
        <v>1494</v>
      </c>
      <c r="D1018" s="2" t="s">
        <v>10</v>
      </c>
      <c r="E1018" s="2" t="s">
        <v>16</v>
      </c>
      <c r="F1018" s="2">
        <v>1</v>
      </c>
      <c r="G1018" s="2" t="s">
        <v>17</v>
      </c>
    </row>
    <row r="1019" spans="1:7" x14ac:dyDescent="0.2">
      <c r="A1019" s="2" t="s">
        <v>1492</v>
      </c>
      <c r="B1019" s="2" t="s">
        <v>1499</v>
      </c>
      <c r="C1019" s="2" t="s">
        <v>335</v>
      </c>
      <c r="D1019" s="2" t="s">
        <v>10</v>
      </c>
      <c r="E1019" s="2" t="s">
        <v>16</v>
      </c>
      <c r="F1019" s="2">
        <v>1</v>
      </c>
      <c r="G1019" s="2" t="s">
        <v>17</v>
      </c>
    </row>
    <row r="1020" spans="1:7" x14ac:dyDescent="0.2">
      <c r="A1020" s="2" t="s">
        <v>1492</v>
      </c>
      <c r="B1020" s="2" t="s">
        <v>1500</v>
      </c>
      <c r="C1020" s="2" t="s">
        <v>1494</v>
      </c>
      <c r="D1020" s="2" t="s">
        <v>10</v>
      </c>
      <c r="E1020" s="2" t="s">
        <v>16</v>
      </c>
      <c r="F1020" s="2">
        <v>1</v>
      </c>
      <c r="G1020" s="2" t="s">
        <v>17</v>
      </c>
    </row>
    <row r="1021" spans="1:7" x14ac:dyDescent="0.2">
      <c r="A1021" s="2" t="s">
        <v>1492</v>
      </c>
      <c r="B1021" s="2" t="s">
        <v>1501</v>
      </c>
      <c r="C1021" s="2" t="s">
        <v>1502</v>
      </c>
      <c r="D1021" s="2" t="s">
        <v>10</v>
      </c>
      <c r="E1021" s="2" t="s">
        <v>16</v>
      </c>
      <c r="F1021" s="2">
        <v>1</v>
      </c>
      <c r="G1021" s="2" t="s">
        <v>17</v>
      </c>
    </row>
    <row r="1022" spans="1:7" x14ac:dyDescent="0.2">
      <c r="A1022" s="2" t="s">
        <v>1492</v>
      </c>
      <c r="B1022" s="2" t="s">
        <v>1503</v>
      </c>
      <c r="C1022" s="2" t="s">
        <v>1502</v>
      </c>
      <c r="D1022" s="2" t="s">
        <v>10</v>
      </c>
      <c r="E1022" s="2" t="s">
        <v>16</v>
      </c>
      <c r="F1022" s="2">
        <v>1</v>
      </c>
      <c r="G1022" s="2" t="s">
        <v>17</v>
      </c>
    </row>
    <row r="1023" spans="1:7" x14ac:dyDescent="0.2">
      <c r="A1023" s="2" t="s">
        <v>1492</v>
      </c>
      <c r="B1023" s="2" t="s">
        <v>1504</v>
      </c>
      <c r="C1023" s="2" t="s">
        <v>1505</v>
      </c>
      <c r="D1023" s="2" t="s">
        <v>10</v>
      </c>
      <c r="E1023" s="2" t="s">
        <v>16</v>
      </c>
      <c r="F1023" s="2">
        <v>1</v>
      </c>
      <c r="G1023" s="2" t="s">
        <v>17</v>
      </c>
    </row>
    <row r="1024" spans="1:7" x14ac:dyDescent="0.2">
      <c r="A1024" s="2" t="s">
        <v>1492</v>
      </c>
      <c r="B1024" s="2" t="s">
        <v>1506</v>
      </c>
      <c r="C1024" s="2" t="s">
        <v>1502</v>
      </c>
      <c r="D1024" s="2" t="s">
        <v>10</v>
      </c>
      <c r="E1024" s="2" t="s">
        <v>16</v>
      </c>
      <c r="F1024" s="2">
        <v>1</v>
      </c>
      <c r="G1024" s="2" t="s">
        <v>17</v>
      </c>
    </row>
    <row r="1025" spans="1:7" x14ac:dyDescent="0.2">
      <c r="A1025" s="2" t="s">
        <v>1492</v>
      </c>
      <c r="B1025" s="2" t="s">
        <v>1507</v>
      </c>
      <c r="C1025" s="2" t="s">
        <v>335</v>
      </c>
      <c r="D1025" s="2" t="s">
        <v>10</v>
      </c>
      <c r="E1025" s="2" t="s">
        <v>16</v>
      </c>
      <c r="F1025" s="2">
        <v>1</v>
      </c>
      <c r="G1025" s="2" t="s">
        <v>17</v>
      </c>
    </row>
    <row r="1026" spans="1:7" x14ac:dyDescent="0.2">
      <c r="A1026" s="2" t="s">
        <v>1492</v>
      </c>
      <c r="B1026" s="2" t="s">
        <v>1508</v>
      </c>
      <c r="C1026" s="2" t="s">
        <v>1502</v>
      </c>
      <c r="D1026" s="2" t="s">
        <v>10</v>
      </c>
      <c r="E1026" s="2" t="s">
        <v>16</v>
      </c>
      <c r="F1026" s="2">
        <v>1</v>
      </c>
      <c r="G1026" s="2" t="s">
        <v>17</v>
      </c>
    </row>
    <row r="1027" spans="1:7" x14ac:dyDescent="0.2">
      <c r="A1027" s="2" t="s">
        <v>1492</v>
      </c>
      <c r="B1027" s="2" t="s">
        <v>1509</v>
      </c>
      <c r="C1027" s="2" t="s">
        <v>1496</v>
      </c>
      <c r="D1027" s="2" t="s">
        <v>10</v>
      </c>
      <c r="E1027" s="2" t="s">
        <v>16</v>
      </c>
      <c r="F1027" s="2">
        <v>1</v>
      </c>
      <c r="G1027" s="2" t="s">
        <v>17</v>
      </c>
    </row>
    <row r="1028" spans="1:7" x14ac:dyDescent="0.2">
      <c r="A1028" s="2" t="s">
        <v>1492</v>
      </c>
      <c r="B1028" s="2" t="s">
        <v>1510</v>
      </c>
      <c r="C1028" s="2" t="s">
        <v>1505</v>
      </c>
      <c r="D1028" s="2" t="s">
        <v>10</v>
      </c>
      <c r="E1028" s="2" t="s">
        <v>16</v>
      </c>
      <c r="F1028" s="2">
        <v>1</v>
      </c>
      <c r="G1028" s="2" t="s">
        <v>17</v>
      </c>
    </row>
    <row r="1029" spans="1:7" x14ac:dyDescent="0.2">
      <c r="A1029" s="2" t="s">
        <v>1511</v>
      </c>
      <c r="B1029" s="2" t="s">
        <v>1512</v>
      </c>
      <c r="C1029" s="2" t="s">
        <v>1513</v>
      </c>
      <c r="D1029" s="2" t="s">
        <v>10</v>
      </c>
      <c r="E1029" s="2" t="s">
        <v>16</v>
      </c>
      <c r="F1029" s="2">
        <v>1</v>
      </c>
      <c r="G1029" s="2" t="s">
        <v>17</v>
      </c>
    </row>
    <row r="1030" spans="1:7" x14ac:dyDescent="0.2">
      <c r="A1030" s="2" t="s">
        <v>1514</v>
      </c>
      <c r="B1030" s="2" t="s">
        <v>1515</v>
      </c>
      <c r="C1030" s="2" t="s">
        <v>1516</v>
      </c>
      <c r="D1030" s="2" t="s">
        <v>10</v>
      </c>
      <c r="E1030" s="2" t="s">
        <v>16</v>
      </c>
      <c r="F1030" s="2">
        <v>1</v>
      </c>
      <c r="G1030" s="2" t="s">
        <v>17</v>
      </c>
    </row>
    <row r="1031" spans="1:7" x14ac:dyDescent="0.2">
      <c r="A1031" s="2" t="s">
        <v>1514</v>
      </c>
      <c r="B1031" s="2" t="s">
        <v>1517</v>
      </c>
      <c r="C1031" s="2" t="s">
        <v>1516</v>
      </c>
      <c r="D1031" s="2" t="s">
        <v>10</v>
      </c>
      <c r="E1031" s="2" t="s">
        <v>16</v>
      </c>
      <c r="F1031" s="2">
        <v>1</v>
      </c>
      <c r="G1031" s="2" t="s">
        <v>17</v>
      </c>
    </row>
    <row r="1032" spans="1:7" x14ac:dyDescent="0.2">
      <c r="A1032" s="2" t="s">
        <v>1514</v>
      </c>
      <c r="B1032" s="2" t="s">
        <v>1518</v>
      </c>
      <c r="C1032" s="2" t="s">
        <v>1516</v>
      </c>
      <c r="D1032" s="2" t="s">
        <v>10</v>
      </c>
      <c r="E1032" s="2" t="s">
        <v>16</v>
      </c>
      <c r="F1032" s="2">
        <v>1</v>
      </c>
      <c r="G1032" s="2" t="s">
        <v>17</v>
      </c>
    </row>
    <row r="1033" spans="1:7" x14ac:dyDescent="0.2">
      <c r="A1033" s="2" t="s">
        <v>1514</v>
      </c>
      <c r="B1033" s="2" t="s">
        <v>1519</v>
      </c>
      <c r="C1033" s="2" t="s">
        <v>1520</v>
      </c>
      <c r="D1033" s="2" t="s">
        <v>10</v>
      </c>
      <c r="E1033" s="2" t="s">
        <v>16</v>
      </c>
      <c r="F1033" s="2">
        <v>1</v>
      </c>
      <c r="G1033" s="2" t="s">
        <v>17</v>
      </c>
    </row>
    <row r="1034" spans="1:7" x14ac:dyDescent="0.2">
      <c r="A1034" s="2" t="s">
        <v>1514</v>
      </c>
      <c r="B1034" s="2" t="s">
        <v>1521</v>
      </c>
      <c r="C1034" s="2" t="s">
        <v>1516</v>
      </c>
      <c r="D1034" s="2" t="s">
        <v>10</v>
      </c>
      <c r="E1034" s="2" t="s">
        <v>16</v>
      </c>
      <c r="F1034" s="2">
        <v>1</v>
      </c>
      <c r="G1034" s="2" t="s">
        <v>17</v>
      </c>
    </row>
    <row r="1035" spans="1:7" x14ac:dyDescent="0.2">
      <c r="A1035" s="2" t="s">
        <v>1514</v>
      </c>
      <c r="B1035" s="2" t="s">
        <v>1522</v>
      </c>
      <c r="C1035" s="2" t="s">
        <v>1516</v>
      </c>
      <c r="D1035" s="2" t="s">
        <v>10</v>
      </c>
      <c r="E1035" s="2" t="s">
        <v>16</v>
      </c>
      <c r="F1035" s="2">
        <v>1</v>
      </c>
      <c r="G1035" s="2" t="s">
        <v>17</v>
      </c>
    </row>
    <row r="1036" spans="1:7" x14ac:dyDescent="0.2">
      <c r="A1036" s="2" t="s">
        <v>1514</v>
      </c>
      <c r="B1036" s="2" t="s">
        <v>465</v>
      </c>
      <c r="C1036" s="2" t="s">
        <v>1520</v>
      </c>
      <c r="D1036" s="2" t="s">
        <v>10</v>
      </c>
      <c r="E1036" s="2" t="s">
        <v>16</v>
      </c>
      <c r="F1036" s="2">
        <v>1</v>
      </c>
      <c r="G1036" s="2" t="s">
        <v>17</v>
      </c>
    </row>
    <row r="1037" spans="1:7" x14ac:dyDescent="0.2">
      <c r="A1037" s="2" t="s">
        <v>1514</v>
      </c>
      <c r="B1037" s="2" t="s">
        <v>1523</v>
      </c>
      <c r="C1037" s="2" t="s">
        <v>1516</v>
      </c>
      <c r="D1037" s="2" t="s">
        <v>10</v>
      </c>
      <c r="E1037" s="2" t="s">
        <v>16</v>
      </c>
      <c r="F1037" s="2">
        <v>1</v>
      </c>
      <c r="G1037" s="2" t="s">
        <v>17</v>
      </c>
    </row>
    <row r="1038" spans="1:7" x14ac:dyDescent="0.2">
      <c r="A1038" s="2" t="s">
        <v>1524</v>
      </c>
      <c r="B1038" s="2" t="s">
        <v>548</v>
      </c>
      <c r="C1038" s="2" t="s">
        <v>1525</v>
      </c>
      <c r="D1038" s="2" t="s">
        <v>10</v>
      </c>
      <c r="E1038" s="2" t="s">
        <v>16</v>
      </c>
      <c r="F1038" s="2">
        <v>1</v>
      </c>
      <c r="G1038" s="2" t="s">
        <v>17</v>
      </c>
    </row>
    <row r="1039" spans="1:7" x14ac:dyDescent="0.2">
      <c r="A1039" s="2" t="s">
        <v>1526</v>
      </c>
      <c r="B1039" s="2" t="s">
        <v>1527</v>
      </c>
      <c r="C1039" s="2" t="s">
        <v>1528</v>
      </c>
      <c r="D1039" s="2" t="s">
        <v>10</v>
      </c>
      <c r="E1039" s="2" t="s">
        <v>16</v>
      </c>
      <c r="F1039" s="2">
        <v>1</v>
      </c>
      <c r="G1039" s="2" t="s">
        <v>17</v>
      </c>
    </row>
    <row r="1040" spans="1:7" x14ac:dyDescent="0.2">
      <c r="A1040" s="2" t="s">
        <v>1529</v>
      </c>
      <c r="B1040" s="2" t="s">
        <v>1530</v>
      </c>
      <c r="C1040" s="2" t="s">
        <v>1531</v>
      </c>
      <c r="D1040" s="2" t="s">
        <v>64</v>
      </c>
      <c r="E1040" s="2" t="s">
        <v>16</v>
      </c>
      <c r="F1040" s="2">
        <v>1</v>
      </c>
      <c r="G1040" s="2" t="s">
        <v>17</v>
      </c>
    </row>
    <row r="1041" spans="1:7" x14ac:dyDescent="0.2">
      <c r="A1041" s="2" t="s">
        <v>1529</v>
      </c>
      <c r="B1041" s="2" t="s">
        <v>1532</v>
      </c>
      <c r="C1041" s="2" t="s">
        <v>1531</v>
      </c>
      <c r="D1041" s="2" t="s">
        <v>64</v>
      </c>
      <c r="E1041" s="2" t="s">
        <v>16</v>
      </c>
      <c r="F1041" s="2">
        <v>1</v>
      </c>
      <c r="G1041" s="2" t="s">
        <v>17</v>
      </c>
    </row>
    <row r="1042" spans="1:7" x14ac:dyDescent="0.2">
      <c r="A1042" s="2" t="s">
        <v>1533</v>
      </c>
      <c r="B1042" s="2" t="s">
        <v>1534</v>
      </c>
      <c r="C1042" s="2" t="s">
        <v>1535</v>
      </c>
      <c r="D1042" s="2" t="s">
        <v>10</v>
      </c>
      <c r="E1042" s="2" t="s">
        <v>16</v>
      </c>
      <c r="F1042" s="2">
        <v>1</v>
      </c>
      <c r="G1042" s="2" t="s">
        <v>17</v>
      </c>
    </row>
    <row r="1043" spans="1:7" x14ac:dyDescent="0.2">
      <c r="A1043" s="2" t="s">
        <v>1533</v>
      </c>
      <c r="B1043" s="2" t="s">
        <v>1536</v>
      </c>
      <c r="C1043" s="2" t="s">
        <v>1535</v>
      </c>
      <c r="D1043" s="2" t="s">
        <v>10</v>
      </c>
      <c r="E1043" s="2" t="s">
        <v>16</v>
      </c>
      <c r="F1043" s="2">
        <v>1</v>
      </c>
      <c r="G1043" s="2" t="s">
        <v>17</v>
      </c>
    </row>
    <row r="1044" spans="1:7" x14ac:dyDescent="0.2">
      <c r="A1044" s="2" t="s">
        <v>1533</v>
      </c>
      <c r="B1044" s="2" t="s">
        <v>1537</v>
      </c>
      <c r="C1044" s="2" t="s">
        <v>1535</v>
      </c>
      <c r="D1044" s="2" t="s">
        <v>10</v>
      </c>
      <c r="E1044" s="2" t="s">
        <v>16</v>
      </c>
      <c r="F1044" s="2">
        <v>1</v>
      </c>
      <c r="G1044" s="2" t="s">
        <v>17</v>
      </c>
    </row>
    <row r="1045" spans="1:7" x14ac:dyDescent="0.2">
      <c r="A1045" s="2" t="s">
        <v>1533</v>
      </c>
      <c r="B1045" s="2" t="s">
        <v>1538</v>
      </c>
      <c r="C1045" s="2" t="s">
        <v>1535</v>
      </c>
      <c r="D1045" s="2" t="s">
        <v>10</v>
      </c>
      <c r="E1045" s="2" t="s">
        <v>16</v>
      </c>
      <c r="F1045" s="2">
        <v>1</v>
      </c>
      <c r="G1045" s="2" t="s">
        <v>17</v>
      </c>
    </row>
    <row r="1046" spans="1:7" x14ac:dyDescent="0.2">
      <c r="A1046" s="2" t="s">
        <v>1533</v>
      </c>
      <c r="B1046" s="2" t="s">
        <v>1539</v>
      </c>
      <c r="C1046" s="2" t="s">
        <v>452</v>
      </c>
      <c r="D1046" s="2" t="s">
        <v>10</v>
      </c>
      <c r="E1046" s="2" t="s">
        <v>16</v>
      </c>
      <c r="F1046" s="2">
        <v>1</v>
      </c>
      <c r="G1046" s="2" t="s">
        <v>17</v>
      </c>
    </row>
    <row r="1047" spans="1:7" x14ac:dyDescent="0.2">
      <c r="A1047" s="2" t="s">
        <v>1533</v>
      </c>
      <c r="B1047" s="2" t="s">
        <v>1540</v>
      </c>
      <c r="C1047" s="2" t="s">
        <v>452</v>
      </c>
      <c r="D1047" s="2" t="s">
        <v>10</v>
      </c>
      <c r="E1047" s="2" t="s">
        <v>16</v>
      </c>
      <c r="F1047" s="2">
        <v>1</v>
      </c>
      <c r="G1047" s="2" t="s">
        <v>17</v>
      </c>
    </row>
    <row r="1048" spans="1:7" x14ac:dyDescent="0.2">
      <c r="A1048" s="2" t="s">
        <v>1533</v>
      </c>
      <c r="B1048" s="2" t="s">
        <v>1541</v>
      </c>
      <c r="C1048" s="2" t="s">
        <v>1535</v>
      </c>
      <c r="D1048" s="2" t="s">
        <v>10</v>
      </c>
      <c r="E1048" s="2" t="s">
        <v>16</v>
      </c>
      <c r="F1048" s="2">
        <v>1</v>
      </c>
      <c r="G1048" s="2" t="s">
        <v>17</v>
      </c>
    </row>
    <row r="1049" spans="1:7" x14ac:dyDescent="0.2">
      <c r="A1049" s="2" t="s">
        <v>1533</v>
      </c>
      <c r="B1049" s="2" t="s">
        <v>1542</v>
      </c>
      <c r="C1049" s="2" t="s">
        <v>1535</v>
      </c>
      <c r="D1049" s="2" t="s">
        <v>10</v>
      </c>
      <c r="E1049" s="2" t="s">
        <v>16</v>
      </c>
      <c r="F1049" s="2">
        <v>1</v>
      </c>
      <c r="G1049" s="2" t="s">
        <v>17</v>
      </c>
    </row>
    <row r="1050" spans="1:7" x14ac:dyDescent="0.2">
      <c r="A1050" s="2" t="s">
        <v>1533</v>
      </c>
      <c r="B1050" s="2" t="s">
        <v>1543</v>
      </c>
      <c r="C1050" s="2" t="s">
        <v>1544</v>
      </c>
      <c r="D1050" s="2" t="s">
        <v>10</v>
      </c>
      <c r="E1050" s="2" t="s">
        <v>16</v>
      </c>
      <c r="F1050" s="2">
        <v>1</v>
      </c>
      <c r="G1050" s="2" t="s">
        <v>17</v>
      </c>
    </row>
    <row r="1051" spans="1:7" x14ac:dyDescent="0.2">
      <c r="A1051" s="2" t="s">
        <v>1533</v>
      </c>
      <c r="B1051" s="2" t="s">
        <v>1545</v>
      </c>
      <c r="C1051" s="2" t="s">
        <v>1544</v>
      </c>
      <c r="D1051" s="2" t="s">
        <v>10</v>
      </c>
      <c r="E1051" s="2" t="s">
        <v>16</v>
      </c>
      <c r="F1051" s="2">
        <v>1</v>
      </c>
      <c r="G1051" s="2" t="s">
        <v>17</v>
      </c>
    </row>
    <row r="1052" spans="1:7" x14ac:dyDescent="0.2">
      <c r="A1052" s="2" t="s">
        <v>1533</v>
      </c>
      <c r="B1052" s="2" t="s">
        <v>1546</v>
      </c>
      <c r="C1052" s="2" t="s">
        <v>452</v>
      </c>
      <c r="D1052" s="2" t="s">
        <v>10</v>
      </c>
      <c r="E1052" s="2" t="s">
        <v>16</v>
      </c>
      <c r="F1052" s="2">
        <v>1</v>
      </c>
      <c r="G1052" s="2" t="s">
        <v>17</v>
      </c>
    </row>
    <row r="1053" spans="1:7" x14ac:dyDescent="0.2">
      <c r="A1053" s="2" t="s">
        <v>1533</v>
      </c>
      <c r="B1053" s="2" t="s">
        <v>1547</v>
      </c>
      <c r="C1053" s="2" t="s">
        <v>1535</v>
      </c>
      <c r="D1053" s="2" t="s">
        <v>10</v>
      </c>
      <c r="E1053" s="2" t="s">
        <v>16</v>
      </c>
      <c r="F1053" s="2">
        <v>1</v>
      </c>
      <c r="G1053" s="2" t="s">
        <v>17</v>
      </c>
    </row>
    <row r="1054" spans="1:7" x14ac:dyDescent="0.2">
      <c r="A1054" s="2" t="s">
        <v>1533</v>
      </c>
      <c r="B1054" s="2" t="s">
        <v>1548</v>
      </c>
      <c r="C1054" s="2" t="s">
        <v>452</v>
      </c>
      <c r="D1054" s="2" t="s">
        <v>10</v>
      </c>
      <c r="E1054" s="2" t="s">
        <v>16</v>
      </c>
      <c r="F1054" s="2">
        <v>1</v>
      </c>
      <c r="G1054" s="2" t="s">
        <v>17</v>
      </c>
    </row>
    <row r="1055" spans="1:7" x14ac:dyDescent="0.2">
      <c r="A1055" s="2" t="s">
        <v>1533</v>
      </c>
      <c r="B1055" s="2" t="s">
        <v>1549</v>
      </c>
      <c r="C1055" s="2" t="s">
        <v>1535</v>
      </c>
      <c r="D1055" s="2" t="s">
        <v>10</v>
      </c>
      <c r="E1055" s="2" t="s">
        <v>16</v>
      </c>
      <c r="F1055" s="2">
        <v>1</v>
      </c>
      <c r="G1055" s="2" t="s">
        <v>17</v>
      </c>
    </row>
    <row r="1056" spans="1:7" x14ac:dyDescent="0.2">
      <c r="A1056" s="2" t="s">
        <v>1533</v>
      </c>
      <c r="B1056" s="2" t="s">
        <v>471</v>
      </c>
      <c r="C1056" s="2" t="s">
        <v>1544</v>
      </c>
      <c r="D1056" s="2" t="s">
        <v>10</v>
      </c>
      <c r="E1056" s="2" t="s">
        <v>16</v>
      </c>
      <c r="F1056" s="2">
        <v>1</v>
      </c>
      <c r="G1056" s="2" t="s">
        <v>17</v>
      </c>
    </row>
    <row r="1057" spans="1:7" x14ac:dyDescent="0.2">
      <c r="A1057" s="2" t="s">
        <v>1533</v>
      </c>
      <c r="B1057" s="2" t="s">
        <v>1550</v>
      </c>
      <c r="C1057" s="2" t="s">
        <v>1544</v>
      </c>
      <c r="D1057" s="2" t="s">
        <v>10</v>
      </c>
      <c r="E1057" s="2" t="s">
        <v>16</v>
      </c>
      <c r="F1057" s="2">
        <v>1</v>
      </c>
      <c r="G1057" s="2" t="s">
        <v>17</v>
      </c>
    </row>
    <row r="1058" spans="1:7" x14ac:dyDescent="0.2">
      <c r="A1058" s="2" t="s">
        <v>1551</v>
      </c>
      <c r="B1058" s="2" t="s">
        <v>1552</v>
      </c>
      <c r="C1058" s="2" t="s">
        <v>1553</v>
      </c>
      <c r="D1058" s="2" t="s">
        <v>10</v>
      </c>
      <c r="E1058" s="2" t="s">
        <v>16</v>
      </c>
      <c r="F1058" s="2">
        <v>1</v>
      </c>
      <c r="G1058" s="2" t="s">
        <v>17</v>
      </c>
    </row>
    <row r="1059" spans="1:7" x14ac:dyDescent="0.2">
      <c r="A1059" s="2" t="s">
        <v>1551</v>
      </c>
      <c r="B1059" s="2" t="s">
        <v>1554</v>
      </c>
      <c r="C1059" s="2" t="s">
        <v>1553</v>
      </c>
      <c r="D1059" s="2" t="s">
        <v>10</v>
      </c>
      <c r="E1059" s="2" t="s">
        <v>16</v>
      </c>
      <c r="F1059" s="2">
        <v>1</v>
      </c>
      <c r="G1059" s="2" t="s">
        <v>17</v>
      </c>
    </row>
    <row r="1060" spans="1:7" x14ac:dyDescent="0.2">
      <c r="A1060" s="2" t="s">
        <v>1555</v>
      </c>
      <c r="B1060" s="2" t="s">
        <v>1556</v>
      </c>
      <c r="C1060" s="2" t="s">
        <v>1520</v>
      </c>
      <c r="D1060" s="2" t="s">
        <v>10</v>
      </c>
      <c r="E1060" s="2" t="s">
        <v>16</v>
      </c>
      <c r="F1060" s="2">
        <v>1</v>
      </c>
      <c r="G1060" s="2" t="s">
        <v>17</v>
      </c>
    </row>
    <row r="1061" spans="1:7" x14ac:dyDescent="0.2">
      <c r="A1061" s="2" t="s">
        <v>1555</v>
      </c>
      <c r="B1061" s="2" t="s">
        <v>676</v>
      </c>
      <c r="C1061" s="2" t="s">
        <v>1520</v>
      </c>
      <c r="D1061" s="2" t="s">
        <v>10</v>
      </c>
      <c r="E1061" s="2" t="s">
        <v>16</v>
      </c>
      <c r="F1061" s="2">
        <v>1</v>
      </c>
      <c r="G1061" s="2" t="s">
        <v>17</v>
      </c>
    </row>
    <row r="1062" spans="1:7" x14ac:dyDescent="0.2">
      <c r="A1062" s="2" t="s">
        <v>1557</v>
      </c>
      <c r="B1062" s="2" t="s">
        <v>1558</v>
      </c>
      <c r="C1062" s="2" t="s">
        <v>1559</v>
      </c>
      <c r="D1062" s="2" t="s">
        <v>10</v>
      </c>
      <c r="E1062" s="2" t="s">
        <v>16</v>
      </c>
      <c r="F1062" s="2">
        <v>1</v>
      </c>
      <c r="G1062" s="2" t="s">
        <v>17</v>
      </c>
    </row>
    <row r="1063" spans="1:7" x14ac:dyDescent="0.2">
      <c r="A1063" s="2" t="s">
        <v>1560</v>
      </c>
      <c r="B1063" s="2" t="s">
        <v>1561</v>
      </c>
      <c r="C1063" s="2" t="s">
        <v>1562</v>
      </c>
      <c r="D1063" s="2" t="s">
        <v>10</v>
      </c>
      <c r="E1063" s="2" t="s">
        <v>16</v>
      </c>
      <c r="F1063" s="2">
        <v>1</v>
      </c>
      <c r="G1063" s="2" t="s">
        <v>17</v>
      </c>
    </row>
    <row r="1064" spans="1:7" x14ac:dyDescent="0.2">
      <c r="A1064" s="2" t="s">
        <v>1560</v>
      </c>
      <c r="B1064" s="2" t="s">
        <v>1563</v>
      </c>
      <c r="C1064" s="2" t="s">
        <v>1564</v>
      </c>
      <c r="D1064" s="2" t="s">
        <v>10</v>
      </c>
      <c r="E1064" s="2" t="s">
        <v>16</v>
      </c>
      <c r="F1064" s="2">
        <v>1</v>
      </c>
      <c r="G1064" s="2" t="s">
        <v>17</v>
      </c>
    </row>
    <row r="1065" spans="1:7" x14ac:dyDescent="0.2">
      <c r="A1065" s="2" t="s">
        <v>1560</v>
      </c>
      <c r="B1065" s="2" t="s">
        <v>1565</v>
      </c>
      <c r="C1065" s="2" t="s">
        <v>1562</v>
      </c>
      <c r="D1065" s="2" t="s">
        <v>10</v>
      </c>
      <c r="E1065" s="2" t="s">
        <v>16</v>
      </c>
      <c r="F1065" s="2">
        <v>1</v>
      </c>
      <c r="G1065" s="2" t="s">
        <v>17</v>
      </c>
    </row>
    <row r="1066" spans="1:7" x14ac:dyDescent="0.2">
      <c r="A1066" s="2" t="s">
        <v>1560</v>
      </c>
      <c r="B1066" s="2" t="s">
        <v>1566</v>
      </c>
      <c r="C1066" s="2" t="s">
        <v>1564</v>
      </c>
      <c r="D1066" s="2" t="s">
        <v>10</v>
      </c>
      <c r="E1066" s="2" t="s">
        <v>16</v>
      </c>
      <c r="F1066" s="2">
        <v>1</v>
      </c>
      <c r="G1066" s="2" t="s">
        <v>17</v>
      </c>
    </row>
    <row r="1067" spans="1:7" x14ac:dyDescent="0.2">
      <c r="A1067" s="2" t="s">
        <v>1560</v>
      </c>
      <c r="B1067" s="2" t="s">
        <v>1567</v>
      </c>
      <c r="C1067" s="2" t="s">
        <v>1301</v>
      </c>
      <c r="D1067" s="2" t="s">
        <v>10</v>
      </c>
      <c r="E1067" s="2" t="s">
        <v>16</v>
      </c>
      <c r="F1067" s="2">
        <v>1</v>
      </c>
      <c r="G1067" s="2" t="s">
        <v>17</v>
      </c>
    </row>
    <row r="1068" spans="1:7" x14ac:dyDescent="0.2">
      <c r="A1068" s="2" t="s">
        <v>1560</v>
      </c>
      <c r="B1068" s="2" t="s">
        <v>1568</v>
      </c>
      <c r="C1068" s="2" t="s">
        <v>1301</v>
      </c>
      <c r="D1068" s="2" t="s">
        <v>10</v>
      </c>
      <c r="E1068" s="2" t="s">
        <v>16</v>
      </c>
      <c r="F1068" s="2">
        <v>1</v>
      </c>
      <c r="G1068" s="2" t="s">
        <v>17</v>
      </c>
    </row>
    <row r="1069" spans="1:7" x14ac:dyDescent="0.2">
      <c r="A1069" s="2" t="s">
        <v>1560</v>
      </c>
      <c r="B1069" s="2" t="s">
        <v>1569</v>
      </c>
      <c r="C1069" s="2" t="s">
        <v>1301</v>
      </c>
      <c r="D1069" s="2" t="s">
        <v>10</v>
      </c>
      <c r="E1069" s="2" t="s">
        <v>16</v>
      </c>
      <c r="F1069" s="2">
        <v>1</v>
      </c>
      <c r="G1069" s="2" t="s">
        <v>17</v>
      </c>
    </row>
    <row r="1070" spans="1:7" x14ac:dyDescent="0.2">
      <c r="A1070" s="2" t="s">
        <v>1560</v>
      </c>
      <c r="B1070" s="2" t="s">
        <v>1570</v>
      </c>
      <c r="C1070" s="2" t="s">
        <v>1301</v>
      </c>
      <c r="D1070" s="2" t="s">
        <v>10</v>
      </c>
      <c r="E1070" s="2" t="s">
        <v>16</v>
      </c>
      <c r="F1070" s="2">
        <v>1</v>
      </c>
      <c r="G1070" s="2" t="s">
        <v>17</v>
      </c>
    </row>
    <row r="1071" spans="1:7" x14ac:dyDescent="0.2">
      <c r="A1071" s="2" t="s">
        <v>1571</v>
      </c>
      <c r="B1071" s="2" t="s">
        <v>1572</v>
      </c>
      <c r="C1071" s="2" t="s">
        <v>1573</v>
      </c>
      <c r="D1071" s="2" t="s">
        <v>56</v>
      </c>
      <c r="E1071" s="2" t="s">
        <v>16</v>
      </c>
      <c r="F1071" s="2">
        <v>1</v>
      </c>
      <c r="G1071" s="2" t="s">
        <v>17</v>
      </c>
    </row>
    <row r="1072" spans="1:7" x14ac:dyDescent="0.2">
      <c r="A1072" s="2" t="s">
        <v>1574</v>
      </c>
      <c r="B1072" s="2" t="s">
        <v>1575</v>
      </c>
      <c r="C1072" s="2" t="s">
        <v>1576</v>
      </c>
      <c r="D1072" s="2" t="s">
        <v>10</v>
      </c>
      <c r="E1072" s="2" t="s">
        <v>16</v>
      </c>
      <c r="F1072" s="2">
        <v>1</v>
      </c>
      <c r="G1072" s="2" t="s">
        <v>17</v>
      </c>
    </row>
    <row r="1073" spans="1:7" x14ac:dyDescent="0.2">
      <c r="A1073" s="2" t="s">
        <v>1574</v>
      </c>
      <c r="B1073" s="2" t="s">
        <v>1577</v>
      </c>
      <c r="C1073" s="2" t="s">
        <v>1576</v>
      </c>
      <c r="D1073" s="2" t="s">
        <v>10</v>
      </c>
      <c r="E1073" s="2" t="s">
        <v>16</v>
      </c>
      <c r="F1073" s="2">
        <v>1</v>
      </c>
      <c r="G1073" s="2" t="s">
        <v>17</v>
      </c>
    </row>
    <row r="1074" spans="1:7" x14ac:dyDescent="0.2">
      <c r="A1074" s="2" t="s">
        <v>1574</v>
      </c>
      <c r="B1074" s="2" t="s">
        <v>1578</v>
      </c>
      <c r="C1074" s="2" t="s">
        <v>1576</v>
      </c>
      <c r="D1074" s="2" t="s">
        <v>10</v>
      </c>
      <c r="E1074" s="2" t="s">
        <v>16</v>
      </c>
      <c r="F1074" s="2">
        <v>1</v>
      </c>
      <c r="G1074" s="2" t="s">
        <v>17</v>
      </c>
    </row>
    <row r="1075" spans="1:7" x14ac:dyDescent="0.2">
      <c r="A1075" s="2" t="s">
        <v>1579</v>
      </c>
      <c r="B1075" s="2" t="s">
        <v>1580</v>
      </c>
      <c r="C1075" s="2" t="s">
        <v>1581</v>
      </c>
      <c r="D1075" s="2" t="s">
        <v>10</v>
      </c>
      <c r="E1075" s="2" t="s">
        <v>16</v>
      </c>
      <c r="F1075" s="2">
        <v>1</v>
      </c>
      <c r="G1075" s="2" t="s">
        <v>17</v>
      </c>
    </row>
    <row r="1076" spans="1:7" x14ac:dyDescent="0.2">
      <c r="A1076" s="2" t="s">
        <v>141</v>
      </c>
      <c r="B1076" s="2" t="s">
        <v>1552</v>
      </c>
      <c r="C1076" s="2" t="s">
        <v>141</v>
      </c>
      <c r="D1076" s="2" t="s">
        <v>10</v>
      </c>
      <c r="E1076" s="2" t="s">
        <v>11</v>
      </c>
      <c r="F1076" s="2">
        <v>1</v>
      </c>
      <c r="G1076" s="2" t="s">
        <v>12</v>
      </c>
    </row>
    <row r="1077" spans="1:7" x14ac:dyDescent="0.2">
      <c r="A1077" s="2" t="s">
        <v>141</v>
      </c>
      <c r="B1077" s="2" t="s">
        <v>141</v>
      </c>
      <c r="C1077" s="2" t="s">
        <v>141</v>
      </c>
      <c r="D1077" s="2" t="s">
        <v>10</v>
      </c>
      <c r="E1077" s="2" t="s">
        <v>11</v>
      </c>
      <c r="F1077" s="2">
        <v>1</v>
      </c>
      <c r="G1077" s="2" t="s">
        <v>12</v>
      </c>
    </row>
    <row r="1078" spans="1:7" x14ac:dyDescent="0.2">
      <c r="A1078" s="2" t="s">
        <v>141</v>
      </c>
      <c r="B1078" s="2" t="s">
        <v>140</v>
      </c>
      <c r="C1078" s="2" t="s">
        <v>141</v>
      </c>
      <c r="D1078" s="2" t="s">
        <v>10</v>
      </c>
      <c r="E1078" s="2" t="s">
        <v>11</v>
      </c>
      <c r="F1078" s="2">
        <v>1</v>
      </c>
      <c r="G1078" s="2" t="s">
        <v>12</v>
      </c>
    </row>
    <row r="1079" spans="1:7" x14ac:dyDescent="0.2">
      <c r="A1079" s="2" t="s">
        <v>141</v>
      </c>
      <c r="B1079" s="2" t="s">
        <v>144</v>
      </c>
      <c r="C1079" s="2" t="s">
        <v>141</v>
      </c>
      <c r="D1079" s="2" t="s">
        <v>10</v>
      </c>
      <c r="E1079" s="2" t="s">
        <v>11</v>
      </c>
      <c r="F1079" s="2">
        <v>1</v>
      </c>
      <c r="G1079" s="2" t="s">
        <v>12</v>
      </c>
    </row>
    <row r="1080" spans="1:7" x14ac:dyDescent="0.2">
      <c r="A1080" s="2" t="s">
        <v>1582</v>
      </c>
      <c r="B1080" s="2" t="s">
        <v>1583</v>
      </c>
      <c r="C1080" s="2" t="s">
        <v>1584</v>
      </c>
      <c r="D1080" s="2" t="s">
        <v>10</v>
      </c>
      <c r="E1080" s="2" t="s">
        <v>16</v>
      </c>
      <c r="F1080" s="2">
        <v>1</v>
      </c>
      <c r="G1080" s="2" t="s">
        <v>17</v>
      </c>
    </row>
    <row r="1081" spans="1:7" x14ac:dyDescent="0.2">
      <c r="A1081" s="2" t="s">
        <v>1585</v>
      </c>
      <c r="B1081" s="2" t="s">
        <v>1586</v>
      </c>
      <c r="C1081" s="2" t="s">
        <v>1587</v>
      </c>
      <c r="D1081" s="2" t="s">
        <v>29</v>
      </c>
      <c r="E1081" s="2" t="s">
        <v>16</v>
      </c>
      <c r="F1081" s="2">
        <v>1</v>
      </c>
      <c r="G1081" s="2" t="s">
        <v>17</v>
      </c>
    </row>
    <row r="1082" spans="1:7" x14ac:dyDescent="0.2">
      <c r="A1082" s="2" t="s">
        <v>1585</v>
      </c>
      <c r="B1082" s="2" t="s">
        <v>1588</v>
      </c>
      <c r="C1082" s="2" t="s">
        <v>1587</v>
      </c>
      <c r="D1082" s="2" t="s">
        <v>29</v>
      </c>
      <c r="E1082" s="2" t="s">
        <v>16</v>
      </c>
      <c r="F1082" s="2">
        <v>1</v>
      </c>
      <c r="G1082" s="2" t="s">
        <v>17</v>
      </c>
    </row>
    <row r="1083" spans="1:7" x14ac:dyDescent="0.2">
      <c r="A1083" s="2" t="s">
        <v>1589</v>
      </c>
      <c r="B1083" s="2" t="s">
        <v>1590</v>
      </c>
      <c r="C1083" s="2" t="s">
        <v>1591</v>
      </c>
      <c r="D1083" s="2" t="s">
        <v>10</v>
      </c>
      <c r="E1083" s="2" t="s">
        <v>16</v>
      </c>
      <c r="F1083" s="2">
        <v>1</v>
      </c>
      <c r="G1083" s="2" t="s">
        <v>17</v>
      </c>
    </row>
    <row r="1084" spans="1:7" x14ac:dyDescent="0.2">
      <c r="A1084" s="2" t="s">
        <v>1589</v>
      </c>
      <c r="B1084" s="2" t="s">
        <v>1592</v>
      </c>
      <c r="C1084" s="2" t="s">
        <v>1591</v>
      </c>
      <c r="D1084" s="2" t="s">
        <v>10</v>
      </c>
      <c r="E1084" s="2" t="s">
        <v>16</v>
      </c>
      <c r="F1084" s="2">
        <v>1</v>
      </c>
      <c r="G1084" s="2" t="s">
        <v>17</v>
      </c>
    </row>
    <row r="1085" spans="1:7" x14ac:dyDescent="0.2">
      <c r="A1085" s="2" t="s">
        <v>1589</v>
      </c>
      <c r="B1085" s="2">
        <v>51</v>
      </c>
      <c r="C1085" s="2" t="s">
        <v>1591</v>
      </c>
      <c r="D1085" s="2" t="s">
        <v>10</v>
      </c>
      <c r="E1085" s="2" t="s">
        <v>16</v>
      </c>
      <c r="F1085" s="2">
        <v>1</v>
      </c>
      <c r="G1085" s="2" t="s">
        <v>17</v>
      </c>
    </row>
    <row r="1086" spans="1:7" x14ac:dyDescent="0.2">
      <c r="A1086" s="2" t="s">
        <v>1593</v>
      </c>
      <c r="B1086" s="2" t="s">
        <v>1594</v>
      </c>
      <c r="C1086" s="2" t="s">
        <v>1595</v>
      </c>
      <c r="D1086" s="2" t="s">
        <v>10</v>
      </c>
      <c r="E1086" s="2" t="s">
        <v>16</v>
      </c>
      <c r="F1086" s="2">
        <v>1</v>
      </c>
      <c r="G1086" s="2" t="s">
        <v>17</v>
      </c>
    </row>
    <row r="1087" spans="1:7" x14ac:dyDescent="0.2">
      <c r="A1087" s="2" t="s">
        <v>1593</v>
      </c>
      <c r="B1087" s="2" t="s">
        <v>1596</v>
      </c>
      <c r="C1087" s="2" t="s">
        <v>1595</v>
      </c>
      <c r="D1087" s="2" t="s">
        <v>10</v>
      </c>
      <c r="E1087" s="2" t="s">
        <v>16</v>
      </c>
      <c r="F1087" s="2">
        <v>1</v>
      </c>
      <c r="G1087" s="2" t="s">
        <v>17</v>
      </c>
    </row>
    <row r="1088" spans="1:7" x14ac:dyDescent="0.2">
      <c r="A1088" s="2" t="s">
        <v>1597</v>
      </c>
      <c r="B1088" s="2" t="s">
        <v>1598</v>
      </c>
      <c r="C1088" s="2" t="s">
        <v>1599</v>
      </c>
      <c r="D1088" s="2" t="s">
        <v>10</v>
      </c>
      <c r="E1088" s="2" t="s">
        <v>16</v>
      </c>
      <c r="F1088" s="2">
        <v>2</v>
      </c>
      <c r="G1088" s="2" t="s">
        <v>17</v>
      </c>
    </row>
    <row r="1089" spans="1:7" x14ac:dyDescent="0.2">
      <c r="A1089" s="2" t="s">
        <v>1597</v>
      </c>
      <c r="B1089" s="2" t="s">
        <v>1600</v>
      </c>
      <c r="C1089" s="2" t="s">
        <v>1599</v>
      </c>
      <c r="D1089" s="2" t="s">
        <v>10</v>
      </c>
      <c r="E1089" s="2" t="s">
        <v>16</v>
      </c>
      <c r="F1089" s="2">
        <v>2</v>
      </c>
      <c r="G1089" s="2" t="s">
        <v>17</v>
      </c>
    </row>
    <row r="1090" spans="1:7" x14ac:dyDescent="0.2">
      <c r="A1090" s="2" t="s">
        <v>1601</v>
      </c>
      <c r="B1090" s="2" t="s">
        <v>1478</v>
      </c>
      <c r="C1090" s="2" t="s">
        <v>1479</v>
      </c>
      <c r="D1090" s="2" t="s">
        <v>10</v>
      </c>
      <c r="E1090" s="2" t="s">
        <v>16</v>
      </c>
      <c r="F1090" s="2">
        <v>1</v>
      </c>
      <c r="G1090" s="2" t="s">
        <v>17</v>
      </c>
    </row>
    <row r="1091" spans="1:7" x14ac:dyDescent="0.2">
      <c r="A1091" s="2" t="s">
        <v>1601</v>
      </c>
      <c r="B1091" s="2" t="s">
        <v>1480</v>
      </c>
      <c r="C1091" s="2" t="s">
        <v>1479</v>
      </c>
      <c r="D1091" s="2" t="s">
        <v>10</v>
      </c>
      <c r="E1091" s="2" t="s">
        <v>16</v>
      </c>
      <c r="F1091" s="2">
        <v>1</v>
      </c>
      <c r="G1091" s="2" t="s">
        <v>17</v>
      </c>
    </row>
    <row r="1092" spans="1:7" x14ac:dyDescent="0.2">
      <c r="A1092" s="2" t="s">
        <v>1601</v>
      </c>
      <c r="B1092" s="2" t="s">
        <v>1602</v>
      </c>
      <c r="C1092" s="2" t="s">
        <v>1603</v>
      </c>
      <c r="D1092" s="2" t="s">
        <v>10</v>
      </c>
      <c r="E1092" s="2" t="s">
        <v>16</v>
      </c>
      <c r="F1092" s="2">
        <v>1</v>
      </c>
      <c r="G1092" s="2" t="s">
        <v>17</v>
      </c>
    </row>
    <row r="1093" spans="1:7" x14ac:dyDescent="0.2">
      <c r="A1093" s="2" t="s">
        <v>1601</v>
      </c>
      <c r="B1093" s="2" t="s">
        <v>1604</v>
      </c>
      <c r="C1093" s="2" t="s">
        <v>1603</v>
      </c>
      <c r="D1093" s="2" t="s">
        <v>10</v>
      </c>
      <c r="E1093" s="2" t="s">
        <v>16</v>
      </c>
      <c r="F1093" s="2">
        <v>1</v>
      </c>
      <c r="G1093" s="2" t="s">
        <v>17</v>
      </c>
    </row>
    <row r="1094" spans="1:7" x14ac:dyDescent="0.2">
      <c r="A1094" s="2" t="s">
        <v>1605</v>
      </c>
      <c r="B1094" s="2" t="s">
        <v>1606</v>
      </c>
      <c r="C1094" s="2" t="s">
        <v>1607</v>
      </c>
      <c r="D1094" s="2" t="s">
        <v>10</v>
      </c>
      <c r="E1094" s="2" t="s">
        <v>16</v>
      </c>
      <c r="F1094" s="2">
        <v>3</v>
      </c>
      <c r="G1094" s="2" t="s">
        <v>17</v>
      </c>
    </row>
    <row r="1095" spans="1:7" x14ac:dyDescent="0.2">
      <c r="A1095" s="2" t="s">
        <v>1605</v>
      </c>
      <c r="B1095" s="2" t="s">
        <v>1608</v>
      </c>
      <c r="C1095" s="2" t="s">
        <v>1607</v>
      </c>
      <c r="D1095" s="2" t="s">
        <v>10</v>
      </c>
      <c r="E1095" s="2" t="s">
        <v>16</v>
      </c>
      <c r="F1095" s="2">
        <v>3</v>
      </c>
      <c r="G1095" s="2" t="s">
        <v>17</v>
      </c>
    </row>
    <row r="1096" spans="1:7" x14ac:dyDescent="0.2">
      <c r="A1096" s="2" t="s">
        <v>1609</v>
      </c>
      <c r="B1096" s="2" t="s">
        <v>1610</v>
      </c>
      <c r="C1096" s="2" t="s">
        <v>232</v>
      </c>
      <c r="D1096" s="2" t="s">
        <v>10</v>
      </c>
      <c r="E1096" s="2" t="s">
        <v>16</v>
      </c>
      <c r="F1096" s="2">
        <v>1</v>
      </c>
      <c r="G1096" s="2" t="s">
        <v>17</v>
      </c>
    </row>
    <row r="1097" spans="1:7" x14ac:dyDescent="0.2">
      <c r="A1097" s="2" t="s">
        <v>1609</v>
      </c>
      <c r="B1097" s="2" t="s">
        <v>1611</v>
      </c>
      <c r="C1097" s="2" t="s">
        <v>232</v>
      </c>
      <c r="D1097" s="2" t="s">
        <v>10</v>
      </c>
      <c r="E1097" s="2" t="s">
        <v>16</v>
      </c>
      <c r="F1097" s="2">
        <v>1</v>
      </c>
      <c r="G1097" s="2" t="s">
        <v>17</v>
      </c>
    </row>
    <row r="1098" spans="1:7" x14ac:dyDescent="0.2">
      <c r="A1098" s="2" t="s">
        <v>1609</v>
      </c>
      <c r="B1098" s="2" t="s">
        <v>1612</v>
      </c>
      <c r="C1098" s="2" t="s">
        <v>232</v>
      </c>
      <c r="D1098" s="2" t="s">
        <v>10</v>
      </c>
      <c r="E1098" s="2" t="s">
        <v>16</v>
      </c>
      <c r="F1098" s="2">
        <v>1</v>
      </c>
      <c r="G1098" s="2" t="s">
        <v>17</v>
      </c>
    </row>
    <row r="1099" spans="1:7" x14ac:dyDescent="0.2">
      <c r="A1099" s="2" t="s">
        <v>1613</v>
      </c>
      <c r="B1099" s="2" t="s">
        <v>897</v>
      </c>
      <c r="C1099" s="2" t="s">
        <v>898</v>
      </c>
      <c r="D1099" s="2" t="s">
        <v>10</v>
      </c>
      <c r="E1099" s="2" t="s">
        <v>16</v>
      </c>
      <c r="F1099" s="2">
        <v>1</v>
      </c>
      <c r="G1099" s="2" t="s">
        <v>17</v>
      </c>
    </row>
    <row r="1100" spans="1:7" x14ac:dyDescent="0.2">
      <c r="A1100" s="2" t="s">
        <v>1613</v>
      </c>
      <c r="B1100" s="2" t="s">
        <v>1614</v>
      </c>
      <c r="C1100" s="2" t="s">
        <v>1615</v>
      </c>
      <c r="D1100" s="2" t="s">
        <v>10</v>
      </c>
      <c r="E1100" s="2" t="s">
        <v>52</v>
      </c>
      <c r="F1100" s="2">
        <v>1</v>
      </c>
      <c r="G1100" s="2" t="s">
        <v>17</v>
      </c>
    </row>
    <row r="1101" spans="1:7" x14ac:dyDescent="0.2">
      <c r="A1101" s="2" t="s">
        <v>1613</v>
      </c>
      <c r="B1101" s="2" t="s">
        <v>1616</v>
      </c>
      <c r="C1101" s="2" t="s">
        <v>1617</v>
      </c>
      <c r="D1101" s="2" t="s">
        <v>10</v>
      </c>
      <c r="E1101" s="2" t="s">
        <v>52</v>
      </c>
      <c r="F1101" s="2">
        <v>2</v>
      </c>
      <c r="G1101" s="2" t="s">
        <v>12</v>
      </c>
    </row>
    <row r="1102" spans="1:7" x14ac:dyDescent="0.2">
      <c r="A1102" s="2" t="s">
        <v>1613</v>
      </c>
      <c r="B1102" s="2" t="s">
        <v>1618</v>
      </c>
      <c r="C1102" s="2" t="s">
        <v>1619</v>
      </c>
      <c r="D1102" s="2" t="s">
        <v>10</v>
      </c>
      <c r="E1102" s="2" t="s">
        <v>52</v>
      </c>
      <c r="F1102" s="2">
        <v>4</v>
      </c>
      <c r="G1102" s="2" t="s">
        <v>12</v>
      </c>
    </row>
    <row r="1103" spans="1:7" x14ac:dyDescent="0.2">
      <c r="A1103" s="2" t="s">
        <v>1613</v>
      </c>
      <c r="B1103" s="2" t="s">
        <v>1620</v>
      </c>
      <c r="C1103" s="2" t="s">
        <v>1621</v>
      </c>
      <c r="D1103" s="2" t="s">
        <v>10</v>
      </c>
      <c r="E1103" s="2" t="s">
        <v>52</v>
      </c>
      <c r="F1103" s="2">
        <v>4</v>
      </c>
      <c r="G1103" s="2" t="s">
        <v>1069</v>
      </c>
    </row>
    <row r="1104" spans="1:7" x14ac:dyDescent="0.2">
      <c r="A1104" s="2" t="s">
        <v>1613</v>
      </c>
      <c r="B1104" s="2" t="s">
        <v>1622</v>
      </c>
      <c r="C1104" s="2" t="s">
        <v>1623</v>
      </c>
      <c r="D1104" s="2" t="s">
        <v>10</v>
      </c>
      <c r="E1104" s="2" t="s">
        <v>52</v>
      </c>
      <c r="F1104" s="2">
        <v>2</v>
      </c>
      <c r="G1104" s="2" t="s">
        <v>12</v>
      </c>
    </row>
    <row r="1105" spans="1:7" x14ac:dyDescent="0.2">
      <c r="A1105" s="2" t="s">
        <v>1613</v>
      </c>
      <c r="B1105" s="2" t="s">
        <v>1624</v>
      </c>
      <c r="C1105" s="2" t="s">
        <v>1625</v>
      </c>
      <c r="D1105" s="2" t="s">
        <v>10</v>
      </c>
      <c r="E1105" s="2" t="s">
        <v>52</v>
      </c>
      <c r="F1105" s="2">
        <v>2</v>
      </c>
      <c r="G1105" s="2" t="s">
        <v>12</v>
      </c>
    </row>
    <row r="1106" spans="1:7" x14ac:dyDescent="0.2">
      <c r="A1106" s="2" t="s">
        <v>1613</v>
      </c>
      <c r="B1106" s="2" t="s">
        <v>1626</v>
      </c>
      <c r="C1106" s="2" t="s">
        <v>1627</v>
      </c>
      <c r="D1106" s="2" t="s">
        <v>10</v>
      </c>
      <c r="E1106" s="2" t="s">
        <v>52</v>
      </c>
      <c r="F1106" s="2">
        <v>2</v>
      </c>
      <c r="G1106" s="2" t="s">
        <v>17</v>
      </c>
    </row>
    <row r="1107" spans="1:7" x14ac:dyDescent="0.2">
      <c r="A1107" s="2" t="s">
        <v>1613</v>
      </c>
      <c r="B1107" s="2" t="s">
        <v>1628</v>
      </c>
      <c r="C1107" s="2" t="s">
        <v>1629</v>
      </c>
      <c r="D1107" s="2" t="s">
        <v>10</v>
      </c>
      <c r="E1107" s="2" t="s">
        <v>52</v>
      </c>
      <c r="F1107" s="2">
        <v>2</v>
      </c>
      <c r="G1107" s="2" t="s">
        <v>12</v>
      </c>
    </row>
    <row r="1108" spans="1:7" x14ac:dyDescent="0.2">
      <c r="A1108" s="2" t="s">
        <v>1613</v>
      </c>
      <c r="B1108" s="2" t="s">
        <v>1630</v>
      </c>
      <c r="C1108" s="2" t="s">
        <v>1631</v>
      </c>
      <c r="D1108" s="2" t="s">
        <v>10</v>
      </c>
      <c r="E1108" s="2" t="s">
        <v>52</v>
      </c>
      <c r="F1108" s="2">
        <v>2</v>
      </c>
      <c r="G1108" s="2" t="s">
        <v>12</v>
      </c>
    </row>
    <row r="1109" spans="1:7" x14ac:dyDescent="0.2">
      <c r="A1109" s="2" t="s">
        <v>1613</v>
      </c>
      <c r="B1109" s="2" t="s">
        <v>1632</v>
      </c>
      <c r="C1109" s="2" t="s">
        <v>1631</v>
      </c>
      <c r="D1109" s="2" t="s">
        <v>10</v>
      </c>
      <c r="E1109" s="2" t="s">
        <v>52</v>
      </c>
      <c r="F1109" s="2">
        <v>2</v>
      </c>
      <c r="G1109" s="2" t="s">
        <v>12</v>
      </c>
    </row>
    <row r="1110" spans="1:7" x14ac:dyDescent="0.2">
      <c r="A1110" s="2" t="s">
        <v>1613</v>
      </c>
      <c r="B1110" s="2" t="s">
        <v>1633</v>
      </c>
      <c r="C1110" s="2" t="s">
        <v>1631</v>
      </c>
      <c r="D1110" s="2" t="s">
        <v>10</v>
      </c>
      <c r="E1110" s="2" t="s">
        <v>52</v>
      </c>
      <c r="F1110" s="2">
        <v>2</v>
      </c>
      <c r="G1110" s="2" t="s">
        <v>12</v>
      </c>
    </row>
    <row r="1111" spans="1:7" x14ac:dyDescent="0.2">
      <c r="A1111" s="2" t="s">
        <v>1613</v>
      </c>
      <c r="B1111" s="2" t="s">
        <v>1634</v>
      </c>
      <c r="C1111" s="2" t="s">
        <v>1635</v>
      </c>
      <c r="D1111" s="2" t="s">
        <v>10</v>
      </c>
      <c r="E1111" s="2" t="s">
        <v>52</v>
      </c>
      <c r="F1111" s="2">
        <v>2</v>
      </c>
      <c r="G1111" s="2" t="s">
        <v>12</v>
      </c>
    </row>
    <row r="1112" spans="1:7" x14ac:dyDescent="0.2">
      <c r="A1112" s="2" t="s">
        <v>1613</v>
      </c>
      <c r="B1112" s="2" t="s">
        <v>1636</v>
      </c>
      <c r="C1112" s="2" t="s">
        <v>1637</v>
      </c>
      <c r="D1112" s="2" t="s">
        <v>10</v>
      </c>
      <c r="E1112" s="2" t="s">
        <v>52</v>
      </c>
      <c r="F1112" s="2">
        <v>4</v>
      </c>
      <c r="G1112" s="2" t="s">
        <v>12</v>
      </c>
    </row>
    <row r="1113" spans="1:7" x14ac:dyDescent="0.2">
      <c r="A1113" s="2" t="s">
        <v>1613</v>
      </c>
      <c r="B1113" s="2" t="s">
        <v>1638</v>
      </c>
      <c r="C1113" s="2" t="s">
        <v>1639</v>
      </c>
      <c r="D1113" s="2" t="s">
        <v>10</v>
      </c>
      <c r="E1113" s="2" t="s">
        <v>11</v>
      </c>
      <c r="F1113" s="2">
        <v>2</v>
      </c>
      <c r="G1113" s="2" t="s">
        <v>12</v>
      </c>
    </row>
    <row r="1114" spans="1:7" x14ac:dyDescent="0.2">
      <c r="A1114" s="2" t="s">
        <v>1613</v>
      </c>
      <c r="B1114" s="2" t="s">
        <v>1640</v>
      </c>
      <c r="C1114" s="2" t="s">
        <v>1639</v>
      </c>
      <c r="D1114" s="2" t="s">
        <v>10</v>
      </c>
      <c r="E1114" s="2" t="s">
        <v>11</v>
      </c>
      <c r="F1114" s="2">
        <v>2</v>
      </c>
      <c r="G1114" s="2" t="s">
        <v>12</v>
      </c>
    </row>
    <row r="1115" spans="1:7" x14ac:dyDescent="0.2">
      <c r="A1115" s="2" t="s">
        <v>1613</v>
      </c>
      <c r="B1115" s="2" t="s">
        <v>1641</v>
      </c>
      <c r="C1115" s="2" t="s">
        <v>1639</v>
      </c>
      <c r="D1115" s="2" t="s">
        <v>10</v>
      </c>
      <c r="E1115" s="2" t="s">
        <v>11</v>
      </c>
      <c r="F1115" s="2">
        <v>2</v>
      </c>
      <c r="G1115" s="2" t="s">
        <v>12</v>
      </c>
    </row>
    <row r="1116" spans="1:7" x14ac:dyDescent="0.2">
      <c r="A1116" s="2" t="s">
        <v>1613</v>
      </c>
      <c r="B1116" s="2" t="s">
        <v>1642</v>
      </c>
      <c r="C1116" s="2" t="s">
        <v>1643</v>
      </c>
      <c r="D1116" s="2" t="s">
        <v>10</v>
      </c>
      <c r="E1116" s="2" t="s">
        <v>11</v>
      </c>
      <c r="F1116" s="2">
        <v>2</v>
      </c>
      <c r="G1116" s="2" t="s">
        <v>12</v>
      </c>
    </row>
    <row r="1117" spans="1:7" x14ac:dyDescent="0.2">
      <c r="A1117" s="2" t="s">
        <v>1613</v>
      </c>
      <c r="B1117" s="2" t="s">
        <v>1644</v>
      </c>
      <c r="C1117" s="2" t="s">
        <v>1645</v>
      </c>
      <c r="D1117" s="2" t="s">
        <v>10</v>
      </c>
      <c r="E1117" s="2" t="s">
        <v>11</v>
      </c>
      <c r="F1117" s="2">
        <v>4</v>
      </c>
      <c r="G1117" s="2" t="s">
        <v>1069</v>
      </c>
    </row>
    <row r="1118" spans="1:7" x14ac:dyDescent="0.2">
      <c r="A1118" s="2" t="s">
        <v>1613</v>
      </c>
      <c r="B1118" s="2" t="s">
        <v>1646</v>
      </c>
      <c r="C1118" s="2" t="s">
        <v>1647</v>
      </c>
      <c r="D1118" s="2" t="s">
        <v>10</v>
      </c>
      <c r="E1118" s="2" t="s">
        <v>52</v>
      </c>
      <c r="F1118" s="2">
        <v>2</v>
      </c>
      <c r="G1118" s="2" t="s">
        <v>12</v>
      </c>
    </row>
    <row r="1119" spans="1:7" x14ac:dyDescent="0.2">
      <c r="A1119" s="2" t="s">
        <v>1613</v>
      </c>
      <c r="B1119" s="2" t="s">
        <v>1648</v>
      </c>
      <c r="C1119" s="2" t="s">
        <v>1649</v>
      </c>
      <c r="D1119" s="2" t="s">
        <v>10</v>
      </c>
      <c r="E1119" s="2" t="s">
        <v>11</v>
      </c>
      <c r="F1119" s="2">
        <v>2</v>
      </c>
      <c r="G1119" s="2" t="s">
        <v>12</v>
      </c>
    </row>
    <row r="1120" spans="1:7" x14ac:dyDescent="0.2">
      <c r="A1120" s="2" t="s">
        <v>1613</v>
      </c>
      <c r="B1120" s="2" t="s">
        <v>1650</v>
      </c>
      <c r="C1120" s="2" t="s">
        <v>1651</v>
      </c>
      <c r="D1120" s="2" t="s">
        <v>10</v>
      </c>
      <c r="E1120" s="2" t="s">
        <v>11</v>
      </c>
      <c r="F1120" s="2">
        <v>6</v>
      </c>
      <c r="G1120" s="2" t="s">
        <v>1069</v>
      </c>
    </row>
    <row r="1121" spans="1:7" x14ac:dyDescent="0.2">
      <c r="A1121" s="2" t="s">
        <v>1613</v>
      </c>
      <c r="B1121" s="2" t="s">
        <v>1652</v>
      </c>
      <c r="C1121" s="2" t="s">
        <v>1621</v>
      </c>
      <c r="D1121" s="2" t="s">
        <v>10</v>
      </c>
      <c r="E1121" s="2" t="s">
        <v>52</v>
      </c>
      <c r="F1121" s="2">
        <v>4</v>
      </c>
      <c r="G1121" s="2" t="s">
        <v>1069</v>
      </c>
    </row>
    <row r="1122" spans="1:7" x14ac:dyDescent="0.2">
      <c r="A1122" s="2" t="s">
        <v>1613</v>
      </c>
      <c r="B1122" s="2" t="s">
        <v>1653</v>
      </c>
      <c r="C1122" s="2" t="s">
        <v>1631</v>
      </c>
      <c r="D1122" s="2" t="s">
        <v>10</v>
      </c>
      <c r="E1122" s="2" t="s">
        <v>52</v>
      </c>
      <c r="F1122" s="2">
        <v>2</v>
      </c>
      <c r="G1122" s="2" t="s">
        <v>12</v>
      </c>
    </row>
    <row r="1123" spans="1:7" x14ac:dyDescent="0.2">
      <c r="A1123" s="2" t="s">
        <v>1613</v>
      </c>
      <c r="B1123" s="2" t="s">
        <v>1654</v>
      </c>
      <c r="C1123" s="2" t="s">
        <v>1651</v>
      </c>
      <c r="D1123" s="2" t="s">
        <v>10</v>
      </c>
      <c r="E1123" s="2" t="s">
        <v>11</v>
      </c>
      <c r="F1123" s="2">
        <v>6</v>
      </c>
      <c r="G1123" s="2" t="s">
        <v>1069</v>
      </c>
    </row>
    <row r="1124" spans="1:7" x14ac:dyDescent="0.2">
      <c r="A1124" s="2" t="s">
        <v>1613</v>
      </c>
      <c r="B1124" s="2" t="s">
        <v>1655</v>
      </c>
      <c r="C1124" s="2" t="s">
        <v>1645</v>
      </c>
      <c r="D1124" s="2" t="s">
        <v>10</v>
      </c>
      <c r="E1124" s="2" t="s">
        <v>11</v>
      </c>
      <c r="F1124" s="2">
        <v>4</v>
      </c>
      <c r="G1124" s="2" t="s">
        <v>1069</v>
      </c>
    </row>
    <row r="1125" spans="1:7" x14ac:dyDescent="0.2">
      <c r="A1125" s="2" t="s">
        <v>1613</v>
      </c>
      <c r="B1125" s="2" t="s">
        <v>1656</v>
      </c>
      <c r="C1125" s="2" t="s">
        <v>1631</v>
      </c>
      <c r="D1125" s="2" t="s">
        <v>10</v>
      </c>
      <c r="E1125" s="2" t="s">
        <v>52</v>
      </c>
      <c r="F1125" s="2">
        <v>2</v>
      </c>
      <c r="G1125" s="2" t="s">
        <v>12</v>
      </c>
    </row>
    <row r="1126" spans="1:7" x14ac:dyDescent="0.2">
      <c r="A1126" s="2" t="s">
        <v>1613</v>
      </c>
      <c r="B1126" s="2" t="s">
        <v>1657</v>
      </c>
      <c r="C1126" s="2" t="s">
        <v>1658</v>
      </c>
      <c r="D1126" s="2" t="s">
        <v>10</v>
      </c>
      <c r="E1126" s="2" t="s">
        <v>11</v>
      </c>
      <c r="F1126" s="2">
        <v>2</v>
      </c>
      <c r="G1126" s="2" t="s">
        <v>12</v>
      </c>
    </row>
    <row r="1127" spans="1:7" x14ac:dyDescent="0.2">
      <c r="A1127" s="2" t="s">
        <v>1613</v>
      </c>
      <c r="B1127" s="2" t="s">
        <v>1659</v>
      </c>
      <c r="C1127" s="2" t="s">
        <v>1660</v>
      </c>
      <c r="D1127" s="2" t="s">
        <v>10</v>
      </c>
      <c r="E1127" s="2" t="s">
        <v>11</v>
      </c>
      <c r="F1127" s="2">
        <v>2</v>
      </c>
      <c r="G1127" s="2" t="s">
        <v>12</v>
      </c>
    </row>
    <row r="1128" spans="1:7" x14ac:dyDescent="0.2">
      <c r="A1128" s="2" t="s">
        <v>1661</v>
      </c>
      <c r="B1128" s="2" t="s">
        <v>1662</v>
      </c>
      <c r="C1128" s="2" t="s">
        <v>1663</v>
      </c>
      <c r="D1128" s="2" t="s">
        <v>10</v>
      </c>
      <c r="E1128" s="2" t="s">
        <v>11</v>
      </c>
      <c r="F1128" s="2">
        <v>2</v>
      </c>
      <c r="G1128" s="2" t="s">
        <v>12</v>
      </c>
    </row>
    <row r="1129" spans="1:7" x14ac:dyDescent="0.2">
      <c r="A1129" s="2" t="s">
        <v>1661</v>
      </c>
      <c r="B1129" s="2" t="s">
        <v>1664</v>
      </c>
      <c r="C1129" s="2" t="s">
        <v>1665</v>
      </c>
      <c r="D1129" s="2" t="s">
        <v>10</v>
      </c>
      <c r="E1129" s="2" t="s">
        <v>52</v>
      </c>
      <c r="F1129" s="2">
        <v>1</v>
      </c>
      <c r="G1129" s="2" t="s">
        <v>17</v>
      </c>
    </row>
    <row r="1130" spans="1:7" x14ac:dyDescent="0.2">
      <c r="A1130" s="2" t="s">
        <v>1661</v>
      </c>
      <c r="B1130" s="2" t="s">
        <v>1666</v>
      </c>
      <c r="C1130" s="2" t="s">
        <v>1665</v>
      </c>
      <c r="D1130" s="2" t="s">
        <v>10</v>
      </c>
      <c r="E1130" s="2" t="s">
        <v>52</v>
      </c>
      <c r="F1130" s="2">
        <v>1</v>
      </c>
      <c r="G1130" s="2" t="s">
        <v>17</v>
      </c>
    </row>
    <row r="1131" spans="1:7" x14ac:dyDescent="0.2">
      <c r="A1131" s="2" t="s">
        <v>1667</v>
      </c>
      <c r="B1131" s="2" t="s">
        <v>1668</v>
      </c>
      <c r="C1131" s="2" t="s">
        <v>1669</v>
      </c>
      <c r="D1131" s="2" t="s">
        <v>10</v>
      </c>
      <c r="E1131" s="2" t="s">
        <v>16</v>
      </c>
      <c r="F1131" s="2">
        <v>1</v>
      </c>
      <c r="G1131" s="2" t="s">
        <v>17</v>
      </c>
    </row>
    <row r="1132" spans="1:7" x14ac:dyDescent="0.2">
      <c r="A1132" s="2" t="s">
        <v>1670</v>
      </c>
      <c r="B1132" s="2" t="s">
        <v>1671</v>
      </c>
      <c r="C1132" s="2" t="s">
        <v>1672</v>
      </c>
      <c r="D1132" s="2" t="s">
        <v>10</v>
      </c>
      <c r="E1132" s="2" t="s">
        <v>16</v>
      </c>
      <c r="F1132" s="2">
        <v>1</v>
      </c>
      <c r="G1132" s="2" t="s">
        <v>17</v>
      </c>
    </row>
    <row r="1133" spans="1:7" x14ac:dyDescent="0.2">
      <c r="A1133" s="2" t="s">
        <v>1673</v>
      </c>
      <c r="B1133" s="2" t="s">
        <v>1674</v>
      </c>
      <c r="C1133" s="2" t="s">
        <v>1675</v>
      </c>
      <c r="D1133" s="2" t="s">
        <v>10</v>
      </c>
      <c r="E1133" s="2" t="s">
        <v>16</v>
      </c>
      <c r="F1133" s="2">
        <v>1</v>
      </c>
      <c r="G1133" s="2" t="s">
        <v>17</v>
      </c>
    </row>
    <row r="1134" spans="1:7" x14ac:dyDescent="0.2">
      <c r="A1134" s="2" t="s">
        <v>1673</v>
      </c>
      <c r="B1134" s="2" t="s">
        <v>1676</v>
      </c>
      <c r="C1134" s="2" t="s">
        <v>1675</v>
      </c>
      <c r="D1134" s="2" t="s">
        <v>10</v>
      </c>
      <c r="E1134" s="2" t="s">
        <v>16</v>
      </c>
      <c r="F1134" s="2">
        <v>1</v>
      </c>
      <c r="G1134" s="2" t="s">
        <v>17</v>
      </c>
    </row>
    <row r="1135" spans="1:7" x14ac:dyDescent="0.2">
      <c r="A1135" s="2" t="s">
        <v>1673</v>
      </c>
      <c r="B1135" s="2" t="s">
        <v>1409</v>
      </c>
      <c r="C1135" s="2" t="s">
        <v>1675</v>
      </c>
      <c r="D1135" s="2" t="s">
        <v>10</v>
      </c>
      <c r="E1135" s="2" t="s">
        <v>16</v>
      </c>
      <c r="F1135" s="2">
        <v>1</v>
      </c>
      <c r="G1135" s="2" t="s">
        <v>17</v>
      </c>
    </row>
    <row r="1136" spans="1:7" x14ac:dyDescent="0.2">
      <c r="A1136" s="2" t="s">
        <v>1673</v>
      </c>
      <c r="B1136" s="2" t="s">
        <v>1677</v>
      </c>
      <c r="C1136" s="2" t="s">
        <v>1675</v>
      </c>
      <c r="D1136" s="2" t="s">
        <v>10</v>
      </c>
      <c r="E1136" s="2" t="s">
        <v>16</v>
      </c>
      <c r="F1136" s="2">
        <v>1</v>
      </c>
      <c r="G1136" s="2" t="s">
        <v>17</v>
      </c>
    </row>
    <row r="1137" spans="1:7" x14ac:dyDescent="0.2">
      <c r="A1137" s="2" t="s">
        <v>1678</v>
      </c>
      <c r="B1137" s="2" t="s">
        <v>1679</v>
      </c>
      <c r="C1137" s="2" t="s">
        <v>1680</v>
      </c>
      <c r="D1137" s="2" t="s">
        <v>10</v>
      </c>
      <c r="E1137" s="2" t="s">
        <v>16</v>
      </c>
      <c r="F1137" s="2">
        <v>1</v>
      </c>
      <c r="G1137" s="2" t="s">
        <v>17</v>
      </c>
    </row>
    <row r="1138" spans="1:7" x14ac:dyDescent="0.2">
      <c r="A1138" s="2" t="s">
        <v>1681</v>
      </c>
      <c r="B1138" s="2" t="s">
        <v>1682</v>
      </c>
      <c r="C1138" s="2" t="s">
        <v>1683</v>
      </c>
      <c r="D1138" s="2" t="s">
        <v>10</v>
      </c>
      <c r="E1138" s="2" t="s">
        <v>16</v>
      </c>
      <c r="F1138" s="2">
        <v>1</v>
      </c>
      <c r="G1138" s="2" t="s">
        <v>17</v>
      </c>
    </row>
    <row r="1139" spans="1:7" x14ac:dyDescent="0.2">
      <c r="A1139" s="2" t="s">
        <v>1684</v>
      </c>
      <c r="B1139" s="2" t="s">
        <v>27</v>
      </c>
      <c r="C1139" s="2" t="s">
        <v>28</v>
      </c>
      <c r="D1139" s="2" t="s">
        <v>29</v>
      </c>
      <c r="E1139" s="2" t="s">
        <v>16</v>
      </c>
      <c r="F1139" s="2">
        <v>2</v>
      </c>
      <c r="G1139" s="2" t="s">
        <v>17</v>
      </c>
    </row>
    <row r="1140" spans="1:7" x14ac:dyDescent="0.2">
      <c r="A1140" s="2" t="s">
        <v>1685</v>
      </c>
      <c r="B1140" s="2" t="s">
        <v>1686</v>
      </c>
      <c r="C1140" s="2" t="s">
        <v>1687</v>
      </c>
      <c r="D1140" s="2" t="s">
        <v>10</v>
      </c>
      <c r="E1140" s="2" t="s">
        <v>16</v>
      </c>
      <c r="F1140" s="2">
        <v>1</v>
      </c>
      <c r="G1140" s="2" t="s">
        <v>17</v>
      </c>
    </row>
    <row r="1141" spans="1:7" x14ac:dyDescent="0.2">
      <c r="A1141" s="2" t="s">
        <v>1685</v>
      </c>
      <c r="B1141" s="2" t="s">
        <v>1688</v>
      </c>
      <c r="C1141" s="2" t="s">
        <v>1689</v>
      </c>
      <c r="D1141" s="2" t="s">
        <v>10</v>
      </c>
      <c r="E1141" s="2" t="s">
        <v>16</v>
      </c>
      <c r="F1141" s="2">
        <v>1</v>
      </c>
      <c r="G1141" s="2" t="s">
        <v>17</v>
      </c>
    </row>
    <row r="1142" spans="1:7" x14ac:dyDescent="0.2">
      <c r="A1142" s="2" t="s">
        <v>1685</v>
      </c>
      <c r="B1142" s="2" t="s">
        <v>1690</v>
      </c>
      <c r="C1142" s="2" t="s">
        <v>1687</v>
      </c>
      <c r="D1142" s="2" t="s">
        <v>10</v>
      </c>
      <c r="E1142" s="2" t="s">
        <v>16</v>
      </c>
      <c r="F1142" s="2">
        <v>1</v>
      </c>
      <c r="G1142" s="2" t="s">
        <v>17</v>
      </c>
    </row>
    <row r="1143" spans="1:7" x14ac:dyDescent="0.2">
      <c r="A1143" s="2" t="s">
        <v>1685</v>
      </c>
      <c r="B1143" s="2" t="s">
        <v>1691</v>
      </c>
      <c r="C1143" s="2" t="s">
        <v>1689</v>
      </c>
      <c r="D1143" s="2" t="s">
        <v>10</v>
      </c>
      <c r="E1143" s="2" t="s">
        <v>16</v>
      </c>
      <c r="F1143" s="2">
        <v>1</v>
      </c>
      <c r="G1143" s="2" t="s">
        <v>17</v>
      </c>
    </row>
    <row r="1144" spans="1:7" x14ac:dyDescent="0.2">
      <c r="A1144" s="2" t="s">
        <v>1692</v>
      </c>
      <c r="B1144" s="2" t="s">
        <v>1693</v>
      </c>
      <c r="C1144" s="2" t="s">
        <v>169</v>
      </c>
      <c r="D1144" s="2" t="s">
        <v>10</v>
      </c>
      <c r="E1144" s="2" t="s">
        <v>52</v>
      </c>
      <c r="F1144" s="2">
        <v>1</v>
      </c>
      <c r="G1144" s="2" t="s">
        <v>17</v>
      </c>
    </row>
    <row r="1145" spans="1:7" x14ac:dyDescent="0.2">
      <c r="A1145" s="2" t="s">
        <v>1694</v>
      </c>
      <c r="B1145" s="2" t="s">
        <v>1695</v>
      </c>
      <c r="C1145" s="2" t="s">
        <v>1696</v>
      </c>
      <c r="D1145" s="2" t="s">
        <v>10</v>
      </c>
      <c r="E1145" s="2" t="s">
        <v>16</v>
      </c>
      <c r="F1145" s="2">
        <v>1</v>
      </c>
      <c r="G1145" s="2" t="s">
        <v>17</v>
      </c>
    </row>
    <row r="1146" spans="1:7" x14ac:dyDescent="0.2">
      <c r="A1146" s="2" t="s">
        <v>1694</v>
      </c>
      <c r="B1146" s="2" t="s">
        <v>1697</v>
      </c>
      <c r="C1146" s="2" t="s">
        <v>1696</v>
      </c>
      <c r="D1146" s="2" t="s">
        <v>10</v>
      </c>
      <c r="E1146" s="2" t="s">
        <v>16</v>
      </c>
      <c r="F1146" s="2">
        <v>1</v>
      </c>
      <c r="G1146" s="2" t="s">
        <v>17</v>
      </c>
    </row>
    <row r="1147" spans="1:7" x14ac:dyDescent="0.2">
      <c r="A1147" s="2" t="s">
        <v>1698</v>
      </c>
      <c r="B1147" s="2" t="s">
        <v>1699</v>
      </c>
      <c r="C1147" s="2" t="s">
        <v>1700</v>
      </c>
      <c r="D1147" s="2" t="s">
        <v>10</v>
      </c>
      <c r="E1147" s="2" t="s">
        <v>11</v>
      </c>
      <c r="F1147" s="2">
        <v>2</v>
      </c>
      <c r="G1147" s="2" t="s">
        <v>12</v>
      </c>
    </row>
    <row r="1148" spans="1:7" x14ac:dyDescent="0.2">
      <c r="A1148" s="2" t="s">
        <v>1698</v>
      </c>
      <c r="B1148" s="2" t="s">
        <v>1701</v>
      </c>
      <c r="C1148" s="2" t="s">
        <v>1702</v>
      </c>
      <c r="D1148" s="2" t="s">
        <v>10</v>
      </c>
      <c r="E1148" s="2" t="s">
        <v>11</v>
      </c>
      <c r="F1148" s="2">
        <v>1</v>
      </c>
      <c r="G1148" s="2" t="s">
        <v>12</v>
      </c>
    </row>
    <row r="1149" spans="1:7" x14ac:dyDescent="0.2">
      <c r="A1149" s="2" t="s">
        <v>1703</v>
      </c>
      <c r="B1149" s="2" t="s">
        <v>235</v>
      </c>
      <c r="C1149" s="2" t="s">
        <v>236</v>
      </c>
      <c r="D1149" s="2" t="s">
        <v>29</v>
      </c>
      <c r="E1149" s="2" t="s">
        <v>16</v>
      </c>
      <c r="F1149" s="2">
        <v>1</v>
      </c>
      <c r="G1149" s="2" t="s">
        <v>17</v>
      </c>
    </row>
    <row r="1150" spans="1:7" x14ac:dyDescent="0.2">
      <c r="A1150" s="2" t="s">
        <v>1703</v>
      </c>
      <c r="B1150" s="2" t="s">
        <v>127</v>
      </c>
      <c r="C1150" s="2" t="s">
        <v>119</v>
      </c>
      <c r="D1150" s="2" t="s">
        <v>29</v>
      </c>
      <c r="E1150" s="2" t="s">
        <v>16</v>
      </c>
      <c r="F1150" s="2">
        <v>1</v>
      </c>
      <c r="G1150" s="2" t="s">
        <v>17</v>
      </c>
    </row>
    <row r="1151" spans="1:7" x14ac:dyDescent="0.2">
      <c r="A1151" s="2" t="s">
        <v>1703</v>
      </c>
      <c r="B1151" s="2" t="s">
        <v>1704</v>
      </c>
      <c r="C1151" s="2" t="s">
        <v>1705</v>
      </c>
      <c r="D1151" s="2" t="s">
        <v>10</v>
      </c>
      <c r="E1151" s="2" t="s">
        <v>16</v>
      </c>
      <c r="F1151" s="2">
        <v>1</v>
      </c>
      <c r="G1151" s="2" t="s">
        <v>17</v>
      </c>
    </row>
    <row r="1152" spans="1:7" x14ac:dyDescent="0.2">
      <c r="A1152" s="2" t="s">
        <v>1703</v>
      </c>
      <c r="B1152" s="2" t="s">
        <v>237</v>
      </c>
      <c r="C1152" s="2" t="s">
        <v>238</v>
      </c>
      <c r="D1152" s="2" t="s">
        <v>10</v>
      </c>
      <c r="E1152" s="2" t="s">
        <v>16</v>
      </c>
      <c r="F1152" s="2">
        <v>1</v>
      </c>
      <c r="G1152" s="2" t="s">
        <v>17</v>
      </c>
    </row>
    <row r="1153" spans="1:7" x14ac:dyDescent="0.2">
      <c r="A1153" s="2" t="s">
        <v>1703</v>
      </c>
      <c r="B1153" s="2" t="s">
        <v>1706</v>
      </c>
      <c r="C1153" s="2" t="s">
        <v>238</v>
      </c>
      <c r="D1153" s="2" t="s">
        <v>10</v>
      </c>
      <c r="E1153" s="2" t="s">
        <v>16</v>
      </c>
      <c r="F1153" s="2">
        <v>1</v>
      </c>
      <c r="G1153" s="2" t="s">
        <v>17</v>
      </c>
    </row>
    <row r="1154" spans="1:7" x14ac:dyDescent="0.2">
      <c r="A1154" s="2" t="s">
        <v>1707</v>
      </c>
      <c r="B1154" s="2" t="s">
        <v>1708</v>
      </c>
      <c r="C1154" s="2" t="s">
        <v>1709</v>
      </c>
      <c r="D1154" s="2" t="s">
        <v>10</v>
      </c>
      <c r="E1154" s="2" t="s">
        <v>16</v>
      </c>
      <c r="F1154" s="2">
        <v>1</v>
      </c>
      <c r="G1154" s="2" t="s">
        <v>17</v>
      </c>
    </row>
    <row r="1155" spans="1:7" x14ac:dyDescent="0.2">
      <c r="A1155" s="2" t="s">
        <v>1707</v>
      </c>
      <c r="B1155" s="2" t="s">
        <v>1710</v>
      </c>
      <c r="C1155" s="2" t="s">
        <v>1709</v>
      </c>
      <c r="D1155" s="2" t="s">
        <v>10</v>
      </c>
      <c r="E1155" s="2" t="s">
        <v>16</v>
      </c>
      <c r="F1155" s="2">
        <v>1</v>
      </c>
      <c r="G1155" s="2" t="s">
        <v>17</v>
      </c>
    </row>
    <row r="1156" spans="1:7" x14ac:dyDescent="0.2">
      <c r="A1156" s="2" t="s">
        <v>1711</v>
      </c>
      <c r="B1156" s="2" t="s">
        <v>1712</v>
      </c>
      <c r="C1156" s="2" t="s">
        <v>1713</v>
      </c>
      <c r="D1156" s="2" t="s">
        <v>10</v>
      </c>
      <c r="E1156" s="2" t="s">
        <v>16</v>
      </c>
      <c r="F1156" s="2">
        <v>1</v>
      </c>
      <c r="G1156" s="2" t="s">
        <v>17</v>
      </c>
    </row>
    <row r="1157" spans="1:7" x14ac:dyDescent="0.2">
      <c r="A1157" s="2" t="s">
        <v>1714</v>
      </c>
      <c r="B1157" s="2" t="s">
        <v>1715</v>
      </c>
      <c r="C1157" s="2" t="s">
        <v>1716</v>
      </c>
      <c r="D1157" s="2" t="s">
        <v>10</v>
      </c>
      <c r="E1157" s="2" t="s">
        <v>16</v>
      </c>
      <c r="F1157" s="2">
        <v>1</v>
      </c>
      <c r="G1157" s="2" t="s">
        <v>17</v>
      </c>
    </row>
    <row r="1158" spans="1:7" x14ac:dyDescent="0.2">
      <c r="A1158" s="2" t="s">
        <v>1714</v>
      </c>
      <c r="B1158" s="2" t="s">
        <v>1717</v>
      </c>
      <c r="C1158" s="2" t="s">
        <v>1716</v>
      </c>
      <c r="D1158" s="2" t="s">
        <v>10</v>
      </c>
      <c r="E1158" s="2" t="s">
        <v>16</v>
      </c>
      <c r="F1158" s="2">
        <v>1</v>
      </c>
      <c r="G1158" s="2" t="s">
        <v>17</v>
      </c>
    </row>
    <row r="1159" spans="1:7" x14ac:dyDescent="0.2">
      <c r="A1159" s="2" t="s">
        <v>1718</v>
      </c>
      <c r="B1159" s="2" t="s">
        <v>1330</v>
      </c>
      <c r="C1159" s="2" t="s">
        <v>1719</v>
      </c>
      <c r="D1159" s="2" t="s">
        <v>10</v>
      </c>
      <c r="E1159" s="2" t="s">
        <v>16</v>
      </c>
      <c r="F1159" s="2">
        <v>1</v>
      </c>
      <c r="G1159" s="2" t="s">
        <v>17</v>
      </c>
    </row>
    <row r="1160" spans="1:7" x14ac:dyDescent="0.2">
      <c r="A1160" s="2" t="s">
        <v>1718</v>
      </c>
      <c r="B1160" s="2" t="s">
        <v>876</v>
      </c>
      <c r="C1160" s="2" t="s">
        <v>1720</v>
      </c>
      <c r="D1160" s="2" t="s">
        <v>10</v>
      </c>
      <c r="E1160" s="2" t="s">
        <v>16</v>
      </c>
      <c r="F1160" s="2">
        <v>1</v>
      </c>
      <c r="G1160" s="2" t="s">
        <v>17</v>
      </c>
    </row>
    <row r="1161" spans="1:7" x14ac:dyDescent="0.2">
      <c r="A1161" s="2" t="s">
        <v>1721</v>
      </c>
      <c r="B1161" s="2" t="s">
        <v>1722</v>
      </c>
      <c r="C1161" s="2" t="s">
        <v>1716</v>
      </c>
      <c r="D1161" s="2" t="s">
        <v>10</v>
      </c>
      <c r="E1161" s="2" t="s">
        <v>16</v>
      </c>
      <c r="F1161" s="2">
        <v>1</v>
      </c>
      <c r="G1161" s="2" t="s">
        <v>17</v>
      </c>
    </row>
    <row r="1162" spans="1:7" x14ac:dyDescent="0.2">
      <c r="A1162" s="2" t="s">
        <v>1721</v>
      </c>
      <c r="B1162" s="2" t="s">
        <v>1723</v>
      </c>
      <c r="C1162" s="2" t="s">
        <v>1716</v>
      </c>
      <c r="D1162" s="2" t="s">
        <v>10</v>
      </c>
      <c r="E1162" s="2" t="s">
        <v>16</v>
      </c>
      <c r="F1162" s="2">
        <v>1</v>
      </c>
      <c r="G1162" s="2" t="s">
        <v>17</v>
      </c>
    </row>
    <row r="1163" spans="1:7" x14ac:dyDescent="0.2">
      <c r="A1163" s="2" t="s">
        <v>1724</v>
      </c>
      <c r="B1163" s="2" t="s">
        <v>1725</v>
      </c>
      <c r="C1163" s="2" t="s">
        <v>1726</v>
      </c>
      <c r="D1163" s="2" t="s">
        <v>10</v>
      </c>
      <c r="E1163" s="2" t="s">
        <v>16</v>
      </c>
      <c r="F1163" s="2">
        <v>1</v>
      </c>
      <c r="G1163" s="2" t="s">
        <v>17</v>
      </c>
    </row>
    <row r="1164" spans="1:7" x14ac:dyDescent="0.2">
      <c r="A1164" s="2" t="s">
        <v>1727</v>
      </c>
      <c r="B1164" s="2" t="s">
        <v>1728</v>
      </c>
      <c r="C1164" s="2" t="s">
        <v>1729</v>
      </c>
      <c r="D1164" s="2" t="s">
        <v>10</v>
      </c>
      <c r="E1164" s="2" t="s">
        <v>16</v>
      </c>
      <c r="F1164" s="2">
        <v>1</v>
      </c>
      <c r="G1164" s="2" t="s">
        <v>17</v>
      </c>
    </row>
    <row r="1165" spans="1:7" x14ac:dyDescent="0.2">
      <c r="A1165" s="2" t="s">
        <v>1730</v>
      </c>
      <c r="B1165" s="2" t="s">
        <v>1731</v>
      </c>
      <c r="C1165" s="2" t="s">
        <v>1732</v>
      </c>
      <c r="D1165" s="2" t="s">
        <v>56</v>
      </c>
      <c r="E1165" s="2" t="s">
        <v>52</v>
      </c>
      <c r="F1165" s="2">
        <v>2</v>
      </c>
      <c r="G1165" s="2" t="s">
        <v>12</v>
      </c>
    </row>
    <row r="1166" spans="1:7" x14ac:dyDescent="0.2">
      <c r="A1166" s="2" t="s">
        <v>1730</v>
      </c>
      <c r="B1166" s="2" t="s">
        <v>1733</v>
      </c>
      <c r="C1166" s="2" t="s">
        <v>1732</v>
      </c>
      <c r="D1166" s="2" t="s">
        <v>56</v>
      </c>
      <c r="E1166" s="2" t="s">
        <v>52</v>
      </c>
      <c r="F1166" s="2">
        <v>2</v>
      </c>
      <c r="G1166" s="2" t="s">
        <v>12</v>
      </c>
    </row>
    <row r="1167" spans="1:7" x14ac:dyDescent="0.2">
      <c r="A1167" s="2" t="s">
        <v>1730</v>
      </c>
      <c r="B1167" s="2" t="s">
        <v>39</v>
      </c>
      <c r="C1167" s="2" t="s">
        <v>1734</v>
      </c>
      <c r="D1167" s="2" t="s">
        <v>10</v>
      </c>
      <c r="E1167" s="2" t="s">
        <v>11</v>
      </c>
      <c r="F1167" s="2">
        <v>2</v>
      </c>
      <c r="G1167" s="2" t="s">
        <v>12</v>
      </c>
    </row>
    <row r="1168" spans="1:7" x14ac:dyDescent="0.2">
      <c r="A1168" s="2" t="s">
        <v>1730</v>
      </c>
      <c r="B1168" s="2" t="s">
        <v>1735</v>
      </c>
      <c r="C1168" s="2" t="s">
        <v>1734</v>
      </c>
      <c r="D1168" s="2" t="s">
        <v>10</v>
      </c>
      <c r="E1168" s="2" t="s">
        <v>11</v>
      </c>
      <c r="F1168" s="2">
        <v>2</v>
      </c>
      <c r="G1168" s="2" t="s">
        <v>12</v>
      </c>
    </row>
    <row r="1169" spans="1:7" x14ac:dyDescent="0.2">
      <c r="A1169" s="2" t="s">
        <v>1730</v>
      </c>
      <c r="B1169" s="2" t="s">
        <v>1736</v>
      </c>
      <c r="C1169" s="2" t="s">
        <v>1734</v>
      </c>
      <c r="D1169" s="2" t="s">
        <v>10</v>
      </c>
      <c r="E1169" s="2" t="s">
        <v>11</v>
      </c>
      <c r="F1169" s="2">
        <v>2</v>
      </c>
      <c r="G1169" s="2" t="s">
        <v>12</v>
      </c>
    </row>
    <row r="1170" spans="1:7" x14ac:dyDescent="0.2">
      <c r="A1170" s="2" t="s">
        <v>1283</v>
      </c>
      <c r="B1170" s="2" t="s">
        <v>1737</v>
      </c>
      <c r="C1170" s="2" t="s">
        <v>1738</v>
      </c>
      <c r="D1170" s="2" t="s">
        <v>10</v>
      </c>
      <c r="E1170" s="2" t="s">
        <v>16</v>
      </c>
      <c r="F1170" s="2">
        <v>1</v>
      </c>
      <c r="G1170" s="2" t="s">
        <v>17</v>
      </c>
    </row>
    <row r="1171" spans="1:7" x14ac:dyDescent="0.2">
      <c r="A1171" s="2" t="s">
        <v>1739</v>
      </c>
      <c r="B1171" s="2" t="s">
        <v>1740</v>
      </c>
      <c r="C1171" s="2" t="s">
        <v>1741</v>
      </c>
      <c r="D1171" s="2" t="s">
        <v>10</v>
      </c>
      <c r="E1171" s="2" t="s">
        <v>16</v>
      </c>
      <c r="F1171" s="2">
        <v>1</v>
      </c>
      <c r="G1171" s="2" t="s">
        <v>17</v>
      </c>
    </row>
    <row r="1172" spans="1:7" x14ac:dyDescent="0.2">
      <c r="A1172" s="2" t="s">
        <v>1739</v>
      </c>
      <c r="B1172" s="2" t="s">
        <v>1742</v>
      </c>
      <c r="C1172" s="2" t="s">
        <v>1743</v>
      </c>
      <c r="D1172" s="2" t="s">
        <v>10</v>
      </c>
      <c r="E1172" s="2" t="s">
        <v>16</v>
      </c>
      <c r="F1172" s="2">
        <v>1</v>
      </c>
      <c r="G1172" s="2" t="s">
        <v>17</v>
      </c>
    </row>
    <row r="1173" spans="1:7" x14ac:dyDescent="0.2">
      <c r="A1173" s="2" t="s">
        <v>1739</v>
      </c>
      <c r="B1173" s="2" t="s">
        <v>1744</v>
      </c>
      <c r="C1173" s="2" t="s">
        <v>1743</v>
      </c>
      <c r="D1173" s="2" t="s">
        <v>10</v>
      </c>
      <c r="E1173" s="2" t="s">
        <v>16</v>
      </c>
      <c r="F1173" s="2">
        <v>1</v>
      </c>
      <c r="G1173" s="2" t="s">
        <v>17</v>
      </c>
    </row>
    <row r="1174" spans="1:7" x14ac:dyDescent="0.2">
      <c r="A1174" s="2" t="s">
        <v>1739</v>
      </c>
      <c r="B1174" s="2" t="s">
        <v>1745</v>
      </c>
      <c r="C1174" s="2" t="s">
        <v>1741</v>
      </c>
      <c r="D1174" s="2" t="s">
        <v>10</v>
      </c>
      <c r="E1174" s="2" t="s">
        <v>16</v>
      </c>
      <c r="F1174" s="2">
        <v>1</v>
      </c>
      <c r="G1174" s="2" t="s">
        <v>17</v>
      </c>
    </row>
    <row r="1175" spans="1:7" x14ac:dyDescent="0.2">
      <c r="A1175" s="2" t="s">
        <v>1739</v>
      </c>
      <c r="B1175" s="2" t="s">
        <v>1746</v>
      </c>
      <c r="C1175" s="2" t="s">
        <v>1743</v>
      </c>
      <c r="D1175" s="2" t="s">
        <v>10</v>
      </c>
      <c r="E1175" s="2" t="s">
        <v>16</v>
      </c>
      <c r="F1175" s="2">
        <v>1</v>
      </c>
      <c r="G1175" s="2" t="s">
        <v>17</v>
      </c>
    </row>
    <row r="1176" spans="1:7" x14ac:dyDescent="0.2">
      <c r="A1176" s="2" t="s">
        <v>1747</v>
      </c>
      <c r="B1176" s="2" t="s">
        <v>1748</v>
      </c>
      <c r="C1176" s="2" t="s">
        <v>1749</v>
      </c>
      <c r="D1176" s="2" t="s">
        <v>10</v>
      </c>
      <c r="E1176" s="2" t="s">
        <v>11</v>
      </c>
      <c r="F1176" s="2">
        <v>2</v>
      </c>
      <c r="G1176" s="2" t="s">
        <v>17</v>
      </c>
    </row>
    <row r="1177" spans="1:7" x14ac:dyDescent="0.2">
      <c r="A1177" s="2" t="s">
        <v>1747</v>
      </c>
      <c r="B1177" s="2" t="s">
        <v>1750</v>
      </c>
      <c r="C1177" s="2" t="s">
        <v>1749</v>
      </c>
      <c r="D1177" s="2" t="s">
        <v>10</v>
      </c>
      <c r="E1177" s="2" t="s">
        <v>11</v>
      </c>
      <c r="F1177" s="2">
        <v>2</v>
      </c>
      <c r="G1177" s="2" t="s">
        <v>17</v>
      </c>
    </row>
    <row r="1178" spans="1:7" x14ac:dyDescent="0.2">
      <c r="A1178" s="2" t="s">
        <v>1751</v>
      </c>
      <c r="B1178" s="2" t="s">
        <v>1752</v>
      </c>
      <c r="C1178" s="2" t="s">
        <v>150</v>
      </c>
      <c r="D1178" s="2" t="s">
        <v>10</v>
      </c>
      <c r="E1178" s="2" t="s">
        <v>16</v>
      </c>
      <c r="F1178" s="2">
        <v>1</v>
      </c>
      <c r="G1178" s="2" t="s">
        <v>17</v>
      </c>
    </row>
    <row r="1179" spans="1:7" x14ac:dyDescent="0.2">
      <c r="A1179" s="2" t="s">
        <v>1751</v>
      </c>
      <c r="B1179" s="2" t="s">
        <v>1753</v>
      </c>
      <c r="C1179" s="2" t="s">
        <v>138</v>
      </c>
      <c r="D1179" s="2" t="s">
        <v>10</v>
      </c>
      <c r="E1179" s="2" t="s">
        <v>16</v>
      </c>
      <c r="F1179" s="2">
        <v>1</v>
      </c>
      <c r="G1179" s="2" t="s">
        <v>17</v>
      </c>
    </row>
    <row r="1180" spans="1:7" x14ac:dyDescent="0.2">
      <c r="A1180" s="2" t="s">
        <v>1751</v>
      </c>
      <c r="B1180" s="2" t="s">
        <v>1754</v>
      </c>
      <c r="C1180" s="2" t="s">
        <v>1755</v>
      </c>
      <c r="D1180" s="2" t="s">
        <v>10</v>
      </c>
      <c r="E1180" s="2" t="s">
        <v>52</v>
      </c>
      <c r="F1180" s="2">
        <v>1</v>
      </c>
      <c r="G1180" s="2" t="s">
        <v>17</v>
      </c>
    </row>
    <row r="1181" spans="1:7" x14ac:dyDescent="0.2">
      <c r="A1181" s="2" t="s">
        <v>1751</v>
      </c>
      <c r="B1181" s="2" t="s">
        <v>1756</v>
      </c>
      <c r="C1181" s="2" t="s">
        <v>138</v>
      </c>
      <c r="D1181" s="2" t="s">
        <v>10</v>
      </c>
      <c r="E1181" s="2" t="s">
        <v>16</v>
      </c>
      <c r="F1181" s="2">
        <v>1</v>
      </c>
      <c r="G1181" s="2" t="s">
        <v>17</v>
      </c>
    </row>
    <row r="1182" spans="1:7" x14ac:dyDescent="0.2">
      <c r="A1182" s="2" t="s">
        <v>1751</v>
      </c>
      <c r="B1182" s="2" t="s">
        <v>1757</v>
      </c>
      <c r="C1182" s="2" t="s">
        <v>1758</v>
      </c>
      <c r="D1182" s="2" t="s">
        <v>10</v>
      </c>
      <c r="E1182" s="2" t="s">
        <v>11</v>
      </c>
      <c r="F1182" s="2">
        <v>1</v>
      </c>
      <c r="G1182" s="2" t="s">
        <v>12</v>
      </c>
    </row>
    <row r="1183" spans="1:7" x14ac:dyDescent="0.2">
      <c r="A1183" s="2" t="s">
        <v>1751</v>
      </c>
      <c r="B1183" s="2" t="s">
        <v>1759</v>
      </c>
      <c r="C1183" s="2" t="s">
        <v>1760</v>
      </c>
      <c r="D1183" s="2" t="s">
        <v>56</v>
      </c>
      <c r="E1183" s="2" t="s">
        <v>52</v>
      </c>
      <c r="F1183" s="2">
        <v>2</v>
      </c>
      <c r="G1183" s="2" t="s">
        <v>12</v>
      </c>
    </row>
    <row r="1184" spans="1:7" x14ac:dyDescent="0.2">
      <c r="A1184" s="2" t="s">
        <v>1751</v>
      </c>
      <c r="B1184" s="2" t="s">
        <v>1761</v>
      </c>
      <c r="C1184" s="2" t="s">
        <v>159</v>
      </c>
      <c r="D1184" s="2" t="s">
        <v>10</v>
      </c>
      <c r="E1184" s="2" t="s">
        <v>11</v>
      </c>
      <c r="F1184" s="2">
        <v>1</v>
      </c>
      <c r="G1184" s="2" t="s">
        <v>17</v>
      </c>
    </row>
    <row r="1185" spans="1:7" x14ac:dyDescent="0.2">
      <c r="A1185" s="2" t="s">
        <v>1751</v>
      </c>
      <c r="B1185" s="2" t="s">
        <v>1762</v>
      </c>
      <c r="C1185" s="2" t="s">
        <v>150</v>
      </c>
      <c r="D1185" s="2" t="s">
        <v>10</v>
      </c>
      <c r="E1185" s="2" t="s">
        <v>16</v>
      </c>
      <c r="F1185" s="2">
        <v>1</v>
      </c>
      <c r="G1185" s="2" t="s">
        <v>17</v>
      </c>
    </row>
    <row r="1186" spans="1:7" x14ac:dyDescent="0.2">
      <c r="A1186" s="2" t="s">
        <v>1751</v>
      </c>
      <c r="B1186" s="2" t="s">
        <v>1763</v>
      </c>
      <c r="C1186" s="2" t="s">
        <v>159</v>
      </c>
      <c r="D1186" s="2" t="s">
        <v>10</v>
      </c>
      <c r="E1186" s="2" t="s">
        <v>11</v>
      </c>
      <c r="F1186" s="2">
        <v>1</v>
      </c>
      <c r="G1186" s="2" t="s">
        <v>17</v>
      </c>
    </row>
    <row r="1187" spans="1:7" x14ac:dyDescent="0.2">
      <c r="A1187" s="2" t="s">
        <v>1751</v>
      </c>
      <c r="B1187" s="2" t="s">
        <v>1764</v>
      </c>
      <c r="C1187" s="2" t="s">
        <v>593</v>
      </c>
      <c r="D1187" s="2" t="s">
        <v>56</v>
      </c>
      <c r="E1187" s="2" t="s">
        <v>52</v>
      </c>
      <c r="F1187" s="2">
        <v>2</v>
      </c>
      <c r="G1187" s="2" t="s">
        <v>12</v>
      </c>
    </row>
    <row r="1188" spans="1:7" x14ac:dyDescent="0.2">
      <c r="A1188" s="2" t="s">
        <v>1751</v>
      </c>
      <c r="B1188" s="2" t="s">
        <v>1765</v>
      </c>
      <c r="C1188" s="2" t="s">
        <v>1755</v>
      </c>
      <c r="D1188" s="2" t="s">
        <v>10</v>
      </c>
      <c r="E1188" s="2" t="s">
        <v>52</v>
      </c>
      <c r="F1188" s="2">
        <v>1</v>
      </c>
      <c r="G1188" s="2" t="s">
        <v>17</v>
      </c>
    </row>
    <row r="1189" spans="1:7" x14ac:dyDescent="0.2">
      <c r="A1189" s="2" t="s">
        <v>1751</v>
      </c>
      <c r="B1189" s="2" t="s">
        <v>1766</v>
      </c>
      <c r="C1189" s="2" t="s">
        <v>1760</v>
      </c>
      <c r="D1189" s="2" t="s">
        <v>56</v>
      </c>
      <c r="E1189" s="2" t="s">
        <v>52</v>
      </c>
      <c r="F1189" s="2">
        <v>2</v>
      </c>
      <c r="G1189" s="2" t="s">
        <v>12</v>
      </c>
    </row>
    <row r="1190" spans="1:7" x14ac:dyDescent="0.2">
      <c r="A1190" s="2" t="s">
        <v>1751</v>
      </c>
      <c r="B1190" s="2" t="s">
        <v>1767</v>
      </c>
      <c r="C1190" s="2" t="s">
        <v>593</v>
      </c>
      <c r="D1190" s="2" t="s">
        <v>56</v>
      </c>
      <c r="E1190" s="2" t="s">
        <v>52</v>
      </c>
      <c r="F1190" s="2">
        <v>2</v>
      </c>
      <c r="G1190" s="2" t="s">
        <v>12</v>
      </c>
    </row>
    <row r="1191" spans="1:7" x14ac:dyDescent="0.2">
      <c r="A1191" s="2" t="s">
        <v>1768</v>
      </c>
      <c r="B1191" s="2" t="s">
        <v>1769</v>
      </c>
      <c r="C1191" s="2" t="s">
        <v>1770</v>
      </c>
      <c r="D1191" s="2" t="s">
        <v>10</v>
      </c>
      <c r="E1191" s="2" t="s">
        <v>52</v>
      </c>
      <c r="F1191" s="2">
        <v>2</v>
      </c>
      <c r="G1191" s="2" t="s">
        <v>12</v>
      </c>
    </row>
    <row r="1192" spans="1:7" x14ac:dyDescent="0.2">
      <c r="A1192" s="2" t="s">
        <v>1768</v>
      </c>
      <c r="B1192" s="2" t="s">
        <v>1771</v>
      </c>
      <c r="C1192" s="2" t="s">
        <v>1770</v>
      </c>
      <c r="D1192" s="2" t="s">
        <v>10</v>
      </c>
      <c r="E1192" s="2" t="s">
        <v>52</v>
      </c>
      <c r="F1192" s="2">
        <v>2</v>
      </c>
      <c r="G1192" s="2" t="s">
        <v>12</v>
      </c>
    </row>
    <row r="1193" spans="1:7" x14ac:dyDescent="0.2">
      <c r="A1193" s="2" t="s">
        <v>1768</v>
      </c>
      <c r="B1193" s="2" t="s">
        <v>1772</v>
      </c>
      <c r="C1193" s="2" t="s">
        <v>1773</v>
      </c>
      <c r="D1193" s="2" t="s">
        <v>10</v>
      </c>
      <c r="E1193" s="2" t="s">
        <v>52</v>
      </c>
      <c r="F1193" s="2">
        <v>2</v>
      </c>
      <c r="G1193" s="2" t="s">
        <v>12</v>
      </c>
    </row>
    <row r="1194" spans="1:7" x14ac:dyDescent="0.2">
      <c r="A1194" s="2" t="s">
        <v>1768</v>
      </c>
      <c r="B1194" s="2" t="s">
        <v>1774</v>
      </c>
      <c r="C1194" s="2" t="s">
        <v>1773</v>
      </c>
      <c r="D1194" s="2" t="s">
        <v>10</v>
      </c>
      <c r="E1194" s="2" t="s">
        <v>52</v>
      </c>
      <c r="F1194" s="2">
        <v>2</v>
      </c>
      <c r="G1194" s="2" t="s">
        <v>12</v>
      </c>
    </row>
    <row r="1195" spans="1:7" x14ac:dyDescent="0.2">
      <c r="A1195" s="2" t="s">
        <v>1768</v>
      </c>
      <c r="B1195" s="2" t="s">
        <v>1775</v>
      </c>
      <c r="C1195" s="2" t="s">
        <v>1776</v>
      </c>
      <c r="D1195" s="2" t="s">
        <v>10</v>
      </c>
      <c r="E1195" s="2" t="s">
        <v>52</v>
      </c>
      <c r="F1195" s="2">
        <v>2</v>
      </c>
      <c r="G1195" s="2" t="s">
        <v>12</v>
      </c>
    </row>
    <row r="1196" spans="1:7" x14ac:dyDescent="0.2">
      <c r="A1196" s="2" t="s">
        <v>1768</v>
      </c>
      <c r="B1196" s="2" t="s">
        <v>1777</v>
      </c>
      <c r="C1196" s="2" t="s">
        <v>1776</v>
      </c>
      <c r="D1196" s="2" t="s">
        <v>10</v>
      </c>
      <c r="E1196" s="2" t="s">
        <v>52</v>
      </c>
      <c r="F1196" s="2">
        <v>2</v>
      </c>
      <c r="G1196" s="2" t="s">
        <v>12</v>
      </c>
    </row>
    <row r="1197" spans="1:7" x14ac:dyDescent="0.2">
      <c r="A1197" s="2" t="s">
        <v>1768</v>
      </c>
      <c r="B1197" s="2" t="s">
        <v>1778</v>
      </c>
      <c r="C1197" s="2" t="s">
        <v>1773</v>
      </c>
      <c r="D1197" s="2" t="s">
        <v>10</v>
      </c>
      <c r="E1197" s="2" t="s">
        <v>52</v>
      </c>
      <c r="F1197" s="2">
        <v>2</v>
      </c>
      <c r="G1197" s="2" t="s">
        <v>12</v>
      </c>
    </row>
    <row r="1198" spans="1:7" x14ac:dyDescent="0.2">
      <c r="A1198" s="2" t="s">
        <v>1768</v>
      </c>
      <c r="B1198" s="2" t="s">
        <v>1779</v>
      </c>
      <c r="C1198" s="2" t="s">
        <v>1776</v>
      </c>
      <c r="D1198" s="2" t="s">
        <v>10</v>
      </c>
      <c r="E1198" s="2" t="s">
        <v>52</v>
      </c>
      <c r="F1198" s="2">
        <v>2</v>
      </c>
      <c r="G1198" s="2" t="s">
        <v>12</v>
      </c>
    </row>
    <row r="1199" spans="1:7" x14ac:dyDescent="0.2">
      <c r="A1199" s="2" t="s">
        <v>1768</v>
      </c>
      <c r="B1199" s="2" t="s">
        <v>1780</v>
      </c>
      <c r="C1199" s="2" t="s">
        <v>1781</v>
      </c>
      <c r="D1199" s="2" t="s">
        <v>10</v>
      </c>
      <c r="E1199" s="2" t="s">
        <v>52</v>
      </c>
      <c r="F1199" s="2">
        <v>2</v>
      </c>
      <c r="G1199" s="2" t="s">
        <v>12</v>
      </c>
    </row>
    <row r="1200" spans="1:7" x14ac:dyDescent="0.2">
      <c r="A1200" s="2" t="s">
        <v>1768</v>
      </c>
      <c r="B1200" s="2" t="s">
        <v>1782</v>
      </c>
      <c r="C1200" s="2" t="s">
        <v>1783</v>
      </c>
      <c r="D1200" s="2" t="s">
        <v>10</v>
      </c>
      <c r="E1200" s="2" t="s">
        <v>52</v>
      </c>
      <c r="F1200" s="2">
        <v>2</v>
      </c>
      <c r="G1200" s="2" t="s">
        <v>12</v>
      </c>
    </row>
    <row r="1201" spans="1:7" x14ac:dyDescent="0.2">
      <c r="A1201" s="2" t="s">
        <v>1768</v>
      </c>
      <c r="B1201" s="2" t="s">
        <v>1784</v>
      </c>
      <c r="C1201" s="2" t="s">
        <v>1783</v>
      </c>
      <c r="D1201" s="2" t="s">
        <v>10</v>
      </c>
      <c r="E1201" s="2" t="s">
        <v>52</v>
      </c>
      <c r="F1201" s="2">
        <v>2</v>
      </c>
      <c r="G1201" s="2" t="s">
        <v>12</v>
      </c>
    </row>
    <row r="1202" spans="1:7" x14ac:dyDescent="0.2">
      <c r="A1202" s="2" t="s">
        <v>1768</v>
      </c>
      <c r="B1202" s="2" t="s">
        <v>1785</v>
      </c>
      <c r="C1202" s="2" t="s">
        <v>1786</v>
      </c>
      <c r="D1202" s="2" t="s">
        <v>10</v>
      </c>
      <c r="E1202" s="2" t="s">
        <v>52</v>
      </c>
      <c r="F1202" s="2">
        <v>2</v>
      </c>
      <c r="G1202" s="2" t="s">
        <v>12</v>
      </c>
    </row>
    <row r="1203" spans="1:7" x14ac:dyDescent="0.2">
      <c r="A1203" s="2" t="s">
        <v>1768</v>
      </c>
      <c r="B1203" s="2" t="s">
        <v>1787</v>
      </c>
      <c r="C1203" s="2" t="s">
        <v>1788</v>
      </c>
      <c r="D1203" s="2" t="s">
        <v>10</v>
      </c>
      <c r="E1203" s="2" t="s">
        <v>52</v>
      </c>
      <c r="F1203" s="2">
        <v>2</v>
      </c>
      <c r="G1203" s="2" t="s">
        <v>12</v>
      </c>
    </row>
    <row r="1204" spans="1:7" x14ac:dyDescent="0.2">
      <c r="A1204" s="2" t="s">
        <v>1768</v>
      </c>
      <c r="B1204" s="2" t="s">
        <v>1789</v>
      </c>
      <c r="C1204" s="2" t="s">
        <v>1790</v>
      </c>
      <c r="D1204" s="2" t="s">
        <v>10</v>
      </c>
      <c r="E1204" s="2" t="s">
        <v>52</v>
      </c>
      <c r="F1204" s="2">
        <v>2</v>
      </c>
      <c r="G1204" s="2" t="s">
        <v>12</v>
      </c>
    </row>
    <row r="1205" spans="1:7" x14ac:dyDescent="0.2">
      <c r="A1205" s="2" t="s">
        <v>1768</v>
      </c>
      <c r="B1205" s="2" t="s">
        <v>1791</v>
      </c>
      <c r="C1205" s="2" t="s">
        <v>1790</v>
      </c>
      <c r="D1205" s="2" t="s">
        <v>10</v>
      </c>
      <c r="E1205" s="2" t="s">
        <v>52</v>
      </c>
      <c r="F1205" s="2">
        <v>2</v>
      </c>
      <c r="G1205" s="2" t="s">
        <v>12</v>
      </c>
    </row>
    <row r="1206" spans="1:7" x14ac:dyDescent="0.2">
      <c r="A1206" s="2" t="s">
        <v>1768</v>
      </c>
      <c r="B1206" s="2" t="s">
        <v>1792</v>
      </c>
      <c r="C1206" s="2" t="s">
        <v>1790</v>
      </c>
      <c r="D1206" s="2" t="s">
        <v>10</v>
      </c>
      <c r="E1206" s="2" t="s">
        <v>52</v>
      </c>
      <c r="F1206" s="2">
        <v>2</v>
      </c>
      <c r="G1206" s="2" t="s">
        <v>12</v>
      </c>
    </row>
    <row r="1207" spans="1:7" x14ac:dyDescent="0.2">
      <c r="A1207" s="2" t="s">
        <v>1768</v>
      </c>
      <c r="B1207" s="2" t="s">
        <v>1793</v>
      </c>
      <c r="C1207" s="2" t="s">
        <v>1786</v>
      </c>
      <c r="D1207" s="2" t="s">
        <v>10</v>
      </c>
      <c r="E1207" s="2" t="s">
        <v>52</v>
      </c>
      <c r="F1207" s="2">
        <v>2</v>
      </c>
      <c r="G1207" s="2" t="s">
        <v>12</v>
      </c>
    </row>
    <row r="1208" spans="1:7" x14ac:dyDescent="0.2">
      <c r="A1208" s="2" t="s">
        <v>1768</v>
      </c>
      <c r="B1208" s="2" t="s">
        <v>1794</v>
      </c>
      <c r="C1208" s="2" t="s">
        <v>1788</v>
      </c>
      <c r="D1208" s="2" t="s">
        <v>10</v>
      </c>
      <c r="E1208" s="2" t="s">
        <v>52</v>
      </c>
      <c r="F1208" s="2">
        <v>2</v>
      </c>
      <c r="G1208" s="2" t="s">
        <v>12</v>
      </c>
    </row>
    <row r="1209" spans="1:7" x14ac:dyDescent="0.2">
      <c r="A1209" s="2" t="s">
        <v>1795</v>
      </c>
      <c r="B1209" s="2" t="s">
        <v>1796</v>
      </c>
      <c r="C1209" s="2" t="s">
        <v>1797</v>
      </c>
      <c r="D1209" s="2" t="s">
        <v>10</v>
      </c>
      <c r="E1209" s="2" t="s">
        <v>16</v>
      </c>
      <c r="F1209" s="2">
        <v>1</v>
      </c>
      <c r="G1209" s="2" t="s">
        <v>17</v>
      </c>
    </row>
    <row r="1210" spans="1:7" x14ac:dyDescent="0.2">
      <c r="A1210" s="2" t="s">
        <v>1795</v>
      </c>
      <c r="B1210" s="2" t="s">
        <v>1798</v>
      </c>
      <c r="C1210" s="2" t="s">
        <v>1799</v>
      </c>
      <c r="D1210" s="2" t="s">
        <v>10</v>
      </c>
      <c r="E1210" s="2" t="s">
        <v>16</v>
      </c>
      <c r="F1210" s="2">
        <v>1</v>
      </c>
      <c r="G1210" s="2" t="s">
        <v>17</v>
      </c>
    </row>
    <row r="1211" spans="1:7" x14ac:dyDescent="0.2">
      <c r="A1211" s="2" t="s">
        <v>1795</v>
      </c>
      <c r="B1211" s="2" t="s">
        <v>1800</v>
      </c>
      <c r="C1211" s="2" t="s">
        <v>1801</v>
      </c>
      <c r="D1211" s="2" t="s">
        <v>10</v>
      </c>
      <c r="E1211" s="2" t="s">
        <v>16</v>
      </c>
      <c r="F1211" s="2">
        <v>1</v>
      </c>
      <c r="G1211" s="2" t="s">
        <v>17</v>
      </c>
    </row>
    <row r="1212" spans="1:7" x14ac:dyDescent="0.2">
      <c r="A1212" s="2" t="s">
        <v>1795</v>
      </c>
      <c r="B1212" s="2" t="s">
        <v>1802</v>
      </c>
      <c r="C1212" s="2" t="s">
        <v>1803</v>
      </c>
      <c r="D1212" s="2" t="s">
        <v>10</v>
      </c>
      <c r="E1212" s="2" t="s">
        <v>16</v>
      </c>
      <c r="F1212" s="2">
        <v>1</v>
      </c>
      <c r="G1212" s="2" t="s">
        <v>17</v>
      </c>
    </row>
    <row r="1213" spans="1:7" x14ac:dyDescent="0.2">
      <c r="A1213" s="2" t="s">
        <v>1795</v>
      </c>
      <c r="B1213" s="2" t="s">
        <v>1804</v>
      </c>
      <c r="C1213" s="2" t="s">
        <v>1805</v>
      </c>
      <c r="D1213" s="2" t="s">
        <v>10</v>
      </c>
      <c r="E1213" s="2" t="s">
        <v>16</v>
      </c>
      <c r="F1213" s="2">
        <v>1</v>
      </c>
      <c r="G1213" s="2" t="s">
        <v>17</v>
      </c>
    </row>
    <row r="1214" spans="1:7" x14ac:dyDescent="0.2">
      <c r="A1214" s="2" t="s">
        <v>1795</v>
      </c>
      <c r="B1214" s="2" t="s">
        <v>1121</v>
      </c>
      <c r="C1214" s="2" t="s">
        <v>1806</v>
      </c>
      <c r="D1214" s="2" t="s">
        <v>10</v>
      </c>
      <c r="E1214" s="2" t="s">
        <v>16</v>
      </c>
      <c r="F1214" s="2">
        <v>1</v>
      </c>
      <c r="G1214" s="2" t="s">
        <v>17</v>
      </c>
    </row>
    <row r="1215" spans="1:7" x14ac:dyDescent="0.2">
      <c r="A1215" s="2" t="s">
        <v>1795</v>
      </c>
      <c r="B1215" s="2" t="s">
        <v>1807</v>
      </c>
      <c r="C1215" s="2" t="s">
        <v>1797</v>
      </c>
      <c r="D1215" s="2" t="s">
        <v>10</v>
      </c>
      <c r="E1215" s="2" t="s">
        <v>16</v>
      </c>
      <c r="F1215" s="2">
        <v>1</v>
      </c>
      <c r="G1215" s="2" t="s">
        <v>17</v>
      </c>
    </row>
    <row r="1216" spans="1:7" x14ac:dyDescent="0.2">
      <c r="A1216" s="2" t="s">
        <v>1795</v>
      </c>
      <c r="B1216" s="2" t="s">
        <v>1808</v>
      </c>
      <c r="C1216" s="2" t="s">
        <v>1797</v>
      </c>
      <c r="D1216" s="2" t="s">
        <v>10</v>
      </c>
      <c r="E1216" s="2" t="s">
        <v>16</v>
      </c>
      <c r="F1216" s="2">
        <v>1</v>
      </c>
      <c r="G1216" s="2" t="s">
        <v>17</v>
      </c>
    </row>
    <row r="1217" spans="1:7" x14ac:dyDescent="0.2">
      <c r="A1217" s="2" t="s">
        <v>1795</v>
      </c>
      <c r="B1217" s="2" t="s">
        <v>1809</v>
      </c>
      <c r="C1217" s="2" t="s">
        <v>1797</v>
      </c>
      <c r="D1217" s="2" t="s">
        <v>10</v>
      </c>
      <c r="E1217" s="2" t="s">
        <v>16</v>
      </c>
      <c r="F1217" s="2">
        <v>1</v>
      </c>
      <c r="G1217" s="2" t="s">
        <v>17</v>
      </c>
    </row>
    <row r="1218" spans="1:7" x14ac:dyDescent="0.2">
      <c r="A1218" s="2" t="s">
        <v>1795</v>
      </c>
      <c r="B1218" s="2" t="s">
        <v>1810</v>
      </c>
      <c r="C1218" s="2" t="s">
        <v>1797</v>
      </c>
      <c r="D1218" s="2" t="s">
        <v>10</v>
      </c>
      <c r="E1218" s="2" t="s">
        <v>16</v>
      </c>
      <c r="F1218" s="2">
        <v>1</v>
      </c>
      <c r="G1218" s="2" t="s">
        <v>17</v>
      </c>
    </row>
    <row r="1219" spans="1:7" x14ac:dyDescent="0.2">
      <c r="A1219" s="2" t="s">
        <v>1795</v>
      </c>
      <c r="B1219" s="2" t="s">
        <v>1811</v>
      </c>
      <c r="C1219" s="2" t="s">
        <v>1797</v>
      </c>
      <c r="D1219" s="2" t="s">
        <v>10</v>
      </c>
      <c r="E1219" s="2" t="s">
        <v>16</v>
      </c>
      <c r="F1219" s="2">
        <v>1</v>
      </c>
      <c r="G1219" s="2" t="s">
        <v>17</v>
      </c>
    </row>
    <row r="1220" spans="1:7" x14ac:dyDescent="0.2">
      <c r="A1220" s="2" t="s">
        <v>1795</v>
      </c>
      <c r="B1220" s="2" t="s">
        <v>1812</v>
      </c>
      <c r="C1220" s="2" t="s">
        <v>1813</v>
      </c>
      <c r="D1220" s="2" t="s">
        <v>10</v>
      </c>
      <c r="E1220" s="2" t="s">
        <v>16</v>
      </c>
      <c r="F1220" s="2">
        <v>1</v>
      </c>
      <c r="G1220" s="2" t="s">
        <v>17</v>
      </c>
    </row>
    <row r="1221" spans="1:7" x14ac:dyDescent="0.2">
      <c r="A1221" s="2" t="s">
        <v>1795</v>
      </c>
      <c r="B1221" s="2" t="s">
        <v>1814</v>
      </c>
      <c r="C1221" s="2" t="s">
        <v>1815</v>
      </c>
      <c r="D1221" s="2" t="s">
        <v>10</v>
      </c>
      <c r="E1221" s="2" t="s">
        <v>16</v>
      </c>
      <c r="F1221" s="2">
        <v>1</v>
      </c>
      <c r="G1221" s="2" t="s">
        <v>17</v>
      </c>
    </row>
    <row r="1222" spans="1:7" x14ac:dyDescent="0.2">
      <c r="A1222" s="2" t="s">
        <v>1795</v>
      </c>
      <c r="B1222" s="2" t="s">
        <v>1816</v>
      </c>
      <c r="C1222" s="2" t="s">
        <v>1817</v>
      </c>
      <c r="D1222" s="2" t="s">
        <v>10</v>
      </c>
      <c r="E1222" s="2" t="s">
        <v>16</v>
      </c>
      <c r="F1222" s="2">
        <v>1</v>
      </c>
      <c r="G1222" s="2" t="s">
        <v>17</v>
      </c>
    </row>
    <row r="1223" spans="1:7" x14ac:dyDescent="0.2">
      <c r="A1223" s="2" t="s">
        <v>1795</v>
      </c>
      <c r="B1223" s="2" t="s">
        <v>1818</v>
      </c>
      <c r="C1223" s="2" t="s">
        <v>1819</v>
      </c>
      <c r="D1223" s="2" t="s">
        <v>10</v>
      </c>
      <c r="E1223" s="2" t="s">
        <v>16</v>
      </c>
      <c r="F1223" s="2">
        <v>1</v>
      </c>
      <c r="G1223" s="2" t="s">
        <v>17</v>
      </c>
    </row>
    <row r="1224" spans="1:7" x14ac:dyDescent="0.2">
      <c r="A1224" s="2" t="s">
        <v>1795</v>
      </c>
      <c r="B1224" s="2" t="s">
        <v>1820</v>
      </c>
      <c r="C1224" s="2" t="s">
        <v>1819</v>
      </c>
      <c r="D1224" s="2" t="s">
        <v>10</v>
      </c>
      <c r="E1224" s="2" t="s">
        <v>16</v>
      </c>
      <c r="F1224" s="2">
        <v>1</v>
      </c>
      <c r="G1224" s="2" t="s">
        <v>17</v>
      </c>
    </row>
    <row r="1225" spans="1:7" x14ac:dyDescent="0.2">
      <c r="A1225" s="2" t="s">
        <v>1795</v>
      </c>
      <c r="B1225" s="2" t="s">
        <v>1821</v>
      </c>
      <c r="C1225" s="2" t="s">
        <v>1822</v>
      </c>
      <c r="D1225" s="2" t="s">
        <v>10</v>
      </c>
      <c r="E1225" s="2" t="s">
        <v>16</v>
      </c>
      <c r="F1225" s="2">
        <v>1</v>
      </c>
      <c r="G1225" s="2" t="s">
        <v>17</v>
      </c>
    </row>
    <row r="1226" spans="1:7" x14ac:dyDescent="0.2">
      <c r="A1226" s="2" t="s">
        <v>1795</v>
      </c>
      <c r="B1226" s="2" t="s">
        <v>1823</v>
      </c>
      <c r="C1226" s="2" t="s">
        <v>1819</v>
      </c>
      <c r="D1226" s="2" t="s">
        <v>10</v>
      </c>
      <c r="E1226" s="2" t="s">
        <v>16</v>
      </c>
      <c r="F1226" s="2">
        <v>1</v>
      </c>
      <c r="G1226" s="2" t="s">
        <v>17</v>
      </c>
    </row>
    <row r="1227" spans="1:7" x14ac:dyDescent="0.2">
      <c r="A1227" s="2" t="s">
        <v>1795</v>
      </c>
      <c r="B1227" s="2" t="s">
        <v>1824</v>
      </c>
      <c r="C1227" s="2" t="s">
        <v>1819</v>
      </c>
      <c r="D1227" s="2" t="s">
        <v>10</v>
      </c>
      <c r="E1227" s="2" t="s">
        <v>16</v>
      </c>
      <c r="F1227" s="2">
        <v>1</v>
      </c>
      <c r="G1227" s="2" t="s">
        <v>17</v>
      </c>
    </row>
    <row r="1228" spans="1:7" x14ac:dyDescent="0.2">
      <c r="A1228" s="2" t="s">
        <v>1795</v>
      </c>
      <c r="B1228" s="2" t="s">
        <v>1825</v>
      </c>
      <c r="C1228" s="2" t="s">
        <v>1822</v>
      </c>
      <c r="D1228" s="2" t="s">
        <v>10</v>
      </c>
      <c r="E1228" s="2" t="s">
        <v>16</v>
      </c>
      <c r="F1228" s="2">
        <v>1</v>
      </c>
      <c r="G1228" s="2" t="s">
        <v>17</v>
      </c>
    </row>
    <row r="1229" spans="1:7" x14ac:dyDescent="0.2">
      <c r="A1229" s="2" t="s">
        <v>1795</v>
      </c>
      <c r="B1229" s="2" t="s">
        <v>1826</v>
      </c>
      <c r="C1229" s="2" t="s">
        <v>1822</v>
      </c>
      <c r="D1229" s="2" t="s">
        <v>10</v>
      </c>
      <c r="E1229" s="2" t="s">
        <v>16</v>
      </c>
      <c r="F1229" s="2">
        <v>1</v>
      </c>
      <c r="G1229" s="2" t="s">
        <v>17</v>
      </c>
    </row>
    <row r="1230" spans="1:7" x14ac:dyDescent="0.2">
      <c r="A1230" s="2" t="s">
        <v>1795</v>
      </c>
      <c r="B1230" s="2" t="s">
        <v>1827</v>
      </c>
      <c r="C1230" s="2" t="s">
        <v>1819</v>
      </c>
      <c r="D1230" s="2" t="s">
        <v>10</v>
      </c>
      <c r="E1230" s="2" t="s">
        <v>16</v>
      </c>
      <c r="F1230" s="2">
        <v>1</v>
      </c>
      <c r="G1230" s="2" t="s">
        <v>17</v>
      </c>
    </row>
    <row r="1231" spans="1:7" x14ac:dyDescent="0.2">
      <c r="A1231" s="2" t="s">
        <v>1795</v>
      </c>
      <c r="B1231" s="2" t="s">
        <v>1828</v>
      </c>
      <c r="C1231" s="2" t="s">
        <v>1445</v>
      </c>
      <c r="D1231" s="2" t="s">
        <v>10</v>
      </c>
      <c r="E1231" s="2" t="s">
        <v>16</v>
      </c>
      <c r="F1231" s="2">
        <v>1</v>
      </c>
      <c r="G1231" s="2" t="s">
        <v>17</v>
      </c>
    </row>
    <row r="1232" spans="1:7" x14ac:dyDescent="0.2">
      <c r="A1232" s="2" t="s">
        <v>1795</v>
      </c>
      <c r="B1232" s="2" t="s">
        <v>1829</v>
      </c>
      <c r="C1232" s="2" t="s">
        <v>1445</v>
      </c>
      <c r="D1232" s="2" t="s">
        <v>10</v>
      </c>
      <c r="E1232" s="2" t="s">
        <v>16</v>
      </c>
      <c r="F1232" s="2">
        <v>1</v>
      </c>
      <c r="G1232" s="2" t="s">
        <v>17</v>
      </c>
    </row>
    <row r="1233" spans="1:7" x14ac:dyDescent="0.2">
      <c r="A1233" s="2" t="s">
        <v>1795</v>
      </c>
      <c r="B1233" s="2" t="s">
        <v>1830</v>
      </c>
      <c r="C1233" s="2" t="s">
        <v>1819</v>
      </c>
      <c r="D1233" s="2" t="s">
        <v>10</v>
      </c>
      <c r="E1233" s="2" t="s">
        <v>16</v>
      </c>
      <c r="F1233" s="2">
        <v>1</v>
      </c>
      <c r="G1233" s="2" t="s">
        <v>17</v>
      </c>
    </row>
    <row r="1234" spans="1:7" x14ac:dyDescent="0.2">
      <c r="A1234" s="2" t="s">
        <v>1795</v>
      </c>
      <c r="B1234" s="2" t="s">
        <v>1831</v>
      </c>
      <c r="C1234" s="2" t="s">
        <v>1819</v>
      </c>
      <c r="D1234" s="2" t="s">
        <v>10</v>
      </c>
      <c r="E1234" s="2" t="s">
        <v>16</v>
      </c>
      <c r="F1234" s="2">
        <v>1</v>
      </c>
      <c r="G1234" s="2" t="s">
        <v>17</v>
      </c>
    </row>
    <row r="1235" spans="1:7" x14ac:dyDescent="0.2">
      <c r="A1235" s="2" t="s">
        <v>1795</v>
      </c>
      <c r="B1235" s="2" t="s">
        <v>1832</v>
      </c>
      <c r="C1235" s="2" t="s">
        <v>1833</v>
      </c>
      <c r="D1235" s="2" t="s">
        <v>10</v>
      </c>
      <c r="E1235" s="2" t="s">
        <v>16</v>
      </c>
      <c r="F1235" s="2">
        <v>1</v>
      </c>
      <c r="G1235" s="2" t="s">
        <v>17</v>
      </c>
    </row>
    <row r="1236" spans="1:7" x14ac:dyDescent="0.2">
      <c r="A1236" s="2" t="s">
        <v>1795</v>
      </c>
      <c r="B1236" s="2" t="s">
        <v>1834</v>
      </c>
      <c r="C1236" s="2" t="s">
        <v>1797</v>
      </c>
      <c r="D1236" s="2" t="s">
        <v>10</v>
      </c>
      <c r="E1236" s="2" t="s">
        <v>16</v>
      </c>
      <c r="F1236" s="2">
        <v>1</v>
      </c>
      <c r="G1236" s="2" t="s">
        <v>17</v>
      </c>
    </row>
    <row r="1237" spans="1:7" x14ac:dyDescent="0.2">
      <c r="A1237" s="2" t="s">
        <v>1795</v>
      </c>
      <c r="B1237" s="2" t="s">
        <v>1835</v>
      </c>
      <c r="C1237" s="2" t="s">
        <v>1836</v>
      </c>
      <c r="D1237" s="2" t="s">
        <v>10</v>
      </c>
      <c r="E1237" s="2" t="s">
        <v>16</v>
      </c>
      <c r="F1237" s="2">
        <v>1</v>
      </c>
      <c r="G1237" s="2" t="s">
        <v>17</v>
      </c>
    </row>
    <row r="1238" spans="1:7" x14ac:dyDescent="0.2">
      <c r="A1238" s="2" t="s">
        <v>1795</v>
      </c>
      <c r="B1238" s="2" t="s">
        <v>1837</v>
      </c>
      <c r="C1238" s="2" t="s">
        <v>1797</v>
      </c>
      <c r="D1238" s="2" t="s">
        <v>10</v>
      </c>
      <c r="E1238" s="2" t="s">
        <v>16</v>
      </c>
      <c r="F1238" s="2">
        <v>1</v>
      </c>
      <c r="G1238" s="2" t="s">
        <v>17</v>
      </c>
    </row>
    <row r="1239" spans="1:7" x14ac:dyDescent="0.2">
      <c r="A1239" s="2" t="s">
        <v>1795</v>
      </c>
      <c r="B1239" s="2" t="s">
        <v>1838</v>
      </c>
      <c r="C1239" s="2" t="s">
        <v>1833</v>
      </c>
      <c r="D1239" s="2" t="s">
        <v>10</v>
      </c>
      <c r="E1239" s="2" t="s">
        <v>16</v>
      </c>
      <c r="F1239" s="2">
        <v>1</v>
      </c>
      <c r="G1239" s="2" t="s">
        <v>17</v>
      </c>
    </row>
    <row r="1240" spans="1:7" x14ac:dyDescent="0.2">
      <c r="A1240" s="2" t="s">
        <v>1795</v>
      </c>
      <c r="B1240" s="2" t="s">
        <v>129</v>
      </c>
      <c r="C1240" s="2" t="s">
        <v>1817</v>
      </c>
      <c r="D1240" s="2" t="s">
        <v>10</v>
      </c>
      <c r="E1240" s="2" t="s">
        <v>16</v>
      </c>
      <c r="F1240" s="2">
        <v>1</v>
      </c>
      <c r="G1240" s="2" t="s">
        <v>17</v>
      </c>
    </row>
    <row r="1241" spans="1:7" x14ac:dyDescent="0.2">
      <c r="A1241" s="2" t="s">
        <v>1795</v>
      </c>
      <c r="B1241" s="2" t="s">
        <v>1839</v>
      </c>
      <c r="C1241" s="2" t="s">
        <v>1797</v>
      </c>
      <c r="D1241" s="2" t="s">
        <v>10</v>
      </c>
      <c r="E1241" s="2" t="s">
        <v>16</v>
      </c>
      <c r="F1241" s="2">
        <v>1</v>
      </c>
      <c r="G1241" s="2" t="s">
        <v>17</v>
      </c>
    </row>
    <row r="1242" spans="1:7" x14ac:dyDescent="0.2">
      <c r="A1242" s="2" t="s">
        <v>1795</v>
      </c>
      <c r="B1242" s="2" t="s">
        <v>1840</v>
      </c>
      <c r="C1242" s="2" t="s">
        <v>1822</v>
      </c>
      <c r="D1242" s="2" t="s">
        <v>10</v>
      </c>
      <c r="E1242" s="2" t="s">
        <v>16</v>
      </c>
      <c r="F1242" s="2">
        <v>1</v>
      </c>
      <c r="G1242" s="2" t="s">
        <v>17</v>
      </c>
    </row>
    <row r="1243" spans="1:7" x14ac:dyDescent="0.2">
      <c r="A1243" s="2" t="s">
        <v>1795</v>
      </c>
      <c r="B1243" s="2" t="s">
        <v>1841</v>
      </c>
      <c r="C1243" s="2" t="s">
        <v>1797</v>
      </c>
      <c r="D1243" s="2" t="s">
        <v>10</v>
      </c>
      <c r="E1243" s="2" t="s">
        <v>16</v>
      </c>
      <c r="F1243" s="2">
        <v>1</v>
      </c>
      <c r="G1243" s="2" t="s">
        <v>17</v>
      </c>
    </row>
    <row r="1244" spans="1:7" x14ac:dyDescent="0.2">
      <c r="A1244" s="2" t="s">
        <v>1795</v>
      </c>
      <c r="B1244" s="2" t="s">
        <v>1842</v>
      </c>
      <c r="C1244" s="2" t="s">
        <v>1445</v>
      </c>
      <c r="D1244" s="2" t="s">
        <v>10</v>
      </c>
      <c r="E1244" s="2" t="s">
        <v>16</v>
      </c>
      <c r="F1244" s="2">
        <v>1</v>
      </c>
      <c r="G1244" s="2" t="s">
        <v>17</v>
      </c>
    </row>
    <row r="1245" spans="1:7" x14ac:dyDescent="0.2">
      <c r="A1245" s="2" t="s">
        <v>1795</v>
      </c>
      <c r="B1245" s="2" t="s">
        <v>1843</v>
      </c>
      <c r="C1245" s="2" t="s">
        <v>1815</v>
      </c>
      <c r="D1245" s="2" t="s">
        <v>10</v>
      </c>
      <c r="E1245" s="2" t="s">
        <v>16</v>
      </c>
      <c r="F1245" s="2">
        <v>1</v>
      </c>
      <c r="G1245" s="2" t="s">
        <v>17</v>
      </c>
    </row>
    <row r="1246" spans="1:7" x14ac:dyDescent="0.2">
      <c r="A1246" s="2" t="s">
        <v>1795</v>
      </c>
      <c r="B1246" s="2" t="s">
        <v>1844</v>
      </c>
      <c r="C1246" s="2" t="s">
        <v>1813</v>
      </c>
      <c r="D1246" s="2" t="s">
        <v>10</v>
      </c>
      <c r="E1246" s="2" t="s">
        <v>16</v>
      </c>
      <c r="F1246" s="2">
        <v>1</v>
      </c>
      <c r="G1246" s="2" t="s">
        <v>17</v>
      </c>
    </row>
    <row r="1247" spans="1:7" x14ac:dyDescent="0.2">
      <c r="A1247" s="2" t="s">
        <v>1795</v>
      </c>
      <c r="B1247" s="2" t="s">
        <v>1845</v>
      </c>
      <c r="C1247" s="2" t="s">
        <v>1806</v>
      </c>
      <c r="D1247" s="2" t="s">
        <v>10</v>
      </c>
      <c r="E1247" s="2" t="s">
        <v>16</v>
      </c>
      <c r="F1247" s="2">
        <v>1</v>
      </c>
      <c r="G1247" s="2" t="s">
        <v>17</v>
      </c>
    </row>
    <row r="1248" spans="1:7" x14ac:dyDescent="0.2">
      <c r="A1248" s="2" t="s">
        <v>1795</v>
      </c>
      <c r="B1248" s="2" t="s">
        <v>1846</v>
      </c>
      <c r="C1248" s="2" t="s">
        <v>1806</v>
      </c>
      <c r="D1248" s="2" t="s">
        <v>10</v>
      </c>
      <c r="E1248" s="2" t="s">
        <v>16</v>
      </c>
      <c r="F1248" s="2">
        <v>1</v>
      </c>
      <c r="G1248" s="2" t="s">
        <v>17</v>
      </c>
    </row>
    <row r="1249" spans="1:7" x14ac:dyDescent="0.2">
      <c r="A1249" s="2" t="s">
        <v>1795</v>
      </c>
      <c r="B1249" s="2" t="s">
        <v>1847</v>
      </c>
      <c r="C1249" s="2" t="s">
        <v>1833</v>
      </c>
      <c r="D1249" s="2" t="s">
        <v>10</v>
      </c>
      <c r="E1249" s="2" t="s">
        <v>16</v>
      </c>
      <c r="F1249" s="2">
        <v>1</v>
      </c>
      <c r="G1249" s="2" t="s">
        <v>17</v>
      </c>
    </row>
    <row r="1250" spans="1:7" x14ac:dyDescent="0.2">
      <c r="A1250" s="2" t="s">
        <v>1795</v>
      </c>
      <c r="B1250" s="2" t="s">
        <v>1848</v>
      </c>
      <c r="C1250" s="2" t="s">
        <v>1799</v>
      </c>
      <c r="D1250" s="2" t="s">
        <v>10</v>
      </c>
      <c r="E1250" s="2" t="s">
        <v>16</v>
      </c>
      <c r="F1250" s="2">
        <v>1</v>
      </c>
      <c r="G1250" s="2" t="s">
        <v>17</v>
      </c>
    </row>
    <row r="1251" spans="1:7" x14ac:dyDescent="0.2">
      <c r="A1251" s="2" t="s">
        <v>1795</v>
      </c>
      <c r="B1251" s="2" t="s">
        <v>1849</v>
      </c>
      <c r="C1251" s="2" t="s">
        <v>1836</v>
      </c>
      <c r="D1251" s="2" t="s">
        <v>10</v>
      </c>
      <c r="E1251" s="2" t="s">
        <v>16</v>
      </c>
      <c r="F1251" s="2">
        <v>1</v>
      </c>
      <c r="G1251" s="2" t="s">
        <v>17</v>
      </c>
    </row>
    <row r="1252" spans="1:7" x14ac:dyDescent="0.2">
      <c r="A1252" s="2" t="s">
        <v>1795</v>
      </c>
      <c r="B1252" s="2" t="s">
        <v>1850</v>
      </c>
      <c r="C1252" s="2" t="s">
        <v>1819</v>
      </c>
      <c r="D1252" s="2" t="s">
        <v>10</v>
      </c>
      <c r="E1252" s="2" t="s">
        <v>16</v>
      </c>
      <c r="F1252" s="2">
        <v>1</v>
      </c>
      <c r="G1252" s="2" t="s">
        <v>17</v>
      </c>
    </row>
    <row r="1253" spans="1:7" x14ac:dyDescent="0.2">
      <c r="A1253" s="2" t="s">
        <v>1851</v>
      </c>
      <c r="B1253" s="2" t="s">
        <v>1852</v>
      </c>
      <c r="C1253" s="2" t="s">
        <v>1853</v>
      </c>
      <c r="D1253" s="2" t="s">
        <v>10</v>
      </c>
      <c r="E1253" s="2" t="s">
        <v>16</v>
      </c>
      <c r="F1253" s="2">
        <v>1</v>
      </c>
      <c r="G1253" s="2" t="s">
        <v>17</v>
      </c>
    </row>
    <row r="1254" spans="1:7" x14ac:dyDescent="0.2">
      <c r="A1254" s="2" t="s">
        <v>1854</v>
      </c>
      <c r="B1254" s="2" t="s">
        <v>1197</v>
      </c>
      <c r="C1254" s="2" t="s">
        <v>1196</v>
      </c>
      <c r="D1254" s="2" t="s">
        <v>56</v>
      </c>
      <c r="E1254" s="2" t="s">
        <v>52</v>
      </c>
      <c r="F1254" s="2">
        <v>2</v>
      </c>
      <c r="G1254" s="2" t="s">
        <v>17</v>
      </c>
    </row>
    <row r="1255" spans="1:7" x14ac:dyDescent="0.2">
      <c r="A1255" s="2" t="s">
        <v>1854</v>
      </c>
      <c r="B1255" s="2" t="s">
        <v>676</v>
      </c>
      <c r="C1255" s="2" t="s">
        <v>1196</v>
      </c>
      <c r="D1255" s="2" t="s">
        <v>56</v>
      </c>
      <c r="E1255" s="2" t="s">
        <v>52</v>
      </c>
      <c r="F1255" s="2">
        <v>2</v>
      </c>
      <c r="G1255" s="2" t="s">
        <v>17</v>
      </c>
    </row>
    <row r="1256" spans="1:7" x14ac:dyDescent="0.2">
      <c r="A1256" s="2" t="s">
        <v>1854</v>
      </c>
      <c r="B1256" s="2" t="s">
        <v>1855</v>
      </c>
      <c r="C1256" s="2" t="s">
        <v>1856</v>
      </c>
      <c r="D1256" s="2" t="s">
        <v>56</v>
      </c>
      <c r="E1256" s="2" t="s">
        <v>52</v>
      </c>
      <c r="F1256" s="2">
        <v>2</v>
      </c>
      <c r="G1256" s="2" t="s">
        <v>12</v>
      </c>
    </row>
    <row r="1257" spans="1:7" x14ac:dyDescent="0.2">
      <c r="A1257" s="2" t="s">
        <v>1857</v>
      </c>
      <c r="B1257" s="2" t="s">
        <v>1858</v>
      </c>
      <c r="C1257" s="2" t="s">
        <v>1859</v>
      </c>
      <c r="D1257" s="2" t="s">
        <v>10</v>
      </c>
      <c r="E1257" s="2" t="s">
        <v>16</v>
      </c>
      <c r="F1257" s="2">
        <v>1</v>
      </c>
      <c r="G1257" s="2" t="s">
        <v>17</v>
      </c>
    </row>
    <row r="1258" spans="1:7" x14ac:dyDescent="0.2">
      <c r="A1258" s="2" t="s">
        <v>1860</v>
      </c>
      <c r="B1258" s="2" t="s">
        <v>1861</v>
      </c>
      <c r="C1258" s="2" t="s">
        <v>1862</v>
      </c>
      <c r="D1258" s="2" t="s">
        <v>64</v>
      </c>
      <c r="E1258" s="2" t="s">
        <v>16</v>
      </c>
      <c r="F1258" s="2">
        <v>1</v>
      </c>
      <c r="G1258" s="2" t="s">
        <v>17</v>
      </c>
    </row>
    <row r="1259" spans="1:7" x14ac:dyDescent="0.2">
      <c r="A1259" s="2" t="s">
        <v>1860</v>
      </c>
      <c r="B1259" s="2" t="s">
        <v>1863</v>
      </c>
      <c r="C1259" s="2" t="s">
        <v>1862</v>
      </c>
      <c r="D1259" s="2" t="s">
        <v>64</v>
      </c>
      <c r="E1259" s="2" t="s">
        <v>16</v>
      </c>
      <c r="F1259" s="2">
        <v>1</v>
      </c>
      <c r="G1259" s="2" t="s">
        <v>17</v>
      </c>
    </row>
    <row r="1260" spans="1:7" x14ac:dyDescent="0.2">
      <c r="A1260" s="2" t="s">
        <v>1860</v>
      </c>
      <c r="B1260" s="2" t="s">
        <v>1864</v>
      </c>
      <c r="C1260" s="2" t="s">
        <v>1865</v>
      </c>
      <c r="D1260" s="2" t="s">
        <v>64</v>
      </c>
      <c r="E1260" s="2" t="s">
        <v>16</v>
      </c>
      <c r="F1260" s="2">
        <v>1</v>
      </c>
      <c r="G1260" s="2" t="s">
        <v>17</v>
      </c>
    </row>
    <row r="1261" spans="1:7" x14ac:dyDescent="0.2">
      <c r="A1261" s="2" t="s">
        <v>1860</v>
      </c>
      <c r="B1261" s="2" t="s">
        <v>1866</v>
      </c>
      <c r="C1261" s="2" t="s">
        <v>1867</v>
      </c>
      <c r="D1261" s="2" t="s">
        <v>64</v>
      </c>
      <c r="E1261" s="2" t="s">
        <v>16</v>
      </c>
      <c r="F1261" s="2">
        <v>1</v>
      </c>
      <c r="G1261" s="2" t="s">
        <v>17</v>
      </c>
    </row>
    <row r="1262" spans="1:7" x14ac:dyDescent="0.2">
      <c r="A1262" s="2" t="s">
        <v>1868</v>
      </c>
      <c r="B1262" s="2" t="s">
        <v>508</v>
      </c>
      <c r="C1262" s="2" t="s">
        <v>509</v>
      </c>
      <c r="D1262" s="2" t="s">
        <v>10</v>
      </c>
      <c r="E1262" s="2" t="s">
        <v>16</v>
      </c>
      <c r="F1262" s="2">
        <v>1</v>
      </c>
      <c r="G1262" s="2" t="s">
        <v>17</v>
      </c>
    </row>
    <row r="1263" spans="1:7" x14ac:dyDescent="0.2">
      <c r="A1263" s="2" t="s">
        <v>1868</v>
      </c>
      <c r="B1263" s="2" t="s">
        <v>1869</v>
      </c>
      <c r="C1263" s="2" t="s">
        <v>1870</v>
      </c>
      <c r="D1263" s="2" t="s">
        <v>10</v>
      </c>
      <c r="E1263" s="2" t="s">
        <v>16</v>
      </c>
      <c r="F1263" s="2">
        <v>1</v>
      </c>
      <c r="G1263" s="2" t="s">
        <v>17</v>
      </c>
    </row>
    <row r="1264" spans="1:7" x14ac:dyDescent="0.2">
      <c r="A1264" s="2" t="s">
        <v>1868</v>
      </c>
      <c r="B1264" s="2" t="s">
        <v>1871</v>
      </c>
      <c r="C1264" s="2" t="s">
        <v>1872</v>
      </c>
      <c r="D1264" s="2" t="s">
        <v>10</v>
      </c>
      <c r="E1264" s="2" t="s">
        <v>16</v>
      </c>
      <c r="F1264" s="2">
        <v>1</v>
      </c>
      <c r="G1264" s="2" t="s">
        <v>17</v>
      </c>
    </row>
    <row r="1265" spans="1:7" x14ac:dyDescent="0.2">
      <c r="A1265" s="2" t="s">
        <v>1868</v>
      </c>
      <c r="B1265" s="2" t="s">
        <v>1873</v>
      </c>
      <c r="C1265" s="2" t="s">
        <v>1874</v>
      </c>
      <c r="D1265" s="2" t="s">
        <v>10</v>
      </c>
      <c r="E1265" s="2" t="s">
        <v>16</v>
      </c>
      <c r="F1265" s="2">
        <v>1</v>
      </c>
      <c r="G1265" s="2" t="s">
        <v>17</v>
      </c>
    </row>
    <row r="1266" spans="1:7" x14ac:dyDescent="0.2">
      <c r="A1266" s="2" t="s">
        <v>1868</v>
      </c>
      <c r="B1266" s="2" t="s">
        <v>1875</v>
      </c>
      <c r="C1266" s="2" t="s">
        <v>1874</v>
      </c>
      <c r="D1266" s="2" t="s">
        <v>10</v>
      </c>
      <c r="E1266" s="2" t="s">
        <v>16</v>
      </c>
      <c r="F1266" s="2">
        <v>1</v>
      </c>
      <c r="G1266" s="2" t="s">
        <v>17</v>
      </c>
    </row>
    <row r="1267" spans="1:7" x14ac:dyDescent="0.2">
      <c r="A1267" s="2" t="s">
        <v>1868</v>
      </c>
      <c r="B1267" s="2" t="s">
        <v>1876</v>
      </c>
      <c r="C1267" s="2" t="s">
        <v>1872</v>
      </c>
      <c r="D1267" s="2" t="s">
        <v>10</v>
      </c>
      <c r="E1267" s="2" t="s">
        <v>16</v>
      </c>
      <c r="F1267" s="2">
        <v>1</v>
      </c>
      <c r="G1267" s="2" t="s">
        <v>17</v>
      </c>
    </row>
    <row r="1268" spans="1:7" x14ac:dyDescent="0.2">
      <c r="A1268" s="2" t="s">
        <v>1877</v>
      </c>
      <c r="B1268" s="2" t="s">
        <v>8</v>
      </c>
      <c r="C1268" s="2" t="s">
        <v>9</v>
      </c>
      <c r="D1268" s="2" t="s">
        <v>10</v>
      </c>
      <c r="E1268" s="2" t="s">
        <v>11</v>
      </c>
      <c r="F1268" s="2">
        <v>2</v>
      </c>
      <c r="G1268" s="2" t="s">
        <v>12</v>
      </c>
    </row>
    <row r="1269" spans="1:7" x14ac:dyDescent="0.2">
      <c r="A1269" s="2" t="s">
        <v>1878</v>
      </c>
      <c r="B1269" s="2" t="s">
        <v>1879</v>
      </c>
      <c r="C1269" s="2" t="s">
        <v>1880</v>
      </c>
      <c r="D1269" s="2" t="s">
        <v>10</v>
      </c>
      <c r="E1269" s="2" t="s">
        <v>16</v>
      </c>
      <c r="F1269" s="2">
        <v>1</v>
      </c>
      <c r="G1269" s="2" t="s">
        <v>17</v>
      </c>
    </row>
    <row r="1270" spans="1:7" x14ac:dyDescent="0.2">
      <c r="A1270" s="2" t="s">
        <v>1878</v>
      </c>
      <c r="B1270" s="2" t="s">
        <v>43</v>
      </c>
      <c r="C1270" s="2" t="s">
        <v>1880</v>
      </c>
      <c r="D1270" s="2" t="s">
        <v>10</v>
      </c>
      <c r="E1270" s="2" t="s">
        <v>16</v>
      </c>
      <c r="F1270" s="2">
        <v>1</v>
      </c>
      <c r="G1270" s="2" t="s">
        <v>17</v>
      </c>
    </row>
    <row r="1271" spans="1:7" x14ac:dyDescent="0.2">
      <c r="A1271" s="2" t="s">
        <v>1878</v>
      </c>
      <c r="B1271" s="2" t="s">
        <v>1881</v>
      </c>
      <c r="C1271" s="2" t="s">
        <v>1880</v>
      </c>
      <c r="D1271" s="2" t="s">
        <v>10</v>
      </c>
      <c r="E1271" s="2" t="s">
        <v>16</v>
      </c>
      <c r="F1271" s="2">
        <v>1</v>
      </c>
      <c r="G1271" s="2" t="s">
        <v>17</v>
      </c>
    </row>
    <row r="1272" spans="1:7" x14ac:dyDescent="0.2">
      <c r="A1272" s="2" t="s">
        <v>1878</v>
      </c>
      <c r="B1272" s="2" t="s">
        <v>1882</v>
      </c>
      <c r="C1272" s="2" t="s">
        <v>1880</v>
      </c>
      <c r="D1272" s="2" t="s">
        <v>10</v>
      </c>
      <c r="E1272" s="2" t="s">
        <v>16</v>
      </c>
      <c r="F1272" s="2">
        <v>1</v>
      </c>
      <c r="G1272" s="2" t="s">
        <v>17</v>
      </c>
    </row>
    <row r="1273" spans="1:7" x14ac:dyDescent="0.2">
      <c r="A1273" s="2" t="s">
        <v>1878</v>
      </c>
      <c r="B1273" s="2" t="s">
        <v>1883</v>
      </c>
      <c r="C1273" s="2" t="s">
        <v>1880</v>
      </c>
      <c r="D1273" s="2" t="s">
        <v>10</v>
      </c>
      <c r="E1273" s="2" t="s">
        <v>16</v>
      </c>
      <c r="F1273" s="2">
        <v>1</v>
      </c>
      <c r="G1273" s="2" t="s">
        <v>17</v>
      </c>
    </row>
    <row r="1274" spans="1:7" x14ac:dyDescent="0.2">
      <c r="A1274" s="2" t="s">
        <v>1884</v>
      </c>
      <c r="B1274" s="2" t="s">
        <v>1885</v>
      </c>
      <c r="C1274" s="2" t="s">
        <v>1886</v>
      </c>
      <c r="D1274" s="2" t="s">
        <v>10</v>
      </c>
      <c r="E1274" s="2" t="s">
        <v>16</v>
      </c>
      <c r="F1274" s="2">
        <v>1</v>
      </c>
      <c r="G1274" s="2" t="s">
        <v>17</v>
      </c>
    </row>
    <row r="1275" spans="1:7" x14ac:dyDescent="0.2">
      <c r="A1275" s="2" t="s">
        <v>1884</v>
      </c>
      <c r="B1275" s="2" t="s">
        <v>1887</v>
      </c>
      <c r="C1275" s="2" t="s">
        <v>1886</v>
      </c>
      <c r="D1275" s="2" t="s">
        <v>10</v>
      </c>
      <c r="E1275" s="2" t="s">
        <v>16</v>
      </c>
      <c r="F1275" s="2">
        <v>1</v>
      </c>
      <c r="G1275" s="2" t="s">
        <v>17</v>
      </c>
    </row>
    <row r="1276" spans="1:7" x14ac:dyDescent="0.2">
      <c r="A1276" s="2" t="s">
        <v>1888</v>
      </c>
      <c r="B1276" s="2" t="s">
        <v>1889</v>
      </c>
      <c r="C1276" s="2" t="s">
        <v>1890</v>
      </c>
      <c r="D1276" s="2" t="s">
        <v>10</v>
      </c>
      <c r="E1276" s="2" t="s">
        <v>16</v>
      </c>
      <c r="F1276" s="2">
        <v>2</v>
      </c>
      <c r="G1276" s="2" t="s">
        <v>12</v>
      </c>
    </row>
    <row r="1277" spans="1:7" x14ac:dyDescent="0.2">
      <c r="A1277" s="2" t="s">
        <v>1891</v>
      </c>
      <c r="B1277" s="2" t="s">
        <v>1892</v>
      </c>
      <c r="C1277" s="2" t="s">
        <v>1893</v>
      </c>
      <c r="D1277" s="2" t="s">
        <v>10</v>
      </c>
      <c r="E1277" s="2" t="s">
        <v>16</v>
      </c>
      <c r="F1277" s="2">
        <v>2</v>
      </c>
      <c r="G1277" s="2" t="s">
        <v>17</v>
      </c>
    </row>
    <row r="1278" spans="1:7" x14ac:dyDescent="0.2">
      <c r="A1278" s="2" t="s">
        <v>1894</v>
      </c>
      <c r="B1278" s="2" t="s">
        <v>497</v>
      </c>
      <c r="C1278" s="2" t="s">
        <v>498</v>
      </c>
      <c r="D1278" s="2" t="s">
        <v>10</v>
      </c>
      <c r="E1278" s="2" t="s">
        <v>16</v>
      </c>
      <c r="F1278" s="2">
        <v>1</v>
      </c>
      <c r="G1278" s="2" t="s">
        <v>17</v>
      </c>
    </row>
    <row r="1279" spans="1:7" x14ac:dyDescent="0.2">
      <c r="A1279" s="2" t="s">
        <v>1895</v>
      </c>
      <c r="B1279" s="2" t="s">
        <v>1896</v>
      </c>
      <c r="C1279" s="2" t="s">
        <v>1897</v>
      </c>
      <c r="D1279" s="2" t="s">
        <v>10</v>
      </c>
      <c r="E1279" s="2" t="s">
        <v>16</v>
      </c>
      <c r="F1279" s="2">
        <v>1</v>
      </c>
      <c r="G1279" s="2" t="s">
        <v>17</v>
      </c>
    </row>
    <row r="1280" spans="1:7" x14ac:dyDescent="0.2">
      <c r="A1280" s="2" t="s">
        <v>1895</v>
      </c>
      <c r="B1280" s="2" t="s">
        <v>1898</v>
      </c>
      <c r="C1280" s="2" t="s">
        <v>1897</v>
      </c>
      <c r="D1280" s="2" t="s">
        <v>10</v>
      </c>
      <c r="E1280" s="2" t="s">
        <v>16</v>
      </c>
      <c r="F1280" s="2">
        <v>1</v>
      </c>
      <c r="G1280" s="2" t="s">
        <v>17</v>
      </c>
    </row>
    <row r="1281" spans="1:7" x14ac:dyDescent="0.2">
      <c r="A1281" s="2" t="s">
        <v>1899</v>
      </c>
      <c r="B1281" s="2" t="s">
        <v>1900</v>
      </c>
      <c r="C1281" s="2" t="s">
        <v>1901</v>
      </c>
      <c r="D1281" s="2" t="s">
        <v>10</v>
      </c>
      <c r="E1281" s="2" t="s">
        <v>16</v>
      </c>
      <c r="F1281" s="2">
        <v>1</v>
      </c>
      <c r="G1281" s="2" t="s">
        <v>17</v>
      </c>
    </row>
    <row r="1282" spans="1:7" x14ac:dyDescent="0.2">
      <c r="A1282" s="2" t="s">
        <v>1902</v>
      </c>
      <c r="B1282" s="2" t="s">
        <v>1903</v>
      </c>
      <c r="C1282" s="2" t="s">
        <v>1904</v>
      </c>
      <c r="D1282" s="2" t="s">
        <v>56</v>
      </c>
      <c r="E1282" s="2" t="s">
        <v>16</v>
      </c>
      <c r="F1282" s="2">
        <v>2</v>
      </c>
      <c r="G1282" s="2" t="s">
        <v>17</v>
      </c>
    </row>
    <row r="1283" spans="1:7" x14ac:dyDescent="0.2">
      <c r="A1283" s="2" t="s">
        <v>1902</v>
      </c>
      <c r="B1283" s="2" t="s">
        <v>1905</v>
      </c>
      <c r="C1283" s="2" t="s">
        <v>1904</v>
      </c>
      <c r="D1283" s="2" t="s">
        <v>56</v>
      </c>
      <c r="E1283" s="2" t="s">
        <v>16</v>
      </c>
      <c r="F1283" s="2">
        <v>2</v>
      </c>
      <c r="G1283" s="2" t="s">
        <v>17</v>
      </c>
    </row>
    <row r="1284" spans="1:7" x14ac:dyDescent="0.2">
      <c r="A1284" s="2" t="s">
        <v>1906</v>
      </c>
      <c r="B1284" s="2" t="s">
        <v>1907</v>
      </c>
      <c r="C1284" s="2" t="s">
        <v>1908</v>
      </c>
      <c r="D1284" s="2" t="s">
        <v>10</v>
      </c>
      <c r="E1284" s="2" t="s">
        <v>16</v>
      </c>
      <c r="F1284" s="2">
        <v>1</v>
      </c>
      <c r="G1284" s="2" t="s">
        <v>17</v>
      </c>
    </row>
    <row r="1285" spans="1:7" x14ac:dyDescent="0.2">
      <c r="A1285" s="2" t="s">
        <v>1909</v>
      </c>
      <c r="B1285" s="2" t="s">
        <v>435</v>
      </c>
      <c r="C1285" s="2" t="s">
        <v>436</v>
      </c>
      <c r="D1285" s="2" t="s">
        <v>10</v>
      </c>
      <c r="E1285" s="2" t="s">
        <v>16</v>
      </c>
      <c r="F1285" s="2">
        <v>1</v>
      </c>
      <c r="G1285" s="2" t="s">
        <v>17</v>
      </c>
    </row>
    <row r="1286" spans="1:7" x14ac:dyDescent="0.2">
      <c r="A1286" s="2" t="s">
        <v>1909</v>
      </c>
      <c r="B1286" s="2" t="s">
        <v>1910</v>
      </c>
      <c r="C1286" s="2" t="s">
        <v>1911</v>
      </c>
      <c r="D1286" s="2" t="s">
        <v>10</v>
      </c>
      <c r="E1286" s="2" t="s">
        <v>16</v>
      </c>
      <c r="F1286" s="2">
        <v>1</v>
      </c>
      <c r="G1286" s="2" t="s">
        <v>17</v>
      </c>
    </row>
    <row r="1287" spans="1:7" x14ac:dyDescent="0.2">
      <c r="A1287" s="2" t="s">
        <v>1909</v>
      </c>
      <c r="B1287" s="2" t="s">
        <v>437</v>
      </c>
      <c r="C1287" s="2" t="s">
        <v>436</v>
      </c>
      <c r="D1287" s="2" t="s">
        <v>10</v>
      </c>
      <c r="E1287" s="2" t="s">
        <v>16</v>
      </c>
      <c r="F1287" s="2">
        <v>1</v>
      </c>
      <c r="G1287" s="2" t="s">
        <v>17</v>
      </c>
    </row>
    <row r="1288" spans="1:7" x14ac:dyDescent="0.2">
      <c r="A1288" s="2" t="s">
        <v>1909</v>
      </c>
      <c r="B1288" s="2" t="s">
        <v>1912</v>
      </c>
      <c r="C1288" s="2" t="s">
        <v>1911</v>
      </c>
      <c r="D1288" s="2" t="s">
        <v>10</v>
      </c>
      <c r="E1288" s="2" t="s">
        <v>16</v>
      </c>
      <c r="F1288" s="2">
        <v>1</v>
      </c>
      <c r="G1288" s="2" t="s">
        <v>17</v>
      </c>
    </row>
    <row r="1289" spans="1:7" x14ac:dyDescent="0.2">
      <c r="A1289" s="2" t="s">
        <v>1909</v>
      </c>
      <c r="B1289" s="2" t="s">
        <v>1913</v>
      </c>
      <c r="C1289" s="2" t="s">
        <v>1914</v>
      </c>
      <c r="D1289" s="2" t="s">
        <v>10</v>
      </c>
      <c r="E1289" s="2" t="s">
        <v>16</v>
      </c>
      <c r="F1289" s="2">
        <v>1</v>
      </c>
      <c r="G1289" s="2" t="s">
        <v>17</v>
      </c>
    </row>
    <row r="1290" spans="1:7" x14ac:dyDescent="0.2">
      <c r="A1290" s="2" t="s">
        <v>1909</v>
      </c>
      <c r="B1290" s="2" t="s">
        <v>1915</v>
      </c>
      <c r="C1290" s="2" t="s">
        <v>1914</v>
      </c>
      <c r="D1290" s="2" t="s">
        <v>10</v>
      </c>
      <c r="E1290" s="2" t="s">
        <v>16</v>
      </c>
      <c r="F1290" s="2">
        <v>1</v>
      </c>
      <c r="G1290" s="2" t="s">
        <v>17</v>
      </c>
    </row>
    <row r="1291" spans="1:7" x14ac:dyDescent="0.2">
      <c r="A1291" s="2" t="s">
        <v>1916</v>
      </c>
      <c r="B1291" s="2" t="s">
        <v>1917</v>
      </c>
      <c r="C1291" s="2" t="s">
        <v>1918</v>
      </c>
      <c r="D1291" s="2" t="s">
        <v>10</v>
      </c>
      <c r="E1291" s="2" t="s">
        <v>16</v>
      </c>
      <c r="F1291" s="2">
        <v>1</v>
      </c>
      <c r="G1291" s="2" t="s">
        <v>17</v>
      </c>
    </row>
    <row r="1292" spans="1:7" x14ac:dyDescent="0.2">
      <c r="A1292" s="2" t="s">
        <v>1919</v>
      </c>
      <c r="B1292" s="2" t="s">
        <v>1920</v>
      </c>
      <c r="C1292" s="2" t="s">
        <v>1921</v>
      </c>
      <c r="D1292" s="2" t="s">
        <v>10</v>
      </c>
      <c r="E1292" s="2" t="s">
        <v>16</v>
      </c>
      <c r="F1292" s="2">
        <v>1</v>
      </c>
      <c r="G1292" s="2" t="s">
        <v>17</v>
      </c>
    </row>
    <row r="1293" spans="1:7" x14ac:dyDescent="0.2">
      <c r="A1293" s="2" t="s">
        <v>1919</v>
      </c>
      <c r="B1293" s="2" t="s">
        <v>1922</v>
      </c>
      <c r="C1293" s="2" t="s">
        <v>1923</v>
      </c>
      <c r="D1293" s="2" t="s">
        <v>10</v>
      </c>
      <c r="E1293" s="2" t="s">
        <v>16</v>
      </c>
      <c r="F1293" s="2">
        <v>1</v>
      </c>
      <c r="G1293" s="2" t="s">
        <v>17</v>
      </c>
    </row>
    <row r="1294" spans="1:7" x14ac:dyDescent="0.2">
      <c r="A1294" s="2" t="s">
        <v>1919</v>
      </c>
      <c r="B1294" s="2" t="s">
        <v>1924</v>
      </c>
      <c r="C1294" s="2" t="s">
        <v>1923</v>
      </c>
      <c r="D1294" s="2" t="s">
        <v>10</v>
      </c>
      <c r="E1294" s="2" t="s">
        <v>16</v>
      </c>
      <c r="F1294" s="2">
        <v>1</v>
      </c>
      <c r="G1294" s="2" t="s">
        <v>17</v>
      </c>
    </row>
    <row r="1295" spans="1:7" x14ac:dyDescent="0.2">
      <c r="A1295" s="2" t="s">
        <v>1919</v>
      </c>
      <c r="B1295" s="2" t="s">
        <v>1925</v>
      </c>
      <c r="C1295" s="2" t="s">
        <v>1926</v>
      </c>
      <c r="D1295" s="2" t="s">
        <v>10</v>
      </c>
      <c r="E1295" s="2" t="s">
        <v>16</v>
      </c>
      <c r="F1295" s="2">
        <v>1</v>
      </c>
      <c r="G1295" s="2" t="s">
        <v>17</v>
      </c>
    </row>
    <row r="1296" spans="1:7" x14ac:dyDescent="0.2">
      <c r="A1296" s="2" t="s">
        <v>1919</v>
      </c>
      <c r="B1296" s="2" t="s">
        <v>1927</v>
      </c>
      <c r="C1296" s="2" t="s">
        <v>1923</v>
      </c>
      <c r="D1296" s="2" t="s">
        <v>10</v>
      </c>
      <c r="E1296" s="2" t="s">
        <v>16</v>
      </c>
      <c r="F1296" s="2">
        <v>1</v>
      </c>
      <c r="G1296" s="2" t="s">
        <v>17</v>
      </c>
    </row>
    <row r="1297" spans="1:7" x14ac:dyDescent="0.2">
      <c r="A1297" s="2" t="s">
        <v>1919</v>
      </c>
      <c r="B1297" s="2" t="s">
        <v>1928</v>
      </c>
      <c r="C1297" s="2" t="s">
        <v>1923</v>
      </c>
      <c r="D1297" s="2" t="s">
        <v>10</v>
      </c>
      <c r="E1297" s="2" t="s">
        <v>16</v>
      </c>
      <c r="F1297" s="2">
        <v>1</v>
      </c>
      <c r="G1297" s="2" t="s">
        <v>17</v>
      </c>
    </row>
    <row r="1298" spans="1:7" x14ac:dyDescent="0.2">
      <c r="A1298" s="2" t="s">
        <v>1919</v>
      </c>
      <c r="B1298" s="2" t="s">
        <v>742</v>
      </c>
      <c r="C1298" s="2" t="s">
        <v>743</v>
      </c>
      <c r="D1298" s="2" t="s">
        <v>10</v>
      </c>
      <c r="E1298" s="2" t="s">
        <v>16</v>
      </c>
      <c r="F1298" s="2">
        <v>1</v>
      </c>
      <c r="G1298" s="2" t="s">
        <v>17</v>
      </c>
    </row>
    <row r="1299" spans="1:7" x14ac:dyDescent="0.2">
      <c r="A1299" s="2" t="s">
        <v>1919</v>
      </c>
      <c r="B1299" s="2" t="s">
        <v>744</v>
      </c>
      <c r="C1299" s="2" t="s">
        <v>745</v>
      </c>
      <c r="D1299" s="2" t="s">
        <v>10</v>
      </c>
      <c r="E1299" s="2" t="s">
        <v>16</v>
      </c>
      <c r="F1299" s="2">
        <v>1</v>
      </c>
      <c r="G1299" s="2" t="s">
        <v>17</v>
      </c>
    </row>
    <row r="1300" spans="1:7" x14ac:dyDescent="0.2">
      <c r="A1300" s="2" t="s">
        <v>1919</v>
      </c>
      <c r="B1300" s="2" t="s">
        <v>1929</v>
      </c>
      <c r="C1300" s="2" t="s">
        <v>1930</v>
      </c>
      <c r="D1300" s="2" t="s">
        <v>10</v>
      </c>
      <c r="E1300" s="2" t="s">
        <v>16</v>
      </c>
      <c r="F1300" s="2">
        <v>1</v>
      </c>
      <c r="G1300" s="2" t="s">
        <v>17</v>
      </c>
    </row>
    <row r="1301" spans="1:7" x14ac:dyDescent="0.2">
      <c r="A1301" s="2" t="s">
        <v>1919</v>
      </c>
      <c r="B1301" s="2" t="s">
        <v>1931</v>
      </c>
      <c r="C1301" s="2" t="s">
        <v>1921</v>
      </c>
      <c r="D1301" s="2" t="s">
        <v>10</v>
      </c>
      <c r="E1301" s="2" t="s">
        <v>16</v>
      </c>
      <c r="F1301" s="2">
        <v>1</v>
      </c>
      <c r="G1301" s="2" t="s">
        <v>17</v>
      </c>
    </row>
    <row r="1302" spans="1:7" x14ac:dyDescent="0.2">
      <c r="A1302" s="2" t="s">
        <v>1919</v>
      </c>
      <c r="B1302" s="2" t="s">
        <v>1932</v>
      </c>
      <c r="C1302" s="2" t="s">
        <v>1930</v>
      </c>
      <c r="D1302" s="2" t="s">
        <v>10</v>
      </c>
      <c r="E1302" s="2" t="s">
        <v>16</v>
      </c>
      <c r="F1302" s="2">
        <v>1</v>
      </c>
      <c r="G1302" s="2" t="s">
        <v>17</v>
      </c>
    </row>
    <row r="1303" spans="1:7" x14ac:dyDescent="0.2">
      <c r="A1303" s="2" t="s">
        <v>1933</v>
      </c>
      <c r="B1303" s="2" t="s">
        <v>1934</v>
      </c>
      <c r="C1303" s="2" t="s">
        <v>1935</v>
      </c>
      <c r="D1303" s="2" t="s">
        <v>10</v>
      </c>
      <c r="E1303" s="2" t="s">
        <v>16</v>
      </c>
      <c r="F1303" s="2">
        <v>1</v>
      </c>
      <c r="G1303" s="2" t="s">
        <v>17</v>
      </c>
    </row>
    <row r="1304" spans="1:7" x14ac:dyDescent="0.2">
      <c r="A1304" s="2" t="s">
        <v>1936</v>
      </c>
      <c r="B1304" s="2" t="s">
        <v>1937</v>
      </c>
      <c r="C1304" s="2" t="s">
        <v>1938</v>
      </c>
      <c r="D1304" s="2" t="s">
        <v>29</v>
      </c>
      <c r="E1304" s="2" t="s">
        <v>16</v>
      </c>
      <c r="F1304" s="2">
        <v>2</v>
      </c>
      <c r="G1304" s="2" t="s">
        <v>17</v>
      </c>
    </row>
    <row r="1305" spans="1:7" x14ac:dyDescent="0.2">
      <c r="A1305" s="2" t="s">
        <v>1939</v>
      </c>
      <c r="B1305" s="2" t="s">
        <v>1940</v>
      </c>
      <c r="C1305" s="2" t="s">
        <v>1941</v>
      </c>
      <c r="D1305" s="2" t="s">
        <v>10</v>
      </c>
      <c r="E1305" s="2" t="s">
        <v>16</v>
      </c>
      <c r="F1305" s="2">
        <v>1</v>
      </c>
      <c r="G1305" s="2" t="s">
        <v>17</v>
      </c>
    </row>
    <row r="1306" spans="1:7" x14ac:dyDescent="0.2">
      <c r="A1306" s="2" t="s">
        <v>1939</v>
      </c>
      <c r="B1306" s="2" t="s">
        <v>1942</v>
      </c>
      <c r="C1306" s="2" t="s">
        <v>1943</v>
      </c>
      <c r="D1306" s="2" t="s">
        <v>10</v>
      </c>
      <c r="E1306" s="2" t="s">
        <v>16</v>
      </c>
      <c r="F1306" s="2">
        <v>1</v>
      </c>
      <c r="G1306" s="2" t="s">
        <v>17</v>
      </c>
    </row>
    <row r="1307" spans="1:7" x14ac:dyDescent="0.2">
      <c r="A1307" s="2" t="s">
        <v>1939</v>
      </c>
      <c r="B1307" s="2" t="s">
        <v>1944</v>
      </c>
      <c r="C1307" s="2" t="s">
        <v>1941</v>
      </c>
      <c r="D1307" s="2" t="s">
        <v>10</v>
      </c>
      <c r="E1307" s="2" t="s">
        <v>16</v>
      </c>
      <c r="F1307" s="2">
        <v>1</v>
      </c>
      <c r="G1307" s="2" t="s">
        <v>17</v>
      </c>
    </row>
    <row r="1308" spans="1:7" x14ac:dyDescent="0.2">
      <c r="A1308" s="2" t="s">
        <v>1939</v>
      </c>
      <c r="B1308" s="2" t="s">
        <v>1945</v>
      </c>
      <c r="C1308" s="2" t="s">
        <v>1946</v>
      </c>
      <c r="D1308" s="2" t="s">
        <v>10</v>
      </c>
      <c r="E1308" s="2" t="s">
        <v>16</v>
      </c>
      <c r="F1308" s="2">
        <v>1</v>
      </c>
      <c r="G1308" s="2" t="s">
        <v>17</v>
      </c>
    </row>
    <row r="1309" spans="1:7" x14ac:dyDescent="0.2">
      <c r="A1309" s="2" t="s">
        <v>1939</v>
      </c>
      <c r="B1309" s="2" t="s">
        <v>1947</v>
      </c>
      <c r="C1309" s="2" t="s">
        <v>1946</v>
      </c>
      <c r="D1309" s="2" t="s">
        <v>10</v>
      </c>
      <c r="E1309" s="2" t="s">
        <v>16</v>
      </c>
      <c r="F1309" s="2">
        <v>1</v>
      </c>
      <c r="G1309" s="2" t="s">
        <v>17</v>
      </c>
    </row>
    <row r="1310" spans="1:7" x14ac:dyDescent="0.2">
      <c r="A1310" s="2" t="s">
        <v>1948</v>
      </c>
      <c r="B1310" s="2" t="s">
        <v>1949</v>
      </c>
      <c r="C1310" s="2" t="s">
        <v>1950</v>
      </c>
      <c r="D1310" s="2" t="s">
        <v>10</v>
      </c>
      <c r="E1310" s="2" t="s">
        <v>16</v>
      </c>
      <c r="F1310" s="2">
        <v>1</v>
      </c>
      <c r="G1310" s="2" t="s">
        <v>17</v>
      </c>
    </row>
    <row r="1311" spans="1:7" x14ac:dyDescent="0.2">
      <c r="A1311" s="2" t="s">
        <v>1951</v>
      </c>
      <c r="B1311" s="2" t="s">
        <v>1294</v>
      </c>
      <c r="C1311" s="2" t="s">
        <v>1952</v>
      </c>
      <c r="D1311" s="2" t="s">
        <v>10</v>
      </c>
      <c r="E1311" s="2" t="s">
        <v>16</v>
      </c>
      <c r="F1311" s="2">
        <v>1</v>
      </c>
      <c r="G1311" s="2" t="s">
        <v>17</v>
      </c>
    </row>
    <row r="1312" spans="1:7" x14ac:dyDescent="0.2">
      <c r="A1312" s="2" t="s">
        <v>1953</v>
      </c>
      <c r="B1312" s="2" t="s">
        <v>1436</v>
      </c>
      <c r="C1312" s="2" t="s">
        <v>1437</v>
      </c>
      <c r="D1312" s="2" t="s">
        <v>10</v>
      </c>
      <c r="E1312" s="2" t="s">
        <v>16</v>
      </c>
      <c r="F1312" s="2">
        <v>1</v>
      </c>
      <c r="G1312" s="2" t="s">
        <v>17</v>
      </c>
    </row>
    <row r="1313" spans="1:7" x14ac:dyDescent="0.2">
      <c r="A1313" s="2" t="s">
        <v>1953</v>
      </c>
      <c r="B1313" s="2" t="s">
        <v>1438</v>
      </c>
      <c r="C1313" s="2" t="s">
        <v>1437</v>
      </c>
      <c r="D1313" s="2" t="s">
        <v>10</v>
      </c>
      <c r="E1313" s="2" t="s">
        <v>16</v>
      </c>
      <c r="F1313" s="2">
        <v>1</v>
      </c>
      <c r="G1313" s="2" t="s">
        <v>17</v>
      </c>
    </row>
    <row r="1314" spans="1:7" x14ac:dyDescent="0.2">
      <c r="A1314" s="2" t="s">
        <v>1954</v>
      </c>
      <c r="B1314" s="2" t="s">
        <v>1715</v>
      </c>
      <c r="C1314" s="2" t="s">
        <v>1716</v>
      </c>
      <c r="D1314" s="2" t="s">
        <v>10</v>
      </c>
      <c r="E1314" s="2" t="s">
        <v>16</v>
      </c>
      <c r="F1314" s="2">
        <v>1</v>
      </c>
      <c r="G1314" s="2" t="s">
        <v>17</v>
      </c>
    </row>
    <row r="1315" spans="1:7" x14ac:dyDescent="0.2">
      <c r="A1315" s="2" t="s">
        <v>1954</v>
      </c>
      <c r="B1315" s="2" t="s">
        <v>1717</v>
      </c>
      <c r="C1315" s="2" t="s">
        <v>1716</v>
      </c>
      <c r="D1315" s="2" t="s">
        <v>10</v>
      </c>
      <c r="E1315" s="2" t="s">
        <v>16</v>
      </c>
      <c r="F1315" s="2">
        <v>1</v>
      </c>
      <c r="G1315" s="2" t="s">
        <v>17</v>
      </c>
    </row>
    <row r="1316" spans="1:7" x14ac:dyDescent="0.2">
      <c r="A1316" s="2" t="s">
        <v>1955</v>
      </c>
      <c r="B1316" s="2" t="s">
        <v>1956</v>
      </c>
      <c r="C1316" s="2" t="s">
        <v>1957</v>
      </c>
      <c r="D1316" s="2" t="s">
        <v>10</v>
      </c>
      <c r="E1316" s="2" t="s">
        <v>16</v>
      </c>
      <c r="F1316" s="2">
        <v>4</v>
      </c>
      <c r="G1316" s="2" t="s">
        <v>12</v>
      </c>
    </row>
    <row r="1317" spans="1:7" x14ac:dyDescent="0.2">
      <c r="A1317" s="2" t="s">
        <v>1955</v>
      </c>
      <c r="B1317" s="2" t="s">
        <v>1958</v>
      </c>
      <c r="C1317" s="2" t="s">
        <v>1957</v>
      </c>
      <c r="D1317" s="2" t="s">
        <v>10</v>
      </c>
      <c r="E1317" s="2" t="s">
        <v>16</v>
      </c>
      <c r="F1317" s="2">
        <v>4</v>
      </c>
      <c r="G1317" s="2" t="s">
        <v>12</v>
      </c>
    </row>
    <row r="1318" spans="1:7" x14ac:dyDescent="0.2">
      <c r="A1318" s="2" t="s">
        <v>1959</v>
      </c>
      <c r="B1318" s="2" t="s">
        <v>1960</v>
      </c>
      <c r="C1318" s="2" t="s">
        <v>1961</v>
      </c>
      <c r="D1318" s="2" t="s">
        <v>10</v>
      </c>
      <c r="E1318" s="2" t="s">
        <v>16</v>
      </c>
      <c r="F1318" s="2">
        <v>2</v>
      </c>
      <c r="G1318" s="2" t="s">
        <v>17</v>
      </c>
    </row>
    <row r="1319" spans="1:7" x14ac:dyDescent="0.2">
      <c r="A1319" s="2" t="s">
        <v>1962</v>
      </c>
      <c r="B1319" s="2" t="s">
        <v>1963</v>
      </c>
      <c r="C1319" s="2" t="s">
        <v>605</v>
      </c>
      <c r="D1319" s="2" t="s">
        <v>56</v>
      </c>
      <c r="E1319" s="2" t="s">
        <v>52</v>
      </c>
      <c r="F1319" s="2">
        <v>1</v>
      </c>
      <c r="G1319" s="2" t="s">
        <v>17</v>
      </c>
    </row>
    <row r="1320" spans="1:7" x14ac:dyDescent="0.2">
      <c r="A1320" s="2" t="s">
        <v>1962</v>
      </c>
      <c r="B1320" s="2" t="s">
        <v>1964</v>
      </c>
      <c r="C1320" s="2" t="s">
        <v>1965</v>
      </c>
      <c r="D1320" s="2" t="s">
        <v>56</v>
      </c>
      <c r="E1320" s="2" t="s">
        <v>52</v>
      </c>
      <c r="F1320" s="2">
        <v>1</v>
      </c>
      <c r="G1320" s="2" t="s">
        <v>17</v>
      </c>
    </row>
    <row r="1321" spans="1:7" x14ac:dyDescent="0.2">
      <c r="A1321" s="2" t="s">
        <v>1962</v>
      </c>
      <c r="B1321" s="2" t="s">
        <v>1966</v>
      </c>
      <c r="C1321" s="2" t="s">
        <v>1967</v>
      </c>
      <c r="D1321" s="2" t="s">
        <v>56</v>
      </c>
      <c r="E1321" s="2" t="s">
        <v>52</v>
      </c>
      <c r="F1321" s="2">
        <v>3</v>
      </c>
      <c r="G1321" s="2" t="s">
        <v>12</v>
      </c>
    </row>
    <row r="1322" spans="1:7" x14ac:dyDescent="0.2">
      <c r="A1322" s="2" t="s">
        <v>1290</v>
      </c>
      <c r="B1322" s="2" t="s">
        <v>1968</v>
      </c>
      <c r="C1322" s="2" t="s">
        <v>1969</v>
      </c>
      <c r="D1322" s="2" t="s">
        <v>29</v>
      </c>
      <c r="E1322" s="2" t="s">
        <v>16</v>
      </c>
      <c r="F1322" s="2">
        <v>1</v>
      </c>
      <c r="G1322" s="2" t="s">
        <v>17</v>
      </c>
    </row>
    <row r="1323" spans="1:7" x14ac:dyDescent="0.2">
      <c r="A1323" s="2" t="s">
        <v>1290</v>
      </c>
      <c r="B1323" s="2" t="s">
        <v>1970</v>
      </c>
      <c r="C1323" s="2" t="s">
        <v>1290</v>
      </c>
      <c r="D1323" s="2" t="s">
        <v>10</v>
      </c>
      <c r="E1323" s="2" t="s">
        <v>16</v>
      </c>
      <c r="F1323" s="2">
        <v>1</v>
      </c>
      <c r="G1323" s="2" t="s">
        <v>17</v>
      </c>
    </row>
    <row r="1324" spans="1:7" x14ac:dyDescent="0.2">
      <c r="A1324" s="2" t="s">
        <v>1290</v>
      </c>
      <c r="B1324" s="2" t="s">
        <v>1289</v>
      </c>
      <c r="C1324" s="2" t="s">
        <v>1290</v>
      </c>
      <c r="D1324" s="2" t="s">
        <v>10</v>
      </c>
      <c r="E1324" s="2" t="s">
        <v>16</v>
      </c>
      <c r="F1324" s="2">
        <v>1</v>
      </c>
      <c r="G1324" s="2" t="s">
        <v>17</v>
      </c>
    </row>
    <row r="1325" spans="1:7" x14ac:dyDescent="0.2">
      <c r="A1325" s="2" t="s">
        <v>1290</v>
      </c>
      <c r="B1325" s="2" t="s">
        <v>1971</v>
      </c>
      <c r="C1325" s="2" t="s">
        <v>1969</v>
      </c>
      <c r="D1325" s="2" t="s">
        <v>29</v>
      </c>
      <c r="E1325" s="2" t="s">
        <v>16</v>
      </c>
      <c r="F1325" s="2">
        <v>1</v>
      </c>
      <c r="G1325" s="2" t="s">
        <v>17</v>
      </c>
    </row>
    <row r="1326" spans="1:7" x14ac:dyDescent="0.2">
      <c r="A1326" s="2" t="s">
        <v>1290</v>
      </c>
      <c r="B1326" s="2" t="s">
        <v>1294</v>
      </c>
      <c r="C1326" s="2" t="s">
        <v>1295</v>
      </c>
      <c r="D1326" s="2" t="s">
        <v>10</v>
      </c>
      <c r="E1326" s="2" t="s">
        <v>16</v>
      </c>
      <c r="F1326" s="2">
        <v>1</v>
      </c>
      <c r="G1326" s="2" t="s">
        <v>17</v>
      </c>
    </row>
    <row r="1327" spans="1:7" x14ac:dyDescent="0.2">
      <c r="A1327" s="2" t="s">
        <v>1972</v>
      </c>
      <c r="B1327" s="2" t="s">
        <v>1973</v>
      </c>
      <c r="C1327" s="2" t="s">
        <v>1974</v>
      </c>
      <c r="D1327" s="2" t="s">
        <v>10</v>
      </c>
      <c r="E1327" s="2" t="s">
        <v>11</v>
      </c>
      <c r="F1327" s="2">
        <v>1</v>
      </c>
      <c r="G1327" s="2" t="s">
        <v>17</v>
      </c>
    </row>
    <row r="1328" spans="1:7" x14ac:dyDescent="0.2">
      <c r="A1328" s="2" t="s">
        <v>1972</v>
      </c>
      <c r="B1328" s="2" t="s">
        <v>1975</v>
      </c>
      <c r="C1328" s="2" t="s">
        <v>1974</v>
      </c>
      <c r="D1328" s="2" t="s">
        <v>10</v>
      </c>
      <c r="E1328" s="2" t="s">
        <v>11</v>
      </c>
      <c r="F1328" s="2">
        <v>1</v>
      </c>
      <c r="G1328" s="2" t="s">
        <v>17</v>
      </c>
    </row>
    <row r="1329" spans="1:7" x14ac:dyDescent="0.2">
      <c r="A1329" s="2" t="s">
        <v>1972</v>
      </c>
      <c r="B1329" s="2" t="s">
        <v>1976</v>
      </c>
      <c r="C1329" s="2" t="s">
        <v>1974</v>
      </c>
      <c r="D1329" s="2" t="s">
        <v>10</v>
      </c>
      <c r="E1329" s="2" t="s">
        <v>11</v>
      </c>
      <c r="F1329" s="2">
        <v>1</v>
      </c>
      <c r="G1329" s="2" t="s">
        <v>17</v>
      </c>
    </row>
    <row r="1330" spans="1:7" x14ac:dyDescent="0.2">
      <c r="A1330" s="2" t="s">
        <v>1972</v>
      </c>
      <c r="B1330" s="2" t="s">
        <v>1977</v>
      </c>
      <c r="C1330" s="2" t="s">
        <v>1974</v>
      </c>
      <c r="D1330" s="2" t="s">
        <v>10</v>
      </c>
      <c r="E1330" s="2" t="s">
        <v>11</v>
      </c>
      <c r="F1330" s="2">
        <v>1</v>
      </c>
      <c r="G1330" s="2" t="s">
        <v>17</v>
      </c>
    </row>
    <row r="1331" spans="1:7" x14ac:dyDescent="0.2">
      <c r="A1331" s="2" t="s">
        <v>1978</v>
      </c>
      <c r="B1331" s="2" t="s">
        <v>1979</v>
      </c>
      <c r="C1331" s="2" t="s">
        <v>1980</v>
      </c>
      <c r="D1331" s="2" t="s">
        <v>10</v>
      </c>
      <c r="E1331" s="2" t="s">
        <v>16</v>
      </c>
      <c r="F1331" s="2">
        <v>1</v>
      </c>
      <c r="G1331" s="2" t="s">
        <v>17</v>
      </c>
    </row>
    <row r="1332" spans="1:7" x14ac:dyDescent="0.2">
      <c r="A1332" s="2" t="s">
        <v>1978</v>
      </c>
      <c r="B1332" s="2" t="s">
        <v>1981</v>
      </c>
      <c r="C1332" s="2" t="s">
        <v>1980</v>
      </c>
      <c r="D1332" s="2" t="s">
        <v>10</v>
      </c>
      <c r="E1332" s="2" t="s">
        <v>16</v>
      </c>
      <c r="F1332" s="2">
        <v>1</v>
      </c>
      <c r="G1332" s="2" t="s">
        <v>17</v>
      </c>
    </row>
    <row r="1333" spans="1:7" x14ac:dyDescent="0.2">
      <c r="A1333" s="2" t="s">
        <v>1982</v>
      </c>
      <c r="B1333" s="2">
        <v>150</v>
      </c>
      <c r="C1333" s="2" t="s">
        <v>1983</v>
      </c>
      <c r="D1333" s="2" t="s">
        <v>10</v>
      </c>
      <c r="E1333" s="2" t="s">
        <v>16</v>
      </c>
      <c r="F1333" s="2">
        <v>1</v>
      </c>
      <c r="G1333" s="2" t="s">
        <v>17</v>
      </c>
    </row>
    <row r="1334" spans="1:7" x14ac:dyDescent="0.2">
      <c r="A1334" s="2" t="s">
        <v>1982</v>
      </c>
      <c r="B1334" s="2">
        <v>152</v>
      </c>
      <c r="C1334" s="2" t="s">
        <v>1984</v>
      </c>
      <c r="D1334" s="2" t="s">
        <v>10</v>
      </c>
      <c r="E1334" s="2" t="s">
        <v>16</v>
      </c>
      <c r="F1334" s="2">
        <v>1</v>
      </c>
      <c r="G1334" s="2" t="s">
        <v>17</v>
      </c>
    </row>
    <row r="1335" spans="1:7" x14ac:dyDescent="0.2">
      <c r="A1335" s="2" t="s">
        <v>1982</v>
      </c>
      <c r="B1335" s="2">
        <v>172</v>
      </c>
      <c r="C1335" s="2" t="s">
        <v>1985</v>
      </c>
      <c r="D1335" s="2" t="s">
        <v>10</v>
      </c>
      <c r="E1335" s="2" t="s">
        <v>16</v>
      </c>
      <c r="F1335" s="2">
        <v>1</v>
      </c>
      <c r="G1335" s="2" t="s">
        <v>17</v>
      </c>
    </row>
    <row r="1336" spans="1:7" x14ac:dyDescent="0.2">
      <c r="A1336" s="2" t="s">
        <v>1982</v>
      </c>
      <c r="B1336" s="2" t="s">
        <v>1986</v>
      </c>
      <c r="C1336" s="2" t="s">
        <v>1987</v>
      </c>
      <c r="D1336" s="2" t="s">
        <v>10</v>
      </c>
      <c r="E1336" s="2" t="s">
        <v>16</v>
      </c>
      <c r="F1336" s="2">
        <v>1</v>
      </c>
      <c r="G1336" s="2" t="s">
        <v>17</v>
      </c>
    </row>
    <row r="1337" spans="1:7" x14ac:dyDescent="0.2">
      <c r="A1337" s="2" t="s">
        <v>1982</v>
      </c>
      <c r="B1337" s="2" t="s">
        <v>1988</v>
      </c>
      <c r="C1337" s="2" t="s">
        <v>1989</v>
      </c>
      <c r="D1337" s="2" t="s">
        <v>10</v>
      </c>
      <c r="E1337" s="2" t="s">
        <v>16</v>
      </c>
      <c r="F1337" s="2">
        <v>1</v>
      </c>
      <c r="G1337" s="2" t="s">
        <v>17</v>
      </c>
    </row>
    <row r="1338" spans="1:7" x14ac:dyDescent="0.2">
      <c r="A1338" s="2" t="s">
        <v>1982</v>
      </c>
      <c r="B1338" s="2">
        <v>182</v>
      </c>
      <c r="C1338" s="2" t="s">
        <v>1990</v>
      </c>
      <c r="D1338" s="2" t="s">
        <v>10</v>
      </c>
      <c r="E1338" s="2" t="s">
        <v>16</v>
      </c>
      <c r="F1338" s="2">
        <v>1</v>
      </c>
      <c r="G1338" s="2" t="s">
        <v>17</v>
      </c>
    </row>
    <row r="1339" spans="1:7" x14ac:dyDescent="0.2">
      <c r="A1339" s="2" t="s">
        <v>1982</v>
      </c>
      <c r="B1339" s="2">
        <v>185</v>
      </c>
      <c r="C1339" s="2" t="s">
        <v>1935</v>
      </c>
      <c r="D1339" s="2" t="s">
        <v>10</v>
      </c>
      <c r="E1339" s="2" t="s">
        <v>16</v>
      </c>
      <c r="F1339" s="2">
        <v>1</v>
      </c>
      <c r="G1339" s="2" t="s">
        <v>17</v>
      </c>
    </row>
    <row r="1340" spans="1:7" x14ac:dyDescent="0.2">
      <c r="A1340" s="2" t="s">
        <v>1982</v>
      </c>
      <c r="B1340" s="2">
        <v>188</v>
      </c>
      <c r="C1340" s="2" t="s">
        <v>1991</v>
      </c>
      <c r="D1340" s="2" t="s">
        <v>10</v>
      </c>
      <c r="E1340" s="2" t="s">
        <v>16</v>
      </c>
      <c r="F1340" s="2">
        <v>1</v>
      </c>
      <c r="G1340" s="2" t="s">
        <v>17</v>
      </c>
    </row>
    <row r="1341" spans="1:7" x14ac:dyDescent="0.2">
      <c r="A1341" s="2" t="s">
        <v>1982</v>
      </c>
      <c r="B1341" s="2">
        <v>206</v>
      </c>
      <c r="C1341" s="2" t="s">
        <v>1992</v>
      </c>
      <c r="D1341" s="2" t="s">
        <v>10</v>
      </c>
      <c r="E1341" s="2" t="s">
        <v>16</v>
      </c>
      <c r="F1341" s="2">
        <v>1</v>
      </c>
      <c r="G1341" s="2" t="s">
        <v>17</v>
      </c>
    </row>
    <row r="1342" spans="1:7" x14ac:dyDescent="0.2">
      <c r="A1342" s="2" t="s">
        <v>1982</v>
      </c>
      <c r="B1342" s="2">
        <v>210</v>
      </c>
      <c r="C1342" s="2" t="s">
        <v>1993</v>
      </c>
      <c r="D1342" s="2" t="s">
        <v>10</v>
      </c>
      <c r="E1342" s="2" t="s">
        <v>16</v>
      </c>
      <c r="F1342" s="2">
        <v>1</v>
      </c>
      <c r="G1342" s="2" t="s">
        <v>17</v>
      </c>
    </row>
    <row r="1343" spans="1:7" x14ac:dyDescent="0.2">
      <c r="A1343" s="2" t="s">
        <v>1982</v>
      </c>
      <c r="B1343" s="2">
        <v>310</v>
      </c>
      <c r="C1343" s="2" t="s">
        <v>1994</v>
      </c>
      <c r="D1343" s="2" t="s">
        <v>10</v>
      </c>
      <c r="E1343" s="2" t="s">
        <v>16</v>
      </c>
      <c r="F1343" s="2">
        <v>2</v>
      </c>
      <c r="G1343" s="2" t="s">
        <v>17</v>
      </c>
    </row>
    <row r="1344" spans="1:7" x14ac:dyDescent="0.2">
      <c r="A1344" s="2" t="s">
        <v>1982</v>
      </c>
      <c r="B1344" s="2">
        <v>337</v>
      </c>
      <c r="C1344" s="2" t="s">
        <v>1995</v>
      </c>
      <c r="D1344" s="2" t="s">
        <v>10</v>
      </c>
      <c r="E1344" s="2" t="s">
        <v>16</v>
      </c>
      <c r="F1344" s="2">
        <v>2</v>
      </c>
      <c r="G1344" s="2" t="s">
        <v>17</v>
      </c>
    </row>
    <row r="1345" spans="1:7" x14ac:dyDescent="0.2">
      <c r="A1345" s="2" t="s">
        <v>1982</v>
      </c>
      <c r="B1345" s="2">
        <v>340</v>
      </c>
      <c r="C1345" s="2" t="s">
        <v>1996</v>
      </c>
      <c r="D1345" s="2" t="s">
        <v>10</v>
      </c>
      <c r="E1345" s="2" t="s">
        <v>16</v>
      </c>
      <c r="F1345" s="2">
        <v>2</v>
      </c>
      <c r="G1345" s="2" t="s">
        <v>17</v>
      </c>
    </row>
    <row r="1346" spans="1:7" x14ac:dyDescent="0.2">
      <c r="A1346" s="2" t="s">
        <v>1982</v>
      </c>
      <c r="B1346" s="2">
        <v>402</v>
      </c>
      <c r="C1346" s="2" t="s">
        <v>1997</v>
      </c>
      <c r="D1346" s="2" t="s">
        <v>10</v>
      </c>
      <c r="E1346" s="2" t="s">
        <v>16</v>
      </c>
      <c r="F1346" s="2">
        <v>2</v>
      </c>
      <c r="G1346" s="2" t="s">
        <v>17</v>
      </c>
    </row>
    <row r="1347" spans="1:7" x14ac:dyDescent="0.2">
      <c r="A1347" s="2" t="s">
        <v>1982</v>
      </c>
      <c r="B1347" s="2">
        <v>414</v>
      </c>
      <c r="C1347" s="2" t="s">
        <v>1998</v>
      </c>
      <c r="D1347" s="2" t="s">
        <v>10</v>
      </c>
      <c r="E1347" s="2" t="s">
        <v>16</v>
      </c>
      <c r="F1347" s="2">
        <v>2</v>
      </c>
      <c r="G1347" s="2" t="s">
        <v>17</v>
      </c>
    </row>
    <row r="1348" spans="1:7" x14ac:dyDescent="0.2">
      <c r="A1348" s="2" t="s">
        <v>1982</v>
      </c>
      <c r="B1348" s="2" t="s">
        <v>1999</v>
      </c>
      <c r="C1348" s="2" t="s">
        <v>1991</v>
      </c>
      <c r="D1348" s="2" t="s">
        <v>10</v>
      </c>
      <c r="E1348" s="2" t="s">
        <v>16</v>
      </c>
      <c r="F1348" s="2">
        <v>1</v>
      </c>
      <c r="G1348" s="2" t="s">
        <v>17</v>
      </c>
    </row>
    <row r="1349" spans="1:7" x14ac:dyDescent="0.2">
      <c r="A1349" s="2" t="s">
        <v>1982</v>
      </c>
      <c r="B1349" s="2" t="s">
        <v>2000</v>
      </c>
      <c r="C1349" s="2" t="s">
        <v>1991</v>
      </c>
      <c r="D1349" s="2" t="s">
        <v>10</v>
      </c>
      <c r="E1349" s="2" t="s">
        <v>16</v>
      </c>
      <c r="F1349" s="2">
        <v>1</v>
      </c>
      <c r="G1349" s="2" t="s">
        <v>17</v>
      </c>
    </row>
    <row r="1350" spans="1:7" x14ac:dyDescent="0.2">
      <c r="A1350" s="2" t="s">
        <v>1982</v>
      </c>
      <c r="B1350" s="2" t="s">
        <v>2001</v>
      </c>
      <c r="C1350" s="2" t="s">
        <v>2001</v>
      </c>
      <c r="D1350" s="2" t="s">
        <v>10</v>
      </c>
      <c r="E1350" s="2" t="s">
        <v>16</v>
      </c>
      <c r="F1350" s="2">
        <v>1</v>
      </c>
      <c r="G1350" s="2" t="s">
        <v>17</v>
      </c>
    </row>
    <row r="1351" spans="1:7" x14ac:dyDescent="0.2">
      <c r="A1351" s="2" t="s">
        <v>1982</v>
      </c>
      <c r="B1351" s="2" t="s">
        <v>2002</v>
      </c>
      <c r="C1351" s="2" t="s">
        <v>1991</v>
      </c>
      <c r="D1351" s="2" t="s">
        <v>10</v>
      </c>
      <c r="E1351" s="2" t="s">
        <v>16</v>
      </c>
      <c r="F1351" s="2">
        <v>1</v>
      </c>
      <c r="G1351" s="2" t="s">
        <v>17</v>
      </c>
    </row>
    <row r="1352" spans="1:7" x14ac:dyDescent="0.2">
      <c r="A1352" s="2" t="s">
        <v>1982</v>
      </c>
      <c r="B1352" s="2" t="s">
        <v>2003</v>
      </c>
      <c r="C1352" s="2" t="s">
        <v>2004</v>
      </c>
      <c r="D1352" s="2" t="s">
        <v>10</v>
      </c>
      <c r="E1352" s="2" t="s">
        <v>16</v>
      </c>
      <c r="F1352" s="2">
        <v>1</v>
      </c>
      <c r="G1352" s="2" t="s">
        <v>17</v>
      </c>
    </row>
    <row r="1353" spans="1:7" x14ac:dyDescent="0.2">
      <c r="A1353" s="2" t="s">
        <v>1982</v>
      </c>
      <c r="B1353" s="2" t="s">
        <v>2005</v>
      </c>
      <c r="C1353" s="2" t="s">
        <v>2006</v>
      </c>
      <c r="D1353" s="2" t="s">
        <v>10</v>
      </c>
      <c r="E1353" s="2" t="s">
        <v>16</v>
      </c>
      <c r="F1353" s="2">
        <v>2</v>
      </c>
      <c r="G1353" s="2" t="s">
        <v>17</v>
      </c>
    </row>
    <row r="1354" spans="1:7" x14ac:dyDescent="0.2">
      <c r="A1354" s="2" t="s">
        <v>2007</v>
      </c>
      <c r="B1354" s="2" t="s">
        <v>2008</v>
      </c>
      <c r="C1354" s="2" t="s">
        <v>2009</v>
      </c>
      <c r="D1354" s="2" t="s">
        <v>10</v>
      </c>
      <c r="E1354" s="2" t="s">
        <v>16</v>
      </c>
      <c r="F1354" s="2">
        <v>2</v>
      </c>
      <c r="G1354" s="2" t="s">
        <v>17</v>
      </c>
    </row>
    <row r="1355" spans="1:7" x14ac:dyDescent="0.2">
      <c r="A1355" s="2" t="s">
        <v>2007</v>
      </c>
      <c r="B1355" s="2" t="s">
        <v>2010</v>
      </c>
      <c r="C1355" s="2" t="s">
        <v>2009</v>
      </c>
      <c r="D1355" s="2" t="s">
        <v>10</v>
      </c>
      <c r="E1355" s="2" t="s">
        <v>16</v>
      </c>
      <c r="F1355" s="2">
        <v>2</v>
      </c>
      <c r="G1355" s="2" t="s">
        <v>17</v>
      </c>
    </row>
    <row r="1356" spans="1:7" x14ac:dyDescent="0.2">
      <c r="A1356" s="2" t="s">
        <v>2007</v>
      </c>
      <c r="B1356" s="2" t="s">
        <v>2011</v>
      </c>
      <c r="C1356" s="2" t="s">
        <v>2009</v>
      </c>
      <c r="D1356" s="2" t="s">
        <v>10</v>
      </c>
      <c r="E1356" s="2" t="s">
        <v>16</v>
      </c>
      <c r="F1356" s="2">
        <v>2</v>
      </c>
      <c r="G1356" s="2" t="s">
        <v>17</v>
      </c>
    </row>
    <row r="1357" spans="1:7" x14ac:dyDescent="0.2">
      <c r="A1357" s="2" t="s">
        <v>2007</v>
      </c>
      <c r="B1357" s="2" t="s">
        <v>1606</v>
      </c>
      <c r="C1357" s="2" t="s">
        <v>1607</v>
      </c>
      <c r="D1357" s="2" t="s">
        <v>10</v>
      </c>
      <c r="E1357" s="2" t="s">
        <v>16</v>
      </c>
      <c r="F1357" s="2">
        <v>3</v>
      </c>
      <c r="G1357" s="2" t="s">
        <v>17</v>
      </c>
    </row>
    <row r="1358" spans="1:7" x14ac:dyDescent="0.2">
      <c r="A1358" s="2" t="s">
        <v>2007</v>
      </c>
      <c r="B1358" s="2" t="s">
        <v>2012</v>
      </c>
      <c r="C1358" s="2" t="s">
        <v>2009</v>
      </c>
      <c r="D1358" s="2" t="s">
        <v>10</v>
      </c>
      <c r="E1358" s="2" t="s">
        <v>16</v>
      </c>
      <c r="F1358" s="2">
        <v>2</v>
      </c>
      <c r="G1358" s="2" t="s">
        <v>17</v>
      </c>
    </row>
    <row r="1359" spans="1:7" x14ac:dyDescent="0.2">
      <c r="A1359" s="2" t="s">
        <v>2007</v>
      </c>
      <c r="B1359" s="2" t="s">
        <v>488</v>
      </c>
      <c r="C1359" s="2" t="s">
        <v>2009</v>
      </c>
      <c r="D1359" s="2" t="s">
        <v>10</v>
      </c>
      <c r="E1359" s="2" t="s">
        <v>16</v>
      </c>
      <c r="F1359" s="2">
        <v>2</v>
      </c>
      <c r="G1359" s="2" t="s">
        <v>17</v>
      </c>
    </row>
    <row r="1360" spans="1:7" x14ac:dyDescent="0.2">
      <c r="A1360" s="2" t="s">
        <v>2007</v>
      </c>
      <c r="B1360" s="2" t="s">
        <v>2013</v>
      </c>
      <c r="C1360" s="2" t="s">
        <v>2009</v>
      </c>
      <c r="D1360" s="2" t="s">
        <v>10</v>
      </c>
      <c r="E1360" s="2" t="s">
        <v>16</v>
      </c>
      <c r="F1360" s="2">
        <v>2</v>
      </c>
      <c r="G1360" s="2" t="s">
        <v>17</v>
      </c>
    </row>
    <row r="1361" spans="1:7" x14ac:dyDescent="0.2">
      <c r="A1361" s="2" t="s">
        <v>2007</v>
      </c>
      <c r="B1361" s="2" t="s">
        <v>2014</v>
      </c>
      <c r="C1361" s="2" t="s">
        <v>2009</v>
      </c>
      <c r="D1361" s="2" t="s">
        <v>10</v>
      </c>
      <c r="E1361" s="2" t="s">
        <v>16</v>
      </c>
      <c r="F1361" s="2">
        <v>2</v>
      </c>
      <c r="G1361" s="2" t="s">
        <v>17</v>
      </c>
    </row>
    <row r="1362" spans="1:7" x14ac:dyDescent="0.2">
      <c r="A1362" s="2" t="s">
        <v>2007</v>
      </c>
      <c r="B1362" s="2" t="s">
        <v>2015</v>
      </c>
      <c r="C1362" s="2" t="s">
        <v>2016</v>
      </c>
      <c r="D1362" s="2" t="s">
        <v>10</v>
      </c>
      <c r="E1362" s="2" t="s">
        <v>16</v>
      </c>
      <c r="F1362" s="2">
        <v>1</v>
      </c>
      <c r="G1362" s="2" t="s">
        <v>17</v>
      </c>
    </row>
    <row r="1363" spans="1:7" x14ac:dyDescent="0.2">
      <c r="A1363" s="2" t="s">
        <v>2007</v>
      </c>
      <c r="B1363" s="2" t="s">
        <v>2017</v>
      </c>
      <c r="C1363" s="2" t="s">
        <v>2016</v>
      </c>
      <c r="D1363" s="2" t="s">
        <v>10</v>
      </c>
      <c r="E1363" s="2" t="s">
        <v>16</v>
      </c>
      <c r="F1363" s="2">
        <v>1</v>
      </c>
      <c r="G1363" s="2" t="s">
        <v>17</v>
      </c>
    </row>
    <row r="1364" spans="1:7" x14ac:dyDescent="0.2">
      <c r="A1364" s="2" t="s">
        <v>2007</v>
      </c>
      <c r="B1364" s="2" t="s">
        <v>2018</v>
      </c>
      <c r="C1364" s="2" t="s">
        <v>2019</v>
      </c>
      <c r="D1364" s="2" t="s">
        <v>10</v>
      </c>
      <c r="E1364" s="2" t="s">
        <v>16</v>
      </c>
      <c r="F1364" s="2">
        <v>1</v>
      </c>
      <c r="G1364" s="2" t="s">
        <v>17</v>
      </c>
    </row>
    <row r="1365" spans="1:7" x14ac:dyDescent="0.2">
      <c r="A1365" s="2" t="s">
        <v>2007</v>
      </c>
      <c r="B1365" s="2" t="s">
        <v>2020</v>
      </c>
      <c r="C1365" s="2" t="s">
        <v>2019</v>
      </c>
      <c r="D1365" s="2" t="s">
        <v>10</v>
      </c>
      <c r="E1365" s="2" t="s">
        <v>16</v>
      </c>
      <c r="F1365" s="2">
        <v>1</v>
      </c>
      <c r="G1365" s="2" t="s">
        <v>17</v>
      </c>
    </row>
    <row r="1366" spans="1:7" x14ac:dyDescent="0.2">
      <c r="A1366" s="2" t="s">
        <v>2007</v>
      </c>
      <c r="B1366" s="2" t="s">
        <v>2021</v>
      </c>
      <c r="C1366" s="2" t="s">
        <v>2019</v>
      </c>
      <c r="D1366" s="2" t="s">
        <v>10</v>
      </c>
      <c r="E1366" s="2" t="s">
        <v>16</v>
      </c>
      <c r="F1366" s="2">
        <v>1</v>
      </c>
      <c r="G1366" s="2" t="s">
        <v>17</v>
      </c>
    </row>
    <row r="1367" spans="1:7" x14ac:dyDescent="0.2">
      <c r="A1367" s="2" t="s">
        <v>2007</v>
      </c>
      <c r="B1367" s="2" t="s">
        <v>2022</v>
      </c>
      <c r="C1367" s="2" t="s">
        <v>2023</v>
      </c>
      <c r="D1367" s="2" t="s">
        <v>10</v>
      </c>
      <c r="E1367" s="2" t="s">
        <v>16</v>
      </c>
      <c r="F1367" s="2">
        <v>1</v>
      </c>
      <c r="G1367" s="2" t="s">
        <v>17</v>
      </c>
    </row>
    <row r="1368" spans="1:7" x14ac:dyDescent="0.2">
      <c r="A1368" s="2" t="s">
        <v>2007</v>
      </c>
      <c r="B1368" s="2" t="s">
        <v>2024</v>
      </c>
      <c r="C1368" s="2" t="s">
        <v>2019</v>
      </c>
      <c r="D1368" s="2" t="s">
        <v>10</v>
      </c>
      <c r="E1368" s="2" t="s">
        <v>16</v>
      </c>
      <c r="F1368" s="2">
        <v>1</v>
      </c>
      <c r="G1368" s="2" t="s">
        <v>17</v>
      </c>
    </row>
    <row r="1369" spans="1:7" x14ac:dyDescent="0.2">
      <c r="A1369" s="2" t="s">
        <v>2007</v>
      </c>
      <c r="B1369" s="2" t="s">
        <v>1608</v>
      </c>
      <c r="C1369" s="2" t="s">
        <v>1607</v>
      </c>
      <c r="D1369" s="2" t="s">
        <v>10</v>
      </c>
      <c r="E1369" s="2" t="s">
        <v>16</v>
      </c>
      <c r="F1369" s="2">
        <v>3</v>
      </c>
      <c r="G1369" s="2" t="s">
        <v>17</v>
      </c>
    </row>
    <row r="1370" spans="1:7" x14ac:dyDescent="0.2">
      <c r="A1370" s="2" t="s">
        <v>2025</v>
      </c>
      <c r="B1370" s="2" t="s">
        <v>2026</v>
      </c>
      <c r="C1370" s="2" t="s">
        <v>2027</v>
      </c>
      <c r="D1370" s="2" t="s">
        <v>10</v>
      </c>
      <c r="E1370" s="2" t="s">
        <v>16</v>
      </c>
      <c r="F1370" s="2">
        <v>1</v>
      </c>
      <c r="G1370" s="2" t="s">
        <v>17</v>
      </c>
    </row>
    <row r="1371" spans="1:7" x14ac:dyDescent="0.2">
      <c r="A1371" s="2" t="s">
        <v>2025</v>
      </c>
      <c r="B1371" s="2" t="s">
        <v>2028</v>
      </c>
      <c r="C1371" s="2" t="s">
        <v>2027</v>
      </c>
      <c r="D1371" s="2" t="s">
        <v>10</v>
      </c>
      <c r="E1371" s="2" t="s">
        <v>16</v>
      </c>
      <c r="F1371" s="2">
        <v>1</v>
      </c>
      <c r="G1371" s="2" t="s">
        <v>17</v>
      </c>
    </row>
    <row r="1372" spans="1:7" x14ac:dyDescent="0.2">
      <c r="A1372" s="2" t="s">
        <v>2029</v>
      </c>
      <c r="B1372" s="2" t="s">
        <v>2030</v>
      </c>
      <c r="C1372" s="2" t="s">
        <v>1449</v>
      </c>
      <c r="D1372" s="2" t="s">
        <v>56</v>
      </c>
      <c r="E1372" s="2" t="s">
        <v>52</v>
      </c>
      <c r="F1372" s="2">
        <v>1</v>
      </c>
      <c r="G1372" s="2" t="s">
        <v>17</v>
      </c>
    </row>
    <row r="1373" spans="1:7" x14ac:dyDescent="0.2">
      <c r="A1373" s="2" t="s">
        <v>2029</v>
      </c>
      <c r="B1373" s="2" t="s">
        <v>2031</v>
      </c>
      <c r="C1373" s="2" t="s">
        <v>1449</v>
      </c>
      <c r="D1373" s="2" t="s">
        <v>56</v>
      </c>
      <c r="E1373" s="2" t="s">
        <v>52</v>
      </c>
      <c r="F1373" s="2">
        <v>1</v>
      </c>
      <c r="G1373" s="2" t="s">
        <v>17</v>
      </c>
    </row>
    <row r="1374" spans="1:7" x14ac:dyDescent="0.2">
      <c r="A1374" s="2" t="s">
        <v>2029</v>
      </c>
      <c r="B1374" s="2" t="s">
        <v>2032</v>
      </c>
      <c r="C1374" s="2" t="s">
        <v>1449</v>
      </c>
      <c r="D1374" s="2" t="s">
        <v>56</v>
      </c>
      <c r="E1374" s="2" t="s">
        <v>52</v>
      </c>
      <c r="F1374" s="2">
        <v>1</v>
      </c>
      <c r="G1374" s="2" t="s">
        <v>17</v>
      </c>
    </row>
    <row r="1375" spans="1:7" x14ac:dyDescent="0.2">
      <c r="A1375" s="2" t="s">
        <v>2029</v>
      </c>
      <c r="B1375" s="2" t="s">
        <v>2033</v>
      </c>
      <c r="C1375" s="2" t="s">
        <v>1449</v>
      </c>
      <c r="D1375" s="2" t="s">
        <v>56</v>
      </c>
      <c r="E1375" s="2" t="s">
        <v>52</v>
      </c>
      <c r="F1375" s="2">
        <v>1</v>
      </c>
      <c r="G1375" s="2" t="s">
        <v>17</v>
      </c>
    </row>
    <row r="1376" spans="1:7" x14ac:dyDescent="0.2">
      <c r="A1376" s="2" t="s">
        <v>2034</v>
      </c>
      <c r="B1376" s="2" t="s">
        <v>2035</v>
      </c>
      <c r="C1376" s="2" t="s">
        <v>2036</v>
      </c>
      <c r="D1376" s="2" t="s">
        <v>10</v>
      </c>
      <c r="E1376" s="2" t="s">
        <v>16</v>
      </c>
      <c r="F1376" s="2">
        <v>1</v>
      </c>
      <c r="G1376" s="2" t="s">
        <v>17</v>
      </c>
    </row>
    <row r="1377" spans="1:7" x14ac:dyDescent="0.2">
      <c r="A1377" s="2" t="s">
        <v>2034</v>
      </c>
      <c r="B1377" s="2" t="s">
        <v>2037</v>
      </c>
      <c r="C1377" s="2" t="s">
        <v>2036</v>
      </c>
      <c r="D1377" s="2" t="s">
        <v>10</v>
      </c>
      <c r="E1377" s="2" t="s">
        <v>16</v>
      </c>
      <c r="F1377" s="2">
        <v>1</v>
      </c>
      <c r="G1377" s="2" t="s">
        <v>17</v>
      </c>
    </row>
    <row r="1378" spans="1:7" x14ac:dyDescent="0.2">
      <c r="A1378" s="2" t="s">
        <v>2038</v>
      </c>
      <c r="B1378" s="2">
        <v>504</v>
      </c>
      <c r="C1378" s="2" t="s">
        <v>2039</v>
      </c>
      <c r="D1378" s="2" t="s">
        <v>10</v>
      </c>
      <c r="E1378" s="2" t="s">
        <v>16</v>
      </c>
      <c r="F1378" s="2">
        <v>1</v>
      </c>
      <c r="G1378" s="2" t="s">
        <v>17</v>
      </c>
    </row>
    <row r="1379" spans="1:7" x14ac:dyDescent="0.2">
      <c r="A1379" s="2" t="s">
        <v>2038</v>
      </c>
      <c r="B1379" s="2" t="s">
        <v>2040</v>
      </c>
      <c r="C1379" s="2" t="s">
        <v>2039</v>
      </c>
      <c r="D1379" s="2" t="s">
        <v>10</v>
      </c>
      <c r="E1379" s="2" t="s">
        <v>16</v>
      </c>
      <c r="F1379" s="2">
        <v>1</v>
      </c>
      <c r="G1379" s="2" t="s">
        <v>17</v>
      </c>
    </row>
    <row r="1380" spans="1:7" x14ac:dyDescent="0.2">
      <c r="A1380" s="2" t="s">
        <v>2038</v>
      </c>
      <c r="B1380" s="2" t="s">
        <v>2041</v>
      </c>
      <c r="C1380" s="2" t="s">
        <v>2042</v>
      </c>
      <c r="D1380" s="2" t="s">
        <v>10</v>
      </c>
      <c r="E1380" s="2" t="s">
        <v>16</v>
      </c>
      <c r="F1380" s="2">
        <v>1</v>
      </c>
      <c r="G1380" s="2" t="s">
        <v>17</v>
      </c>
    </row>
    <row r="1381" spans="1:7" x14ac:dyDescent="0.2">
      <c r="A1381" s="2" t="s">
        <v>2038</v>
      </c>
      <c r="B1381" s="2" t="s">
        <v>2043</v>
      </c>
      <c r="C1381" s="2" t="s">
        <v>2042</v>
      </c>
      <c r="D1381" s="2" t="s">
        <v>10</v>
      </c>
      <c r="E1381" s="2" t="s">
        <v>16</v>
      </c>
      <c r="F1381" s="2">
        <v>1</v>
      </c>
      <c r="G1381" s="2" t="s">
        <v>17</v>
      </c>
    </row>
    <row r="1382" spans="1:7" x14ac:dyDescent="0.2">
      <c r="A1382" s="2" t="s">
        <v>2038</v>
      </c>
      <c r="B1382" s="2" t="s">
        <v>2044</v>
      </c>
      <c r="C1382" s="2" t="s">
        <v>2045</v>
      </c>
      <c r="D1382" s="2" t="s">
        <v>10</v>
      </c>
      <c r="E1382" s="2" t="s">
        <v>16</v>
      </c>
      <c r="F1382" s="2">
        <v>1</v>
      </c>
      <c r="G1382" s="2" t="s">
        <v>17</v>
      </c>
    </row>
    <row r="1383" spans="1:7" x14ac:dyDescent="0.2">
      <c r="A1383" s="2" t="s">
        <v>2038</v>
      </c>
      <c r="B1383" s="2" t="s">
        <v>2046</v>
      </c>
      <c r="C1383" s="2" t="s">
        <v>2047</v>
      </c>
      <c r="D1383" s="2" t="s">
        <v>10</v>
      </c>
      <c r="E1383" s="2" t="s">
        <v>16</v>
      </c>
      <c r="F1383" s="2">
        <v>2</v>
      </c>
      <c r="G1383" s="2" t="s">
        <v>17</v>
      </c>
    </row>
    <row r="1384" spans="1:7" x14ac:dyDescent="0.2">
      <c r="A1384" s="2" t="s">
        <v>2038</v>
      </c>
      <c r="B1384" s="2" t="s">
        <v>2048</v>
      </c>
      <c r="C1384" s="2" t="s">
        <v>2049</v>
      </c>
      <c r="D1384" s="2" t="s">
        <v>10</v>
      </c>
      <c r="E1384" s="2" t="s">
        <v>16</v>
      </c>
      <c r="F1384" s="2">
        <v>4</v>
      </c>
      <c r="G1384" s="2" t="s">
        <v>12</v>
      </c>
    </row>
    <row r="1385" spans="1:7" x14ac:dyDescent="0.2">
      <c r="A1385" s="2" t="s">
        <v>2038</v>
      </c>
      <c r="B1385" s="2" t="s">
        <v>2050</v>
      </c>
      <c r="C1385" s="2" t="s">
        <v>2051</v>
      </c>
      <c r="D1385" s="2" t="s">
        <v>10</v>
      </c>
      <c r="E1385" s="2" t="s">
        <v>16</v>
      </c>
      <c r="F1385" s="2">
        <v>4</v>
      </c>
      <c r="G1385" s="2" t="s">
        <v>12</v>
      </c>
    </row>
    <row r="1386" spans="1:7" x14ac:dyDescent="0.2">
      <c r="A1386" s="2" t="s">
        <v>2038</v>
      </c>
      <c r="B1386" s="2">
        <v>748</v>
      </c>
      <c r="C1386" s="2" t="s">
        <v>1011</v>
      </c>
      <c r="D1386" s="2" t="s">
        <v>10</v>
      </c>
      <c r="E1386" s="2" t="s">
        <v>52</v>
      </c>
      <c r="F1386" s="2">
        <v>2</v>
      </c>
      <c r="G1386" s="2" t="s">
        <v>12</v>
      </c>
    </row>
    <row r="1387" spans="1:7" x14ac:dyDescent="0.2">
      <c r="A1387" s="2" t="s">
        <v>2038</v>
      </c>
      <c r="B1387" s="2" t="s">
        <v>2052</v>
      </c>
      <c r="C1387" s="2" t="s">
        <v>2047</v>
      </c>
      <c r="D1387" s="2" t="s">
        <v>10</v>
      </c>
      <c r="E1387" s="2" t="s">
        <v>16</v>
      </c>
      <c r="F1387" s="2">
        <v>2</v>
      </c>
      <c r="G1387" s="2" t="s">
        <v>17</v>
      </c>
    </row>
    <row r="1388" spans="1:7" x14ac:dyDescent="0.2">
      <c r="A1388" s="2" t="s">
        <v>2038</v>
      </c>
      <c r="B1388" s="2" t="s">
        <v>2053</v>
      </c>
      <c r="C1388" s="2" t="s">
        <v>2042</v>
      </c>
      <c r="D1388" s="2" t="s">
        <v>10</v>
      </c>
      <c r="E1388" s="2" t="s">
        <v>16</v>
      </c>
      <c r="F1388" s="2">
        <v>1</v>
      </c>
      <c r="G1388" s="2" t="s">
        <v>17</v>
      </c>
    </row>
    <row r="1389" spans="1:7" x14ac:dyDescent="0.2">
      <c r="A1389" s="2" t="s">
        <v>2038</v>
      </c>
      <c r="B1389" s="2" t="s">
        <v>880</v>
      </c>
      <c r="C1389" s="2" t="s">
        <v>881</v>
      </c>
      <c r="D1389" s="2" t="s">
        <v>10</v>
      </c>
      <c r="E1389" s="2" t="s">
        <v>11</v>
      </c>
      <c r="F1389" s="2">
        <v>4</v>
      </c>
      <c r="G1389" s="2" t="s">
        <v>12</v>
      </c>
    </row>
    <row r="1390" spans="1:7" x14ac:dyDescent="0.2">
      <c r="A1390" s="2" t="s">
        <v>2038</v>
      </c>
      <c r="B1390" s="2" t="s">
        <v>882</v>
      </c>
      <c r="C1390" s="2" t="s">
        <v>883</v>
      </c>
      <c r="D1390" s="2" t="s">
        <v>10</v>
      </c>
      <c r="E1390" s="2" t="s">
        <v>11</v>
      </c>
      <c r="F1390" s="2">
        <v>4</v>
      </c>
      <c r="G1390" s="2" t="s">
        <v>12</v>
      </c>
    </row>
    <row r="1391" spans="1:7" x14ac:dyDescent="0.2">
      <c r="A1391" s="2" t="s">
        <v>2038</v>
      </c>
      <c r="B1391" s="2" t="s">
        <v>884</v>
      </c>
      <c r="C1391" s="2" t="s">
        <v>885</v>
      </c>
      <c r="D1391" s="2" t="s">
        <v>10</v>
      </c>
      <c r="E1391" s="2" t="s">
        <v>11</v>
      </c>
      <c r="F1391" s="2">
        <v>4</v>
      </c>
      <c r="G1391" s="2" t="s">
        <v>12</v>
      </c>
    </row>
    <row r="1392" spans="1:7" x14ac:dyDescent="0.2">
      <c r="A1392" s="2" t="s">
        <v>2038</v>
      </c>
      <c r="B1392" s="2" t="s">
        <v>2054</v>
      </c>
      <c r="C1392" s="2" t="s">
        <v>1011</v>
      </c>
      <c r="D1392" s="2" t="s">
        <v>10</v>
      </c>
      <c r="E1392" s="2" t="s">
        <v>52</v>
      </c>
      <c r="F1392" s="2">
        <v>2</v>
      </c>
      <c r="G1392" s="2" t="s">
        <v>12</v>
      </c>
    </row>
    <row r="1393" spans="1:7" x14ac:dyDescent="0.2">
      <c r="A1393" s="2" t="s">
        <v>2038</v>
      </c>
      <c r="B1393" s="2" t="s">
        <v>2055</v>
      </c>
      <c r="C1393" s="2" t="s">
        <v>2049</v>
      </c>
      <c r="D1393" s="2" t="s">
        <v>10</v>
      </c>
      <c r="E1393" s="2" t="s">
        <v>16</v>
      </c>
      <c r="F1393" s="2">
        <v>4</v>
      </c>
      <c r="G1393" s="2" t="s">
        <v>12</v>
      </c>
    </row>
    <row r="1394" spans="1:7" x14ac:dyDescent="0.2">
      <c r="A1394" s="2" t="s">
        <v>2038</v>
      </c>
      <c r="B1394" s="2" t="s">
        <v>889</v>
      </c>
      <c r="C1394" s="2" t="s">
        <v>881</v>
      </c>
      <c r="D1394" s="2" t="s">
        <v>10</v>
      </c>
      <c r="E1394" s="2" t="s">
        <v>11</v>
      </c>
      <c r="F1394" s="2">
        <v>4</v>
      </c>
      <c r="G1394" s="2" t="s">
        <v>12</v>
      </c>
    </row>
    <row r="1395" spans="1:7" x14ac:dyDescent="0.2">
      <c r="A1395" s="2" t="s">
        <v>2038</v>
      </c>
      <c r="B1395" s="2" t="s">
        <v>890</v>
      </c>
      <c r="C1395" s="2" t="s">
        <v>883</v>
      </c>
      <c r="D1395" s="2" t="s">
        <v>10</v>
      </c>
      <c r="E1395" s="2" t="s">
        <v>11</v>
      </c>
      <c r="F1395" s="2">
        <v>4</v>
      </c>
      <c r="G1395" s="2" t="s">
        <v>12</v>
      </c>
    </row>
    <row r="1396" spans="1:7" x14ac:dyDescent="0.2">
      <c r="A1396" s="2" t="s">
        <v>2038</v>
      </c>
      <c r="B1396" s="2" t="s">
        <v>891</v>
      </c>
      <c r="C1396" s="2" t="s">
        <v>885</v>
      </c>
      <c r="D1396" s="2" t="s">
        <v>10</v>
      </c>
      <c r="E1396" s="2" t="s">
        <v>11</v>
      </c>
      <c r="F1396" s="2">
        <v>4</v>
      </c>
      <c r="G1396" s="2" t="s">
        <v>12</v>
      </c>
    </row>
    <row r="1397" spans="1:7" x14ac:dyDescent="0.2">
      <c r="A1397" s="2" t="s">
        <v>2038</v>
      </c>
      <c r="B1397" s="2" t="s">
        <v>2056</v>
      </c>
      <c r="C1397" s="2" t="s">
        <v>2051</v>
      </c>
      <c r="D1397" s="2" t="s">
        <v>10</v>
      </c>
      <c r="E1397" s="2" t="s">
        <v>16</v>
      </c>
      <c r="F1397" s="2">
        <v>4</v>
      </c>
      <c r="G1397" s="2" t="s">
        <v>12</v>
      </c>
    </row>
    <row r="1398" spans="1:7" x14ac:dyDescent="0.2">
      <c r="A1398" s="2" t="s">
        <v>2038</v>
      </c>
      <c r="B1398" s="2" t="s">
        <v>2057</v>
      </c>
      <c r="C1398" s="2" t="s">
        <v>2045</v>
      </c>
      <c r="D1398" s="2" t="s">
        <v>10</v>
      </c>
      <c r="E1398" s="2" t="s">
        <v>16</v>
      </c>
      <c r="F1398" s="2">
        <v>1</v>
      </c>
      <c r="G1398" s="2" t="s">
        <v>17</v>
      </c>
    </row>
    <row r="1399" spans="1:7" x14ac:dyDescent="0.2">
      <c r="A1399" s="2" t="s">
        <v>2058</v>
      </c>
      <c r="B1399" s="2">
        <v>400</v>
      </c>
      <c r="C1399" s="2" t="s">
        <v>2059</v>
      </c>
      <c r="D1399" s="2" t="s">
        <v>10</v>
      </c>
      <c r="E1399" s="2" t="s">
        <v>52</v>
      </c>
      <c r="F1399" s="2">
        <v>2</v>
      </c>
      <c r="G1399" s="2" t="s">
        <v>17</v>
      </c>
    </row>
    <row r="1400" spans="1:7" x14ac:dyDescent="0.2">
      <c r="A1400" s="2" t="s">
        <v>2060</v>
      </c>
      <c r="B1400" s="2" t="s">
        <v>2061</v>
      </c>
      <c r="C1400" s="2" t="s">
        <v>269</v>
      </c>
      <c r="D1400" s="2" t="s">
        <v>10</v>
      </c>
      <c r="E1400" s="2" t="s">
        <v>16</v>
      </c>
      <c r="F1400" s="2">
        <v>1</v>
      </c>
      <c r="G1400" s="2" t="s">
        <v>17</v>
      </c>
    </row>
    <row r="1401" spans="1:7" x14ac:dyDescent="0.2">
      <c r="A1401" s="2" t="s">
        <v>2060</v>
      </c>
      <c r="B1401" s="2" t="s">
        <v>2062</v>
      </c>
      <c r="C1401" s="2" t="s">
        <v>269</v>
      </c>
      <c r="D1401" s="2" t="s">
        <v>10</v>
      </c>
      <c r="E1401" s="2" t="s">
        <v>16</v>
      </c>
      <c r="F1401" s="2">
        <v>1</v>
      </c>
      <c r="G1401" s="2" t="s">
        <v>17</v>
      </c>
    </row>
    <row r="1402" spans="1:7" x14ac:dyDescent="0.2">
      <c r="A1402" s="2" t="s">
        <v>2060</v>
      </c>
      <c r="B1402" s="2" t="s">
        <v>2063</v>
      </c>
      <c r="C1402" s="2" t="s">
        <v>2064</v>
      </c>
      <c r="D1402" s="2" t="s">
        <v>10</v>
      </c>
      <c r="E1402" s="2" t="s">
        <v>52</v>
      </c>
      <c r="F1402" s="2">
        <v>1</v>
      </c>
      <c r="G1402" s="2" t="s">
        <v>17</v>
      </c>
    </row>
    <row r="1403" spans="1:7" x14ac:dyDescent="0.2">
      <c r="A1403" s="2" t="s">
        <v>2060</v>
      </c>
      <c r="B1403" s="2" t="s">
        <v>2065</v>
      </c>
      <c r="C1403" s="2" t="s">
        <v>2064</v>
      </c>
      <c r="D1403" s="2" t="s">
        <v>10</v>
      </c>
      <c r="E1403" s="2" t="s">
        <v>52</v>
      </c>
      <c r="F1403" s="2">
        <v>1</v>
      </c>
      <c r="G1403" s="2" t="s">
        <v>17</v>
      </c>
    </row>
    <row r="1404" spans="1:7" x14ac:dyDescent="0.2">
      <c r="A1404" s="2" t="s">
        <v>2060</v>
      </c>
      <c r="B1404" s="2" t="s">
        <v>2066</v>
      </c>
      <c r="C1404" s="2" t="s">
        <v>2064</v>
      </c>
      <c r="D1404" s="2" t="s">
        <v>10</v>
      </c>
      <c r="E1404" s="2" t="s">
        <v>52</v>
      </c>
      <c r="F1404" s="2">
        <v>1</v>
      </c>
      <c r="G1404" s="2" t="s">
        <v>17</v>
      </c>
    </row>
    <row r="1405" spans="1:7" x14ac:dyDescent="0.2">
      <c r="A1405" s="2" t="s">
        <v>2060</v>
      </c>
      <c r="B1405" s="2" t="s">
        <v>2067</v>
      </c>
      <c r="C1405" s="2" t="s">
        <v>269</v>
      </c>
      <c r="D1405" s="2" t="s">
        <v>10</v>
      </c>
      <c r="E1405" s="2" t="s">
        <v>16</v>
      </c>
      <c r="F1405" s="2">
        <v>1</v>
      </c>
      <c r="G1405" s="2" t="s">
        <v>17</v>
      </c>
    </row>
    <row r="1406" spans="1:7" x14ac:dyDescent="0.2">
      <c r="A1406" s="2" t="s">
        <v>2060</v>
      </c>
      <c r="B1406" s="2" t="s">
        <v>2068</v>
      </c>
      <c r="C1406" s="2" t="s">
        <v>269</v>
      </c>
      <c r="D1406" s="2" t="s">
        <v>10</v>
      </c>
      <c r="E1406" s="2" t="s">
        <v>16</v>
      </c>
      <c r="F1406" s="2">
        <v>1</v>
      </c>
      <c r="G1406" s="2" t="s">
        <v>17</v>
      </c>
    </row>
    <row r="1407" spans="1:7" x14ac:dyDescent="0.2">
      <c r="A1407" s="2" t="s">
        <v>2060</v>
      </c>
      <c r="B1407" s="2" t="s">
        <v>2069</v>
      </c>
      <c r="C1407" s="2" t="s">
        <v>269</v>
      </c>
      <c r="D1407" s="2" t="s">
        <v>10</v>
      </c>
      <c r="E1407" s="2" t="s">
        <v>16</v>
      </c>
      <c r="F1407" s="2">
        <v>1</v>
      </c>
      <c r="G1407" s="2" t="s">
        <v>17</v>
      </c>
    </row>
    <row r="1408" spans="1:7" x14ac:dyDescent="0.2">
      <c r="A1408" s="2" t="s">
        <v>2060</v>
      </c>
      <c r="B1408" s="2" t="s">
        <v>2070</v>
      </c>
      <c r="C1408" s="2" t="s">
        <v>2064</v>
      </c>
      <c r="D1408" s="2" t="s">
        <v>10</v>
      </c>
      <c r="E1408" s="2" t="s">
        <v>52</v>
      </c>
      <c r="F1408" s="2">
        <v>1</v>
      </c>
      <c r="G1408" s="2" t="s">
        <v>17</v>
      </c>
    </row>
    <row r="1409" spans="1:7" x14ac:dyDescent="0.2">
      <c r="A1409" s="2" t="s">
        <v>2060</v>
      </c>
      <c r="B1409" s="2" t="s">
        <v>2071</v>
      </c>
      <c r="C1409" s="2" t="s">
        <v>2064</v>
      </c>
      <c r="D1409" s="2" t="s">
        <v>10</v>
      </c>
      <c r="E1409" s="2" t="s">
        <v>52</v>
      </c>
      <c r="F1409" s="2">
        <v>1</v>
      </c>
      <c r="G1409" s="2" t="s">
        <v>17</v>
      </c>
    </row>
    <row r="1410" spans="1:7" x14ac:dyDescent="0.2">
      <c r="A1410" s="2" t="s">
        <v>2060</v>
      </c>
      <c r="B1410" s="2" t="s">
        <v>2072</v>
      </c>
      <c r="C1410" s="2" t="s">
        <v>2064</v>
      </c>
      <c r="D1410" s="2" t="s">
        <v>10</v>
      </c>
      <c r="E1410" s="2" t="s">
        <v>52</v>
      </c>
      <c r="F1410" s="2">
        <v>1</v>
      </c>
      <c r="G1410" s="2" t="s">
        <v>17</v>
      </c>
    </row>
    <row r="1411" spans="1:7" x14ac:dyDescent="0.2">
      <c r="A1411" s="2" t="s">
        <v>2060</v>
      </c>
      <c r="B1411" s="2" t="s">
        <v>2073</v>
      </c>
      <c r="C1411" s="2" t="s">
        <v>2064</v>
      </c>
      <c r="D1411" s="2" t="s">
        <v>10</v>
      </c>
      <c r="E1411" s="2" t="s">
        <v>52</v>
      </c>
      <c r="F1411" s="2">
        <v>1</v>
      </c>
      <c r="G1411" s="2" t="s">
        <v>17</v>
      </c>
    </row>
    <row r="1412" spans="1:7" x14ac:dyDescent="0.2">
      <c r="A1412" s="2" t="s">
        <v>2060</v>
      </c>
      <c r="B1412" s="2" t="s">
        <v>2074</v>
      </c>
      <c r="C1412" s="2" t="s">
        <v>2064</v>
      </c>
      <c r="D1412" s="2" t="s">
        <v>10</v>
      </c>
      <c r="E1412" s="2" t="s">
        <v>52</v>
      </c>
      <c r="F1412" s="2">
        <v>1</v>
      </c>
      <c r="G1412" s="2" t="s">
        <v>17</v>
      </c>
    </row>
    <row r="1413" spans="1:7" x14ac:dyDescent="0.2">
      <c r="A1413" s="2" t="s">
        <v>2060</v>
      </c>
      <c r="B1413" s="2" t="s">
        <v>2075</v>
      </c>
      <c r="C1413" s="2" t="s">
        <v>2064</v>
      </c>
      <c r="D1413" s="2" t="s">
        <v>10</v>
      </c>
      <c r="E1413" s="2" t="s">
        <v>52</v>
      </c>
      <c r="F1413" s="2">
        <v>1</v>
      </c>
      <c r="G1413" s="2" t="s">
        <v>17</v>
      </c>
    </row>
    <row r="1414" spans="1:7" x14ac:dyDescent="0.2">
      <c r="A1414" s="2" t="s">
        <v>2060</v>
      </c>
      <c r="B1414" s="2" t="s">
        <v>2076</v>
      </c>
      <c r="C1414" s="2" t="s">
        <v>2077</v>
      </c>
      <c r="D1414" s="2" t="s">
        <v>10</v>
      </c>
      <c r="E1414" s="2" t="s">
        <v>52</v>
      </c>
      <c r="F1414" s="2">
        <v>1</v>
      </c>
      <c r="G1414" s="2" t="s">
        <v>17</v>
      </c>
    </row>
    <row r="1415" spans="1:7" x14ac:dyDescent="0.2">
      <c r="A1415" s="2" t="s">
        <v>2060</v>
      </c>
      <c r="B1415" s="2" t="s">
        <v>2078</v>
      </c>
      <c r="C1415" s="2" t="s">
        <v>269</v>
      </c>
      <c r="D1415" s="2" t="s">
        <v>10</v>
      </c>
      <c r="E1415" s="2" t="s">
        <v>16</v>
      </c>
      <c r="F1415" s="2">
        <v>1</v>
      </c>
      <c r="G1415" s="2" t="s">
        <v>17</v>
      </c>
    </row>
    <row r="1416" spans="1:7" x14ac:dyDescent="0.2">
      <c r="A1416" s="2" t="s">
        <v>2060</v>
      </c>
      <c r="B1416" s="2" t="s">
        <v>2079</v>
      </c>
      <c r="C1416" s="2" t="s">
        <v>2064</v>
      </c>
      <c r="D1416" s="2" t="s">
        <v>10</v>
      </c>
      <c r="E1416" s="2" t="s">
        <v>52</v>
      </c>
      <c r="F1416" s="2">
        <v>1</v>
      </c>
      <c r="G1416" s="2" t="s">
        <v>17</v>
      </c>
    </row>
    <row r="1417" spans="1:7" x14ac:dyDescent="0.2">
      <c r="A1417" s="2" t="s">
        <v>2060</v>
      </c>
      <c r="B1417" s="2" t="s">
        <v>2080</v>
      </c>
      <c r="C1417" s="2" t="s">
        <v>2077</v>
      </c>
      <c r="D1417" s="2" t="s">
        <v>10</v>
      </c>
      <c r="E1417" s="2" t="s">
        <v>52</v>
      </c>
      <c r="F1417" s="2">
        <v>1</v>
      </c>
      <c r="G1417" s="2" t="s">
        <v>17</v>
      </c>
    </row>
    <row r="1418" spans="1:7" x14ac:dyDescent="0.2">
      <c r="A1418" s="2" t="s">
        <v>2060</v>
      </c>
      <c r="B1418" s="2" t="s">
        <v>2081</v>
      </c>
      <c r="C1418" s="2" t="s">
        <v>2064</v>
      </c>
      <c r="D1418" s="2" t="s">
        <v>10</v>
      </c>
      <c r="E1418" s="2" t="s">
        <v>52</v>
      </c>
      <c r="F1418" s="2">
        <v>1</v>
      </c>
      <c r="G1418" s="2" t="s">
        <v>17</v>
      </c>
    </row>
    <row r="1419" spans="1:7" x14ac:dyDescent="0.2">
      <c r="A1419" s="2" t="s">
        <v>2060</v>
      </c>
      <c r="B1419" s="2" t="s">
        <v>2082</v>
      </c>
      <c r="C1419" s="2" t="s">
        <v>2064</v>
      </c>
      <c r="D1419" s="2" t="s">
        <v>10</v>
      </c>
      <c r="E1419" s="2" t="s">
        <v>52</v>
      </c>
      <c r="F1419" s="2">
        <v>1</v>
      </c>
      <c r="G1419" s="2" t="s">
        <v>17</v>
      </c>
    </row>
    <row r="1420" spans="1:7" x14ac:dyDescent="0.2">
      <c r="A1420" s="2" t="s">
        <v>2083</v>
      </c>
      <c r="B1420" s="2" t="s">
        <v>1291</v>
      </c>
      <c r="C1420" s="2" t="s">
        <v>2084</v>
      </c>
      <c r="D1420" s="2" t="s">
        <v>10</v>
      </c>
      <c r="E1420" s="2" t="s">
        <v>16</v>
      </c>
      <c r="F1420" s="2">
        <v>1</v>
      </c>
      <c r="G1420" s="2" t="s">
        <v>17</v>
      </c>
    </row>
    <row r="1421" spans="1:7" x14ac:dyDescent="0.2">
      <c r="A1421" s="2" t="s">
        <v>2083</v>
      </c>
      <c r="B1421" s="2" t="s">
        <v>2085</v>
      </c>
      <c r="C1421" s="2" t="s">
        <v>2086</v>
      </c>
      <c r="D1421" s="2" t="s">
        <v>10</v>
      </c>
      <c r="E1421" s="2" t="s">
        <v>16</v>
      </c>
      <c r="F1421" s="2">
        <v>1</v>
      </c>
      <c r="G1421" s="2" t="s">
        <v>17</v>
      </c>
    </row>
    <row r="1422" spans="1:7" x14ac:dyDescent="0.2">
      <c r="A1422" s="2" t="s">
        <v>2083</v>
      </c>
      <c r="B1422" s="2" t="s">
        <v>2087</v>
      </c>
      <c r="C1422" s="2" t="s">
        <v>2084</v>
      </c>
      <c r="D1422" s="2" t="s">
        <v>10</v>
      </c>
      <c r="E1422" s="2" t="s">
        <v>16</v>
      </c>
      <c r="F1422" s="2">
        <v>1</v>
      </c>
      <c r="G1422" s="2" t="s">
        <v>17</v>
      </c>
    </row>
    <row r="1423" spans="1:7" x14ac:dyDescent="0.2">
      <c r="A1423" s="2" t="s">
        <v>2083</v>
      </c>
      <c r="B1423" s="2" t="s">
        <v>2088</v>
      </c>
      <c r="C1423" s="2" t="s">
        <v>2089</v>
      </c>
      <c r="D1423" s="2" t="s">
        <v>10</v>
      </c>
      <c r="E1423" s="2" t="s">
        <v>16</v>
      </c>
      <c r="F1423" s="2">
        <v>1</v>
      </c>
      <c r="G1423" s="2" t="s">
        <v>17</v>
      </c>
    </row>
    <row r="1424" spans="1:7" x14ac:dyDescent="0.2">
      <c r="A1424" s="2" t="s">
        <v>2083</v>
      </c>
      <c r="B1424" s="2" t="s">
        <v>1185</v>
      </c>
      <c r="C1424" s="2" t="s">
        <v>2089</v>
      </c>
      <c r="D1424" s="2" t="s">
        <v>10</v>
      </c>
      <c r="E1424" s="2" t="s">
        <v>16</v>
      </c>
      <c r="F1424" s="2">
        <v>1</v>
      </c>
      <c r="G1424" s="2" t="s">
        <v>17</v>
      </c>
    </row>
    <row r="1425" spans="1:7" x14ac:dyDescent="0.2">
      <c r="A1425" s="2" t="s">
        <v>2090</v>
      </c>
      <c r="B1425" s="2" t="s">
        <v>2091</v>
      </c>
      <c r="C1425" s="2" t="s">
        <v>2092</v>
      </c>
      <c r="D1425" s="2" t="s">
        <v>10</v>
      </c>
      <c r="E1425" s="2" t="s">
        <v>11</v>
      </c>
      <c r="F1425" s="2">
        <v>2</v>
      </c>
      <c r="G1425" s="2" t="s">
        <v>12</v>
      </c>
    </row>
    <row r="1426" spans="1:7" x14ac:dyDescent="0.2">
      <c r="A1426" s="2" t="s">
        <v>2090</v>
      </c>
      <c r="B1426" s="2" t="s">
        <v>2093</v>
      </c>
      <c r="C1426" s="2" t="s">
        <v>2094</v>
      </c>
      <c r="D1426" s="2" t="s">
        <v>10</v>
      </c>
      <c r="E1426" s="2" t="s">
        <v>11</v>
      </c>
      <c r="F1426" s="2">
        <v>1</v>
      </c>
      <c r="G1426" s="2" t="s">
        <v>17</v>
      </c>
    </row>
    <row r="1427" spans="1:7" x14ac:dyDescent="0.2">
      <c r="A1427" s="2" t="s">
        <v>2090</v>
      </c>
      <c r="B1427" s="2" t="s">
        <v>2095</v>
      </c>
      <c r="C1427" s="2" t="s">
        <v>2096</v>
      </c>
      <c r="D1427" s="2" t="s">
        <v>10</v>
      </c>
      <c r="E1427" s="2" t="s">
        <v>11</v>
      </c>
      <c r="F1427" s="2">
        <v>2</v>
      </c>
      <c r="G1427" s="2" t="s">
        <v>12</v>
      </c>
    </row>
    <row r="1428" spans="1:7" x14ac:dyDescent="0.2">
      <c r="A1428" s="2" t="s">
        <v>2090</v>
      </c>
      <c r="B1428" s="2" t="s">
        <v>2097</v>
      </c>
      <c r="C1428" s="2" t="s">
        <v>2094</v>
      </c>
      <c r="D1428" s="2" t="s">
        <v>10</v>
      </c>
      <c r="E1428" s="2" t="s">
        <v>11</v>
      </c>
      <c r="F1428" s="2">
        <v>1</v>
      </c>
      <c r="G1428" s="2" t="s">
        <v>17</v>
      </c>
    </row>
    <row r="1429" spans="1:7" x14ac:dyDescent="0.2">
      <c r="A1429" s="2" t="s">
        <v>2090</v>
      </c>
      <c r="B1429" s="2" t="s">
        <v>1695</v>
      </c>
      <c r="C1429" s="2" t="s">
        <v>2098</v>
      </c>
      <c r="D1429" s="2" t="s">
        <v>10</v>
      </c>
      <c r="E1429" s="2" t="s">
        <v>11</v>
      </c>
      <c r="F1429" s="2">
        <v>2</v>
      </c>
      <c r="G1429" s="2" t="s">
        <v>12</v>
      </c>
    </row>
    <row r="1430" spans="1:7" x14ac:dyDescent="0.2">
      <c r="A1430" s="2" t="s">
        <v>2090</v>
      </c>
      <c r="B1430" s="2" t="s">
        <v>2099</v>
      </c>
      <c r="C1430" s="2" t="s">
        <v>2092</v>
      </c>
      <c r="D1430" s="2" t="s">
        <v>10</v>
      </c>
      <c r="E1430" s="2" t="s">
        <v>11</v>
      </c>
      <c r="F1430" s="2">
        <v>2</v>
      </c>
      <c r="G1430" s="2" t="s">
        <v>12</v>
      </c>
    </row>
    <row r="1431" spans="1:7" x14ac:dyDescent="0.2">
      <c r="A1431" s="2" t="s">
        <v>2090</v>
      </c>
      <c r="B1431" s="2" t="s">
        <v>145</v>
      </c>
      <c r="C1431" s="2" t="s">
        <v>146</v>
      </c>
      <c r="D1431" s="2" t="s">
        <v>10</v>
      </c>
      <c r="E1431" s="2" t="s">
        <v>11</v>
      </c>
      <c r="F1431" s="2">
        <v>2</v>
      </c>
      <c r="G1431" s="2" t="s">
        <v>12</v>
      </c>
    </row>
    <row r="1432" spans="1:7" x14ac:dyDescent="0.2">
      <c r="A1432" s="2" t="s">
        <v>2090</v>
      </c>
      <c r="B1432" s="2" t="s">
        <v>2100</v>
      </c>
      <c r="C1432" s="2" t="s">
        <v>2101</v>
      </c>
      <c r="D1432" s="2" t="s">
        <v>10</v>
      </c>
      <c r="E1432" s="2" t="s">
        <v>11</v>
      </c>
      <c r="F1432" s="2">
        <v>1</v>
      </c>
      <c r="G1432" s="2" t="s">
        <v>17</v>
      </c>
    </row>
    <row r="1433" spans="1:7" x14ac:dyDescent="0.2">
      <c r="A1433" s="2" t="s">
        <v>2090</v>
      </c>
      <c r="B1433" s="2" t="s">
        <v>2102</v>
      </c>
      <c r="C1433" s="2" t="s">
        <v>2101</v>
      </c>
      <c r="D1433" s="2" t="s">
        <v>10</v>
      </c>
      <c r="E1433" s="2" t="s">
        <v>11</v>
      </c>
      <c r="F1433" s="2">
        <v>1</v>
      </c>
      <c r="G1433" s="2" t="s">
        <v>17</v>
      </c>
    </row>
    <row r="1434" spans="1:7" x14ac:dyDescent="0.2">
      <c r="A1434" s="2" t="s">
        <v>2103</v>
      </c>
      <c r="B1434" s="2" t="s">
        <v>709</v>
      </c>
      <c r="C1434" s="2" t="s">
        <v>701</v>
      </c>
      <c r="D1434" s="2" t="s">
        <v>10</v>
      </c>
      <c r="E1434" s="2" t="s">
        <v>16</v>
      </c>
      <c r="F1434" s="2">
        <v>1</v>
      </c>
      <c r="G1434" s="2" t="s">
        <v>17</v>
      </c>
    </row>
    <row r="1435" spans="1:7" x14ac:dyDescent="0.2">
      <c r="A1435" s="2" t="s">
        <v>2104</v>
      </c>
      <c r="B1435" s="2" t="s">
        <v>2105</v>
      </c>
      <c r="C1435" s="2" t="s">
        <v>1301</v>
      </c>
      <c r="D1435" s="2" t="s">
        <v>10</v>
      </c>
      <c r="E1435" s="2" t="s">
        <v>16</v>
      </c>
      <c r="F1435" s="2">
        <v>1</v>
      </c>
      <c r="G1435" s="2" t="s">
        <v>17</v>
      </c>
    </row>
    <row r="1436" spans="1:7" x14ac:dyDescent="0.2">
      <c r="A1436" s="2" t="s">
        <v>2104</v>
      </c>
      <c r="B1436" s="2" t="s">
        <v>542</v>
      </c>
      <c r="C1436" s="2" t="s">
        <v>2106</v>
      </c>
      <c r="D1436" s="2" t="s">
        <v>10</v>
      </c>
      <c r="E1436" s="2" t="s">
        <v>16</v>
      </c>
      <c r="F1436" s="2">
        <v>1</v>
      </c>
      <c r="G1436" s="2" t="s">
        <v>17</v>
      </c>
    </row>
    <row r="1437" spans="1:7" x14ac:dyDescent="0.2">
      <c r="A1437" s="2" t="s">
        <v>2104</v>
      </c>
      <c r="B1437" s="2" t="s">
        <v>2107</v>
      </c>
      <c r="C1437" s="2" t="s">
        <v>1301</v>
      </c>
      <c r="D1437" s="2" t="s">
        <v>10</v>
      </c>
      <c r="E1437" s="2" t="s">
        <v>16</v>
      </c>
      <c r="F1437" s="2">
        <v>1</v>
      </c>
      <c r="G1437" s="2" t="s">
        <v>17</v>
      </c>
    </row>
    <row r="1438" spans="1:7" x14ac:dyDescent="0.2">
      <c r="A1438" s="2" t="s">
        <v>2104</v>
      </c>
      <c r="B1438" s="2" t="s">
        <v>2108</v>
      </c>
      <c r="C1438" s="2" t="s">
        <v>2106</v>
      </c>
      <c r="D1438" s="2" t="s">
        <v>10</v>
      </c>
      <c r="E1438" s="2" t="s">
        <v>16</v>
      </c>
      <c r="F1438" s="2">
        <v>1</v>
      </c>
      <c r="G1438" s="2" t="s">
        <v>17</v>
      </c>
    </row>
    <row r="1439" spans="1:7" x14ac:dyDescent="0.2">
      <c r="A1439" s="2" t="s">
        <v>2104</v>
      </c>
      <c r="B1439" s="2" t="s">
        <v>2109</v>
      </c>
      <c r="C1439" s="2" t="s">
        <v>2110</v>
      </c>
      <c r="D1439" s="2" t="s">
        <v>10</v>
      </c>
      <c r="E1439" s="2" t="s">
        <v>16</v>
      </c>
      <c r="F1439" s="2">
        <v>1</v>
      </c>
      <c r="G1439" s="2" t="s">
        <v>17</v>
      </c>
    </row>
    <row r="1440" spans="1:7" x14ac:dyDescent="0.2">
      <c r="A1440" s="2" t="s">
        <v>2111</v>
      </c>
      <c r="B1440" s="2" t="s">
        <v>2112</v>
      </c>
      <c r="C1440" s="2" t="s">
        <v>881</v>
      </c>
      <c r="D1440" s="2" t="s">
        <v>10</v>
      </c>
      <c r="E1440" s="2" t="s">
        <v>11</v>
      </c>
      <c r="F1440" s="2">
        <v>4</v>
      </c>
      <c r="G1440" s="2" t="s">
        <v>12</v>
      </c>
    </row>
    <row r="1441" spans="1:7" x14ac:dyDescent="0.2">
      <c r="A1441" s="2" t="s">
        <v>2111</v>
      </c>
      <c r="B1441" s="2" t="s">
        <v>2113</v>
      </c>
      <c r="C1441" s="2" t="s">
        <v>883</v>
      </c>
      <c r="D1441" s="2" t="s">
        <v>10</v>
      </c>
      <c r="E1441" s="2" t="s">
        <v>11</v>
      </c>
      <c r="F1441" s="2">
        <v>4</v>
      </c>
      <c r="G1441" s="2" t="s">
        <v>12</v>
      </c>
    </row>
    <row r="1442" spans="1:7" x14ac:dyDescent="0.2">
      <c r="A1442" s="2" t="s">
        <v>2111</v>
      </c>
      <c r="B1442" s="2" t="s">
        <v>2114</v>
      </c>
      <c r="C1442" s="2" t="s">
        <v>885</v>
      </c>
      <c r="D1442" s="2" t="s">
        <v>10</v>
      </c>
      <c r="E1442" s="2" t="s">
        <v>11</v>
      </c>
      <c r="F1442" s="2">
        <v>4</v>
      </c>
      <c r="G1442" s="2" t="s">
        <v>12</v>
      </c>
    </row>
    <row r="1443" spans="1:7" x14ac:dyDescent="0.2">
      <c r="A1443" s="2" t="s">
        <v>2111</v>
      </c>
      <c r="B1443" s="2" t="s">
        <v>2115</v>
      </c>
      <c r="C1443" s="2" t="s">
        <v>2116</v>
      </c>
      <c r="D1443" s="2" t="s">
        <v>10</v>
      </c>
      <c r="E1443" s="2" t="s">
        <v>11</v>
      </c>
      <c r="F1443" s="2">
        <v>1</v>
      </c>
      <c r="G1443" s="2" t="s">
        <v>12</v>
      </c>
    </row>
    <row r="1444" spans="1:7" x14ac:dyDescent="0.2">
      <c r="A1444" s="2" t="s">
        <v>2111</v>
      </c>
      <c r="B1444" s="2" t="s">
        <v>1393</v>
      </c>
      <c r="C1444" s="2" t="s">
        <v>1394</v>
      </c>
      <c r="D1444" s="2" t="s">
        <v>10</v>
      </c>
      <c r="E1444" s="2" t="s">
        <v>11</v>
      </c>
      <c r="F1444" s="2">
        <v>2</v>
      </c>
      <c r="G1444" s="2" t="s">
        <v>12</v>
      </c>
    </row>
    <row r="1445" spans="1:7" x14ac:dyDescent="0.2">
      <c r="A1445" s="2" t="s">
        <v>2111</v>
      </c>
      <c r="B1445" s="2" t="s">
        <v>2117</v>
      </c>
      <c r="C1445" s="2" t="s">
        <v>2116</v>
      </c>
      <c r="D1445" s="2" t="s">
        <v>10</v>
      </c>
      <c r="E1445" s="2" t="s">
        <v>11</v>
      </c>
      <c r="F1445" s="2">
        <v>1</v>
      </c>
      <c r="G1445" s="2" t="s">
        <v>12</v>
      </c>
    </row>
    <row r="1446" spans="1:7" x14ac:dyDescent="0.2">
      <c r="A1446" s="2" t="s">
        <v>2111</v>
      </c>
      <c r="B1446" s="2" t="s">
        <v>2118</v>
      </c>
      <c r="C1446" s="2" t="s">
        <v>2116</v>
      </c>
      <c r="D1446" s="2" t="s">
        <v>10</v>
      </c>
      <c r="E1446" s="2" t="s">
        <v>11</v>
      </c>
      <c r="F1446" s="2">
        <v>1</v>
      </c>
      <c r="G1446" s="2" t="s">
        <v>12</v>
      </c>
    </row>
    <row r="1447" spans="1:7" x14ac:dyDescent="0.2">
      <c r="A1447" s="2" t="s">
        <v>2111</v>
      </c>
      <c r="B1447" s="2" t="s">
        <v>2119</v>
      </c>
      <c r="C1447" s="2" t="s">
        <v>2116</v>
      </c>
      <c r="D1447" s="2" t="s">
        <v>10</v>
      </c>
      <c r="E1447" s="2" t="s">
        <v>11</v>
      </c>
      <c r="F1447" s="2">
        <v>1</v>
      </c>
      <c r="G1447" s="2" t="s">
        <v>12</v>
      </c>
    </row>
    <row r="1448" spans="1:7" x14ac:dyDescent="0.2">
      <c r="A1448" s="2" t="s">
        <v>2111</v>
      </c>
      <c r="B1448" s="2" t="s">
        <v>1398</v>
      </c>
      <c r="C1448" s="2" t="s">
        <v>1394</v>
      </c>
      <c r="D1448" s="2" t="s">
        <v>10</v>
      </c>
      <c r="E1448" s="2" t="s">
        <v>11</v>
      </c>
      <c r="F1448" s="2">
        <v>2</v>
      </c>
      <c r="G1448" s="2" t="s">
        <v>12</v>
      </c>
    </row>
    <row r="1449" spans="1:7" x14ac:dyDescent="0.2">
      <c r="A1449" s="2" t="s">
        <v>2120</v>
      </c>
      <c r="B1449" s="2" t="s">
        <v>2118</v>
      </c>
      <c r="C1449" s="2" t="s">
        <v>2116</v>
      </c>
      <c r="D1449" s="2" t="s">
        <v>10</v>
      </c>
      <c r="E1449" s="2" t="s">
        <v>11</v>
      </c>
      <c r="F1449" s="2">
        <v>1</v>
      </c>
      <c r="G1449" s="2" t="s">
        <v>12</v>
      </c>
    </row>
    <row r="1450" spans="1:7" x14ac:dyDescent="0.2">
      <c r="A1450" s="2" t="s">
        <v>2121</v>
      </c>
      <c r="B1450" s="2" t="s">
        <v>2122</v>
      </c>
      <c r="C1450" s="2" t="s">
        <v>2123</v>
      </c>
      <c r="D1450" s="2" t="s">
        <v>10</v>
      </c>
      <c r="E1450" s="2" t="s">
        <v>16</v>
      </c>
      <c r="F1450" s="2">
        <v>1</v>
      </c>
      <c r="G1450" s="2" t="s">
        <v>17</v>
      </c>
    </row>
    <row r="1451" spans="1:7" x14ac:dyDescent="0.2">
      <c r="A1451" s="2" t="s">
        <v>2124</v>
      </c>
      <c r="B1451" s="2" t="s">
        <v>2125</v>
      </c>
      <c r="C1451" s="2" t="s">
        <v>2126</v>
      </c>
      <c r="D1451" s="2" t="s">
        <v>64</v>
      </c>
      <c r="E1451" s="2" t="s">
        <v>16</v>
      </c>
      <c r="F1451" s="2">
        <v>1</v>
      </c>
      <c r="G1451" s="2" t="s">
        <v>17</v>
      </c>
    </row>
    <row r="1452" spans="1:7" x14ac:dyDescent="0.2">
      <c r="A1452" s="2" t="s">
        <v>2124</v>
      </c>
      <c r="B1452" s="2" t="s">
        <v>2127</v>
      </c>
      <c r="C1452" s="2" t="s">
        <v>2127</v>
      </c>
      <c r="D1452" s="2" t="s">
        <v>64</v>
      </c>
      <c r="E1452" s="2" t="s">
        <v>16</v>
      </c>
      <c r="F1452" s="2">
        <v>1</v>
      </c>
      <c r="G1452" s="2" t="s">
        <v>17</v>
      </c>
    </row>
    <row r="1453" spans="1:7" x14ac:dyDescent="0.2">
      <c r="A1453" s="2" t="s">
        <v>2128</v>
      </c>
      <c r="B1453" s="2" t="s">
        <v>2129</v>
      </c>
      <c r="C1453" s="2" t="s">
        <v>2130</v>
      </c>
      <c r="D1453" s="2" t="s">
        <v>10</v>
      </c>
      <c r="E1453" s="2" t="s">
        <v>16</v>
      </c>
      <c r="F1453" s="2">
        <v>1</v>
      </c>
      <c r="G1453" s="2" t="s">
        <v>17</v>
      </c>
    </row>
    <row r="1454" spans="1:7" x14ac:dyDescent="0.2">
      <c r="A1454" s="2" t="s">
        <v>2131</v>
      </c>
      <c r="B1454" s="2" t="s">
        <v>2132</v>
      </c>
      <c r="C1454" s="2" t="s">
        <v>2133</v>
      </c>
      <c r="D1454" s="2" t="s">
        <v>10</v>
      </c>
      <c r="E1454" s="2" t="s">
        <v>52</v>
      </c>
      <c r="F1454" s="2">
        <v>2</v>
      </c>
      <c r="G1454" s="2" t="s">
        <v>12</v>
      </c>
    </row>
    <row r="1455" spans="1:7" x14ac:dyDescent="0.2">
      <c r="A1455" s="2" t="s">
        <v>2131</v>
      </c>
      <c r="B1455" s="2" t="s">
        <v>2134</v>
      </c>
      <c r="C1455" s="2" t="s">
        <v>2133</v>
      </c>
      <c r="D1455" s="2" t="s">
        <v>10</v>
      </c>
      <c r="E1455" s="2" t="s">
        <v>52</v>
      </c>
      <c r="F1455" s="2">
        <v>2</v>
      </c>
      <c r="G1455" s="2" t="s">
        <v>12</v>
      </c>
    </row>
    <row r="1456" spans="1:7" x14ac:dyDescent="0.2">
      <c r="A1456" s="2" t="s">
        <v>2135</v>
      </c>
      <c r="B1456" s="2" t="s">
        <v>1695</v>
      </c>
      <c r="C1456" s="2" t="s">
        <v>2136</v>
      </c>
      <c r="D1456" s="2" t="s">
        <v>10</v>
      </c>
      <c r="E1456" s="2" t="s">
        <v>52</v>
      </c>
      <c r="F1456" s="2">
        <v>1</v>
      </c>
      <c r="G1456" s="2" t="s">
        <v>17</v>
      </c>
    </row>
    <row r="1457" spans="1:7" x14ac:dyDescent="0.2">
      <c r="A1457" s="2" t="s">
        <v>2137</v>
      </c>
      <c r="B1457" s="2" t="s">
        <v>1465</v>
      </c>
      <c r="C1457" s="2" t="s">
        <v>1466</v>
      </c>
      <c r="D1457" s="2" t="s">
        <v>10</v>
      </c>
      <c r="E1457" s="2" t="s">
        <v>16</v>
      </c>
      <c r="F1457" s="2">
        <v>1</v>
      </c>
      <c r="G1457" s="2" t="s">
        <v>17</v>
      </c>
    </row>
    <row r="1458" spans="1:7" x14ac:dyDescent="0.2">
      <c r="A1458" s="2" t="s">
        <v>2137</v>
      </c>
      <c r="B1458" s="2" t="s">
        <v>1468</v>
      </c>
      <c r="C1458" s="2" t="s">
        <v>1469</v>
      </c>
      <c r="D1458" s="2" t="s">
        <v>10</v>
      </c>
      <c r="E1458" s="2" t="s">
        <v>11</v>
      </c>
      <c r="F1458" s="2">
        <v>1</v>
      </c>
      <c r="G1458" s="2" t="s">
        <v>17</v>
      </c>
    </row>
    <row r="1459" spans="1:7" x14ac:dyDescent="0.2">
      <c r="A1459" s="2" t="s">
        <v>2137</v>
      </c>
      <c r="B1459" s="2" t="s">
        <v>2138</v>
      </c>
      <c r="C1459" s="2" t="s">
        <v>2139</v>
      </c>
      <c r="D1459" s="2" t="s">
        <v>10</v>
      </c>
      <c r="E1459" s="2" t="s">
        <v>52</v>
      </c>
      <c r="F1459" s="2">
        <v>1</v>
      </c>
      <c r="G1459" s="2" t="s">
        <v>17</v>
      </c>
    </row>
    <row r="1460" spans="1:7" x14ac:dyDescent="0.2">
      <c r="A1460" s="2" t="s">
        <v>2137</v>
      </c>
      <c r="B1460" s="2" t="s">
        <v>2140</v>
      </c>
      <c r="C1460" s="2" t="s">
        <v>1466</v>
      </c>
      <c r="D1460" s="2" t="s">
        <v>10</v>
      </c>
      <c r="E1460" s="2" t="s">
        <v>16</v>
      </c>
      <c r="F1460" s="2">
        <v>1</v>
      </c>
      <c r="G1460" s="2" t="s">
        <v>17</v>
      </c>
    </row>
    <row r="1461" spans="1:7" x14ac:dyDescent="0.2">
      <c r="A1461" s="2" t="s">
        <v>2137</v>
      </c>
      <c r="B1461" s="2" t="s">
        <v>1471</v>
      </c>
      <c r="C1461" s="2" t="s">
        <v>1469</v>
      </c>
      <c r="D1461" s="2" t="s">
        <v>10</v>
      </c>
      <c r="E1461" s="2" t="s">
        <v>11</v>
      </c>
      <c r="F1461" s="2">
        <v>1</v>
      </c>
      <c r="G1461" s="2" t="s">
        <v>17</v>
      </c>
    </row>
    <row r="1462" spans="1:7" x14ac:dyDescent="0.2">
      <c r="A1462" s="2" t="s">
        <v>2137</v>
      </c>
      <c r="B1462" s="2" t="s">
        <v>2141</v>
      </c>
      <c r="C1462" s="2" t="s">
        <v>2139</v>
      </c>
      <c r="D1462" s="2" t="s">
        <v>10</v>
      </c>
      <c r="E1462" s="2" t="s">
        <v>52</v>
      </c>
      <c r="F1462" s="2">
        <v>1</v>
      </c>
      <c r="G1462" s="2" t="s">
        <v>17</v>
      </c>
    </row>
    <row r="1463" spans="1:7" x14ac:dyDescent="0.2">
      <c r="A1463" s="2" t="s">
        <v>2142</v>
      </c>
      <c r="B1463" s="2" t="s">
        <v>1931</v>
      </c>
      <c r="C1463" s="2" t="s">
        <v>2143</v>
      </c>
      <c r="D1463" s="2" t="s">
        <v>10</v>
      </c>
      <c r="E1463" s="2" t="s">
        <v>16</v>
      </c>
      <c r="F1463" s="2">
        <v>1</v>
      </c>
      <c r="G1463" s="2" t="s">
        <v>17</v>
      </c>
    </row>
    <row r="1464" spans="1:7" x14ac:dyDescent="0.2">
      <c r="A1464" s="2" t="s">
        <v>2142</v>
      </c>
      <c r="B1464" s="2" t="s">
        <v>2144</v>
      </c>
      <c r="C1464" s="2" t="s">
        <v>2143</v>
      </c>
      <c r="D1464" s="2" t="s">
        <v>10</v>
      </c>
      <c r="E1464" s="2" t="s">
        <v>16</v>
      </c>
      <c r="F1464" s="2">
        <v>1</v>
      </c>
      <c r="G1464" s="2" t="s">
        <v>17</v>
      </c>
    </row>
    <row r="1465" spans="1:7" x14ac:dyDescent="0.2">
      <c r="A1465" s="2" t="s">
        <v>2145</v>
      </c>
      <c r="B1465" s="2" t="s">
        <v>1838</v>
      </c>
      <c r="C1465" s="2" t="s">
        <v>1833</v>
      </c>
      <c r="D1465" s="2" t="s">
        <v>10</v>
      </c>
      <c r="E1465" s="2" t="s">
        <v>16</v>
      </c>
      <c r="F1465" s="2">
        <v>1</v>
      </c>
      <c r="G1465" s="2" t="s">
        <v>17</v>
      </c>
    </row>
    <row r="1466" spans="1:7" x14ac:dyDescent="0.2">
      <c r="A1466" s="2" t="s">
        <v>2145</v>
      </c>
      <c r="B1466" s="2" t="s">
        <v>2146</v>
      </c>
      <c r="C1466" s="2" t="s">
        <v>1833</v>
      </c>
      <c r="D1466" s="2" t="s">
        <v>10</v>
      </c>
      <c r="E1466" s="2" t="s">
        <v>16</v>
      </c>
      <c r="F1466" s="2">
        <v>1</v>
      </c>
      <c r="G1466" s="2" t="s">
        <v>17</v>
      </c>
    </row>
    <row r="1467" spans="1:7" x14ac:dyDescent="0.2">
      <c r="A1467" s="2" t="s">
        <v>2145</v>
      </c>
      <c r="B1467" s="2" t="s">
        <v>2147</v>
      </c>
      <c r="C1467" s="2" t="s">
        <v>1833</v>
      </c>
      <c r="D1467" s="2" t="s">
        <v>10</v>
      </c>
      <c r="E1467" s="2" t="s">
        <v>16</v>
      </c>
      <c r="F1467" s="2">
        <v>1</v>
      </c>
      <c r="G1467" s="2" t="s">
        <v>17</v>
      </c>
    </row>
    <row r="1468" spans="1:7" x14ac:dyDescent="0.2">
      <c r="A1468" s="2" t="s">
        <v>2145</v>
      </c>
      <c r="B1468" s="2" t="s">
        <v>2148</v>
      </c>
      <c r="C1468" s="2" t="s">
        <v>2149</v>
      </c>
      <c r="D1468" s="2" t="s">
        <v>10</v>
      </c>
      <c r="E1468" s="2" t="s">
        <v>16</v>
      </c>
      <c r="F1468" s="2">
        <v>1</v>
      </c>
      <c r="G1468" s="2" t="s">
        <v>17</v>
      </c>
    </row>
    <row r="1469" spans="1:7" x14ac:dyDescent="0.2">
      <c r="A1469" s="2" t="s">
        <v>2145</v>
      </c>
      <c r="B1469" s="2" t="s">
        <v>2150</v>
      </c>
      <c r="C1469" s="2" t="s">
        <v>2149</v>
      </c>
      <c r="D1469" s="2" t="s">
        <v>10</v>
      </c>
      <c r="E1469" s="2" t="s">
        <v>16</v>
      </c>
      <c r="F1469" s="2">
        <v>1</v>
      </c>
      <c r="G1469" s="2" t="s">
        <v>17</v>
      </c>
    </row>
    <row r="1470" spans="1:7" x14ac:dyDescent="0.2">
      <c r="A1470" s="2" t="s">
        <v>2145</v>
      </c>
      <c r="B1470" s="2" t="s">
        <v>2151</v>
      </c>
      <c r="C1470" s="2" t="s">
        <v>2152</v>
      </c>
      <c r="D1470" s="2" t="s">
        <v>10</v>
      </c>
      <c r="E1470" s="2" t="s">
        <v>16</v>
      </c>
      <c r="F1470" s="2">
        <v>1</v>
      </c>
      <c r="G1470" s="2" t="s">
        <v>17</v>
      </c>
    </row>
    <row r="1471" spans="1:7" x14ac:dyDescent="0.2">
      <c r="A1471" s="2" t="s">
        <v>2145</v>
      </c>
      <c r="B1471" s="2" t="s">
        <v>2153</v>
      </c>
      <c r="C1471" s="2" t="s">
        <v>2154</v>
      </c>
      <c r="D1471" s="2" t="s">
        <v>10</v>
      </c>
      <c r="E1471" s="2" t="s">
        <v>16</v>
      </c>
      <c r="F1471" s="2">
        <v>1</v>
      </c>
      <c r="G1471" s="2" t="s">
        <v>17</v>
      </c>
    </row>
    <row r="1472" spans="1:7" x14ac:dyDescent="0.2">
      <c r="A1472" s="2" t="s">
        <v>2145</v>
      </c>
      <c r="B1472" s="2" t="s">
        <v>2155</v>
      </c>
      <c r="C1472" s="2" t="s">
        <v>2156</v>
      </c>
      <c r="D1472" s="2" t="s">
        <v>10</v>
      </c>
      <c r="E1472" s="2" t="s">
        <v>16</v>
      </c>
      <c r="F1472" s="2">
        <v>2</v>
      </c>
      <c r="G1472" s="2" t="s">
        <v>17</v>
      </c>
    </row>
    <row r="1473" spans="1:7" x14ac:dyDescent="0.2">
      <c r="A1473" s="2" t="s">
        <v>2145</v>
      </c>
      <c r="B1473" s="2" t="s">
        <v>2157</v>
      </c>
      <c r="C1473" s="2" t="s">
        <v>2156</v>
      </c>
      <c r="D1473" s="2" t="s">
        <v>10</v>
      </c>
      <c r="E1473" s="2" t="s">
        <v>16</v>
      </c>
      <c r="F1473" s="2">
        <v>2</v>
      </c>
      <c r="G1473" s="2" t="s">
        <v>17</v>
      </c>
    </row>
    <row r="1474" spans="1:7" x14ac:dyDescent="0.2">
      <c r="A1474" s="2" t="s">
        <v>2145</v>
      </c>
      <c r="B1474" s="2" t="s">
        <v>2158</v>
      </c>
      <c r="C1474" s="2" t="s">
        <v>2154</v>
      </c>
      <c r="D1474" s="2" t="s">
        <v>10</v>
      </c>
      <c r="E1474" s="2" t="s">
        <v>16</v>
      </c>
      <c r="F1474" s="2">
        <v>1</v>
      </c>
      <c r="G1474" s="2" t="s">
        <v>17</v>
      </c>
    </row>
    <row r="1475" spans="1:7" x14ac:dyDescent="0.2">
      <c r="A1475" s="2" t="s">
        <v>2145</v>
      </c>
      <c r="B1475" s="2" t="s">
        <v>1802</v>
      </c>
      <c r="C1475" s="2" t="s">
        <v>1803</v>
      </c>
      <c r="D1475" s="2" t="s">
        <v>10</v>
      </c>
      <c r="E1475" s="2" t="s">
        <v>16</v>
      </c>
      <c r="F1475" s="2">
        <v>1</v>
      </c>
      <c r="G1475" s="2" t="s">
        <v>17</v>
      </c>
    </row>
    <row r="1476" spans="1:7" x14ac:dyDescent="0.2">
      <c r="A1476" s="2" t="s">
        <v>2145</v>
      </c>
      <c r="B1476" s="2" t="s">
        <v>2159</v>
      </c>
      <c r="C1476" s="2" t="s">
        <v>1803</v>
      </c>
      <c r="D1476" s="2" t="s">
        <v>10</v>
      </c>
      <c r="E1476" s="2" t="s">
        <v>16</v>
      </c>
      <c r="F1476" s="2">
        <v>1</v>
      </c>
      <c r="G1476" s="2" t="s">
        <v>17</v>
      </c>
    </row>
    <row r="1477" spans="1:7" x14ac:dyDescent="0.2">
      <c r="A1477" s="2" t="s">
        <v>2145</v>
      </c>
      <c r="B1477" s="2" t="s">
        <v>1927</v>
      </c>
      <c r="C1477" s="2" t="s">
        <v>1803</v>
      </c>
      <c r="D1477" s="2" t="s">
        <v>10</v>
      </c>
      <c r="E1477" s="2" t="s">
        <v>16</v>
      </c>
      <c r="F1477" s="2">
        <v>1</v>
      </c>
      <c r="G1477" s="2" t="s">
        <v>17</v>
      </c>
    </row>
    <row r="1478" spans="1:7" x14ac:dyDescent="0.2">
      <c r="A1478" s="2" t="s">
        <v>2145</v>
      </c>
      <c r="B1478" s="2" t="s">
        <v>2160</v>
      </c>
      <c r="C1478" s="2" t="s">
        <v>2152</v>
      </c>
      <c r="D1478" s="2" t="s">
        <v>10</v>
      </c>
      <c r="E1478" s="2" t="s">
        <v>16</v>
      </c>
      <c r="F1478" s="2">
        <v>1</v>
      </c>
      <c r="G1478" s="2" t="s">
        <v>17</v>
      </c>
    </row>
    <row r="1479" spans="1:7" x14ac:dyDescent="0.2">
      <c r="A1479" s="2" t="s">
        <v>2145</v>
      </c>
      <c r="B1479" s="2" t="s">
        <v>2161</v>
      </c>
      <c r="C1479" s="2" t="s">
        <v>1833</v>
      </c>
      <c r="D1479" s="2" t="s">
        <v>10</v>
      </c>
      <c r="E1479" s="2" t="s">
        <v>16</v>
      </c>
      <c r="F1479" s="2">
        <v>1</v>
      </c>
      <c r="G1479" s="2" t="s">
        <v>17</v>
      </c>
    </row>
    <row r="1480" spans="1:7" x14ac:dyDescent="0.2">
      <c r="A1480" s="2" t="s">
        <v>2145</v>
      </c>
      <c r="B1480" s="2" t="s">
        <v>2162</v>
      </c>
      <c r="C1480" s="2" t="s">
        <v>1833</v>
      </c>
      <c r="D1480" s="2" t="s">
        <v>10</v>
      </c>
      <c r="E1480" s="2" t="s">
        <v>16</v>
      </c>
      <c r="F1480" s="2">
        <v>1</v>
      </c>
      <c r="G1480" s="2" t="s">
        <v>17</v>
      </c>
    </row>
    <row r="1481" spans="1:7" x14ac:dyDescent="0.2">
      <c r="A1481" s="2" t="s">
        <v>2163</v>
      </c>
      <c r="B1481" s="2" t="s">
        <v>1838</v>
      </c>
      <c r="C1481" s="2" t="s">
        <v>1833</v>
      </c>
      <c r="D1481" s="2" t="s">
        <v>10</v>
      </c>
      <c r="E1481" s="2" t="s">
        <v>16</v>
      </c>
      <c r="F1481" s="2">
        <v>1</v>
      </c>
      <c r="G1481" s="2" t="s">
        <v>17</v>
      </c>
    </row>
    <row r="1482" spans="1:7" x14ac:dyDescent="0.2">
      <c r="A1482" s="2" t="s">
        <v>2163</v>
      </c>
      <c r="B1482" s="2" t="s">
        <v>2146</v>
      </c>
      <c r="C1482" s="2" t="s">
        <v>1833</v>
      </c>
      <c r="D1482" s="2" t="s">
        <v>10</v>
      </c>
      <c r="E1482" s="2" t="s">
        <v>16</v>
      </c>
      <c r="F1482" s="2">
        <v>1</v>
      </c>
      <c r="G1482" s="2" t="s">
        <v>17</v>
      </c>
    </row>
    <row r="1483" spans="1:7" x14ac:dyDescent="0.2">
      <c r="A1483" s="2" t="s">
        <v>2163</v>
      </c>
      <c r="B1483" s="2" t="s">
        <v>2147</v>
      </c>
      <c r="C1483" s="2" t="s">
        <v>1833</v>
      </c>
      <c r="D1483" s="2" t="s">
        <v>10</v>
      </c>
      <c r="E1483" s="2" t="s">
        <v>16</v>
      </c>
      <c r="F1483" s="2">
        <v>1</v>
      </c>
      <c r="G1483" s="2" t="s">
        <v>17</v>
      </c>
    </row>
    <row r="1484" spans="1:7" x14ac:dyDescent="0.2">
      <c r="A1484" s="2" t="s">
        <v>2163</v>
      </c>
      <c r="B1484" s="2" t="s">
        <v>2148</v>
      </c>
      <c r="C1484" s="2" t="s">
        <v>2149</v>
      </c>
      <c r="D1484" s="2" t="s">
        <v>10</v>
      </c>
      <c r="E1484" s="2" t="s">
        <v>16</v>
      </c>
      <c r="F1484" s="2">
        <v>1</v>
      </c>
      <c r="G1484" s="2" t="s">
        <v>17</v>
      </c>
    </row>
    <row r="1485" spans="1:7" x14ac:dyDescent="0.2">
      <c r="A1485" s="2" t="s">
        <v>2163</v>
      </c>
      <c r="B1485" s="2" t="s">
        <v>2150</v>
      </c>
      <c r="C1485" s="2" t="s">
        <v>2149</v>
      </c>
      <c r="D1485" s="2" t="s">
        <v>10</v>
      </c>
      <c r="E1485" s="2" t="s">
        <v>16</v>
      </c>
      <c r="F1485" s="2">
        <v>1</v>
      </c>
      <c r="G1485" s="2" t="s">
        <v>17</v>
      </c>
    </row>
    <row r="1486" spans="1:7" x14ac:dyDescent="0.2">
      <c r="A1486" s="2" t="s">
        <v>2163</v>
      </c>
      <c r="B1486" s="2" t="s">
        <v>2164</v>
      </c>
      <c r="C1486" s="2" t="s">
        <v>2165</v>
      </c>
      <c r="D1486" s="2" t="s">
        <v>10</v>
      </c>
      <c r="E1486" s="2" t="s">
        <v>16</v>
      </c>
      <c r="F1486" s="2">
        <v>1</v>
      </c>
      <c r="G1486" s="2" t="s">
        <v>17</v>
      </c>
    </row>
    <row r="1487" spans="1:7" x14ac:dyDescent="0.2">
      <c r="A1487" s="2" t="s">
        <v>2163</v>
      </c>
      <c r="B1487" s="2" t="s">
        <v>2155</v>
      </c>
      <c r="C1487" s="2" t="s">
        <v>2156</v>
      </c>
      <c r="D1487" s="2" t="s">
        <v>10</v>
      </c>
      <c r="E1487" s="2" t="s">
        <v>16</v>
      </c>
      <c r="F1487" s="2">
        <v>2</v>
      </c>
      <c r="G1487" s="2" t="s">
        <v>17</v>
      </c>
    </row>
    <row r="1488" spans="1:7" x14ac:dyDescent="0.2">
      <c r="A1488" s="2" t="s">
        <v>2163</v>
      </c>
      <c r="B1488" s="2" t="s">
        <v>1800</v>
      </c>
      <c r="C1488" s="2" t="s">
        <v>1801</v>
      </c>
      <c r="D1488" s="2" t="s">
        <v>10</v>
      </c>
      <c r="E1488" s="2" t="s">
        <v>16</v>
      </c>
      <c r="F1488" s="2">
        <v>1</v>
      </c>
      <c r="G1488" s="2" t="s">
        <v>17</v>
      </c>
    </row>
    <row r="1489" spans="1:7" x14ac:dyDescent="0.2">
      <c r="A1489" s="2" t="s">
        <v>2163</v>
      </c>
      <c r="B1489" s="2" t="s">
        <v>1802</v>
      </c>
      <c r="C1489" s="2" t="s">
        <v>1803</v>
      </c>
      <c r="D1489" s="2" t="s">
        <v>10</v>
      </c>
      <c r="E1489" s="2" t="s">
        <v>16</v>
      </c>
      <c r="F1489" s="2">
        <v>1</v>
      </c>
      <c r="G1489" s="2" t="s">
        <v>17</v>
      </c>
    </row>
    <row r="1490" spans="1:7" x14ac:dyDescent="0.2">
      <c r="A1490" s="2" t="s">
        <v>2163</v>
      </c>
      <c r="B1490" s="2" t="s">
        <v>1804</v>
      </c>
      <c r="C1490" s="2" t="s">
        <v>1805</v>
      </c>
      <c r="D1490" s="2" t="s">
        <v>10</v>
      </c>
      <c r="E1490" s="2" t="s">
        <v>16</v>
      </c>
      <c r="F1490" s="2">
        <v>1</v>
      </c>
      <c r="G1490" s="2" t="s">
        <v>17</v>
      </c>
    </row>
    <row r="1491" spans="1:7" x14ac:dyDescent="0.2">
      <c r="A1491" s="2" t="s">
        <v>2163</v>
      </c>
      <c r="B1491" s="2" t="s">
        <v>2166</v>
      </c>
      <c r="C1491" s="2" t="s">
        <v>2165</v>
      </c>
      <c r="D1491" s="2" t="s">
        <v>10</v>
      </c>
      <c r="E1491" s="2" t="s">
        <v>16</v>
      </c>
      <c r="F1491" s="2">
        <v>1</v>
      </c>
      <c r="G1491" s="2" t="s">
        <v>17</v>
      </c>
    </row>
    <row r="1492" spans="1:7" x14ac:dyDescent="0.2">
      <c r="A1492" s="2" t="s">
        <v>2163</v>
      </c>
      <c r="B1492" s="2" t="s">
        <v>2161</v>
      </c>
      <c r="C1492" s="2" t="s">
        <v>1833</v>
      </c>
      <c r="D1492" s="2" t="s">
        <v>10</v>
      </c>
      <c r="E1492" s="2" t="s">
        <v>16</v>
      </c>
      <c r="F1492" s="2">
        <v>1</v>
      </c>
      <c r="G1492" s="2" t="s">
        <v>17</v>
      </c>
    </row>
    <row r="1493" spans="1:7" x14ac:dyDescent="0.2">
      <c r="A1493" s="2" t="s">
        <v>2163</v>
      </c>
      <c r="B1493" s="2" t="s">
        <v>2162</v>
      </c>
      <c r="C1493" s="2" t="s">
        <v>1833</v>
      </c>
      <c r="D1493" s="2" t="s">
        <v>10</v>
      </c>
      <c r="E1493" s="2" t="s">
        <v>16</v>
      </c>
      <c r="F1493" s="2">
        <v>1</v>
      </c>
      <c r="G1493" s="2" t="s">
        <v>17</v>
      </c>
    </row>
    <row r="1494" spans="1:7" x14ac:dyDescent="0.2">
      <c r="A1494" s="2" t="s">
        <v>2167</v>
      </c>
      <c r="B1494" s="2" t="s">
        <v>2168</v>
      </c>
      <c r="C1494" s="2" t="s">
        <v>2169</v>
      </c>
      <c r="D1494" s="2" t="s">
        <v>10</v>
      </c>
      <c r="E1494" s="2" t="s">
        <v>16</v>
      </c>
      <c r="F1494" s="2">
        <v>1</v>
      </c>
      <c r="G1494" s="2" t="s">
        <v>17</v>
      </c>
    </row>
    <row r="1495" spans="1:7" x14ac:dyDescent="0.2">
      <c r="A1495" s="2" t="s">
        <v>2167</v>
      </c>
      <c r="B1495" s="2" t="s">
        <v>1465</v>
      </c>
      <c r="C1495" s="2" t="s">
        <v>1466</v>
      </c>
      <c r="D1495" s="2" t="s">
        <v>10</v>
      </c>
      <c r="E1495" s="2" t="s">
        <v>16</v>
      </c>
      <c r="F1495" s="2">
        <v>1</v>
      </c>
      <c r="G1495" s="2" t="s">
        <v>17</v>
      </c>
    </row>
    <row r="1496" spans="1:7" x14ac:dyDescent="0.2">
      <c r="A1496" s="2" t="s">
        <v>2167</v>
      </c>
      <c r="B1496" s="2" t="s">
        <v>2170</v>
      </c>
      <c r="C1496" s="2" t="s">
        <v>1466</v>
      </c>
      <c r="D1496" s="2" t="s">
        <v>10</v>
      </c>
      <c r="E1496" s="2" t="s">
        <v>16</v>
      </c>
      <c r="F1496" s="2">
        <v>1</v>
      </c>
      <c r="G1496" s="2" t="s">
        <v>17</v>
      </c>
    </row>
    <row r="1497" spans="1:7" x14ac:dyDescent="0.2">
      <c r="A1497" s="2" t="s">
        <v>2167</v>
      </c>
      <c r="B1497" s="2" t="s">
        <v>1467</v>
      </c>
      <c r="C1497" s="2" t="s">
        <v>1466</v>
      </c>
      <c r="D1497" s="2" t="s">
        <v>10</v>
      </c>
      <c r="E1497" s="2" t="s">
        <v>16</v>
      </c>
      <c r="F1497" s="2">
        <v>1</v>
      </c>
      <c r="G1497" s="2" t="s">
        <v>17</v>
      </c>
    </row>
    <row r="1498" spans="1:7" x14ac:dyDescent="0.2">
      <c r="A1498" s="2" t="s">
        <v>2167</v>
      </c>
      <c r="B1498" s="2" t="s">
        <v>1468</v>
      </c>
      <c r="C1498" s="2" t="s">
        <v>1469</v>
      </c>
      <c r="D1498" s="2" t="s">
        <v>10</v>
      </c>
      <c r="E1498" s="2" t="s">
        <v>11</v>
      </c>
      <c r="F1498" s="2">
        <v>1</v>
      </c>
      <c r="G1498" s="2" t="s">
        <v>17</v>
      </c>
    </row>
    <row r="1499" spans="1:7" x14ac:dyDescent="0.2">
      <c r="A1499" s="2" t="s">
        <v>2167</v>
      </c>
      <c r="B1499" s="2" t="s">
        <v>2171</v>
      </c>
      <c r="C1499" s="2" t="s">
        <v>2139</v>
      </c>
      <c r="D1499" s="2" t="s">
        <v>10</v>
      </c>
      <c r="E1499" s="2" t="s">
        <v>52</v>
      </c>
      <c r="F1499" s="2">
        <v>1</v>
      </c>
      <c r="G1499" s="2" t="s">
        <v>17</v>
      </c>
    </row>
    <row r="1500" spans="1:7" x14ac:dyDescent="0.2">
      <c r="A1500" s="2" t="s">
        <v>2167</v>
      </c>
      <c r="B1500" s="2" t="s">
        <v>2172</v>
      </c>
      <c r="C1500" s="2" t="s">
        <v>2173</v>
      </c>
      <c r="D1500" s="2" t="s">
        <v>10</v>
      </c>
      <c r="E1500" s="2" t="s">
        <v>11</v>
      </c>
      <c r="F1500" s="2">
        <v>1</v>
      </c>
      <c r="G1500" s="2" t="s">
        <v>17</v>
      </c>
    </row>
    <row r="1501" spans="1:7" x14ac:dyDescent="0.2">
      <c r="A1501" s="2" t="s">
        <v>2167</v>
      </c>
      <c r="B1501" s="2" t="s">
        <v>2174</v>
      </c>
      <c r="C1501" s="2" t="s">
        <v>2175</v>
      </c>
      <c r="D1501" s="2" t="s">
        <v>10</v>
      </c>
      <c r="E1501" s="2" t="s">
        <v>16</v>
      </c>
      <c r="F1501" s="2">
        <v>1</v>
      </c>
      <c r="G1501" s="2" t="s">
        <v>17</v>
      </c>
    </row>
    <row r="1502" spans="1:7" x14ac:dyDescent="0.2">
      <c r="A1502" s="2" t="s">
        <v>2167</v>
      </c>
      <c r="B1502" s="2" t="s">
        <v>2176</v>
      </c>
      <c r="C1502" s="2" t="s">
        <v>2177</v>
      </c>
      <c r="D1502" s="2" t="s">
        <v>10</v>
      </c>
      <c r="E1502" s="2" t="s">
        <v>16</v>
      </c>
      <c r="F1502" s="2">
        <v>1</v>
      </c>
      <c r="G1502" s="2" t="s">
        <v>17</v>
      </c>
    </row>
    <row r="1503" spans="1:7" x14ac:dyDescent="0.2">
      <c r="A1503" s="2" t="s">
        <v>2167</v>
      </c>
      <c r="B1503" s="2" t="s">
        <v>2178</v>
      </c>
      <c r="C1503" s="2" t="s">
        <v>1466</v>
      </c>
      <c r="D1503" s="2" t="s">
        <v>10</v>
      </c>
      <c r="E1503" s="2" t="s">
        <v>16</v>
      </c>
      <c r="F1503" s="2">
        <v>1</v>
      </c>
      <c r="G1503" s="2" t="s">
        <v>17</v>
      </c>
    </row>
    <row r="1504" spans="1:7" x14ac:dyDescent="0.2">
      <c r="A1504" s="2" t="s">
        <v>2167</v>
      </c>
      <c r="B1504" s="2" t="s">
        <v>1471</v>
      </c>
      <c r="C1504" s="2" t="s">
        <v>1469</v>
      </c>
      <c r="D1504" s="2" t="s">
        <v>10</v>
      </c>
      <c r="E1504" s="2" t="s">
        <v>11</v>
      </c>
      <c r="F1504" s="2">
        <v>1</v>
      </c>
      <c r="G1504" s="2" t="s">
        <v>17</v>
      </c>
    </row>
    <row r="1505" spans="1:7" x14ac:dyDescent="0.2">
      <c r="A1505" s="2" t="s">
        <v>2167</v>
      </c>
      <c r="B1505" s="2" t="s">
        <v>2179</v>
      </c>
      <c r="C1505" s="2" t="s">
        <v>2139</v>
      </c>
      <c r="D1505" s="2" t="s">
        <v>10</v>
      </c>
      <c r="E1505" s="2" t="s">
        <v>52</v>
      </c>
      <c r="F1505" s="2">
        <v>1</v>
      </c>
      <c r="G1505" s="2" t="s">
        <v>17</v>
      </c>
    </row>
    <row r="1506" spans="1:7" x14ac:dyDescent="0.2">
      <c r="A1506" s="2" t="s">
        <v>2167</v>
      </c>
      <c r="B1506" s="2" t="s">
        <v>2180</v>
      </c>
      <c r="C1506" s="2" t="s">
        <v>2177</v>
      </c>
      <c r="D1506" s="2" t="s">
        <v>10</v>
      </c>
      <c r="E1506" s="2" t="s">
        <v>16</v>
      </c>
      <c r="F1506" s="2">
        <v>1</v>
      </c>
      <c r="G1506" s="2" t="s">
        <v>17</v>
      </c>
    </row>
    <row r="1507" spans="1:7" x14ac:dyDescent="0.2">
      <c r="A1507" s="2" t="s">
        <v>2181</v>
      </c>
      <c r="B1507" s="2" t="s">
        <v>2182</v>
      </c>
      <c r="C1507" s="2" t="s">
        <v>2183</v>
      </c>
      <c r="D1507" s="2" t="s">
        <v>10</v>
      </c>
      <c r="E1507" s="2" t="s">
        <v>16</v>
      </c>
      <c r="F1507" s="2">
        <v>1</v>
      </c>
      <c r="G1507" s="2" t="s">
        <v>17</v>
      </c>
    </row>
    <row r="1508" spans="1:7" x14ac:dyDescent="0.2">
      <c r="A1508" s="2" t="s">
        <v>2181</v>
      </c>
      <c r="B1508" s="2" t="s">
        <v>2184</v>
      </c>
      <c r="C1508" s="2" t="s">
        <v>2185</v>
      </c>
      <c r="D1508" s="2" t="s">
        <v>10</v>
      </c>
      <c r="E1508" s="2" t="s">
        <v>16</v>
      </c>
      <c r="F1508" s="2">
        <v>2</v>
      </c>
      <c r="G1508" s="2" t="s">
        <v>17</v>
      </c>
    </row>
    <row r="1509" spans="1:7" x14ac:dyDescent="0.2">
      <c r="A1509" s="2" t="s">
        <v>2181</v>
      </c>
      <c r="B1509" s="2" t="s">
        <v>2186</v>
      </c>
      <c r="C1509" s="2" t="s">
        <v>2187</v>
      </c>
      <c r="D1509" s="2" t="s">
        <v>10</v>
      </c>
      <c r="E1509" s="2" t="s">
        <v>52</v>
      </c>
      <c r="F1509" s="2">
        <v>2</v>
      </c>
      <c r="G1509" s="2" t="s">
        <v>17</v>
      </c>
    </row>
    <row r="1510" spans="1:7" x14ac:dyDescent="0.2">
      <c r="A1510" s="2" t="s">
        <v>2181</v>
      </c>
      <c r="B1510" s="2" t="s">
        <v>2188</v>
      </c>
      <c r="C1510" s="2" t="s">
        <v>2189</v>
      </c>
      <c r="D1510" s="2" t="s">
        <v>10</v>
      </c>
      <c r="E1510" s="2" t="s">
        <v>16</v>
      </c>
      <c r="F1510" s="2">
        <v>1</v>
      </c>
      <c r="G1510" s="2" t="s">
        <v>17</v>
      </c>
    </row>
    <row r="1511" spans="1:7" x14ac:dyDescent="0.2">
      <c r="A1511" s="2" t="s">
        <v>2181</v>
      </c>
      <c r="B1511" s="2" t="s">
        <v>2190</v>
      </c>
      <c r="C1511" s="2" t="s">
        <v>2189</v>
      </c>
      <c r="D1511" s="2" t="s">
        <v>10</v>
      </c>
      <c r="E1511" s="2" t="s">
        <v>16</v>
      </c>
      <c r="F1511" s="2">
        <v>1</v>
      </c>
      <c r="G1511" s="2" t="s">
        <v>17</v>
      </c>
    </row>
    <row r="1512" spans="1:7" x14ac:dyDescent="0.2">
      <c r="A1512" s="2" t="s">
        <v>2181</v>
      </c>
      <c r="B1512" s="2" t="s">
        <v>2191</v>
      </c>
      <c r="C1512" s="2" t="s">
        <v>2192</v>
      </c>
      <c r="D1512" s="2" t="s">
        <v>10</v>
      </c>
      <c r="E1512" s="2" t="s">
        <v>16</v>
      </c>
      <c r="F1512" s="2">
        <v>1</v>
      </c>
      <c r="G1512" s="2" t="s">
        <v>17</v>
      </c>
    </row>
    <row r="1513" spans="1:7" x14ac:dyDescent="0.2">
      <c r="A1513" s="2" t="s">
        <v>2181</v>
      </c>
      <c r="B1513" s="2" t="s">
        <v>2193</v>
      </c>
      <c r="C1513" s="2" t="s">
        <v>2192</v>
      </c>
      <c r="D1513" s="2" t="s">
        <v>10</v>
      </c>
      <c r="E1513" s="2" t="s">
        <v>16</v>
      </c>
      <c r="F1513" s="2">
        <v>1</v>
      </c>
      <c r="G1513" s="2" t="s">
        <v>17</v>
      </c>
    </row>
    <row r="1514" spans="1:7" x14ac:dyDescent="0.2">
      <c r="A1514" s="2" t="s">
        <v>2181</v>
      </c>
      <c r="B1514" s="2" t="s">
        <v>2194</v>
      </c>
      <c r="C1514" s="2" t="s">
        <v>2195</v>
      </c>
      <c r="D1514" s="2" t="s">
        <v>10</v>
      </c>
      <c r="E1514" s="2" t="s">
        <v>16</v>
      </c>
      <c r="F1514" s="2">
        <v>1</v>
      </c>
      <c r="G1514" s="2" t="s">
        <v>17</v>
      </c>
    </row>
    <row r="1515" spans="1:7" x14ac:dyDescent="0.2">
      <c r="A1515" s="2" t="s">
        <v>2181</v>
      </c>
      <c r="B1515" s="2" t="s">
        <v>2196</v>
      </c>
      <c r="C1515" s="2" t="s">
        <v>2195</v>
      </c>
      <c r="D1515" s="2" t="s">
        <v>10</v>
      </c>
      <c r="E1515" s="2" t="s">
        <v>16</v>
      </c>
      <c r="F1515" s="2">
        <v>1</v>
      </c>
      <c r="G1515" s="2" t="s">
        <v>17</v>
      </c>
    </row>
    <row r="1516" spans="1:7" x14ac:dyDescent="0.2">
      <c r="A1516" s="2" t="s">
        <v>2181</v>
      </c>
      <c r="B1516" s="2" t="s">
        <v>2197</v>
      </c>
      <c r="C1516" s="2" t="s">
        <v>2198</v>
      </c>
      <c r="D1516" s="2" t="s">
        <v>10</v>
      </c>
      <c r="E1516" s="2" t="s">
        <v>16</v>
      </c>
      <c r="F1516" s="2">
        <v>1</v>
      </c>
      <c r="G1516" s="2" t="s">
        <v>17</v>
      </c>
    </row>
    <row r="1517" spans="1:7" x14ac:dyDescent="0.2">
      <c r="A1517" s="2" t="s">
        <v>2181</v>
      </c>
      <c r="B1517" s="2" t="s">
        <v>2199</v>
      </c>
      <c r="C1517" s="2" t="s">
        <v>2198</v>
      </c>
      <c r="D1517" s="2" t="s">
        <v>10</v>
      </c>
      <c r="E1517" s="2" t="s">
        <v>16</v>
      </c>
      <c r="F1517" s="2">
        <v>1</v>
      </c>
      <c r="G1517" s="2" t="s">
        <v>17</v>
      </c>
    </row>
    <row r="1518" spans="1:7" x14ac:dyDescent="0.2">
      <c r="A1518" s="2" t="s">
        <v>2181</v>
      </c>
      <c r="B1518" s="2" t="s">
        <v>2200</v>
      </c>
      <c r="C1518" s="2" t="s">
        <v>2201</v>
      </c>
      <c r="D1518" s="2" t="s">
        <v>10</v>
      </c>
      <c r="E1518" s="2" t="s">
        <v>16</v>
      </c>
      <c r="F1518" s="2">
        <v>1</v>
      </c>
      <c r="G1518" s="2" t="s">
        <v>17</v>
      </c>
    </row>
    <row r="1519" spans="1:7" x14ac:dyDescent="0.2">
      <c r="A1519" s="2" t="s">
        <v>2181</v>
      </c>
      <c r="B1519" s="2" t="s">
        <v>2202</v>
      </c>
      <c r="C1519" s="2" t="s">
        <v>1413</v>
      </c>
      <c r="D1519" s="2" t="s">
        <v>10</v>
      </c>
      <c r="E1519" s="2" t="s">
        <v>52</v>
      </c>
      <c r="F1519" s="2">
        <v>1</v>
      </c>
      <c r="G1519" s="2" t="s">
        <v>17</v>
      </c>
    </row>
    <row r="1520" spans="1:7" x14ac:dyDescent="0.2">
      <c r="A1520" s="2" t="s">
        <v>2181</v>
      </c>
      <c r="B1520" s="2" t="s">
        <v>2203</v>
      </c>
      <c r="C1520" s="2" t="s">
        <v>2204</v>
      </c>
      <c r="D1520" s="2" t="s">
        <v>10</v>
      </c>
      <c r="E1520" s="2" t="s">
        <v>16</v>
      </c>
      <c r="F1520" s="2">
        <v>1</v>
      </c>
      <c r="G1520" s="2" t="s">
        <v>17</v>
      </c>
    </row>
    <row r="1521" spans="1:7" x14ac:dyDescent="0.2">
      <c r="A1521" s="2" t="s">
        <v>2181</v>
      </c>
      <c r="B1521" s="2" t="s">
        <v>2205</v>
      </c>
      <c r="C1521" s="2" t="s">
        <v>2206</v>
      </c>
      <c r="D1521" s="2" t="s">
        <v>10</v>
      </c>
      <c r="E1521" s="2" t="s">
        <v>16</v>
      </c>
      <c r="F1521" s="2">
        <v>2</v>
      </c>
      <c r="G1521" s="2" t="s">
        <v>17</v>
      </c>
    </row>
    <row r="1522" spans="1:7" x14ac:dyDescent="0.2">
      <c r="A1522" s="2" t="s">
        <v>2181</v>
      </c>
      <c r="B1522" s="2" t="s">
        <v>2207</v>
      </c>
      <c r="C1522" s="2" t="s">
        <v>2208</v>
      </c>
      <c r="D1522" s="2" t="s">
        <v>10</v>
      </c>
      <c r="E1522" s="2" t="s">
        <v>16</v>
      </c>
      <c r="F1522" s="2">
        <v>2</v>
      </c>
      <c r="G1522" s="2" t="s">
        <v>17</v>
      </c>
    </row>
    <row r="1523" spans="1:7" x14ac:dyDescent="0.2">
      <c r="A1523" s="2" t="s">
        <v>2181</v>
      </c>
      <c r="B1523" s="2" t="s">
        <v>2209</v>
      </c>
      <c r="C1523" s="2" t="s">
        <v>2210</v>
      </c>
      <c r="D1523" s="2" t="s">
        <v>10</v>
      </c>
      <c r="E1523" s="2" t="s">
        <v>16</v>
      </c>
      <c r="F1523" s="2">
        <v>2</v>
      </c>
      <c r="G1523" s="2" t="s">
        <v>17</v>
      </c>
    </row>
    <row r="1524" spans="1:7" x14ac:dyDescent="0.2">
      <c r="A1524" s="2" t="s">
        <v>2181</v>
      </c>
      <c r="B1524" s="2" t="s">
        <v>2211</v>
      </c>
      <c r="C1524" s="2" t="s">
        <v>2212</v>
      </c>
      <c r="D1524" s="2" t="s">
        <v>10</v>
      </c>
      <c r="E1524" s="2" t="s">
        <v>16</v>
      </c>
      <c r="F1524" s="2">
        <v>2</v>
      </c>
      <c r="G1524" s="2" t="s">
        <v>17</v>
      </c>
    </row>
    <row r="1525" spans="1:7" x14ac:dyDescent="0.2">
      <c r="A1525" s="2" t="s">
        <v>2181</v>
      </c>
      <c r="B1525" s="2" t="s">
        <v>2213</v>
      </c>
      <c r="C1525" s="2" t="s">
        <v>2214</v>
      </c>
      <c r="D1525" s="2" t="s">
        <v>10</v>
      </c>
      <c r="E1525" s="2" t="s">
        <v>16</v>
      </c>
      <c r="F1525" s="2">
        <v>2</v>
      </c>
      <c r="G1525" s="2" t="s">
        <v>17</v>
      </c>
    </row>
    <row r="1526" spans="1:7" x14ac:dyDescent="0.2">
      <c r="A1526" s="2" t="s">
        <v>2181</v>
      </c>
      <c r="B1526" s="2" t="s">
        <v>2215</v>
      </c>
      <c r="C1526" s="2" t="s">
        <v>2216</v>
      </c>
      <c r="D1526" s="2" t="s">
        <v>10</v>
      </c>
      <c r="E1526" s="2" t="s">
        <v>16</v>
      </c>
      <c r="F1526" s="2">
        <v>2</v>
      </c>
      <c r="G1526" s="2" t="s">
        <v>17</v>
      </c>
    </row>
    <row r="1527" spans="1:7" x14ac:dyDescent="0.2">
      <c r="A1527" s="2" t="s">
        <v>2181</v>
      </c>
      <c r="B1527" s="2" t="s">
        <v>2217</v>
      </c>
      <c r="C1527" s="2" t="s">
        <v>2218</v>
      </c>
      <c r="D1527" s="2" t="s">
        <v>10</v>
      </c>
      <c r="E1527" s="2" t="s">
        <v>16</v>
      </c>
      <c r="F1527" s="2">
        <v>2</v>
      </c>
      <c r="G1527" s="2" t="s">
        <v>17</v>
      </c>
    </row>
    <row r="1528" spans="1:7" x14ac:dyDescent="0.2">
      <c r="A1528" s="2" t="s">
        <v>2181</v>
      </c>
      <c r="B1528" s="2" t="s">
        <v>2219</v>
      </c>
      <c r="C1528" s="2" t="s">
        <v>2220</v>
      </c>
      <c r="D1528" s="2" t="s">
        <v>10</v>
      </c>
      <c r="E1528" s="2" t="s">
        <v>16</v>
      </c>
      <c r="F1528" s="2">
        <v>2</v>
      </c>
      <c r="G1528" s="2" t="s">
        <v>17</v>
      </c>
    </row>
    <row r="1529" spans="1:7" x14ac:dyDescent="0.2">
      <c r="A1529" s="2" t="s">
        <v>2181</v>
      </c>
      <c r="B1529" s="2" t="s">
        <v>2221</v>
      </c>
      <c r="C1529" s="2" t="s">
        <v>2222</v>
      </c>
      <c r="D1529" s="2" t="s">
        <v>10</v>
      </c>
      <c r="E1529" s="2" t="s">
        <v>16</v>
      </c>
      <c r="F1529" s="2">
        <v>1</v>
      </c>
      <c r="G1529" s="2" t="s">
        <v>17</v>
      </c>
    </row>
    <row r="1530" spans="1:7" x14ac:dyDescent="0.2">
      <c r="A1530" s="2" t="s">
        <v>2181</v>
      </c>
      <c r="B1530" s="2" t="s">
        <v>2223</v>
      </c>
      <c r="C1530" s="2" t="s">
        <v>2224</v>
      </c>
      <c r="D1530" s="2" t="s">
        <v>10</v>
      </c>
      <c r="E1530" s="2" t="s">
        <v>16</v>
      </c>
      <c r="F1530" s="2">
        <v>2</v>
      </c>
      <c r="G1530" s="2" t="s">
        <v>17</v>
      </c>
    </row>
    <row r="1531" spans="1:7" x14ac:dyDescent="0.2">
      <c r="A1531" s="2" t="s">
        <v>2181</v>
      </c>
      <c r="B1531" s="2" t="s">
        <v>2225</v>
      </c>
      <c r="C1531" s="2" t="s">
        <v>2224</v>
      </c>
      <c r="D1531" s="2" t="s">
        <v>10</v>
      </c>
      <c r="E1531" s="2" t="s">
        <v>16</v>
      </c>
      <c r="F1531" s="2">
        <v>2</v>
      </c>
      <c r="G1531" s="2" t="s">
        <v>17</v>
      </c>
    </row>
    <row r="1532" spans="1:7" x14ac:dyDescent="0.2">
      <c r="A1532" s="2" t="s">
        <v>2181</v>
      </c>
      <c r="B1532" s="2" t="s">
        <v>2226</v>
      </c>
      <c r="C1532" s="2" t="s">
        <v>2227</v>
      </c>
      <c r="D1532" s="2" t="s">
        <v>10</v>
      </c>
      <c r="E1532" s="2" t="s">
        <v>16</v>
      </c>
      <c r="F1532" s="2">
        <v>2</v>
      </c>
      <c r="G1532" s="2" t="s">
        <v>17</v>
      </c>
    </row>
    <row r="1533" spans="1:7" x14ac:dyDescent="0.2">
      <c r="A1533" s="2" t="s">
        <v>2181</v>
      </c>
      <c r="B1533" s="2" t="s">
        <v>2228</v>
      </c>
      <c r="C1533" s="2" t="s">
        <v>2229</v>
      </c>
      <c r="D1533" s="2" t="s">
        <v>10</v>
      </c>
      <c r="E1533" s="2" t="s">
        <v>52</v>
      </c>
      <c r="F1533" s="2">
        <v>2</v>
      </c>
      <c r="G1533" s="2" t="s">
        <v>17</v>
      </c>
    </row>
    <row r="1534" spans="1:7" x14ac:dyDescent="0.2">
      <c r="A1534" s="2" t="s">
        <v>2181</v>
      </c>
      <c r="B1534" s="2" t="s">
        <v>2230</v>
      </c>
      <c r="C1534" s="2" t="s">
        <v>2229</v>
      </c>
      <c r="D1534" s="2" t="s">
        <v>10</v>
      </c>
      <c r="E1534" s="2" t="s">
        <v>52</v>
      </c>
      <c r="F1534" s="2">
        <v>2</v>
      </c>
      <c r="G1534" s="2" t="s">
        <v>17</v>
      </c>
    </row>
    <row r="1535" spans="1:7" x14ac:dyDescent="0.2">
      <c r="A1535" s="2" t="s">
        <v>2181</v>
      </c>
      <c r="B1535" s="2" t="s">
        <v>2231</v>
      </c>
      <c r="C1535" s="2" t="s">
        <v>2229</v>
      </c>
      <c r="D1535" s="2" t="s">
        <v>10</v>
      </c>
      <c r="E1535" s="2" t="s">
        <v>52</v>
      </c>
      <c r="F1535" s="2">
        <v>2</v>
      </c>
      <c r="G1535" s="2" t="s">
        <v>17</v>
      </c>
    </row>
    <row r="1536" spans="1:7" x14ac:dyDescent="0.2">
      <c r="A1536" s="2" t="s">
        <v>2181</v>
      </c>
      <c r="B1536" s="2" t="s">
        <v>2232</v>
      </c>
      <c r="C1536" s="2" t="s">
        <v>2229</v>
      </c>
      <c r="D1536" s="2" t="s">
        <v>10</v>
      </c>
      <c r="E1536" s="2" t="s">
        <v>52</v>
      </c>
      <c r="F1536" s="2">
        <v>2</v>
      </c>
      <c r="G1536" s="2" t="s">
        <v>17</v>
      </c>
    </row>
    <row r="1537" spans="1:7" x14ac:dyDescent="0.2">
      <c r="A1537" s="2" t="s">
        <v>2181</v>
      </c>
      <c r="B1537" s="2" t="s">
        <v>2233</v>
      </c>
      <c r="C1537" s="2" t="s">
        <v>2234</v>
      </c>
      <c r="D1537" s="2" t="s">
        <v>10</v>
      </c>
      <c r="E1537" s="2" t="s">
        <v>52</v>
      </c>
      <c r="F1537" s="2">
        <v>2</v>
      </c>
      <c r="G1537" s="2" t="s">
        <v>17</v>
      </c>
    </row>
    <row r="1538" spans="1:7" x14ac:dyDescent="0.2">
      <c r="A1538" s="2" t="s">
        <v>2181</v>
      </c>
      <c r="B1538" s="2" t="s">
        <v>2235</v>
      </c>
      <c r="C1538" s="2" t="s">
        <v>2234</v>
      </c>
      <c r="D1538" s="2" t="s">
        <v>10</v>
      </c>
      <c r="E1538" s="2" t="s">
        <v>52</v>
      </c>
      <c r="F1538" s="2">
        <v>2</v>
      </c>
      <c r="G1538" s="2" t="s">
        <v>17</v>
      </c>
    </row>
    <row r="1539" spans="1:7" x14ac:dyDescent="0.2">
      <c r="A1539" s="2" t="s">
        <v>2181</v>
      </c>
      <c r="B1539" s="2" t="s">
        <v>2236</v>
      </c>
      <c r="C1539" s="2" t="s">
        <v>2234</v>
      </c>
      <c r="D1539" s="2" t="s">
        <v>10</v>
      </c>
      <c r="E1539" s="2" t="s">
        <v>52</v>
      </c>
      <c r="F1539" s="2">
        <v>2</v>
      </c>
      <c r="G1539" s="2" t="s">
        <v>17</v>
      </c>
    </row>
    <row r="1540" spans="1:7" x14ac:dyDescent="0.2">
      <c r="A1540" s="2" t="s">
        <v>2181</v>
      </c>
      <c r="B1540" s="2" t="s">
        <v>2237</v>
      </c>
      <c r="C1540" s="2" t="s">
        <v>2234</v>
      </c>
      <c r="D1540" s="2" t="s">
        <v>10</v>
      </c>
      <c r="E1540" s="2" t="s">
        <v>52</v>
      </c>
      <c r="F1540" s="2">
        <v>2</v>
      </c>
      <c r="G1540" s="2" t="s">
        <v>17</v>
      </c>
    </row>
    <row r="1541" spans="1:7" x14ac:dyDescent="0.2">
      <c r="A1541" s="2" t="s">
        <v>2181</v>
      </c>
      <c r="B1541" s="2" t="s">
        <v>2238</v>
      </c>
      <c r="C1541" s="2" t="s">
        <v>2234</v>
      </c>
      <c r="D1541" s="2" t="s">
        <v>10</v>
      </c>
      <c r="E1541" s="2" t="s">
        <v>52</v>
      </c>
      <c r="F1541" s="2">
        <v>2</v>
      </c>
      <c r="G1541" s="2" t="s">
        <v>17</v>
      </c>
    </row>
    <row r="1542" spans="1:7" x14ac:dyDescent="0.2">
      <c r="A1542" s="2" t="s">
        <v>2181</v>
      </c>
      <c r="B1542" s="2" t="s">
        <v>2239</v>
      </c>
      <c r="C1542" s="2" t="s">
        <v>2240</v>
      </c>
      <c r="D1542" s="2" t="s">
        <v>10</v>
      </c>
      <c r="E1542" s="2" t="s">
        <v>52</v>
      </c>
      <c r="F1542" s="2">
        <v>2</v>
      </c>
      <c r="G1542" s="2" t="s">
        <v>17</v>
      </c>
    </row>
    <row r="1543" spans="1:7" x14ac:dyDescent="0.2">
      <c r="A1543" s="2" t="s">
        <v>2181</v>
      </c>
      <c r="B1543" s="2" t="s">
        <v>2241</v>
      </c>
      <c r="C1543" s="2" t="s">
        <v>2234</v>
      </c>
      <c r="D1543" s="2" t="s">
        <v>10</v>
      </c>
      <c r="E1543" s="2" t="s">
        <v>52</v>
      </c>
      <c r="F1543" s="2">
        <v>2</v>
      </c>
      <c r="G1543" s="2" t="s">
        <v>17</v>
      </c>
    </row>
    <row r="1544" spans="1:7" x14ac:dyDescent="0.2">
      <c r="A1544" s="2" t="s">
        <v>2181</v>
      </c>
      <c r="B1544" s="2" t="s">
        <v>2242</v>
      </c>
      <c r="C1544" s="2" t="s">
        <v>2243</v>
      </c>
      <c r="D1544" s="2" t="s">
        <v>10</v>
      </c>
      <c r="E1544" s="2" t="s">
        <v>16</v>
      </c>
      <c r="F1544" s="2">
        <v>2</v>
      </c>
      <c r="G1544" s="2" t="s">
        <v>17</v>
      </c>
    </row>
    <row r="1545" spans="1:7" x14ac:dyDescent="0.2">
      <c r="A1545" s="2" t="s">
        <v>2181</v>
      </c>
      <c r="B1545" s="2" t="s">
        <v>2244</v>
      </c>
      <c r="C1545" s="2" t="s">
        <v>2245</v>
      </c>
      <c r="D1545" s="2" t="s">
        <v>10</v>
      </c>
      <c r="E1545" s="2" t="s">
        <v>52</v>
      </c>
      <c r="F1545" s="2">
        <v>2</v>
      </c>
      <c r="G1545" s="2" t="s">
        <v>17</v>
      </c>
    </row>
    <row r="1546" spans="1:7" x14ac:dyDescent="0.2">
      <c r="A1546" s="2" t="s">
        <v>2181</v>
      </c>
      <c r="B1546" s="2" t="s">
        <v>2246</v>
      </c>
      <c r="C1546" s="2" t="s">
        <v>2247</v>
      </c>
      <c r="D1546" s="2" t="s">
        <v>10</v>
      </c>
      <c r="E1546" s="2" t="s">
        <v>52</v>
      </c>
      <c r="F1546" s="2">
        <v>2</v>
      </c>
      <c r="G1546" s="2" t="s">
        <v>17</v>
      </c>
    </row>
    <row r="1547" spans="1:7" x14ac:dyDescent="0.2">
      <c r="A1547" s="2" t="s">
        <v>2181</v>
      </c>
      <c r="B1547" s="2" t="s">
        <v>2248</v>
      </c>
      <c r="C1547" s="2" t="s">
        <v>2249</v>
      </c>
      <c r="D1547" s="2" t="s">
        <v>10</v>
      </c>
      <c r="E1547" s="2" t="s">
        <v>52</v>
      </c>
      <c r="F1547" s="2">
        <v>2</v>
      </c>
      <c r="G1547" s="2" t="s">
        <v>1058</v>
      </c>
    </row>
    <row r="1548" spans="1:7" x14ac:dyDescent="0.2">
      <c r="A1548" s="2" t="s">
        <v>2181</v>
      </c>
      <c r="B1548" s="2" t="s">
        <v>2250</v>
      </c>
      <c r="C1548" s="2" t="s">
        <v>2251</v>
      </c>
      <c r="D1548" s="2" t="s">
        <v>10</v>
      </c>
      <c r="E1548" s="2" t="s">
        <v>52</v>
      </c>
      <c r="F1548" s="2">
        <v>2</v>
      </c>
      <c r="G1548" s="2" t="s">
        <v>1058</v>
      </c>
    </row>
    <row r="1549" spans="1:7" x14ac:dyDescent="0.2">
      <c r="A1549" s="2" t="s">
        <v>2181</v>
      </c>
      <c r="B1549" s="2" t="s">
        <v>2252</v>
      </c>
      <c r="C1549" s="2" t="s">
        <v>2253</v>
      </c>
      <c r="D1549" s="2" t="s">
        <v>10</v>
      </c>
      <c r="E1549" s="2" t="s">
        <v>52</v>
      </c>
      <c r="F1549" s="2">
        <v>2</v>
      </c>
      <c r="G1549" s="2" t="s">
        <v>17</v>
      </c>
    </row>
    <row r="1550" spans="1:7" x14ac:dyDescent="0.2">
      <c r="A1550" s="2" t="s">
        <v>2181</v>
      </c>
      <c r="B1550" s="2" t="s">
        <v>2254</v>
      </c>
      <c r="C1550" s="2" t="s">
        <v>2255</v>
      </c>
      <c r="D1550" s="2" t="s">
        <v>10</v>
      </c>
      <c r="E1550" s="2" t="s">
        <v>11</v>
      </c>
      <c r="F1550" s="2">
        <v>2</v>
      </c>
      <c r="G1550" s="2" t="s">
        <v>12</v>
      </c>
    </row>
    <row r="1551" spans="1:7" x14ac:dyDescent="0.2">
      <c r="A1551" s="2" t="s">
        <v>2181</v>
      </c>
      <c r="B1551" s="2">
        <v>1074</v>
      </c>
      <c r="C1551" s="2" t="s">
        <v>2256</v>
      </c>
      <c r="D1551" s="2" t="s">
        <v>10</v>
      </c>
      <c r="E1551" s="2" t="s">
        <v>16</v>
      </c>
      <c r="F1551" s="2">
        <v>1</v>
      </c>
      <c r="G1551" s="2" t="s">
        <v>17</v>
      </c>
    </row>
    <row r="1552" spans="1:7" x14ac:dyDescent="0.2">
      <c r="A1552" s="2" t="s">
        <v>2181</v>
      </c>
      <c r="B1552" s="2">
        <v>1079</v>
      </c>
      <c r="C1552" s="2" t="s">
        <v>2256</v>
      </c>
      <c r="D1552" s="2" t="s">
        <v>10</v>
      </c>
      <c r="E1552" s="2" t="s">
        <v>16</v>
      </c>
      <c r="F1552" s="2">
        <v>1</v>
      </c>
      <c r="G1552" s="2" t="s">
        <v>17</v>
      </c>
    </row>
    <row r="1553" spans="1:7" x14ac:dyDescent="0.2">
      <c r="A1553" s="2" t="s">
        <v>2181</v>
      </c>
      <c r="B1553" s="2" t="s">
        <v>2257</v>
      </c>
      <c r="C1553" s="2" t="s">
        <v>2249</v>
      </c>
      <c r="D1553" s="2" t="s">
        <v>10</v>
      </c>
      <c r="E1553" s="2" t="s">
        <v>52</v>
      </c>
      <c r="F1553" s="2">
        <v>2</v>
      </c>
      <c r="G1553" s="2" t="s">
        <v>1058</v>
      </c>
    </row>
    <row r="1554" spans="1:7" x14ac:dyDescent="0.2">
      <c r="A1554" s="2" t="s">
        <v>2181</v>
      </c>
      <c r="B1554" s="2">
        <v>1900</v>
      </c>
      <c r="C1554" s="2" t="s">
        <v>2258</v>
      </c>
      <c r="D1554" s="2" t="s">
        <v>10</v>
      </c>
      <c r="E1554" s="2" t="s">
        <v>52</v>
      </c>
      <c r="F1554" s="2">
        <v>2</v>
      </c>
      <c r="G1554" s="2" t="s">
        <v>12</v>
      </c>
    </row>
    <row r="1555" spans="1:7" x14ac:dyDescent="0.2">
      <c r="A1555" s="2" t="s">
        <v>2181</v>
      </c>
      <c r="B1555" s="2" t="s">
        <v>2259</v>
      </c>
      <c r="C1555" s="2" t="s">
        <v>2260</v>
      </c>
      <c r="D1555" s="2" t="s">
        <v>10</v>
      </c>
      <c r="E1555" s="2" t="s">
        <v>52</v>
      </c>
      <c r="F1555" s="2">
        <v>2</v>
      </c>
      <c r="G1555" s="2" t="s">
        <v>17</v>
      </c>
    </row>
    <row r="1556" spans="1:7" x14ac:dyDescent="0.2">
      <c r="A1556" s="2" t="s">
        <v>2181</v>
      </c>
      <c r="B1556" s="2" t="s">
        <v>2261</v>
      </c>
      <c r="C1556" s="2" t="s">
        <v>2245</v>
      </c>
      <c r="D1556" s="2" t="s">
        <v>10</v>
      </c>
      <c r="E1556" s="2" t="s">
        <v>52</v>
      </c>
      <c r="F1556" s="2">
        <v>2</v>
      </c>
      <c r="G1556" s="2" t="s">
        <v>17</v>
      </c>
    </row>
    <row r="1557" spans="1:7" x14ac:dyDescent="0.2">
      <c r="A1557" s="2" t="s">
        <v>2181</v>
      </c>
      <c r="B1557" s="2" t="s">
        <v>2262</v>
      </c>
      <c r="C1557" s="2" t="s">
        <v>2185</v>
      </c>
      <c r="D1557" s="2" t="s">
        <v>10</v>
      </c>
      <c r="E1557" s="2" t="s">
        <v>16</v>
      </c>
      <c r="F1557" s="2">
        <v>2</v>
      </c>
      <c r="G1557" s="2" t="s">
        <v>17</v>
      </c>
    </row>
    <row r="1558" spans="1:7" x14ac:dyDescent="0.2">
      <c r="A1558" s="2" t="s">
        <v>2181</v>
      </c>
      <c r="B1558" s="2" t="s">
        <v>2263</v>
      </c>
      <c r="C1558" s="2" t="s">
        <v>2185</v>
      </c>
      <c r="D1558" s="2" t="s">
        <v>10</v>
      </c>
      <c r="E1558" s="2" t="s">
        <v>16</v>
      </c>
      <c r="F1558" s="2">
        <v>2</v>
      </c>
      <c r="G1558" s="2" t="s">
        <v>17</v>
      </c>
    </row>
    <row r="1559" spans="1:7" x14ac:dyDescent="0.2">
      <c r="A1559" s="2" t="s">
        <v>2181</v>
      </c>
      <c r="B1559" s="2" t="s">
        <v>2264</v>
      </c>
      <c r="C1559" s="2" t="s">
        <v>2208</v>
      </c>
      <c r="D1559" s="2" t="s">
        <v>10</v>
      </c>
      <c r="E1559" s="2" t="s">
        <v>16</v>
      </c>
      <c r="F1559" s="2">
        <v>2</v>
      </c>
      <c r="G1559" s="2" t="s">
        <v>17</v>
      </c>
    </row>
    <row r="1560" spans="1:7" x14ac:dyDescent="0.2">
      <c r="A1560" s="2" t="s">
        <v>2181</v>
      </c>
      <c r="B1560" s="2" t="s">
        <v>2265</v>
      </c>
      <c r="C1560" s="2" t="s">
        <v>2212</v>
      </c>
      <c r="D1560" s="2" t="s">
        <v>10</v>
      </c>
      <c r="E1560" s="2" t="s">
        <v>16</v>
      </c>
      <c r="F1560" s="2">
        <v>2</v>
      </c>
      <c r="G1560" s="2" t="s">
        <v>17</v>
      </c>
    </row>
    <row r="1561" spans="1:7" x14ac:dyDescent="0.2">
      <c r="A1561" s="2" t="s">
        <v>2181</v>
      </c>
      <c r="B1561" s="2" t="s">
        <v>2266</v>
      </c>
      <c r="C1561" s="2" t="s">
        <v>2198</v>
      </c>
      <c r="D1561" s="2" t="s">
        <v>10</v>
      </c>
      <c r="E1561" s="2" t="s">
        <v>16</v>
      </c>
      <c r="F1561" s="2">
        <v>1</v>
      </c>
      <c r="G1561" s="2" t="s">
        <v>17</v>
      </c>
    </row>
    <row r="1562" spans="1:7" x14ac:dyDescent="0.2">
      <c r="A1562" s="2" t="s">
        <v>2181</v>
      </c>
      <c r="B1562" s="2" t="s">
        <v>2267</v>
      </c>
      <c r="C1562" s="2" t="s">
        <v>2201</v>
      </c>
      <c r="D1562" s="2" t="s">
        <v>10</v>
      </c>
      <c r="E1562" s="2" t="s">
        <v>16</v>
      </c>
      <c r="F1562" s="2">
        <v>1</v>
      </c>
      <c r="G1562" s="2" t="s">
        <v>17</v>
      </c>
    </row>
    <row r="1563" spans="1:7" x14ac:dyDescent="0.2">
      <c r="A1563" s="2" t="s">
        <v>2181</v>
      </c>
      <c r="B1563" s="2" t="s">
        <v>2268</v>
      </c>
      <c r="C1563" s="2" t="s">
        <v>2269</v>
      </c>
      <c r="D1563" s="2" t="s">
        <v>10</v>
      </c>
      <c r="E1563" s="2" t="s">
        <v>16</v>
      </c>
      <c r="F1563" s="2">
        <v>1</v>
      </c>
      <c r="G1563" s="2" t="s">
        <v>17</v>
      </c>
    </row>
    <row r="1564" spans="1:7" x14ac:dyDescent="0.2">
      <c r="A1564" s="2" t="s">
        <v>2181</v>
      </c>
      <c r="B1564" s="2" t="s">
        <v>2270</v>
      </c>
      <c r="C1564" s="2" t="s">
        <v>2269</v>
      </c>
      <c r="D1564" s="2" t="s">
        <v>10</v>
      </c>
      <c r="E1564" s="2" t="s">
        <v>16</v>
      </c>
      <c r="F1564" s="2">
        <v>1</v>
      </c>
      <c r="G1564" s="2" t="s">
        <v>17</v>
      </c>
    </row>
    <row r="1565" spans="1:7" x14ac:dyDescent="0.2">
      <c r="A1565" s="2" t="s">
        <v>2181</v>
      </c>
      <c r="B1565" s="2" t="s">
        <v>2271</v>
      </c>
      <c r="C1565" s="2" t="s">
        <v>1413</v>
      </c>
      <c r="D1565" s="2" t="s">
        <v>10</v>
      </c>
      <c r="E1565" s="2" t="s">
        <v>52</v>
      </c>
      <c r="F1565" s="2">
        <v>1</v>
      </c>
      <c r="G1565" s="2" t="s">
        <v>17</v>
      </c>
    </row>
    <row r="1566" spans="1:7" x14ac:dyDescent="0.2">
      <c r="A1566" s="2" t="s">
        <v>2181</v>
      </c>
      <c r="B1566" s="2" t="s">
        <v>2272</v>
      </c>
      <c r="C1566" s="2" t="s">
        <v>2249</v>
      </c>
      <c r="D1566" s="2" t="s">
        <v>10</v>
      </c>
      <c r="E1566" s="2" t="s">
        <v>52</v>
      </c>
      <c r="F1566" s="2">
        <v>2</v>
      </c>
      <c r="G1566" s="2" t="s">
        <v>1058</v>
      </c>
    </row>
    <row r="1567" spans="1:7" x14ac:dyDescent="0.2">
      <c r="A1567" s="2" t="s">
        <v>2181</v>
      </c>
      <c r="B1567" s="2" t="s">
        <v>2273</v>
      </c>
      <c r="C1567" s="2" t="s">
        <v>2249</v>
      </c>
      <c r="D1567" s="2" t="s">
        <v>10</v>
      </c>
      <c r="E1567" s="2" t="s">
        <v>52</v>
      </c>
      <c r="F1567" s="2">
        <v>2</v>
      </c>
      <c r="G1567" s="2" t="s">
        <v>1058</v>
      </c>
    </row>
    <row r="1568" spans="1:7" x14ac:dyDescent="0.2">
      <c r="A1568" s="2" t="s">
        <v>2181</v>
      </c>
      <c r="B1568" s="2" t="s">
        <v>2274</v>
      </c>
      <c r="C1568" s="2" t="s">
        <v>2249</v>
      </c>
      <c r="D1568" s="2" t="s">
        <v>10</v>
      </c>
      <c r="E1568" s="2" t="s">
        <v>52</v>
      </c>
      <c r="F1568" s="2">
        <v>2</v>
      </c>
      <c r="G1568" s="2" t="s">
        <v>1058</v>
      </c>
    </row>
    <row r="1569" spans="1:7" x14ac:dyDescent="0.2">
      <c r="A1569" s="2" t="s">
        <v>2181</v>
      </c>
      <c r="B1569" s="2" t="s">
        <v>2275</v>
      </c>
      <c r="C1569" s="2" t="s">
        <v>2249</v>
      </c>
      <c r="D1569" s="2" t="s">
        <v>10</v>
      </c>
      <c r="E1569" s="2" t="s">
        <v>52</v>
      </c>
      <c r="F1569" s="2">
        <v>2</v>
      </c>
      <c r="G1569" s="2" t="s">
        <v>1058</v>
      </c>
    </row>
    <row r="1570" spans="1:7" x14ac:dyDescent="0.2">
      <c r="A1570" s="2" t="s">
        <v>2181</v>
      </c>
      <c r="B1570" s="2" t="s">
        <v>2276</v>
      </c>
      <c r="C1570" s="2" t="s">
        <v>2249</v>
      </c>
      <c r="D1570" s="2" t="s">
        <v>10</v>
      </c>
      <c r="E1570" s="2" t="s">
        <v>52</v>
      </c>
      <c r="F1570" s="2">
        <v>2</v>
      </c>
      <c r="G1570" s="2" t="s">
        <v>1058</v>
      </c>
    </row>
    <row r="1571" spans="1:7" x14ac:dyDescent="0.2">
      <c r="A1571" s="2" t="s">
        <v>2181</v>
      </c>
      <c r="B1571" s="2" t="s">
        <v>2277</v>
      </c>
      <c r="C1571" s="2" t="s">
        <v>2258</v>
      </c>
      <c r="D1571" s="2" t="s">
        <v>10</v>
      </c>
      <c r="E1571" s="2" t="s">
        <v>52</v>
      </c>
      <c r="F1571" s="2">
        <v>2</v>
      </c>
      <c r="G1571" s="2" t="s">
        <v>12</v>
      </c>
    </row>
    <row r="1572" spans="1:7" x14ac:dyDescent="0.2">
      <c r="A1572" s="2" t="s">
        <v>2181</v>
      </c>
      <c r="B1572" s="2" t="s">
        <v>2278</v>
      </c>
      <c r="C1572" s="2" t="s">
        <v>2249</v>
      </c>
      <c r="D1572" s="2" t="s">
        <v>10</v>
      </c>
      <c r="E1572" s="2" t="s">
        <v>52</v>
      </c>
      <c r="F1572" s="2">
        <v>2</v>
      </c>
      <c r="G1572" s="2" t="s">
        <v>1058</v>
      </c>
    </row>
    <row r="1573" spans="1:7" x14ac:dyDescent="0.2">
      <c r="A1573" s="2" t="s">
        <v>2181</v>
      </c>
      <c r="B1573" s="2" t="s">
        <v>2279</v>
      </c>
      <c r="C1573" s="2" t="s">
        <v>2249</v>
      </c>
      <c r="D1573" s="2" t="s">
        <v>10</v>
      </c>
      <c r="E1573" s="2" t="s">
        <v>52</v>
      </c>
      <c r="F1573" s="2">
        <v>2</v>
      </c>
      <c r="G1573" s="2" t="s">
        <v>1058</v>
      </c>
    </row>
    <row r="1574" spans="1:7" x14ac:dyDescent="0.2">
      <c r="A1574" s="2" t="s">
        <v>2181</v>
      </c>
      <c r="B1574" s="2" t="s">
        <v>2280</v>
      </c>
      <c r="C1574" s="2" t="s">
        <v>2185</v>
      </c>
      <c r="D1574" s="2" t="s">
        <v>10</v>
      </c>
      <c r="E1574" s="2" t="s">
        <v>16</v>
      </c>
      <c r="F1574" s="2">
        <v>2</v>
      </c>
      <c r="G1574" s="2" t="s">
        <v>17</v>
      </c>
    </row>
    <row r="1575" spans="1:7" x14ac:dyDescent="0.2">
      <c r="A1575" s="2" t="s">
        <v>2181</v>
      </c>
      <c r="B1575" s="2" t="s">
        <v>2281</v>
      </c>
      <c r="C1575" s="2" t="s">
        <v>2208</v>
      </c>
      <c r="D1575" s="2" t="s">
        <v>10</v>
      </c>
      <c r="E1575" s="2" t="s">
        <v>16</v>
      </c>
      <c r="F1575" s="2">
        <v>2</v>
      </c>
      <c r="G1575" s="2" t="s">
        <v>17</v>
      </c>
    </row>
    <row r="1576" spans="1:7" x14ac:dyDescent="0.2">
      <c r="A1576" s="2" t="s">
        <v>2181</v>
      </c>
      <c r="B1576" s="2" t="s">
        <v>2282</v>
      </c>
      <c r="C1576" s="2" t="s">
        <v>2208</v>
      </c>
      <c r="D1576" s="2" t="s">
        <v>10</v>
      </c>
      <c r="E1576" s="2" t="s">
        <v>16</v>
      </c>
      <c r="F1576" s="2">
        <v>2</v>
      </c>
      <c r="G1576" s="2" t="s">
        <v>17</v>
      </c>
    </row>
    <row r="1577" spans="1:7" x14ac:dyDescent="0.2">
      <c r="A1577" s="2" t="s">
        <v>2181</v>
      </c>
      <c r="B1577" s="2" t="s">
        <v>2283</v>
      </c>
      <c r="C1577" s="2" t="s">
        <v>2249</v>
      </c>
      <c r="D1577" s="2" t="s">
        <v>10</v>
      </c>
      <c r="E1577" s="2" t="s">
        <v>52</v>
      </c>
      <c r="F1577" s="2">
        <v>2</v>
      </c>
      <c r="G1577" s="2" t="s">
        <v>1058</v>
      </c>
    </row>
    <row r="1578" spans="1:7" x14ac:dyDescent="0.2">
      <c r="A1578" s="2" t="s">
        <v>2181</v>
      </c>
      <c r="B1578" s="2" t="s">
        <v>2284</v>
      </c>
      <c r="C1578" s="2" t="s">
        <v>2198</v>
      </c>
      <c r="D1578" s="2" t="s">
        <v>10</v>
      </c>
      <c r="E1578" s="2" t="s">
        <v>16</v>
      </c>
      <c r="F1578" s="2">
        <v>1</v>
      </c>
      <c r="G1578" s="2" t="s">
        <v>17</v>
      </c>
    </row>
    <row r="1579" spans="1:7" x14ac:dyDescent="0.2">
      <c r="A1579" s="2" t="s">
        <v>2181</v>
      </c>
      <c r="B1579" s="2" t="s">
        <v>2285</v>
      </c>
      <c r="C1579" s="2" t="s">
        <v>2220</v>
      </c>
      <c r="D1579" s="2" t="s">
        <v>10</v>
      </c>
      <c r="E1579" s="2" t="s">
        <v>16</v>
      </c>
      <c r="F1579" s="2">
        <v>2</v>
      </c>
      <c r="G1579" s="2" t="s">
        <v>17</v>
      </c>
    </row>
    <row r="1580" spans="1:7" x14ac:dyDescent="0.2">
      <c r="A1580" s="2" t="s">
        <v>2181</v>
      </c>
      <c r="B1580" s="2" t="s">
        <v>2286</v>
      </c>
      <c r="C1580" s="2" t="s">
        <v>2214</v>
      </c>
      <c r="D1580" s="2" t="s">
        <v>10</v>
      </c>
      <c r="E1580" s="2" t="s">
        <v>16</v>
      </c>
      <c r="F1580" s="2">
        <v>2</v>
      </c>
      <c r="G1580" s="2" t="s">
        <v>17</v>
      </c>
    </row>
    <row r="1581" spans="1:7" x14ac:dyDescent="0.2">
      <c r="A1581" s="2" t="s">
        <v>2181</v>
      </c>
      <c r="B1581" s="2" t="s">
        <v>2287</v>
      </c>
      <c r="C1581" s="2" t="s">
        <v>2229</v>
      </c>
      <c r="D1581" s="2" t="s">
        <v>10</v>
      </c>
      <c r="E1581" s="2" t="s">
        <v>52</v>
      </c>
      <c r="F1581" s="2">
        <v>2</v>
      </c>
      <c r="G1581" s="2" t="s">
        <v>17</v>
      </c>
    </row>
    <row r="1582" spans="1:7" x14ac:dyDescent="0.2">
      <c r="A1582" s="2" t="s">
        <v>2181</v>
      </c>
      <c r="B1582" s="2" t="s">
        <v>2288</v>
      </c>
      <c r="C1582" s="2" t="s">
        <v>2185</v>
      </c>
      <c r="D1582" s="2" t="s">
        <v>10</v>
      </c>
      <c r="E1582" s="2" t="s">
        <v>16</v>
      </c>
      <c r="F1582" s="2">
        <v>2</v>
      </c>
      <c r="G1582" s="2" t="s">
        <v>17</v>
      </c>
    </row>
    <row r="1583" spans="1:7" x14ac:dyDescent="0.2">
      <c r="A1583" s="2" t="s">
        <v>2181</v>
      </c>
      <c r="B1583" s="2" t="s">
        <v>2289</v>
      </c>
      <c r="C1583" s="2" t="s">
        <v>2249</v>
      </c>
      <c r="D1583" s="2" t="s">
        <v>10</v>
      </c>
      <c r="E1583" s="2" t="s">
        <v>52</v>
      </c>
      <c r="F1583" s="2">
        <v>2</v>
      </c>
      <c r="G1583" s="2" t="s">
        <v>1058</v>
      </c>
    </row>
    <row r="1584" spans="1:7" x14ac:dyDescent="0.2">
      <c r="A1584" s="2" t="s">
        <v>2181</v>
      </c>
      <c r="B1584" s="2" t="s">
        <v>2290</v>
      </c>
      <c r="C1584" s="2" t="s">
        <v>2249</v>
      </c>
      <c r="D1584" s="2" t="s">
        <v>10</v>
      </c>
      <c r="E1584" s="2" t="s">
        <v>52</v>
      </c>
      <c r="F1584" s="2">
        <v>2</v>
      </c>
      <c r="G1584" s="2" t="s">
        <v>1058</v>
      </c>
    </row>
    <row r="1585" spans="1:7" x14ac:dyDescent="0.2">
      <c r="A1585" s="2" t="s">
        <v>2181</v>
      </c>
      <c r="B1585" s="2" t="s">
        <v>2291</v>
      </c>
      <c r="C1585" s="2" t="s">
        <v>2255</v>
      </c>
      <c r="D1585" s="2" t="s">
        <v>10</v>
      </c>
      <c r="E1585" s="2" t="s">
        <v>11</v>
      </c>
      <c r="F1585" s="2">
        <v>2</v>
      </c>
      <c r="G1585" s="2" t="s">
        <v>12</v>
      </c>
    </row>
    <row r="1586" spans="1:7" x14ac:dyDescent="0.2">
      <c r="A1586" s="2" t="s">
        <v>2181</v>
      </c>
      <c r="B1586" s="2" t="s">
        <v>2292</v>
      </c>
      <c r="C1586" s="2" t="s">
        <v>2249</v>
      </c>
      <c r="D1586" s="2" t="s">
        <v>10</v>
      </c>
      <c r="E1586" s="2" t="s">
        <v>52</v>
      </c>
      <c r="F1586" s="2">
        <v>2</v>
      </c>
      <c r="G1586" s="2" t="s">
        <v>1058</v>
      </c>
    </row>
    <row r="1587" spans="1:7" x14ac:dyDescent="0.2">
      <c r="A1587" s="2" t="s">
        <v>2181</v>
      </c>
      <c r="B1587" s="2" t="s">
        <v>2293</v>
      </c>
      <c r="C1587" s="2" t="s">
        <v>2185</v>
      </c>
      <c r="D1587" s="2" t="s">
        <v>10</v>
      </c>
      <c r="E1587" s="2" t="s">
        <v>16</v>
      </c>
      <c r="F1587" s="2">
        <v>2</v>
      </c>
      <c r="G1587" s="2" t="s">
        <v>17</v>
      </c>
    </row>
    <row r="1588" spans="1:7" x14ac:dyDescent="0.2">
      <c r="A1588" s="2" t="s">
        <v>2181</v>
      </c>
      <c r="B1588" s="2" t="s">
        <v>2294</v>
      </c>
      <c r="C1588" s="2" t="s">
        <v>2229</v>
      </c>
      <c r="D1588" s="2" t="s">
        <v>10</v>
      </c>
      <c r="E1588" s="2" t="s">
        <v>52</v>
      </c>
      <c r="F1588" s="2">
        <v>2</v>
      </c>
      <c r="G1588" s="2" t="s">
        <v>17</v>
      </c>
    </row>
    <row r="1589" spans="1:7" x14ac:dyDescent="0.2">
      <c r="A1589" s="2" t="s">
        <v>2181</v>
      </c>
      <c r="B1589" s="2" t="s">
        <v>2295</v>
      </c>
      <c r="C1589" s="2" t="s">
        <v>2185</v>
      </c>
      <c r="D1589" s="2" t="s">
        <v>10</v>
      </c>
      <c r="E1589" s="2" t="s">
        <v>16</v>
      </c>
      <c r="F1589" s="2">
        <v>2</v>
      </c>
      <c r="G1589" s="2" t="s">
        <v>17</v>
      </c>
    </row>
    <row r="1590" spans="1:7" x14ac:dyDescent="0.2">
      <c r="A1590" s="2" t="s">
        <v>2181</v>
      </c>
      <c r="B1590" s="2" t="s">
        <v>2296</v>
      </c>
      <c r="C1590" s="2" t="s">
        <v>2234</v>
      </c>
      <c r="D1590" s="2" t="s">
        <v>10</v>
      </c>
      <c r="E1590" s="2" t="s">
        <v>52</v>
      </c>
      <c r="F1590" s="2">
        <v>2</v>
      </c>
      <c r="G1590" s="2" t="s">
        <v>17</v>
      </c>
    </row>
    <row r="1591" spans="1:7" x14ac:dyDescent="0.2">
      <c r="A1591" s="2" t="s">
        <v>2181</v>
      </c>
      <c r="B1591" s="2" t="s">
        <v>2297</v>
      </c>
      <c r="C1591" s="2" t="s">
        <v>2247</v>
      </c>
      <c r="D1591" s="2" t="s">
        <v>10</v>
      </c>
      <c r="E1591" s="2" t="s">
        <v>52</v>
      </c>
      <c r="F1591" s="2">
        <v>2</v>
      </c>
      <c r="G1591" s="2" t="s">
        <v>17</v>
      </c>
    </row>
    <row r="1592" spans="1:7" x14ac:dyDescent="0.2">
      <c r="A1592" s="2" t="s">
        <v>2181</v>
      </c>
      <c r="B1592" s="2" t="s">
        <v>2298</v>
      </c>
      <c r="C1592" s="2" t="s">
        <v>2240</v>
      </c>
      <c r="D1592" s="2" t="s">
        <v>10</v>
      </c>
      <c r="E1592" s="2" t="s">
        <v>52</v>
      </c>
      <c r="F1592" s="2">
        <v>2</v>
      </c>
      <c r="G1592" s="2" t="s">
        <v>17</v>
      </c>
    </row>
    <row r="1593" spans="1:7" x14ac:dyDescent="0.2">
      <c r="A1593" s="2" t="s">
        <v>2181</v>
      </c>
      <c r="B1593" s="2" t="s">
        <v>2299</v>
      </c>
      <c r="C1593" s="2" t="s">
        <v>2204</v>
      </c>
      <c r="D1593" s="2" t="s">
        <v>10</v>
      </c>
      <c r="E1593" s="2" t="s">
        <v>16</v>
      </c>
      <c r="F1593" s="2">
        <v>1</v>
      </c>
      <c r="G1593" s="2" t="s">
        <v>17</v>
      </c>
    </row>
    <row r="1594" spans="1:7" x14ac:dyDescent="0.2">
      <c r="A1594" s="2" t="s">
        <v>2181</v>
      </c>
      <c r="B1594" s="2" t="s">
        <v>2300</v>
      </c>
      <c r="C1594" s="2" t="s">
        <v>2192</v>
      </c>
      <c r="D1594" s="2" t="s">
        <v>10</v>
      </c>
      <c r="E1594" s="2" t="s">
        <v>16</v>
      </c>
      <c r="F1594" s="2">
        <v>1</v>
      </c>
      <c r="G1594" s="2" t="s">
        <v>17</v>
      </c>
    </row>
    <row r="1595" spans="1:7" x14ac:dyDescent="0.2">
      <c r="A1595" s="2" t="s">
        <v>2181</v>
      </c>
      <c r="B1595" s="2" t="s">
        <v>2301</v>
      </c>
      <c r="C1595" s="2" t="s">
        <v>2189</v>
      </c>
      <c r="D1595" s="2" t="s">
        <v>10</v>
      </c>
      <c r="E1595" s="2" t="s">
        <v>16</v>
      </c>
      <c r="F1595" s="2">
        <v>1</v>
      </c>
      <c r="G1595" s="2" t="s">
        <v>17</v>
      </c>
    </row>
    <row r="1596" spans="1:7" x14ac:dyDescent="0.2">
      <c r="A1596" s="2" t="s">
        <v>2181</v>
      </c>
      <c r="B1596" s="2" t="s">
        <v>2302</v>
      </c>
      <c r="C1596" s="2" t="s">
        <v>2195</v>
      </c>
      <c r="D1596" s="2" t="s">
        <v>10</v>
      </c>
      <c r="E1596" s="2" t="s">
        <v>16</v>
      </c>
      <c r="F1596" s="2">
        <v>1</v>
      </c>
      <c r="G1596" s="2" t="s">
        <v>17</v>
      </c>
    </row>
    <row r="1597" spans="1:7" x14ac:dyDescent="0.2">
      <c r="A1597" s="2" t="s">
        <v>2181</v>
      </c>
      <c r="B1597" s="2" t="s">
        <v>2303</v>
      </c>
      <c r="C1597" s="2" t="s">
        <v>2185</v>
      </c>
      <c r="D1597" s="2" t="s">
        <v>10</v>
      </c>
      <c r="E1597" s="2" t="s">
        <v>16</v>
      </c>
      <c r="F1597" s="2">
        <v>2</v>
      </c>
      <c r="G1597" s="2" t="s">
        <v>17</v>
      </c>
    </row>
    <row r="1598" spans="1:7" x14ac:dyDescent="0.2">
      <c r="A1598" s="2" t="s">
        <v>2181</v>
      </c>
      <c r="B1598" s="2" t="s">
        <v>2304</v>
      </c>
      <c r="C1598" s="2" t="s">
        <v>2249</v>
      </c>
      <c r="D1598" s="2" t="s">
        <v>10</v>
      </c>
      <c r="E1598" s="2" t="s">
        <v>52</v>
      </c>
      <c r="F1598" s="2">
        <v>2</v>
      </c>
      <c r="G1598" s="2" t="s">
        <v>1058</v>
      </c>
    </row>
    <row r="1599" spans="1:7" x14ac:dyDescent="0.2">
      <c r="A1599" s="2" t="s">
        <v>2181</v>
      </c>
      <c r="B1599" s="2" t="s">
        <v>2305</v>
      </c>
      <c r="C1599" s="2" t="s">
        <v>2256</v>
      </c>
      <c r="D1599" s="2" t="s">
        <v>10</v>
      </c>
      <c r="E1599" s="2" t="s">
        <v>16</v>
      </c>
      <c r="F1599" s="2">
        <v>1</v>
      </c>
      <c r="G1599" s="2" t="s">
        <v>17</v>
      </c>
    </row>
    <row r="1600" spans="1:7" x14ac:dyDescent="0.2">
      <c r="A1600" s="2" t="s">
        <v>2181</v>
      </c>
      <c r="B1600" s="2" t="s">
        <v>2306</v>
      </c>
      <c r="C1600" s="2" t="s">
        <v>2216</v>
      </c>
      <c r="D1600" s="2" t="s">
        <v>10</v>
      </c>
      <c r="E1600" s="2" t="s">
        <v>16</v>
      </c>
      <c r="F1600" s="2">
        <v>2</v>
      </c>
      <c r="G1600" s="2" t="s">
        <v>17</v>
      </c>
    </row>
    <row r="1601" spans="1:7" x14ac:dyDescent="0.2">
      <c r="A1601" s="2" t="s">
        <v>2181</v>
      </c>
      <c r="B1601" s="2" t="s">
        <v>2307</v>
      </c>
      <c r="C1601" s="2" t="s">
        <v>2218</v>
      </c>
      <c r="D1601" s="2" t="s">
        <v>10</v>
      </c>
      <c r="E1601" s="2" t="s">
        <v>16</v>
      </c>
      <c r="F1601" s="2">
        <v>2</v>
      </c>
      <c r="G1601" s="2" t="s">
        <v>17</v>
      </c>
    </row>
    <row r="1602" spans="1:7" x14ac:dyDescent="0.2">
      <c r="A1602" s="2" t="s">
        <v>2181</v>
      </c>
      <c r="B1602" s="2" t="s">
        <v>2308</v>
      </c>
      <c r="C1602" s="2" t="s">
        <v>2224</v>
      </c>
      <c r="D1602" s="2" t="s">
        <v>10</v>
      </c>
      <c r="E1602" s="2" t="s">
        <v>16</v>
      </c>
      <c r="F1602" s="2">
        <v>2</v>
      </c>
      <c r="G1602" s="2" t="s">
        <v>17</v>
      </c>
    </row>
    <row r="1603" spans="1:7" x14ac:dyDescent="0.2">
      <c r="A1603" s="2" t="s">
        <v>2181</v>
      </c>
      <c r="B1603" s="2" t="s">
        <v>2309</v>
      </c>
      <c r="C1603" s="2" t="s">
        <v>2227</v>
      </c>
      <c r="D1603" s="2" t="s">
        <v>10</v>
      </c>
      <c r="E1603" s="2" t="s">
        <v>16</v>
      </c>
      <c r="F1603" s="2">
        <v>2</v>
      </c>
      <c r="G1603" s="2" t="s">
        <v>17</v>
      </c>
    </row>
    <row r="1604" spans="1:7" x14ac:dyDescent="0.2">
      <c r="A1604" s="2" t="s">
        <v>2181</v>
      </c>
      <c r="B1604" s="2" t="s">
        <v>2310</v>
      </c>
      <c r="C1604" s="2" t="s">
        <v>2249</v>
      </c>
      <c r="D1604" s="2" t="s">
        <v>10</v>
      </c>
      <c r="E1604" s="2" t="s">
        <v>52</v>
      </c>
      <c r="F1604" s="2">
        <v>2</v>
      </c>
      <c r="G1604" s="2" t="s">
        <v>1058</v>
      </c>
    </row>
    <row r="1605" spans="1:7" x14ac:dyDescent="0.2">
      <c r="A1605" s="2" t="s">
        <v>2181</v>
      </c>
      <c r="B1605" s="2" t="s">
        <v>2311</v>
      </c>
      <c r="C1605" s="2" t="s">
        <v>2185</v>
      </c>
      <c r="D1605" s="2" t="s">
        <v>10</v>
      </c>
      <c r="E1605" s="2" t="s">
        <v>16</v>
      </c>
      <c r="F1605" s="2">
        <v>2</v>
      </c>
      <c r="G1605" s="2" t="s">
        <v>17</v>
      </c>
    </row>
    <row r="1606" spans="1:7" x14ac:dyDescent="0.2">
      <c r="A1606" s="2" t="s">
        <v>2181</v>
      </c>
      <c r="B1606" s="2" t="s">
        <v>2312</v>
      </c>
      <c r="C1606" s="2" t="s">
        <v>2206</v>
      </c>
      <c r="D1606" s="2" t="s">
        <v>10</v>
      </c>
      <c r="E1606" s="2" t="s">
        <v>16</v>
      </c>
      <c r="F1606" s="2">
        <v>2</v>
      </c>
      <c r="G1606" s="2" t="s">
        <v>17</v>
      </c>
    </row>
    <row r="1607" spans="1:7" x14ac:dyDescent="0.2">
      <c r="A1607" s="2" t="s">
        <v>2181</v>
      </c>
      <c r="B1607" s="2" t="s">
        <v>2313</v>
      </c>
      <c r="C1607" s="2" t="s">
        <v>2229</v>
      </c>
      <c r="D1607" s="2" t="s">
        <v>10</v>
      </c>
      <c r="E1607" s="2" t="s">
        <v>52</v>
      </c>
      <c r="F1607" s="2">
        <v>2</v>
      </c>
      <c r="G1607" s="2" t="s">
        <v>17</v>
      </c>
    </row>
    <row r="1608" spans="1:7" x14ac:dyDescent="0.2">
      <c r="A1608" s="2" t="s">
        <v>2181</v>
      </c>
      <c r="B1608" s="2" t="s">
        <v>2314</v>
      </c>
      <c r="C1608" s="2" t="s">
        <v>2206</v>
      </c>
      <c r="D1608" s="2" t="s">
        <v>10</v>
      </c>
      <c r="E1608" s="2" t="s">
        <v>16</v>
      </c>
      <c r="F1608" s="2">
        <v>2</v>
      </c>
      <c r="G1608" s="2" t="s">
        <v>17</v>
      </c>
    </row>
    <row r="1609" spans="1:7" x14ac:dyDescent="0.2">
      <c r="A1609" s="2" t="s">
        <v>2181</v>
      </c>
      <c r="B1609" s="2" t="s">
        <v>2315</v>
      </c>
      <c r="C1609" s="2" t="s">
        <v>2216</v>
      </c>
      <c r="D1609" s="2" t="s">
        <v>10</v>
      </c>
      <c r="E1609" s="2" t="s">
        <v>16</v>
      </c>
      <c r="F1609" s="2">
        <v>2</v>
      </c>
      <c r="G1609" s="2" t="s">
        <v>17</v>
      </c>
    </row>
    <row r="1610" spans="1:7" x14ac:dyDescent="0.2">
      <c r="A1610" s="2" t="s">
        <v>2181</v>
      </c>
      <c r="B1610" s="2" t="s">
        <v>2316</v>
      </c>
      <c r="C1610" s="2" t="s">
        <v>2195</v>
      </c>
      <c r="D1610" s="2" t="s">
        <v>10</v>
      </c>
      <c r="E1610" s="2" t="s">
        <v>16</v>
      </c>
      <c r="F1610" s="2">
        <v>1</v>
      </c>
      <c r="G1610" s="2" t="s">
        <v>17</v>
      </c>
    </row>
    <row r="1611" spans="1:7" x14ac:dyDescent="0.2">
      <c r="A1611" s="2" t="s">
        <v>2181</v>
      </c>
      <c r="B1611" s="2" t="s">
        <v>2317</v>
      </c>
      <c r="C1611" s="2" t="s">
        <v>2222</v>
      </c>
      <c r="D1611" s="2" t="s">
        <v>10</v>
      </c>
      <c r="E1611" s="2" t="s">
        <v>16</v>
      </c>
      <c r="F1611" s="2">
        <v>1</v>
      </c>
      <c r="G1611" s="2" t="s">
        <v>17</v>
      </c>
    </row>
    <row r="1612" spans="1:7" x14ac:dyDescent="0.2">
      <c r="A1612" s="2" t="s">
        <v>2181</v>
      </c>
      <c r="B1612" s="2" t="s">
        <v>2318</v>
      </c>
      <c r="C1612" s="2" t="s">
        <v>2185</v>
      </c>
      <c r="D1612" s="2" t="s">
        <v>10</v>
      </c>
      <c r="E1612" s="2" t="s">
        <v>16</v>
      </c>
      <c r="F1612" s="2">
        <v>2</v>
      </c>
      <c r="G1612" s="2" t="s">
        <v>17</v>
      </c>
    </row>
    <row r="1613" spans="1:7" x14ac:dyDescent="0.2">
      <c r="A1613" s="2" t="s">
        <v>2181</v>
      </c>
      <c r="B1613" s="2" t="s">
        <v>1710</v>
      </c>
      <c r="C1613" s="2" t="s">
        <v>2189</v>
      </c>
      <c r="D1613" s="2" t="s">
        <v>10</v>
      </c>
      <c r="E1613" s="2" t="s">
        <v>16</v>
      </c>
      <c r="F1613" s="2">
        <v>1</v>
      </c>
      <c r="G1613" s="2" t="s">
        <v>17</v>
      </c>
    </row>
    <row r="1614" spans="1:7" x14ac:dyDescent="0.2">
      <c r="A1614" s="2" t="s">
        <v>2181</v>
      </c>
      <c r="B1614" s="2" t="s">
        <v>2319</v>
      </c>
      <c r="C1614" s="2" t="s">
        <v>2183</v>
      </c>
      <c r="D1614" s="2" t="s">
        <v>10</v>
      </c>
      <c r="E1614" s="2" t="s">
        <v>16</v>
      </c>
      <c r="F1614" s="2">
        <v>1</v>
      </c>
      <c r="G1614" s="2" t="s">
        <v>17</v>
      </c>
    </row>
    <row r="1615" spans="1:7" x14ac:dyDescent="0.2">
      <c r="A1615" s="2" t="s">
        <v>2181</v>
      </c>
      <c r="B1615" s="2" t="s">
        <v>2320</v>
      </c>
      <c r="C1615" s="2" t="s">
        <v>2260</v>
      </c>
      <c r="D1615" s="2" t="s">
        <v>10</v>
      </c>
      <c r="E1615" s="2" t="s">
        <v>52</v>
      </c>
      <c r="F1615" s="2">
        <v>2</v>
      </c>
      <c r="G1615" s="2" t="s">
        <v>17</v>
      </c>
    </row>
    <row r="1616" spans="1:7" x14ac:dyDescent="0.2">
      <c r="A1616" s="2" t="s">
        <v>2181</v>
      </c>
      <c r="B1616" s="2" t="s">
        <v>2321</v>
      </c>
      <c r="C1616" s="2" t="s">
        <v>2192</v>
      </c>
      <c r="D1616" s="2" t="s">
        <v>10</v>
      </c>
      <c r="E1616" s="2" t="s">
        <v>16</v>
      </c>
      <c r="F1616" s="2">
        <v>1</v>
      </c>
      <c r="G1616" s="2" t="s">
        <v>17</v>
      </c>
    </row>
    <row r="1617" spans="1:7" x14ac:dyDescent="0.2">
      <c r="A1617" s="2" t="s">
        <v>2181</v>
      </c>
      <c r="B1617" s="2" t="s">
        <v>2322</v>
      </c>
      <c r="C1617" s="2" t="s">
        <v>2251</v>
      </c>
      <c r="D1617" s="2" t="s">
        <v>10</v>
      </c>
      <c r="E1617" s="2" t="s">
        <v>52</v>
      </c>
      <c r="F1617" s="2">
        <v>2</v>
      </c>
      <c r="G1617" s="2" t="s">
        <v>1058</v>
      </c>
    </row>
    <row r="1618" spans="1:7" x14ac:dyDescent="0.2">
      <c r="A1618" s="2" t="s">
        <v>2181</v>
      </c>
      <c r="B1618" s="2" t="s">
        <v>2323</v>
      </c>
      <c r="C1618" s="2" t="s">
        <v>2249</v>
      </c>
      <c r="D1618" s="2" t="s">
        <v>10</v>
      </c>
      <c r="E1618" s="2" t="s">
        <v>52</v>
      </c>
      <c r="F1618" s="2">
        <v>2</v>
      </c>
      <c r="G1618" s="2" t="s">
        <v>1058</v>
      </c>
    </row>
    <row r="1619" spans="1:7" x14ac:dyDescent="0.2">
      <c r="A1619" s="2" t="s">
        <v>2181</v>
      </c>
      <c r="B1619" s="2" t="s">
        <v>2324</v>
      </c>
      <c r="C1619" s="2" t="s">
        <v>2253</v>
      </c>
      <c r="D1619" s="2" t="s">
        <v>10</v>
      </c>
      <c r="E1619" s="2" t="s">
        <v>52</v>
      </c>
      <c r="F1619" s="2">
        <v>2</v>
      </c>
      <c r="G1619" s="2" t="s">
        <v>17</v>
      </c>
    </row>
    <row r="1620" spans="1:7" x14ac:dyDescent="0.2">
      <c r="A1620" s="2" t="s">
        <v>2181</v>
      </c>
      <c r="B1620" s="2" t="s">
        <v>2325</v>
      </c>
      <c r="C1620" s="2" t="s">
        <v>2255</v>
      </c>
      <c r="D1620" s="2" t="s">
        <v>10</v>
      </c>
      <c r="E1620" s="2" t="s">
        <v>11</v>
      </c>
      <c r="F1620" s="2">
        <v>2</v>
      </c>
      <c r="G1620" s="2" t="s">
        <v>12</v>
      </c>
    </row>
    <row r="1621" spans="1:7" x14ac:dyDescent="0.2">
      <c r="A1621" s="2" t="s">
        <v>2181</v>
      </c>
      <c r="B1621" s="2" t="s">
        <v>2326</v>
      </c>
      <c r="C1621" s="2" t="s">
        <v>2204</v>
      </c>
      <c r="D1621" s="2" t="s">
        <v>10</v>
      </c>
      <c r="E1621" s="2" t="s">
        <v>16</v>
      </c>
      <c r="F1621" s="2">
        <v>1</v>
      </c>
      <c r="G1621" s="2" t="s">
        <v>17</v>
      </c>
    </row>
    <row r="1622" spans="1:7" x14ac:dyDescent="0.2">
      <c r="A1622" s="2" t="s">
        <v>2181</v>
      </c>
      <c r="B1622" s="2" t="s">
        <v>2327</v>
      </c>
      <c r="C1622" s="2" t="s">
        <v>2204</v>
      </c>
      <c r="D1622" s="2" t="s">
        <v>10</v>
      </c>
      <c r="E1622" s="2" t="s">
        <v>16</v>
      </c>
      <c r="F1622" s="2">
        <v>1</v>
      </c>
      <c r="G1622" s="2" t="s">
        <v>17</v>
      </c>
    </row>
    <row r="1623" spans="1:7" x14ac:dyDescent="0.2">
      <c r="A1623" s="2" t="s">
        <v>2181</v>
      </c>
      <c r="B1623" s="2" t="s">
        <v>2328</v>
      </c>
      <c r="C1623" s="2" t="s">
        <v>2329</v>
      </c>
      <c r="D1623" s="2" t="s">
        <v>10</v>
      </c>
      <c r="E1623" s="2" t="s">
        <v>52</v>
      </c>
      <c r="F1623" s="2">
        <v>1</v>
      </c>
      <c r="G1623" s="2" t="s">
        <v>17</v>
      </c>
    </row>
    <row r="1624" spans="1:7" x14ac:dyDescent="0.2">
      <c r="A1624" s="2" t="s">
        <v>2181</v>
      </c>
      <c r="B1624" s="2" t="s">
        <v>2330</v>
      </c>
      <c r="C1624" s="2" t="s">
        <v>2208</v>
      </c>
      <c r="D1624" s="2" t="s">
        <v>10</v>
      </c>
      <c r="E1624" s="2" t="s">
        <v>16</v>
      </c>
      <c r="F1624" s="2">
        <v>2</v>
      </c>
      <c r="G1624" s="2" t="s">
        <v>17</v>
      </c>
    </row>
    <row r="1625" spans="1:7" x14ac:dyDescent="0.2">
      <c r="A1625" s="2" t="s">
        <v>2181</v>
      </c>
      <c r="B1625" s="2" t="s">
        <v>2331</v>
      </c>
      <c r="C1625" s="2" t="s">
        <v>2234</v>
      </c>
      <c r="D1625" s="2" t="s">
        <v>10</v>
      </c>
      <c r="E1625" s="2" t="s">
        <v>52</v>
      </c>
      <c r="F1625" s="2">
        <v>2</v>
      </c>
      <c r="G1625" s="2" t="s">
        <v>17</v>
      </c>
    </row>
    <row r="1626" spans="1:7" x14ac:dyDescent="0.2">
      <c r="A1626" s="2" t="s">
        <v>2181</v>
      </c>
      <c r="B1626" s="2" t="s">
        <v>2332</v>
      </c>
      <c r="C1626" s="2" t="s">
        <v>2249</v>
      </c>
      <c r="D1626" s="2" t="s">
        <v>10</v>
      </c>
      <c r="E1626" s="2" t="s">
        <v>52</v>
      </c>
      <c r="F1626" s="2">
        <v>2</v>
      </c>
      <c r="G1626" s="2" t="s">
        <v>1058</v>
      </c>
    </row>
    <row r="1627" spans="1:7" x14ac:dyDescent="0.2">
      <c r="A1627" s="2" t="s">
        <v>2181</v>
      </c>
      <c r="B1627" s="2" t="s">
        <v>2333</v>
      </c>
      <c r="C1627" s="2" t="s">
        <v>2185</v>
      </c>
      <c r="D1627" s="2" t="s">
        <v>10</v>
      </c>
      <c r="E1627" s="2" t="s">
        <v>16</v>
      </c>
      <c r="F1627" s="2">
        <v>2</v>
      </c>
      <c r="G1627" s="2" t="s">
        <v>17</v>
      </c>
    </row>
    <row r="1628" spans="1:7" x14ac:dyDescent="0.2">
      <c r="A1628" s="2" t="s">
        <v>2181</v>
      </c>
      <c r="B1628" s="2" t="s">
        <v>2334</v>
      </c>
      <c r="C1628" s="2" t="s">
        <v>2243</v>
      </c>
      <c r="D1628" s="2" t="s">
        <v>10</v>
      </c>
      <c r="E1628" s="2" t="s">
        <v>16</v>
      </c>
      <c r="F1628" s="2">
        <v>2</v>
      </c>
      <c r="G1628" s="2" t="s">
        <v>17</v>
      </c>
    </row>
    <row r="1629" spans="1:7" x14ac:dyDescent="0.2">
      <c r="A1629" s="2" t="s">
        <v>2181</v>
      </c>
      <c r="B1629" s="2" t="s">
        <v>465</v>
      </c>
      <c r="C1629" s="2" t="s">
        <v>2183</v>
      </c>
      <c r="D1629" s="2" t="s">
        <v>10</v>
      </c>
      <c r="E1629" s="2" t="s">
        <v>16</v>
      </c>
      <c r="F1629" s="2">
        <v>1</v>
      </c>
      <c r="G1629" s="2" t="s">
        <v>17</v>
      </c>
    </row>
    <row r="1630" spans="1:7" x14ac:dyDescent="0.2">
      <c r="A1630" s="2" t="s">
        <v>2181</v>
      </c>
      <c r="B1630" s="2" t="s">
        <v>2335</v>
      </c>
      <c r="C1630" s="2" t="s">
        <v>2210</v>
      </c>
      <c r="D1630" s="2" t="s">
        <v>10</v>
      </c>
      <c r="E1630" s="2" t="s">
        <v>16</v>
      </c>
      <c r="F1630" s="2">
        <v>2</v>
      </c>
      <c r="G1630" s="2" t="s">
        <v>17</v>
      </c>
    </row>
    <row r="1631" spans="1:7" x14ac:dyDescent="0.2">
      <c r="A1631" s="2" t="s">
        <v>2181</v>
      </c>
      <c r="B1631" s="2" t="s">
        <v>2336</v>
      </c>
      <c r="C1631" s="2" t="s">
        <v>2329</v>
      </c>
      <c r="D1631" s="2" t="s">
        <v>10</v>
      </c>
      <c r="E1631" s="2" t="s">
        <v>52</v>
      </c>
      <c r="F1631" s="2">
        <v>1</v>
      </c>
      <c r="G1631" s="2" t="s">
        <v>17</v>
      </c>
    </row>
    <row r="1632" spans="1:7" x14ac:dyDescent="0.2">
      <c r="A1632" s="2" t="s">
        <v>2181</v>
      </c>
      <c r="B1632" s="2" t="s">
        <v>2337</v>
      </c>
      <c r="C1632" s="2" t="s">
        <v>2206</v>
      </c>
      <c r="D1632" s="2" t="s">
        <v>10</v>
      </c>
      <c r="E1632" s="2" t="s">
        <v>16</v>
      </c>
      <c r="F1632" s="2">
        <v>2</v>
      </c>
      <c r="G1632" s="2" t="s">
        <v>17</v>
      </c>
    </row>
    <row r="1633" spans="1:7" x14ac:dyDescent="0.2">
      <c r="A1633" s="2" t="s">
        <v>2181</v>
      </c>
      <c r="B1633" s="2" t="s">
        <v>2338</v>
      </c>
      <c r="C1633" s="2" t="s">
        <v>2249</v>
      </c>
      <c r="D1633" s="2" t="s">
        <v>10</v>
      </c>
      <c r="E1633" s="2" t="s">
        <v>52</v>
      </c>
      <c r="F1633" s="2">
        <v>2</v>
      </c>
      <c r="G1633" s="2" t="s">
        <v>1058</v>
      </c>
    </row>
    <row r="1634" spans="1:7" x14ac:dyDescent="0.2">
      <c r="A1634" s="2" t="s">
        <v>2181</v>
      </c>
      <c r="B1634" s="2" t="s">
        <v>2339</v>
      </c>
      <c r="C1634" s="2" t="s">
        <v>2206</v>
      </c>
      <c r="D1634" s="2" t="s">
        <v>10</v>
      </c>
      <c r="E1634" s="2" t="s">
        <v>16</v>
      </c>
      <c r="F1634" s="2">
        <v>2</v>
      </c>
      <c r="G1634" s="2" t="s">
        <v>17</v>
      </c>
    </row>
    <row r="1635" spans="1:7" x14ac:dyDescent="0.2">
      <c r="A1635" s="2" t="s">
        <v>2181</v>
      </c>
      <c r="B1635" s="2" t="s">
        <v>2340</v>
      </c>
      <c r="C1635" s="2" t="s">
        <v>2341</v>
      </c>
      <c r="D1635" s="2" t="s">
        <v>10</v>
      </c>
      <c r="E1635" s="2" t="s">
        <v>52</v>
      </c>
      <c r="F1635" s="2">
        <v>2</v>
      </c>
      <c r="G1635" s="2" t="s">
        <v>17</v>
      </c>
    </row>
    <row r="1636" spans="1:7" x14ac:dyDescent="0.2">
      <c r="A1636" s="2" t="s">
        <v>2181</v>
      </c>
      <c r="B1636" s="2" t="s">
        <v>2342</v>
      </c>
      <c r="C1636" s="2" t="s">
        <v>2341</v>
      </c>
      <c r="D1636" s="2" t="s">
        <v>10</v>
      </c>
      <c r="E1636" s="2" t="s">
        <v>52</v>
      </c>
      <c r="F1636" s="2">
        <v>2</v>
      </c>
      <c r="G1636" s="2" t="s">
        <v>17</v>
      </c>
    </row>
    <row r="1637" spans="1:7" x14ac:dyDescent="0.2">
      <c r="A1637" s="2" t="s">
        <v>2181</v>
      </c>
      <c r="B1637" s="2" t="s">
        <v>2343</v>
      </c>
      <c r="C1637" s="2" t="s">
        <v>2269</v>
      </c>
      <c r="D1637" s="2" t="s">
        <v>10</v>
      </c>
      <c r="E1637" s="2" t="s">
        <v>16</v>
      </c>
      <c r="F1637" s="2">
        <v>1</v>
      </c>
      <c r="G1637" s="2" t="s">
        <v>17</v>
      </c>
    </row>
    <row r="1638" spans="1:7" x14ac:dyDescent="0.2">
      <c r="A1638" s="2" t="s">
        <v>2181</v>
      </c>
      <c r="B1638" s="2" t="s">
        <v>2344</v>
      </c>
      <c r="C1638" s="2" t="s">
        <v>2206</v>
      </c>
      <c r="D1638" s="2" t="s">
        <v>10</v>
      </c>
      <c r="E1638" s="2" t="s">
        <v>16</v>
      </c>
      <c r="F1638" s="2">
        <v>2</v>
      </c>
      <c r="G1638" s="2" t="s">
        <v>17</v>
      </c>
    </row>
    <row r="1639" spans="1:7" x14ac:dyDescent="0.2">
      <c r="A1639" s="2" t="s">
        <v>2181</v>
      </c>
      <c r="B1639" s="2" t="s">
        <v>2345</v>
      </c>
      <c r="C1639" s="2" t="s">
        <v>2216</v>
      </c>
      <c r="D1639" s="2" t="s">
        <v>10</v>
      </c>
      <c r="E1639" s="2" t="s">
        <v>16</v>
      </c>
      <c r="F1639" s="2">
        <v>2</v>
      </c>
      <c r="G1639" s="2" t="s">
        <v>17</v>
      </c>
    </row>
    <row r="1640" spans="1:7" x14ac:dyDescent="0.2">
      <c r="A1640" s="2" t="s">
        <v>2181</v>
      </c>
      <c r="B1640" s="2" t="s">
        <v>2346</v>
      </c>
      <c r="C1640" s="2" t="s">
        <v>2206</v>
      </c>
      <c r="D1640" s="2" t="s">
        <v>10</v>
      </c>
      <c r="E1640" s="2" t="s">
        <v>16</v>
      </c>
      <c r="F1640" s="2">
        <v>2</v>
      </c>
      <c r="G1640" s="2" t="s">
        <v>17</v>
      </c>
    </row>
    <row r="1641" spans="1:7" x14ac:dyDescent="0.2">
      <c r="A1641" s="2" t="s">
        <v>2181</v>
      </c>
      <c r="B1641" s="2" t="s">
        <v>2347</v>
      </c>
      <c r="C1641" s="2" t="s">
        <v>2229</v>
      </c>
      <c r="D1641" s="2" t="s">
        <v>10</v>
      </c>
      <c r="E1641" s="2" t="s">
        <v>52</v>
      </c>
      <c r="F1641" s="2">
        <v>2</v>
      </c>
      <c r="G1641" s="2" t="s">
        <v>17</v>
      </c>
    </row>
    <row r="1642" spans="1:7" x14ac:dyDescent="0.2">
      <c r="A1642" s="2" t="s">
        <v>2181</v>
      </c>
      <c r="B1642" s="2" t="s">
        <v>2348</v>
      </c>
      <c r="C1642" s="2" t="s">
        <v>2247</v>
      </c>
      <c r="D1642" s="2" t="s">
        <v>10</v>
      </c>
      <c r="E1642" s="2" t="s">
        <v>52</v>
      </c>
      <c r="F1642" s="2">
        <v>2</v>
      </c>
      <c r="G1642" s="2" t="s">
        <v>17</v>
      </c>
    </row>
    <row r="1643" spans="1:7" x14ac:dyDescent="0.2">
      <c r="A1643" s="2" t="s">
        <v>2181</v>
      </c>
      <c r="B1643" s="2" t="s">
        <v>2349</v>
      </c>
      <c r="C1643" s="2" t="s">
        <v>2229</v>
      </c>
      <c r="D1643" s="2" t="s">
        <v>10</v>
      </c>
      <c r="E1643" s="2" t="s">
        <v>52</v>
      </c>
      <c r="F1643" s="2">
        <v>2</v>
      </c>
      <c r="G1643" s="2" t="s">
        <v>17</v>
      </c>
    </row>
    <row r="1644" spans="1:7" x14ac:dyDescent="0.2">
      <c r="A1644" s="2" t="s">
        <v>2181</v>
      </c>
      <c r="B1644" s="2" t="s">
        <v>2350</v>
      </c>
      <c r="C1644" s="2" t="s">
        <v>2249</v>
      </c>
      <c r="D1644" s="2" t="s">
        <v>10</v>
      </c>
      <c r="E1644" s="2" t="s">
        <v>52</v>
      </c>
      <c r="F1644" s="2">
        <v>2</v>
      </c>
      <c r="G1644" s="2" t="s">
        <v>1058</v>
      </c>
    </row>
    <row r="1645" spans="1:7" x14ac:dyDescent="0.2">
      <c r="A1645" s="2" t="s">
        <v>2181</v>
      </c>
      <c r="B1645" s="2" t="s">
        <v>2351</v>
      </c>
      <c r="C1645" s="2" t="s">
        <v>2183</v>
      </c>
      <c r="D1645" s="2" t="s">
        <v>10</v>
      </c>
      <c r="E1645" s="2" t="s">
        <v>16</v>
      </c>
      <c r="F1645" s="2">
        <v>1</v>
      </c>
      <c r="G1645" s="2" t="s">
        <v>17</v>
      </c>
    </row>
    <row r="1646" spans="1:7" x14ac:dyDescent="0.2">
      <c r="A1646" s="2" t="s">
        <v>2181</v>
      </c>
      <c r="B1646" s="2" t="s">
        <v>2352</v>
      </c>
      <c r="C1646" s="2" t="s">
        <v>2185</v>
      </c>
      <c r="D1646" s="2" t="s">
        <v>10</v>
      </c>
      <c r="E1646" s="2" t="s">
        <v>16</v>
      </c>
      <c r="F1646" s="2">
        <v>2</v>
      </c>
      <c r="G1646" s="2" t="s">
        <v>17</v>
      </c>
    </row>
    <row r="1647" spans="1:7" x14ac:dyDescent="0.2">
      <c r="A1647" s="2" t="s">
        <v>2181</v>
      </c>
      <c r="B1647" s="2" t="s">
        <v>2353</v>
      </c>
      <c r="C1647" s="2" t="s">
        <v>2229</v>
      </c>
      <c r="D1647" s="2" t="s">
        <v>10</v>
      </c>
      <c r="E1647" s="2" t="s">
        <v>52</v>
      </c>
      <c r="F1647" s="2">
        <v>2</v>
      </c>
      <c r="G1647" s="2" t="s">
        <v>17</v>
      </c>
    </row>
    <row r="1648" spans="1:7" x14ac:dyDescent="0.2">
      <c r="A1648" s="2" t="s">
        <v>2181</v>
      </c>
      <c r="B1648" s="2" t="s">
        <v>2354</v>
      </c>
      <c r="C1648" s="2" t="s">
        <v>2247</v>
      </c>
      <c r="D1648" s="2" t="s">
        <v>10</v>
      </c>
      <c r="E1648" s="2" t="s">
        <v>52</v>
      </c>
      <c r="F1648" s="2">
        <v>2</v>
      </c>
      <c r="G1648" s="2" t="s">
        <v>17</v>
      </c>
    </row>
    <row r="1649" spans="1:7" x14ac:dyDescent="0.2">
      <c r="A1649" s="2" t="s">
        <v>2181</v>
      </c>
      <c r="B1649" s="2" t="s">
        <v>2355</v>
      </c>
      <c r="C1649" s="2" t="s">
        <v>2234</v>
      </c>
      <c r="D1649" s="2" t="s">
        <v>10</v>
      </c>
      <c r="E1649" s="2" t="s">
        <v>52</v>
      </c>
      <c r="F1649" s="2">
        <v>2</v>
      </c>
      <c r="G1649" s="2" t="s">
        <v>17</v>
      </c>
    </row>
    <row r="1650" spans="1:7" x14ac:dyDescent="0.2">
      <c r="A1650" s="2" t="s">
        <v>2181</v>
      </c>
      <c r="B1650" s="2" t="s">
        <v>2356</v>
      </c>
      <c r="C1650" s="2" t="s">
        <v>2183</v>
      </c>
      <c r="D1650" s="2" t="s">
        <v>10</v>
      </c>
      <c r="E1650" s="2" t="s">
        <v>16</v>
      </c>
      <c r="F1650" s="2">
        <v>1</v>
      </c>
      <c r="G1650" s="2" t="s">
        <v>17</v>
      </c>
    </row>
    <row r="1651" spans="1:7" x14ac:dyDescent="0.2">
      <c r="A1651" s="2" t="s">
        <v>2181</v>
      </c>
      <c r="B1651" s="2" t="s">
        <v>2357</v>
      </c>
      <c r="C1651" s="2" t="s">
        <v>2224</v>
      </c>
      <c r="D1651" s="2" t="s">
        <v>10</v>
      </c>
      <c r="E1651" s="2" t="s">
        <v>16</v>
      </c>
      <c r="F1651" s="2">
        <v>2</v>
      </c>
      <c r="G1651" s="2" t="s">
        <v>17</v>
      </c>
    </row>
    <row r="1652" spans="1:7" x14ac:dyDescent="0.2">
      <c r="A1652" s="2" t="s">
        <v>2181</v>
      </c>
      <c r="B1652" s="2" t="s">
        <v>2358</v>
      </c>
      <c r="C1652" s="2" t="s">
        <v>2359</v>
      </c>
      <c r="D1652" s="2" t="s">
        <v>10</v>
      </c>
      <c r="E1652" s="2" t="s">
        <v>16</v>
      </c>
      <c r="F1652" s="2">
        <v>1</v>
      </c>
      <c r="G1652" s="2" t="s">
        <v>17</v>
      </c>
    </row>
    <row r="1653" spans="1:7" x14ac:dyDescent="0.2">
      <c r="A1653" s="2" t="s">
        <v>2181</v>
      </c>
      <c r="B1653" s="2" t="s">
        <v>2360</v>
      </c>
      <c r="C1653" s="2" t="s">
        <v>2359</v>
      </c>
      <c r="D1653" s="2" t="s">
        <v>10</v>
      </c>
      <c r="E1653" s="2" t="s">
        <v>16</v>
      </c>
      <c r="F1653" s="2">
        <v>1</v>
      </c>
      <c r="G1653" s="2" t="s">
        <v>17</v>
      </c>
    </row>
    <row r="1654" spans="1:7" x14ac:dyDescent="0.2">
      <c r="A1654" s="2" t="s">
        <v>2181</v>
      </c>
      <c r="B1654" s="2" t="s">
        <v>2361</v>
      </c>
      <c r="C1654" s="2" t="s">
        <v>2359</v>
      </c>
      <c r="D1654" s="2" t="s">
        <v>10</v>
      </c>
      <c r="E1654" s="2" t="s">
        <v>16</v>
      </c>
      <c r="F1654" s="2">
        <v>1</v>
      </c>
      <c r="G1654" s="2" t="s">
        <v>17</v>
      </c>
    </row>
    <row r="1655" spans="1:7" x14ac:dyDescent="0.2">
      <c r="A1655" s="2" t="s">
        <v>2181</v>
      </c>
      <c r="B1655" s="2" t="s">
        <v>2362</v>
      </c>
      <c r="C1655" s="2" t="s">
        <v>2363</v>
      </c>
      <c r="D1655" s="2" t="s">
        <v>10</v>
      </c>
      <c r="E1655" s="2" t="s">
        <v>16</v>
      </c>
      <c r="F1655" s="2">
        <v>2</v>
      </c>
      <c r="G1655" s="2" t="s">
        <v>17</v>
      </c>
    </row>
    <row r="1656" spans="1:7" x14ac:dyDescent="0.2">
      <c r="A1656" s="2" t="s">
        <v>2181</v>
      </c>
      <c r="B1656" s="2" t="s">
        <v>2364</v>
      </c>
      <c r="C1656" s="2" t="s">
        <v>2363</v>
      </c>
      <c r="D1656" s="2" t="s">
        <v>10</v>
      </c>
      <c r="E1656" s="2" t="s">
        <v>16</v>
      </c>
      <c r="F1656" s="2">
        <v>2</v>
      </c>
      <c r="G1656" s="2" t="s">
        <v>17</v>
      </c>
    </row>
    <row r="1657" spans="1:7" x14ac:dyDescent="0.2">
      <c r="A1657" s="2" t="s">
        <v>2181</v>
      </c>
      <c r="B1657" s="2" t="s">
        <v>2365</v>
      </c>
      <c r="C1657" s="2" t="s">
        <v>2363</v>
      </c>
      <c r="D1657" s="2" t="s">
        <v>10</v>
      </c>
      <c r="E1657" s="2" t="s">
        <v>16</v>
      </c>
      <c r="F1657" s="2">
        <v>2</v>
      </c>
      <c r="G1657" s="2" t="s">
        <v>17</v>
      </c>
    </row>
    <row r="1658" spans="1:7" x14ac:dyDescent="0.2">
      <c r="A1658" s="2" t="s">
        <v>2181</v>
      </c>
      <c r="B1658" s="2" t="s">
        <v>2366</v>
      </c>
      <c r="C1658" s="2" t="s">
        <v>2363</v>
      </c>
      <c r="D1658" s="2" t="s">
        <v>10</v>
      </c>
      <c r="E1658" s="2" t="s">
        <v>16</v>
      </c>
      <c r="F1658" s="2">
        <v>2</v>
      </c>
      <c r="G1658" s="2" t="s">
        <v>17</v>
      </c>
    </row>
    <row r="1659" spans="1:7" x14ac:dyDescent="0.2">
      <c r="A1659" s="2" t="s">
        <v>2181</v>
      </c>
      <c r="B1659" s="2" t="s">
        <v>2367</v>
      </c>
      <c r="C1659" s="2" t="s">
        <v>2255</v>
      </c>
      <c r="D1659" s="2" t="s">
        <v>10</v>
      </c>
      <c r="E1659" s="2" t="s">
        <v>11</v>
      </c>
      <c r="F1659" s="2">
        <v>2</v>
      </c>
      <c r="G1659" s="2" t="s">
        <v>12</v>
      </c>
    </row>
    <row r="1660" spans="1:7" x14ac:dyDescent="0.2">
      <c r="A1660" s="2" t="s">
        <v>2181</v>
      </c>
      <c r="B1660" s="2" t="s">
        <v>2368</v>
      </c>
      <c r="C1660" s="2" t="s">
        <v>2255</v>
      </c>
      <c r="D1660" s="2" t="s">
        <v>10</v>
      </c>
      <c r="E1660" s="2" t="s">
        <v>11</v>
      </c>
      <c r="F1660" s="2">
        <v>2</v>
      </c>
      <c r="G1660" s="2" t="s">
        <v>12</v>
      </c>
    </row>
    <row r="1661" spans="1:7" x14ac:dyDescent="0.2">
      <c r="A1661" s="2" t="s">
        <v>2181</v>
      </c>
      <c r="B1661" s="2" t="s">
        <v>2369</v>
      </c>
      <c r="C1661" s="2" t="s">
        <v>2255</v>
      </c>
      <c r="D1661" s="2" t="s">
        <v>10</v>
      </c>
      <c r="E1661" s="2" t="s">
        <v>11</v>
      </c>
      <c r="F1661" s="2">
        <v>2</v>
      </c>
      <c r="G1661" s="2" t="s">
        <v>12</v>
      </c>
    </row>
    <row r="1662" spans="1:7" x14ac:dyDescent="0.2">
      <c r="A1662" s="2" t="s">
        <v>2181</v>
      </c>
      <c r="B1662" s="2" t="s">
        <v>2370</v>
      </c>
      <c r="C1662" s="2" t="s">
        <v>2255</v>
      </c>
      <c r="D1662" s="2" t="s">
        <v>10</v>
      </c>
      <c r="E1662" s="2" t="s">
        <v>11</v>
      </c>
      <c r="F1662" s="2">
        <v>2</v>
      </c>
      <c r="G1662" s="2" t="s">
        <v>12</v>
      </c>
    </row>
    <row r="1663" spans="1:7" x14ac:dyDescent="0.2">
      <c r="A1663" s="2" t="s">
        <v>2181</v>
      </c>
      <c r="B1663" s="2" t="s">
        <v>2371</v>
      </c>
      <c r="C1663" s="2" t="s">
        <v>2255</v>
      </c>
      <c r="D1663" s="2" t="s">
        <v>10</v>
      </c>
      <c r="E1663" s="2" t="s">
        <v>11</v>
      </c>
      <c r="F1663" s="2">
        <v>2</v>
      </c>
      <c r="G1663" s="2" t="s">
        <v>12</v>
      </c>
    </row>
    <row r="1664" spans="1:7" x14ac:dyDescent="0.2">
      <c r="A1664" s="2" t="s">
        <v>2181</v>
      </c>
      <c r="B1664" s="2" t="s">
        <v>2372</v>
      </c>
      <c r="C1664" s="2" t="s">
        <v>2255</v>
      </c>
      <c r="D1664" s="2" t="s">
        <v>10</v>
      </c>
      <c r="E1664" s="2" t="s">
        <v>11</v>
      </c>
      <c r="F1664" s="2">
        <v>2</v>
      </c>
      <c r="G1664" s="2" t="s">
        <v>12</v>
      </c>
    </row>
    <row r="1665" spans="1:7" x14ac:dyDescent="0.2">
      <c r="A1665" s="2" t="s">
        <v>2181</v>
      </c>
      <c r="B1665" s="2" t="s">
        <v>2373</v>
      </c>
      <c r="C1665" s="2" t="s">
        <v>2374</v>
      </c>
      <c r="D1665" s="2" t="s">
        <v>10</v>
      </c>
      <c r="E1665" s="2" t="s">
        <v>11</v>
      </c>
      <c r="F1665" s="2">
        <v>2</v>
      </c>
      <c r="G1665" s="2" t="s">
        <v>12</v>
      </c>
    </row>
    <row r="1666" spans="1:7" x14ac:dyDescent="0.2">
      <c r="A1666" s="2" t="s">
        <v>2181</v>
      </c>
      <c r="B1666" s="2" t="s">
        <v>2375</v>
      </c>
      <c r="C1666" s="2" t="s">
        <v>2374</v>
      </c>
      <c r="D1666" s="2" t="s">
        <v>10</v>
      </c>
      <c r="E1666" s="2" t="s">
        <v>11</v>
      </c>
      <c r="F1666" s="2">
        <v>2</v>
      </c>
      <c r="G1666" s="2" t="s">
        <v>12</v>
      </c>
    </row>
    <row r="1667" spans="1:7" x14ac:dyDescent="0.2">
      <c r="A1667" s="2" t="s">
        <v>2181</v>
      </c>
      <c r="B1667" s="2" t="s">
        <v>2376</v>
      </c>
      <c r="C1667" s="2" t="s">
        <v>2374</v>
      </c>
      <c r="D1667" s="2" t="s">
        <v>10</v>
      </c>
      <c r="E1667" s="2" t="s">
        <v>11</v>
      </c>
      <c r="F1667" s="2">
        <v>2</v>
      </c>
      <c r="G1667" s="2" t="s">
        <v>12</v>
      </c>
    </row>
    <row r="1668" spans="1:7" x14ac:dyDescent="0.2">
      <c r="A1668" s="2" t="s">
        <v>2181</v>
      </c>
      <c r="B1668" s="2" t="s">
        <v>2377</v>
      </c>
      <c r="C1668" s="2" t="s">
        <v>2269</v>
      </c>
      <c r="D1668" s="2" t="s">
        <v>10</v>
      </c>
      <c r="E1668" s="2" t="s">
        <v>16</v>
      </c>
      <c r="F1668" s="2">
        <v>1</v>
      </c>
      <c r="G1668" s="2" t="s">
        <v>17</v>
      </c>
    </row>
    <row r="1669" spans="1:7" x14ac:dyDescent="0.2">
      <c r="A1669" s="2" t="s">
        <v>2378</v>
      </c>
      <c r="B1669" s="2" t="s">
        <v>2379</v>
      </c>
      <c r="C1669" s="2" t="s">
        <v>2380</v>
      </c>
      <c r="D1669" s="2" t="s">
        <v>10</v>
      </c>
      <c r="E1669" s="2" t="s">
        <v>52</v>
      </c>
      <c r="F1669" s="2">
        <v>2</v>
      </c>
      <c r="G1669" s="2" t="s">
        <v>17</v>
      </c>
    </row>
    <row r="1670" spans="1:7" x14ac:dyDescent="0.2">
      <c r="A1670" s="2" t="s">
        <v>2378</v>
      </c>
      <c r="B1670" s="2" t="s">
        <v>2381</v>
      </c>
      <c r="C1670" s="2" t="s">
        <v>2380</v>
      </c>
      <c r="D1670" s="2" t="s">
        <v>10</v>
      </c>
      <c r="E1670" s="2" t="s">
        <v>52</v>
      </c>
      <c r="F1670" s="2">
        <v>2</v>
      </c>
      <c r="G1670" s="2" t="s">
        <v>17</v>
      </c>
    </row>
    <row r="1671" spans="1:7" x14ac:dyDescent="0.2">
      <c r="A1671" s="2" t="s">
        <v>2382</v>
      </c>
      <c r="B1671" s="2" t="s">
        <v>2383</v>
      </c>
      <c r="C1671" s="2" t="s">
        <v>2251</v>
      </c>
      <c r="D1671" s="2" t="s">
        <v>10</v>
      </c>
      <c r="E1671" s="2" t="s">
        <v>52</v>
      </c>
      <c r="F1671" s="2">
        <v>2</v>
      </c>
      <c r="G1671" s="2" t="s">
        <v>1058</v>
      </c>
    </row>
    <row r="1672" spans="1:7" x14ac:dyDescent="0.2">
      <c r="A1672" s="2" t="s">
        <v>2382</v>
      </c>
      <c r="B1672" s="2" t="s">
        <v>2384</v>
      </c>
      <c r="C1672" s="2" t="s">
        <v>2251</v>
      </c>
      <c r="D1672" s="2" t="s">
        <v>10</v>
      </c>
      <c r="E1672" s="2" t="s">
        <v>52</v>
      </c>
      <c r="F1672" s="2">
        <v>2</v>
      </c>
      <c r="G1672" s="2" t="s">
        <v>1058</v>
      </c>
    </row>
    <row r="1673" spans="1:7" x14ac:dyDescent="0.2">
      <c r="A1673" s="2" t="s">
        <v>2382</v>
      </c>
      <c r="B1673" s="2" t="s">
        <v>2385</v>
      </c>
      <c r="C1673" s="2" t="s">
        <v>2386</v>
      </c>
      <c r="D1673" s="2" t="s">
        <v>10</v>
      </c>
      <c r="E1673" s="2" t="s">
        <v>52</v>
      </c>
      <c r="F1673" s="2">
        <v>1</v>
      </c>
      <c r="G1673" s="2" t="s">
        <v>17</v>
      </c>
    </row>
    <row r="1674" spans="1:7" x14ac:dyDescent="0.2">
      <c r="A1674" s="2" t="s">
        <v>2382</v>
      </c>
      <c r="B1674" s="2" t="s">
        <v>2387</v>
      </c>
      <c r="C1674" s="2" t="s">
        <v>2386</v>
      </c>
      <c r="D1674" s="2" t="s">
        <v>10</v>
      </c>
      <c r="E1674" s="2" t="s">
        <v>52</v>
      </c>
      <c r="F1674" s="2">
        <v>1</v>
      </c>
      <c r="G1674" s="2" t="s">
        <v>17</v>
      </c>
    </row>
    <row r="1675" spans="1:7" x14ac:dyDescent="0.2">
      <c r="A1675" s="2" t="s">
        <v>2382</v>
      </c>
      <c r="B1675" s="2" t="s">
        <v>2211</v>
      </c>
      <c r="C1675" s="2" t="s">
        <v>2212</v>
      </c>
      <c r="D1675" s="2" t="s">
        <v>10</v>
      </c>
      <c r="E1675" s="2" t="s">
        <v>16</v>
      </c>
      <c r="F1675" s="2">
        <v>2</v>
      </c>
      <c r="G1675" s="2" t="s">
        <v>17</v>
      </c>
    </row>
    <row r="1676" spans="1:7" x14ac:dyDescent="0.2">
      <c r="A1676" s="2" t="s">
        <v>2382</v>
      </c>
      <c r="B1676" s="2" t="s">
        <v>2388</v>
      </c>
      <c r="C1676" s="2" t="s">
        <v>2212</v>
      </c>
      <c r="D1676" s="2" t="s">
        <v>10</v>
      </c>
      <c r="E1676" s="2" t="s">
        <v>16</v>
      </c>
      <c r="F1676" s="2">
        <v>2</v>
      </c>
      <c r="G1676" s="2" t="s">
        <v>17</v>
      </c>
    </row>
    <row r="1677" spans="1:7" x14ac:dyDescent="0.2">
      <c r="A1677" s="2" t="s">
        <v>2382</v>
      </c>
      <c r="B1677" s="2" t="s">
        <v>2389</v>
      </c>
      <c r="C1677" s="2" t="s">
        <v>2234</v>
      </c>
      <c r="D1677" s="2" t="s">
        <v>10</v>
      </c>
      <c r="E1677" s="2" t="s">
        <v>52</v>
      </c>
      <c r="F1677" s="2">
        <v>2</v>
      </c>
      <c r="G1677" s="2" t="s">
        <v>17</v>
      </c>
    </row>
    <row r="1678" spans="1:7" x14ac:dyDescent="0.2">
      <c r="A1678" s="2" t="s">
        <v>2382</v>
      </c>
      <c r="B1678" s="2" t="s">
        <v>2390</v>
      </c>
      <c r="C1678" s="2" t="s">
        <v>2234</v>
      </c>
      <c r="D1678" s="2" t="s">
        <v>10</v>
      </c>
      <c r="E1678" s="2" t="s">
        <v>52</v>
      </c>
      <c r="F1678" s="2">
        <v>2</v>
      </c>
      <c r="G1678" s="2" t="s">
        <v>17</v>
      </c>
    </row>
    <row r="1679" spans="1:7" x14ac:dyDescent="0.2">
      <c r="A1679" s="2" t="s">
        <v>2382</v>
      </c>
      <c r="B1679" s="2" t="s">
        <v>2391</v>
      </c>
      <c r="C1679" s="2" t="s">
        <v>2249</v>
      </c>
      <c r="D1679" s="2" t="s">
        <v>10</v>
      </c>
      <c r="E1679" s="2" t="s">
        <v>52</v>
      </c>
      <c r="F1679" s="2">
        <v>2</v>
      </c>
      <c r="G1679" s="2" t="s">
        <v>1058</v>
      </c>
    </row>
    <row r="1680" spans="1:7" x14ac:dyDescent="0.2">
      <c r="A1680" s="2" t="s">
        <v>2382</v>
      </c>
      <c r="B1680" s="2" t="s">
        <v>2392</v>
      </c>
      <c r="C1680" s="2" t="s">
        <v>2249</v>
      </c>
      <c r="D1680" s="2" t="s">
        <v>10</v>
      </c>
      <c r="E1680" s="2" t="s">
        <v>52</v>
      </c>
      <c r="F1680" s="2">
        <v>2</v>
      </c>
      <c r="G1680" s="2" t="s">
        <v>1058</v>
      </c>
    </row>
    <row r="1681" spans="1:7" x14ac:dyDescent="0.2">
      <c r="A1681" s="2" t="s">
        <v>2382</v>
      </c>
      <c r="B1681" s="2" t="s">
        <v>2393</v>
      </c>
      <c r="C1681" s="2" t="s">
        <v>2251</v>
      </c>
      <c r="D1681" s="2" t="s">
        <v>10</v>
      </c>
      <c r="E1681" s="2" t="s">
        <v>52</v>
      </c>
      <c r="F1681" s="2">
        <v>2</v>
      </c>
      <c r="G1681" s="2" t="s">
        <v>1058</v>
      </c>
    </row>
    <row r="1682" spans="1:7" x14ac:dyDescent="0.2">
      <c r="A1682" s="2" t="s">
        <v>2382</v>
      </c>
      <c r="B1682" s="2" t="s">
        <v>2394</v>
      </c>
      <c r="C1682" s="2" t="s">
        <v>2251</v>
      </c>
      <c r="D1682" s="2" t="s">
        <v>10</v>
      </c>
      <c r="E1682" s="2" t="s">
        <v>52</v>
      </c>
      <c r="F1682" s="2">
        <v>2</v>
      </c>
      <c r="G1682" s="2" t="s">
        <v>1058</v>
      </c>
    </row>
    <row r="1683" spans="1:7" x14ac:dyDescent="0.2">
      <c r="A1683" s="2" t="s">
        <v>2382</v>
      </c>
      <c r="B1683" s="2" t="s">
        <v>2395</v>
      </c>
      <c r="C1683" s="2" t="s">
        <v>2396</v>
      </c>
      <c r="D1683" s="2" t="s">
        <v>10</v>
      </c>
      <c r="E1683" s="2" t="s">
        <v>52</v>
      </c>
      <c r="F1683" s="2">
        <v>1</v>
      </c>
      <c r="G1683" s="2" t="s">
        <v>17</v>
      </c>
    </row>
    <row r="1684" spans="1:7" x14ac:dyDescent="0.2">
      <c r="A1684" s="2" t="s">
        <v>2382</v>
      </c>
      <c r="B1684" s="2" t="s">
        <v>2397</v>
      </c>
      <c r="C1684" s="2" t="s">
        <v>2396</v>
      </c>
      <c r="D1684" s="2" t="s">
        <v>10</v>
      </c>
      <c r="E1684" s="2" t="s">
        <v>52</v>
      </c>
      <c r="F1684" s="2">
        <v>1</v>
      </c>
      <c r="G1684" s="2" t="s">
        <v>17</v>
      </c>
    </row>
    <row r="1685" spans="1:7" x14ac:dyDescent="0.2">
      <c r="A1685" s="2" t="s">
        <v>2382</v>
      </c>
      <c r="B1685" s="2" t="s">
        <v>2398</v>
      </c>
      <c r="C1685" s="2" t="s">
        <v>2396</v>
      </c>
      <c r="D1685" s="2" t="s">
        <v>10</v>
      </c>
      <c r="E1685" s="2" t="s">
        <v>52</v>
      </c>
      <c r="F1685" s="2">
        <v>1</v>
      </c>
      <c r="G1685" s="2" t="s">
        <v>17</v>
      </c>
    </row>
    <row r="1686" spans="1:7" x14ac:dyDescent="0.2">
      <c r="A1686" s="2" t="s">
        <v>2382</v>
      </c>
      <c r="B1686" s="2" t="s">
        <v>2399</v>
      </c>
      <c r="C1686" s="2" t="s">
        <v>2396</v>
      </c>
      <c r="D1686" s="2" t="s">
        <v>10</v>
      </c>
      <c r="E1686" s="2" t="s">
        <v>52</v>
      </c>
      <c r="F1686" s="2">
        <v>1</v>
      </c>
      <c r="G1686" s="2" t="s">
        <v>17</v>
      </c>
    </row>
    <row r="1687" spans="1:7" x14ac:dyDescent="0.2">
      <c r="A1687" s="2" t="s">
        <v>2382</v>
      </c>
      <c r="B1687" s="2" t="s">
        <v>2400</v>
      </c>
      <c r="C1687" s="2" t="s">
        <v>2396</v>
      </c>
      <c r="D1687" s="2" t="s">
        <v>10</v>
      </c>
      <c r="E1687" s="2" t="s">
        <v>52</v>
      </c>
      <c r="F1687" s="2">
        <v>1</v>
      </c>
      <c r="G1687" s="2" t="s">
        <v>17</v>
      </c>
    </row>
    <row r="1688" spans="1:7" x14ac:dyDescent="0.2">
      <c r="A1688" s="2" t="s">
        <v>2382</v>
      </c>
      <c r="B1688" s="2" t="s">
        <v>2401</v>
      </c>
      <c r="C1688" s="2" t="s">
        <v>2396</v>
      </c>
      <c r="D1688" s="2" t="s">
        <v>10</v>
      </c>
      <c r="E1688" s="2" t="s">
        <v>52</v>
      </c>
      <c r="F1688" s="2">
        <v>1</v>
      </c>
      <c r="G1688" s="2" t="s">
        <v>17</v>
      </c>
    </row>
    <row r="1689" spans="1:7" x14ac:dyDescent="0.2">
      <c r="A1689" s="2" t="s">
        <v>2382</v>
      </c>
      <c r="B1689" s="2" t="s">
        <v>2402</v>
      </c>
      <c r="C1689" s="2" t="s">
        <v>2269</v>
      </c>
      <c r="D1689" s="2" t="s">
        <v>10</v>
      </c>
      <c r="E1689" s="2" t="s">
        <v>16</v>
      </c>
      <c r="F1689" s="2">
        <v>1</v>
      </c>
      <c r="G1689" s="2" t="s">
        <v>17</v>
      </c>
    </row>
    <row r="1690" spans="1:7" x14ac:dyDescent="0.2">
      <c r="A1690" s="2" t="s">
        <v>2382</v>
      </c>
      <c r="B1690" s="2" t="s">
        <v>2403</v>
      </c>
      <c r="C1690" s="2" t="s">
        <v>2269</v>
      </c>
      <c r="D1690" s="2" t="s">
        <v>10</v>
      </c>
      <c r="E1690" s="2" t="s">
        <v>16</v>
      </c>
      <c r="F1690" s="2">
        <v>1</v>
      </c>
      <c r="G1690" s="2" t="s">
        <v>17</v>
      </c>
    </row>
    <row r="1691" spans="1:7" x14ac:dyDescent="0.2">
      <c r="A1691" s="2" t="s">
        <v>2404</v>
      </c>
      <c r="B1691" s="2" t="s">
        <v>2405</v>
      </c>
      <c r="C1691" s="2" t="s">
        <v>2406</v>
      </c>
      <c r="D1691" s="2" t="s">
        <v>10</v>
      </c>
      <c r="E1691" s="2" t="s">
        <v>16</v>
      </c>
      <c r="F1691" s="2">
        <v>1</v>
      </c>
      <c r="G1691" s="2" t="s">
        <v>17</v>
      </c>
    </row>
    <row r="1692" spans="1:7" x14ac:dyDescent="0.2">
      <c r="A1692" s="2" t="s">
        <v>2404</v>
      </c>
      <c r="B1692" s="2" t="s">
        <v>1931</v>
      </c>
      <c r="C1692" s="2" t="s">
        <v>2406</v>
      </c>
      <c r="D1692" s="2" t="s">
        <v>10</v>
      </c>
      <c r="E1692" s="2" t="s">
        <v>16</v>
      </c>
      <c r="F1692" s="2">
        <v>1</v>
      </c>
      <c r="G1692" s="2" t="s">
        <v>17</v>
      </c>
    </row>
    <row r="1693" spans="1:7" x14ac:dyDescent="0.2">
      <c r="A1693" s="2" t="s">
        <v>2407</v>
      </c>
      <c r="B1693" s="2" t="s">
        <v>2408</v>
      </c>
      <c r="C1693" s="2" t="s">
        <v>2409</v>
      </c>
      <c r="D1693" s="2" t="s">
        <v>10</v>
      </c>
      <c r="E1693" s="2" t="s">
        <v>16</v>
      </c>
      <c r="F1693" s="2">
        <v>1</v>
      </c>
      <c r="G1693" s="2" t="s">
        <v>17</v>
      </c>
    </row>
    <row r="1694" spans="1:7" x14ac:dyDescent="0.2">
      <c r="A1694" s="2" t="s">
        <v>2410</v>
      </c>
      <c r="B1694" s="2">
        <v>2000</v>
      </c>
      <c r="C1694" s="2" t="s">
        <v>2411</v>
      </c>
      <c r="D1694" s="2" t="s">
        <v>10</v>
      </c>
      <c r="E1694" s="2" t="s">
        <v>16</v>
      </c>
      <c r="F1694" s="2">
        <v>1</v>
      </c>
      <c r="G1694" s="2" t="s">
        <v>17</v>
      </c>
    </row>
    <row r="1695" spans="1:7" x14ac:dyDescent="0.2">
      <c r="A1695" s="2" t="s">
        <v>2412</v>
      </c>
      <c r="B1695" s="2" t="s">
        <v>2413</v>
      </c>
      <c r="C1695" s="2" t="s">
        <v>790</v>
      </c>
      <c r="D1695" s="2" t="s">
        <v>56</v>
      </c>
      <c r="E1695" s="2" t="s">
        <v>16</v>
      </c>
      <c r="F1695" s="2">
        <v>1</v>
      </c>
      <c r="G1695" s="2" t="s">
        <v>17</v>
      </c>
    </row>
    <row r="1696" spans="1:7" x14ac:dyDescent="0.2">
      <c r="A1696" s="2" t="s">
        <v>2412</v>
      </c>
      <c r="B1696" s="2" t="s">
        <v>2414</v>
      </c>
      <c r="C1696" s="2" t="s">
        <v>790</v>
      </c>
      <c r="D1696" s="2" t="s">
        <v>56</v>
      </c>
      <c r="E1696" s="2" t="s">
        <v>16</v>
      </c>
      <c r="F1696" s="2">
        <v>1</v>
      </c>
      <c r="G1696" s="2" t="s">
        <v>17</v>
      </c>
    </row>
    <row r="1697" spans="1:7" x14ac:dyDescent="0.2">
      <c r="A1697" s="2" t="s">
        <v>2412</v>
      </c>
      <c r="B1697" s="2" t="s">
        <v>2415</v>
      </c>
      <c r="C1697" s="2" t="s">
        <v>790</v>
      </c>
      <c r="D1697" s="2" t="s">
        <v>56</v>
      </c>
      <c r="E1697" s="2" t="s">
        <v>16</v>
      </c>
      <c r="F1697" s="2">
        <v>1</v>
      </c>
      <c r="G1697" s="2" t="s">
        <v>17</v>
      </c>
    </row>
    <row r="1698" spans="1:7" x14ac:dyDescent="0.2">
      <c r="A1698" s="2" t="s">
        <v>2412</v>
      </c>
      <c r="B1698" s="2" t="s">
        <v>2416</v>
      </c>
      <c r="C1698" s="2" t="s">
        <v>790</v>
      </c>
      <c r="D1698" s="2" t="s">
        <v>56</v>
      </c>
      <c r="E1698" s="2" t="s">
        <v>16</v>
      </c>
      <c r="F1698" s="2">
        <v>1</v>
      </c>
      <c r="G1698" s="2" t="s">
        <v>17</v>
      </c>
    </row>
    <row r="1699" spans="1:7" x14ac:dyDescent="0.2">
      <c r="A1699" s="2" t="s">
        <v>2412</v>
      </c>
      <c r="B1699" s="2" t="s">
        <v>2417</v>
      </c>
      <c r="C1699" s="2" t="s">
        <v>792</v>
      </c>
      <c r="D1699" s="2" t="s">
        <v>56</v>
      </c>
      <c r="E1699" s="2" t="s">
        <v>16</v>
      </c>
      <c r="F1699" s="2">
        <v>1</v>
      </c>
      <c r="G1699" s="2" t="s">
        <v>17</v>
      </c>
    </row>
    <row r="1700" spans="1:7" x14ac:dyDescent="0.2">
      <c r="A1700" s="2" t="s">
        <v>2412</v>
      </c>
      <c r="B1700" s="2">
        <v>204</v>
      </c>
      <c r="C1700" s="2" t="s">
        <v>794</v>
      </c>
      <c r="D1700" s="2" t="s">
        <v>56</v>
      </c>
      <c r="E1700" s="2" t="s">
        <v>52</v>
      </c>
      <c r="F1700" s="2">
        <v>1</v>
      </c>
      <c r="G1700" s="2" t="s">
        <v>17</v>
      </c>
    </row>
    <row r="1701" spans="1:7" x14ac:dyDescent="0.2">
      <c r="A1701" s="2" t="s">
        <v>2412</v>
      </c>
      <c r="B1701" s="2">
        <v>205</v>
      </c>
      <c r="C1701" s="2" t="s">
        <v>794</v>
      </c>
      <c r="D1701" s="2" t="s">
        <v>56</v>
      </c>
      <c r="E1701" s="2" t="s">
        <v>52</v>
      </c>
      <c r="F1701" s="2">
        <v>1</v>
      </c>
      <c r="G1701" s="2" t="s">
        <v>17</v>
      </c>
    </row>
    <row r="1702" spans="1:7" x14ac:dyDescent="0.2">
      <c r="A1702" s="2" t="s">
        <v>2412</v>
      </c>
      <c r="B1702" s="2" t="s">
        <v>2418</v>
      </c>
      <c r="C1702" s="2" t="s">
        <v>797</v>
      </c>
      <c r="D1702" s="2" t="s">
        <v>56</v>
      </c>
      <c r="E1702" s="2" t="s">
        <v>52</v>
      </c>
      <c r="F1702" s="2">
        <v>1</v>
      </c>
      <c r="G1702" s="2" t="s">
        <v>17</v>
      </c>
    </row>
    <row r="1703" spans="1:7" x14ac:dyDescent="0.2">
      <c r="A1703" s="2" t="s">
        <v>2412</v>
      </c>
      <c r="B1703" s="2" t="s">
        <v>2419</v>
      </c>
      <c r="C1703" s="2" t="s">
        <v>797</v>
      </c>
      <c r="D1703" s="2" t="s">
        <v>56</v>
      </c>
      <c r="E1703" s="2" t="s">
        <v>52</v>
      </c>
      <c r="F1703" s="2">
        <v>1</v>
      </c>
      <c r="G1703" s="2" t="s">
        <v>17</v>
      </c>
    </row>
    <row r="1704" spans="1:7" x14ac:dyDescent="0.2">
      <c r="A1704" s="2" t="s">
        <v>2412</v>
      </c>
      <c r="B1704" s="2" t="s">
        <v>2420</v>
      </c>
      <c r="C1704" s="2" t="s">
        <v>797</v>
      </c>
      <c r="D1704" s="2" t="s">
        <v>56</v>
      </c>
      <c r="E1704" s="2" t="s">
        <v>52</v>
      </c>
      <c r="F1704" s="2">
        <v>1</v>
      </c>
      <c r="G1704" s="2" t="s">
        <v>17</v>
      </c>
    </row>
    <row r="1705" spans="1:7" x14ac:dyDescent="0.2">
      <c r="A1705" s="2" t="s">
        <v>2412</v>
      </c>
      <c r="B1705" s="2" t="s">
        <v>2421</v>
      </c>
      <c r="C1705" s="2" t="s">
        <v>2422</v>
      </c>
      <c r="D1705" s="2" t="s">
        <v>56</v>
      </c>
      <c r="E1705" s="2" t="s">
        <v>52</v>
      </c>
      <c r="F1705" s="2">
        <v>2</v>
      </c>
      <c r="G1705" s="2" t="s">
        <v>17</v>
      </c>
    </row>
    <row r="1706" spans="1:7" x14ac:dyDescent="0.2">
      <c r="A1706" s="2" t="s">
        <v>2412</v>
      </c>
      <c r="B1706" s="2" t="s">
        <v>2423</v>
      </c>
      <c r="C1706" s="2" t="s">
        <v>2424</v>
      </c>
      <c r="D1706" s="2" t="s">
        <v>56</v>
      </c>
      <c r="E1706" s="2" t="s">
        <v>52</v>
      </c>
      <c r="F1706" s="2">
        <v>1</v>
      </c>
      <c r="G1706" s="2" t="s">
        <v>17</v>
      </c>
    </row>
    <row r="1707" spans="1:7" x14ac:dyDescent="0.2">
      <c r="A1707" s="2" t="s">
        <v>2412</v>
      </c>
      <c r="B1707" s="2" t="s">
        <v>2425</v>
      </c>
      <c r="C1707" s="2" t="s">
        <v>2426</v>
      </c>
      <c r="D1707" s="2" t="s">
        <v>56</v>
      </c>
      <c r="E1707" s="2" t="s">
        <v>52</v>
      </c>
      <c r="F1707" s="2">
        <v>2</v>
      </c>
      <c r="G1707" s="2" t="s">
        <v>12</v>
      </c>
    </row>
    <row r="1708" spans="1:7" x14ac:dyDescent="0.2">
      <c r="A1708" s="2" t="s">
        <v>2412</v>
      </c>
      <c r="B1708" s="2">
        <v>210</v>
      </c>
      <c r="C1708" s="2" t="s">
        <v>794</v>
      </c>
      <c r="D1708" s="2" t="s">
        <v>56</v>
      </c>
      <c r="E1708" s="2" t="s">
        <v>52</v>
      </c>
      <c r="F1708" s="2">
        <v>1</v>
      </c>
      <c r="G1708" s="2" t="s">
        <v>17</v>
      </c>
    </row>
    <row r="1709" spans="1:7" x14ac:dyDescent="0.2">
      <c r="A1709" s="2" t="s">
        <v>2412</v>
      </c>
      <c r="B1709" s="2">
        <v>212</v>
      </c>
      <c r="C1709" s="2" t="s">
        <v>800</v>
      </c>
      <c r="D1709" s="2" t="s">
        <v>56</v>
      </c>
      <c r="E1709" s="2" t="s">
        <v>52</v>
      </c>
      <c r="F1709" s="2">
        <v>2</v>
      </c>
      <c r="G1709" s="2" t="s">
        <v>17</v>
      </c>
    </row>
    <row r="1710" spans="1:7" x14ac:dyDescent="0.2">
      <c r="A1710" s="2" t="s">
        <v>2412</v>
      </c>
      <c r="B1710" s="2" t="s">
        <v>2427</v>
      </c>
      <c r="C1710" s="2" t="s">
        <v>800</v>
      </c>
      <c r="D1710" s="2" t="s">
        <v>56</v>
      </c>
      <c r="E1710" s="2" t="s">
        <v>52</v>
      </c>
      <c r="F1710" s="2">
        <v>2</v>
      </c>
      <c r="G1710" s="2" t="s">
        <v>17</v>
      </c>
    </row>
    <row r="1711" spans="1:7" x14ac:dyDescent="0.2">
      <c r="A1711" s="2" t="s">
        <v>2412</v>
      </c>
      <c r="B1711" s="2" t="s">
        <v>2428</v>
      </c>
      <c r="C1711" s="2" t="s">
        <v>2429</v>
      </c>
      <c r="D1711" s="2" t="s">
        <v>56</v>
      </c>
      <c r="E1711" s="2" t="s">
        <v>52</v>
      </c>
      <c r="F1711" s="2">
        <v>1</v>
      </c>
      <c r="G1711" s="2" t="s">
        <v>12</v>
      </c>
    </row>
    <row r="1712" spans="1:7" x14ac:dyDescent="0.2">
      <c r="A1712" s="2" t="s">
        <v>2412</v>
      </c>
      <c r="B1712" s="2" t="s">
        <v>2430</v>
      </c>
      <c r="C1712" s="2" t="s">
        <v>2429</v>
      </c>
      <c r="D1712" s="2" t="s">
        <v>56</v>
      </c>
      <c r="E1712" s="2" t="s">
        <v>52</v>
      </c>
      <c r="F1712" s="2">
        <v>1</v>
      </c>
      <c r="G1712" s="2" t="s">
        <v>12</v>
      </c>
    </row>
    <row r="1713" spans="1:7" x14ac:dyDescent="0.2">
      <c r="A1713" s="2" t="s">
        <v>2412</v>
      </c>
      <c r="B1713" s="2" t="s">
        <v>2431</v>
      </c>
      <c r="C1713" s="2" t="s">
        <v>2429</v>
      </c>
      <c r="D1713" s="2" t="s">
        <v>56</v>
      </c>
      <c r="E1713" s="2" t="s">
        <v>52</v>
      </c>
      <c r="F1713" s="2">
        <v>1</v>
      </c>
      <c r="G1713" s="2" t="s">
        <v>12</v>
      </c>
    </row>
    <row r="1714" spans="1:7" x14ac:dyDescent="0.2">
      <c r="A1714" s="2" t="s">
        <v>2412</v>
      </c>
      <c r="B1714" s="2" t="s">
        <v>2432</v>
      </c>
      <c r="C1714" s="2" t="s">
        <v>2433</v>
      </c>
      <c r="D1714" s="2" t="s">
        <v>56</v>
      </c>
      <c r="E1714" s="2" t="s">
        <v>52</v>
      </c>
      <c r="F1714" s="2">
        <v>2</v>
      </c>
      <c r="G1714" s="2" t="s">
        <v>12</v>
      </c>
    </row>
    <row r="1715" spans="1:7" x14ac:dyDescent="0.2">
      <c r="A1715" s="2" t="s">
        <v>2412</v>
      </c>
      <c r="B1715" s="2">
        <v>222</v>
      </c>
      <c r="C1715" s="2" t="s">
        <v>2434</v>
      </c>
      <c r="D1715" s="2" t="s">
        <v>56</v>
      </c>
      <c r="E1715" s="2" t="s">
        <v>52</v>
      </c>
      <c r="F1715" s="2">
        <v>2</v>
      </c>
      <c r="G1715" s="2" t="s">
        <v>17</v>
      </c>
    </row>
    <row r="1716" spans="1:7" x14ac:dyDescent="0.2">
      <c r="A1716" s="2" t="s">
        <v>2412</v>
      </c>
      <c r="B1716" s="2">
        <v>230</v>
      </c>
      <c r="C1716" s="2" t="s">
        <v>2435</v>
      </c>
      <c r="D1716" s="2" t="s">
        <v>56</v>
      </c>
      <c r="E1716" s="2" t="s">
        <v>52</v>
      </c>
      <c r="F1716" s="2">
        <v>2</v>
      </c>
      <c r="G1716" s="2" t="s">
        <v>17</v>
      </c>
    </row>
    <row r="1717" spans="1:7" x14ac:dyDescent="0.2">
      <c r="A1717" s="2" t="s">
        <v>2412</v>
      </c>
      <c r="B1717" s="2">
        <v>301</v>
      </c>
      <c r="C1717" s="2" t="s">
        <v>2436</v>
      </c>
      <c r="D1717" s="2" t="s">
        <v>873</v>
      </c>
      <c r="E1717" s="2" t="s">
        <v>52</v>
      </c>
      <c r="F1717" s="2">
        <v>2</v>
      </c>
      <c r="G1717" s="2" t="s">
        <v>17</v>
      </c>
    </row>
    <row r="1718" spans="1:7" x14ac:dyDescent="0.2">
      <c r="A1718" s="2" t="s">
        <v>2412</v>
      </c>
      <c r="B1718" s="2">
        <v>406</v>
      </c>
      <c r="C1718" s="2" t="s">
        <v>797</v>
      </c>
      <c r="D1718" s="2" t="s">
        <v>56</v>
      </c>
      <c r="E1718" s="2" t="s">
        <v>52</v>
      </c>
      <c r="F1718" s="2">
        <v>1</v>
      </c>
      <c r="G1718" s="2" t="s">
        <v>17</v>
      </c>
    </row>
    <row r="1719" spans="1:7" x14ac:dyDescent="0.2">
      <c r="A1719" s="2" t="s">
        <v>2412</v>
      </c>
      <c r="B1719" s="2" t="s">
        <v>2437</v>
      </c>
      <c r="C1719" s="2" t="s">
        <v>797</v>
      </c>
      <c r="D1719" s="2" t="s">
        <v>56</v>
      </c>
      <c r="E1719" s="2" t="s">
        <v>52</v>
      </c>
      <c r="F1719" s="2">
        <v>1</v>
      </c>
      <c r="G1719" s="2" t="s">
        <v>17</v>
      </c>
    </row>
    <row r="1720" spans="1:7" x14ac:dyDescent="0.2">
      <c r="A1720" s="2" t="s">
        <v>2412</v>
      </c>
      <c r="B1720" s="2">
        <v>407</v>
      </c>
      <c r="C1720" s="2" t="s">
        <v>2438</v>
      </c>
      <c r="D1720" s="2" t="s">
        <v>56</v>
      </c>
      <c r="E1720" s="2" t="s">
        <v>52</v>
      </c>
      <c r="F1720" s="2">
        <v>1</v>
      </c>
      <c r="G1720" s="2" t="s">
        <v>17</v>
      </c>
    </row>
    <row r="1721" spans="1:7" x14ac:dyDescent="0.2">
      <c r="A1721" s="2" t="s">
        <v>2412</v>
      </c>
      <c r="B1721" s="2">
        <v>412</v>
      </c>
      <c r="C1721" s="2" t="s">
        <v>802</v>
      </c>
      <c r="D1721" s="2" t="s">
        <v>56</v>
      </c>
      <c r="E1721" s="2" t="s">
        <v>52</v>
      </c>
      <c r="F1721" s="2">
        <v>2</v>
      </c>
      <c r="G1721" s="2" t="s">
        <v>17</v>
      </c>
    </row>
    <row r="1722" spans="1:7" x14ac:dyDescent="0.2">
      <c r="A1722" s="2" t="s">
        <v>2412</v>
      </c>
      <c r="B1722" s="2" t="s">
        <v>2439</v>
      </c>
      <c r="C1722" s="2" t="s">
        <v>802</v>
      </c>
      <c r="D1722" s="2" t="s">
        <v>56</v>
      </c>
      <c r="E1722" s="2" t="s">
        <v>52</v>
      </c>
      <c r="F1722" s="2">
        <v>2</v>
      </c>
      <c r="G1722" s="2" t="s">
        <v>17</v>
      </c>
    </row>
    <row r="1723" spans="1:7" x14ac:dyDescent="0.2">
      <c r="A1723" s="2" t="s">
        <v>2412</v>
      </c>
      <c r="B1723" s="2" t="s">
        <v>2440</v>
      </c>
      <c r="C1723" s="2" t="s">
        <v>802</v>
      </c>
      <c r="D1723" s="2" t="s">
        <v>56</v>
      </c>
      <c r="E1723" s="2" t="s">
        <v>52</v>
      </c>
      <c r="F1723" s="2">
        <v>2</v>
      </c>
      <c r="G1723" s="2" t="s">
        <v>17</v>
      </c>
    </row>
    <row r="1724" spans="1:7" x14ac:dyDescent="0.2">
      <c r="A1724" s="2" t="s">
        <v>2412</v>
      </c>
      <c r="B1724" s="2">
        <v>427</v>
      </c>
      <c r="C1724" s="2" t="s">
        <v>2441</v>
      </c>
      <c r="D1724" s="2" t="s">
        <v>56</v>
      </c>
      <c r="E1724" s="2" t="s">
        <v>52</v>
      </c>
      <c r="F1724" s="2">
        <v>2</v>
      </c>
      <c r="G1724" s="2" t="s">
        <v>17</v>
      </c>
    </row>
    <row r="1725" spans="1:7" x14ac:dyDescent="0.2">
      <c r="A1725" s="2" t="s">
        <v>2412</v>
      </c>
      <c r="B1725" s="2" t="s">
        <v>2442</v>
      </c>
      <c r="C1725" s="2" t="s">
        <v>2443</v>
      </c>
      <c r="D1725" s="2" t="s">
        <v>56</v>
      </c>
      <c r="E1725" s="2" t="s">
        <v>52</v>
      </c>
      <c r="F1725" s="2">
        <v>2</v>
      </c>
      <c r="G1725" s="2" t="s">
        <v>17</v>
      </c>
    </row>
    <row r="1726" spans="1:7" x14ac:dyDescent="0.2">
      <c r="A1726" s="2" t="s">
        <v>2412</v>
      </c>
      <c r="B1726" s="2">
        <v>430</v>
      </c>
      <c r="C1726" s="2" t="s">
        <v>2444</v>
      </c>
      <c r="D1726" s="2" t="s">
        <v>56</v>
      </c>
      <c r="E1726" s="2" t="s">
        <v>52</v>
      </c>
      <c r="F1726" s="2">
        <v>2</v>
      </c>
      <c r="G1726" s="2" t="s">
        <v>17</v>
      </c>
    </row>
    <row r="1727" spans="1:7" x14ac:dyDescent="0.2">
      <c r="A1727" s="2" t="s">
        <v>2412</v>
      </c>
      <c r="B1727" s="2" t="s">
        <v>2445</v>
      </c>
      <c r="C1727" s="2" t="s">
        <v>2426</v>
      </c>
      <c r="D1727" s="2" t="s">
        <v>56</v>
      </c>
      <c r="E1727" s="2" t="s">
        <v>52</v>
      </c>
      <c r="F1727" s="2">
        <v>2</v>
      </c>
      <c r="G1727" s="2" t="s">
        <v>12</v>
      </c>
    </row>
    <row r="1728" spans="1:7" x14ac:dyDescent="0.2">
      <c r="A1728" s="2" t="s">
        <v>2412</v>
      </c>
      <c r="B1728" s="2" t="s">
        <v>2446</v>
      </c>
      <c r="C1728" s="2" t="s">
        <v>2424</v>
      </c>
      <c r="D1728" s="2" t="s">
        <v>56</v>
      </c>
      <c r="E1728" s="2" t="s">
        <v>52</v>
      </c>
      <c r="F1728" s="2">
        <v>1</v>
      </c>
      <c r="G1728" s="2" t="s">
        <v>17</v>
      </c>
    </row>
    <row r="1729" spans="1:7" x14ac:dyDescent="0.2">
      <c r="A1729" s="2" t="s">
        <v>2412</v>
      </c>
      <c r="B1729" s="2" t="s">
        <v>2447</v>
      </c>
      <c r="C1729" s="2" t="s">
        <v>2424</v>
      </c>
      <c r="D1729" s="2" t="s">
        <v>56</v>
      </c>
      <c r="E1729" s="2" t="s">
        <v>52</v>
      </c>
      <c r="F1729" s="2">
        <v>1</v>
      </c>
      <c r="G1729" s="2" t="s">
        <v>17</v>
      </c>
    </row>
    <row r="1730" spans="1:7" x14ac:dyDescent="0.2">
      <c r="A1730" s="2" t="s">
        <v>2412</v>
      </c>
      <c r="B1730" s="2" t="s">
        <v>2448</v>
      </c>
      <c r="C1730" s="2" t="s">
        <v>2424</v>
      </c>
      <c r="D1730" s="2" t="s">
        <v>56</v>
      </c>
      <c r="E1730" s="2" t="s">
        <v>52</v>
      </c>
      <c r="F1730" s="2">
        <v>1</v>
      </c>
      <c r="G1730" s="2" t="s">
        <v>17</v>
      </c>
    </row>
    <row r="1731" spans="1:7" x14ac:dyDescent="0.2">
      <c r="A1731" s="2" t="s">
        <v>2412</v>
      </c>
      <c r="B1731" s="2" t="s">
        <v>2449</v>
      </c>
      <c r="C1731" s="2" t="s">
        <v>2424</v>
      </c>
      <c r="D1731" s="2" t="s">
        <v>56</v>
      </c>
      <c r="E1731" s="2" t="s">
        <v>52</v>
      </c>
      <c r="F1731" s="2">
        <v>1</v>
      </c>
      <c r="G1731" s="2" t="s">
        <v>17</v>
      </c>
    </row>
    <row r="1732" spans="1:7" x14ac:dyDescent="0.2">
      <c r="A1732" s="2" t="s">
        <v>2412</v>
      </c>
      <c r="B1732" s="2" t="s">
        <v>2450</v>
      </c>
      <c r="C1732" s="2" t="s">
        <v>2426</v>
      </c>
      <c r="D1732" s="2" t="s">
        <v>56</v>
      </c>
      <c r="E1732" s="2" t="s">
        <v>52</v>
      </c>
      <c r="F1732" s="2">
        <v>2</v>
      </c>
      <c r="G1732" s="2" t="s">
        <v>12</v>
      </c>
    </row>
    <row r="1733" spans="1:7" x14ac:dyDescent="0.2">
      <c r="A1733" s="2" t="s">
        <v>2412</v>
      </c>
      <c r="B1733" s="2" t="s">
        <v>2451</v>
      </c>
      <c r="C1733" s="2" t="s">
        <v>2426</v>
      </c>
      <c r="D1733" s="2" t="s">
        <v>56</v>
      </c>
      <c r="E1733" s="2" t="s">
        <v>52</v>
      </c>
      <c r="F1733" s="2">
        <v>2</v>
      </c>
      <c r="G1733" s="2" t="s">
        <v>12</v>
      </c>
    </row>
    <row r="1734" spans="1:7" x14ac:dyDescent="0.2">
      <c r="A1734" s="2" t="s">
        <v>2412</v>
      </c>
      <c r="B1734" s="2" t="s">
        <v>2452</v>
      </c>
      <c r="C1734" s="2" t="s">
        <v>2453</v>
      </c>
      <c r="D1734" s="2" t="s">
        <v>10</v>
      </c>
      <c r="E1734" s="2" t="s">
        <v>16</v>
      </c>
      <c r="F1734" s="2">
        <v>1</v>
      </c>
      <c r="G1734" s="2" t="s">
        <v>17</v>
      </c>
    </row>
    <row r="1735" spans="1:7" x14ac:dyDescent="0.2">
      <c r="A1735" s="2" t="s">
        <v>2412</v>
      </c>
      <c r="B1735" s="2" t="s">
        <v>2454</v>
      </c>
      <c r="C1735" s="2" t="s">
        <v>2429</v>
      </c>
      <c r="D1735" s="2" t="s">
        <v>56</v>
      </c>
      <c r="E1735" s="2" t="s">
        <v>52</v>
      </c>
      <c r="F1735" s="2">
        <v>1</v>
      </c>
      <c r="G1735" s="2" t="s">
        <v>12</v>
      </c>
    </row>
    <row r="1736" spans="1:7" x14ac:dyDescent="0.2">
      <c r="A1736" s="2" t="s">
        <v>2412</v>
      </c>
      <c r="B1736" s="2" t="s">
        <v>2455</v>
      </c>
      <c r="C1736" s="2" t="s">
        <v>794</v>
      </c>
      <c r="D1736" s="2" t="s">
        <v>56</v>
      </c>
      <c r="E1736" s="2" t="s">
        <v>52</v>
      </c>
      <c r="F1736" s="2">
        <v>1</v>
      </c>
      <c r="G1736" s="2" t="s">
        <v>17</v>
      </c>
    </row>
    <row r="1737" spans="1:7" x14ac:dyDescent="0.2">
      <c r="A1737" s="2" t="s">
        <v>2412</v>
      </c>
      <c r="B1737" s="2" t="s">
        <v>2456</v>
      </c>
      <c r="C1737" s="2" t="s">
        <v>797</v>
      </c>
      <c r="D1737" s="2" t="s">
        <v>56</v>
      </c>
      <c r="E1737" s="2" t="s">
        <v>52</v>
      </c>
      <c r="F1737" s="2">
        <v>1</v>
      </c>
      <c r="G1737" s="2" t="s">
        <v>17</v>
      </c>
    </row>
    <row r="1738" spans="1:7" x14ac:dyDescent="0.2">
      <c r="A1738" s="2" t="s">
        <v>2412</v>
      </c>
      <c r="B1738" s="2" t="s">
        <v>2457</v>
      </c>
      <c r="C1738" s="2" t="s">
        <v>797</v>
      </c>
      <c r="D1738" s="2" t="s">
        <v>56</v>
      </c>
      <c r="E1738" s="2" t="s">
        <v>52</v>
      </c>
      <c r="F1738" s="2">
        <v>1</v>
      </c>
      <c r="G1738" s="2" t="s">
        <v>17</v>
      </c>
    </row>
    <row r="1739" spans="1:7" x14ac:dyDescent="0.2">
      <c r="A1739" s="2" t="s">
        <v>2412</v>
      </c>
      <c r="B1739" s="2" t="s">
        <v>2458</v>
      </c>
      <c r="C1739" s="2" t="s">
        <v>802</v>
      </c>
      <c r="D1739" s="2" t="s">
        <v>56</v>
      </c>
      <c r="E1739" s="2" t="s">
        <v>52</v>
      </c>
      <c r="F1739" s="2">
        <v>2</v>
      </c>
      <c r="G1739" s="2" t="s">
        <v>17</v>
      </c>
    </row>
    <row r="1740" spans="1:7" x14ac:dyDescent="0.2">
      <c r="A1740" s="2" t="s">
        <v>2412</v>
      </c>
      <c r="B1740" s="2" t="s">
        <v>2459</v>
      </c>
      <c r="C1740" s="2" t="s">
        <v>797</v>
      </c>
      <c r="D1740" s="2" t="s">
        <v>56</v>
      </c>
      <c r="E1740" s="2" t="s">
        <v>52</v>
      </c>
      <c r="F1740" s="2">
        <v>1</v>
      </c>
      <c r="G1740" s="2" t="s">
        <v>17</v>
      </c>
    </row>
    <row r="1741" spans="1:7" x14ac:dyDescent="0.2">
      <c r="A1741" s="2" t="s">
        <v>2412</v>
      </c>
      <c r="B1741" s="2" t="s">
        <v>2460</v>
      </c>
      <c r="C1741" s="2" t="s">
        <v>797</v>
      </c>
      <c r="D1741" s="2" t="s">
        <v>56</v>
      </c>
      <c r="E1741" s="2" t="s">
        <v>52</v>
      </c>
      <c r="F1741" s="2">
        <v>1</v>
      </c>
      <c r="G1741" s="2" t="s">
        <v>17</v>
      </c>
    </row>
    <row r="1742" spans="1:7" x14ac:dyDescent="0.2">
      <c r="A1742" s="2" t="s">
        <v>2412</v>
      </c>
      <c r="B1742" s="2" t="s">
        <v>2461</v>
      </c>
      <c r="C1742" s="2" t="s">
        <v>797</v>
      </c>
      <c r="D1742" s="2" t="s">
        <v>56</v>
      </c>
      <c r="E1742" s="2" t="s">
        <v>52</v>
      </c>
      <c r="F1742" s="2">
        <v>1</v>
      </c>
      <c r="G1742" s="2" t="s">
        <v>17</v>
      </c>
    </row>
    <row r="1743" spans="1:7" x14ac:dyDescent="0.2">
      <c r="A1743" s="2" t="s">
        <v>2412</v>
      </c>
      <c r="B1743" s="2" t="s">
        <v>2462</v>
      </c>
      <c r="C1743" s="2" t="s">
        <v>794</v>
      </c>
      <c r="D1743" s="2" t="s">
        <v>56</v>
      </c>
      <c r="E1743" s="2" t="s">
        <v>52</v>
      </c>
      <c r="F1743" s="2">
        <v>1</v>
      </c>
      <c r="G1743" s="2" t="s">
        <v>17</v>
      </c>
    </row>
    <row r="1744" spans="1:7" x14ac:dyDescent="0.2">
      <c r="A1744" s="2" t="s">
        <v>2412</v>
      </c>
      <c r="B1744" s="2" t="s">
        <v>2463</v>
      </c>
      <c r="C1744" s="2" t="s">
        <v>794</v>
      </c>
      <c r="D1744" s="2" t="s">
        <v>56</v>
      </c>
      <c r="E1744" s="2" t="s">
        <v>52</v>
      </c>
      <c r="F1744" s="2">
        <v>1</v>
      </c>
      <c r="G1744" s="2" t="s">
        <v>17</v>
      </c>
    </row>
    <row r="1745" spans="1:7" x14ac:dyDescent="0.2">
      <c r="A1745" s="2" t="s">
        <v>2412</v>
      </c>
      <c r="B1745" s="2" t="s">
        <v>2464</v>
      </c>
      <c r="C1745" s="2" t="s">
        <v>2443</v>
      </c>
      <c r="D1745" s="2" t="s">
        <v>56</v>
      </c>
      <c r="E1745" s="2" t="s">
        <v>52</v>
      </c>
      <c r="F1745" s="2">
        <v>2</v>
      </c>
      <c r="G1745" s="2" t="s">
        <v>17</v>
      </c>
    </row>
    <row r="1746" spans="1:7" x14ac:dyDescent="0.2">
      <c r="A1746" s="2" t="s">
        <v>2412</v>
      </c>
      <c r="B1746" s="2" t="s">
        <v>2465</v>
      </c>
      <c r="C1746" s="2" t="s">
        <v>802</v>
      </c>
      <c r="D1746" s="2" t="s">
        <v>56</v>
      </c>
      <c r="E1746" s="2" t="s">
        <v>52</v>
      </c>
      <c r="F1746" s="2">
        <v>2</v>
      </c>
      <c r="G1746" s="2" t="s">
        <v>17</v>
      </c>
    </row>
    <row r="1747" spans="1:7" x14ac:dyDescent="0.2">
      <c r="A1747" s="2" t="s">
        <v>2412</v>
      </c>
      <c r="B1747" s="2" t="s">
        <v>814</v>
      </c>
      <c r="C1747" s="2" t="s">
        <v>802</v>
      </c>
      <c r="D1747" s="2" t="s">
        <v>56</v>
      </c>
      <c r="E1747" s="2" t="s">
        <v>52</v>
      </c>
      <c r="F1747" s="2">
        <v>2</v>
      </c>
      <c r="G1747" s="2" t="s">
        <v>17</v>
      </c>
    </row>
    <row r="1748" spans="1:7" x14ac:dyDescent="0.2">
      <c r="A1748" s="2" t="s">
        <v>2412</v>
      </c>
      <c r="B1748" s="2" t="s">
        <v>2466</v>
      </c>
      <c r="C1748" s="2" t="s">
        <v>794</v>
      </c>
      <c r="D1748" s="2" t="s">
        <v>56</v>
      </c>
      <c r="E1748" s="2" t="s">
        <v>52</v>
      </c>
      <c r="F1748" s="2">
        <v>1</v>
      </c>
      <c r="G1748" s="2" t="s">
        <v>17</v>
      </c>
    </row>
    <row r="1749" spans="1:7" x14ac:dyDescent="0.2">
      <c r="A1749" s="2" t="s">
        <v>2412</v>
      </c>
      <c r="B1749" s="2" t="s">
        <v>2467</v>
      </c>
      <c r="C1749" s="2" t="s">
        <v>802</v>
      </c>
      <c r="D1749" s="2" t="s">
        <v>56</v>
      </c>
      <c r="E1749" s="2" t="s">
        <v>52</v>
      </c>
      <c r="F1749" s="2">
        <v>2</v>
      </c>
      <c r="G1749" s="2" t="s">
        <v>17</v>
      </c>
    </row>
    <row r="1750" spans="1:7" x14ac:dyDescent="0.2">
      <c r="A1750" s="2" t="s">
        <v>2412</v>
      </c>
      <c r="B1750" s="2" t="s">
        <v>2468</v>
      </c>
      <c r="C1750" s="2" t="s">
        <v>2438</v>
      </c>
      <c r="D1750" s="2" t="s">
        <v>56</v>
      </c>
      <c r="E1750" s="2" t="s">
        <v>52</v>
      </c>
      <c r="F1750" s="2">
        <v>1</v>
      </c>
      <c r="G1750" s="2" t="s">
        <v>17</v>
      </c>
    </row>
    <row r="1751" spans="1:7" x14ac:dyDescent="0.2">
      <c r="A1751" s="2" t="s">
        <v>2412</v>
      </c>
      <c r="B1751" s="2" t="s">
        <v>2469</v>
      </c>
      <c r="C1751" s="2" t="s">
        <v>792</v>
      </c>
      <c r="D1751" s="2" t="s">
        <v>56</v>
      </c>
      <c r="E1751" s="2" t="s">
        <v>16</v>
      </c>
      <c r="F1751" s="2">
        <v>1</v>
      </c>
      <c r="G1751" s="2" t="s">
        <v>17</v>
      </c>
    </row>
    <row r="1752" spans="1:7" x14ac:dyDescent="0.2">
      <c r="A1752" s="2" t="s">
        <v>2412</v>
      </c>
      <c r="B1752" s="2" t="s">
        <v>2470</v>
      </c>
      <c r="C1752" s="2" t="s">
        <v>794</v>
      </c>
      <c r="D1752" s="2" t="s">
        <v>56</v>
      </c>
      <c r="E1752" s="2" t="s">
        <v>52</v>
      </c>
      <c r="F1752" s="2">
        <v>1</v>
      </c>
      <c r="G1752" s="2" t="s">
        <v>17</v>
      </c>
    </row>
    <row r="1753" spans="1:7" x14ac:dyDescent="0.2">
      <c r="A1753" s="2" t="s">
        <v>2412</v>
      </c>
      <c r="B1753" s="2" t="s">
        <v>2471</v>
      </c>
      <c r="C1753" s="2" t="s">
        <v>2424</v>
      </c>
      <c r="D1753" s="2" t="s">
        <v>56</v>
      </c>
      <c r="E1753" s="2" t="s">
        <v>52</v>
      </c>
      <c r="F1753" s="2">
        <v>1</v>
      </c>
      <c r="G1753" s="2" t="s">
        <v>17</v>
      </c>
    </row>
    <row r="1754" spans="1:7" x14ac:dyDescent="0.2">
      <c r="A1754" s="2" t="s">
        <v>2412</v>
      </c>
      <c r="B1754" s="2" t="s">
        <v>2472</v>
      </c>
      <c r="C1754" s="2" t="s">
        <v>794</v>
      </c>
      <c r="D1754" s="2" t="s">
        <v>56</v>
      </c>
      <c r="E1754" s="2" t="s">
        <v>52</v>
      </c>
      <c r="F1754" s="2">
        <v>1</v>
      </c>
      <c r="G1754" s="2" t="s">
        <v>17</v>
      </c>
    </row>
    <row r="1755" spans="1:7" x14ac:dyDescent="0.2">
      <c r="A1755" s="2" t="s">
        <v>2412</v>
      </c>
      <c r="B1755" s="2" t="s">
        <v>2473</v>
      </c>
      <c r="C1755" s="2" t="s">
        <v>2429</v>
      </c>
      <c r="D1755" s="2" t="s">
        <v>56</v>
      </c>
      <c r="E1755" s="2" t="s">
        <v>52</v>
      </c>
      <c r="F1755" s="2">
        <v>1</v>
      </c>
      <c r="G1755" s="2" t="s">
        <v>12</v>
      </c>
    </row>
    <row r="1756" spans="1:7" x14ac:dyDescent="0.2">
      <c r="A1756" s="2" t="s">
        <v>2412</v>
      </c>
      <c r="B1756" s="2" t="s">
        <v>823</v>
      </c>
      <c r="C1756" s="2" t="s">
        <v>797</v>
      </c>
      <c r="D1756" s="2" t="s">
        <v>56</v>
      </c>
      <c r="E1756" s="2" t="s">
        <v>52</v>
      </c>
      <c r="F1756" s="2">
        <v>1</v>
      </c>
      <c r="G1756" s="2" t="s">
        <v>17</v>
      </c>
    </row>
    <row r="1757" spans="1:7" x14ac:dyDescent="0.2">
      <c r="A1757" s="2" t="s">
        <v>2412</v>
      </c>
      <c r="B1757" s="2" t="s">
        <v>2474</v>
      </c>
      <c r="C1757" s="2" t="s">
        <v>2475</v>
      </c>
      <c r="D1757" s="2" t="s">
        <v>10</v>
      </c>
      <c r="E1757" s="2" t="s">
        <v>16</v>
      </c>
      <c r="F1757" s="2">
        <v>1</v>
      </c>
      <c r="G1757" s="2" t="s">
        <v>17</v>
      </c>
    </row>
    <row r="1758" spans="1:7" x14ac:dyDescent="0.2">
      <c r="A1758" s="2" t="s">
        <v>2412</v>
      </c>
      <c r="B1758" s="2" t="s">
        <v>2476</v>
      </c>
      <c r="C1758" s="2" t="s">
        <v>797</v>
      </c>
      <c r="D1758" s="2" t="s">
        <v>56</v>
      </c>
      <c r="E1758" s="2" t="s">
        <v>52</v>
      </c>
      <c r="F1758" s="2">
        <v>1</v>
      </c>
      <c r="G1758" s="2" t="s">
        <v>17</v>
      </c>
    </row>
    <row r="1759" spans="1:7" x14ac:dyDescent="0.2">
      <c r="A1759" s="2" t="s">
        <v>2412</v>
      </c>
      <c r="B1759" s="2" t="s">
        <v>2477</v>
      </c>
      <c r="C1759" s="2" t="s">
        <v>797</v>
      </c>
      <c r="D1759" s="2" t="s">
        <v>56</v>
      </c>
      <c r="E1759" s="2" t="s">
        <v>52</v>
      </c>
      <c r="F1759" s="2">
        <v>1</v>
      </c>
      <c r="G1759" s="2" t="s">
        <v>17</v>
      </c>
    </row>
    <row r="1760" spans="1:7" x14ac:dyDescent="0.2">
      <c r="A1760" s="2" t="s">
        <v>2412</v>
      </c>
      <c r="B1760" s="2" t="s">
        <v>824</v>
      </c>
      <c r="C1760" s="2" t="s">
        <v>797</v>
      </c>
      <c r="D1760" s="2" t="s">
        <v>56</v>
      </c>
      <c r="E1760" s="2" t="s">
        <v>52</v>
      </c>
      <c r="F1760" s="2">
        <v>1</v>
      </c>
      <c r="G1760" s="2" t="s">
        <v>17</v>
      </c>
    </row>
    <row r="1761" spans="1:7" x14ac:dyDescent="0.2">
      <c r="A1761" s="2" t="s">
        <v>2412</v>
      </c>
      <c r="B1761" s="2" t="s">
        <v>2478</v>
      </c>
      <c r="C1761" s="2" t="s">
        <v>790</v>
      </c>
      <c r="D1761" s="2" t="s">
        <v>56</v>
      </c>
      <c r="E1761" s="2" t="s">
        <v>16</v>
      </c>
      <c r="F1761" s="2">
        <v>1</v>
      </c>
      <c r="G1761" s="2" t="s">
        <v>17</v>
      </c>
    </row>
    <row r="1762" spans="1:7" x14ac:dyDescent="0.2">
      <c r="A1762" s="2" t="s">
        <v>2412</v>
      </c>
      <c r="B1762" s="2" t="s">
        <v>2479</v>
      </c>
      <c r="C1762" s="2" t="s">
        <v>797</v>
      </c>
      <c r="D1762" s="2" t="s">
        <v>56</v>
      </c>
      <c r="E1762" s="2" t="s">
        <v>52</v>
      </c>
      <c r="F1762" s="2">
        <v>1</v>
      </c>
      <c r="G1762" s="2" t="s">
        <v>17</v>
      </c>
    </row>
    <row r="1763" spans="1:7" x14ac:dyDescent="0.2">
      <c r="A1763" s="2" t="s">
        <v>2412</v>
      </c>
      <c r="B1763" s="2" t="s">
        <v>2480</v>
      </c>
      <c r="C1763" s="2" t="s">
        <v>797</v>
      </c>
      <c r="D1763" s="2" t="s">
        <v>56</v>
      </c>
      <c r="E1763" s="2" t="s">
        <v>52</v>
      </c>
      <c r="F1763" s="2">
        <v>1</v>
      </c>
      <c r="G1763" s="2" t="s">
        <v>17</v>
      </c>
    </row>
    <row r="1764" spans="1:7" x14ac:dyDescent="0.2">
      <c r="A1764" s="2" t="s">
        <v>2412</v>
      </c>
      <c r="B1764" s="2" t="s">
        <v>2481</v>
      </c>
      <c r="C1764" s="2" t="s">
        <v>2453</v>
      </c>
      <c r="D1764" s="2" t="s">
        <v>10</v>
      </c>
      <c r="E1764" s="2" t="s">
        <v>16</v>
      </c>
      <c r="F1764" s="2">
        <v>1</v>
      </c>
      <c r="G1764" s="2" t="s">
        <v>17</v>
      </c>
    </row>
    <row r="1765" spans="1:7" x14ac:dyDescent="0.2">
      <c r="A1765" s="2" t="s">
        <v>2412</v>
      </c>
      <c r="B1765" s="2" t="s">
        <v>2482</v>
      </c>
      <c r="C1765" s="2" t="s">
        <v>2475</v>
      </c>
      <c r="D1765" s="2" t="s">
        <v>10</v>
      </c>
      <c r="E1765" s="2" t="s">
        <v>16</v>
      </c>
      <c r="F1765" s="2">
        <v>1</v>
      </c>
      <c r="G1765" s="2" t="s">
        <v>17</v>
      </c>
    </row>
    <row r="1766" spans="1:7" x14ac:dyDescent="0.2">
      <c r="A1766" s="2" t="s">
        <v>2412</v>
      </c>
      <c r="B1766" s="2" t="s">
        <v>2483</v>
      </c>
      <c r="C1766" s="2" t="s">
        <v>792</v>
      </c>
      <c r="D1766" s="2" t="s">
        <v>56</v>
      </c>
      <c r="E1766" s="2" t="s">
        <v>16</v>
      </c>
      <c r="F1766" s="2">
        <v>1</v>
      </c>
      <c r="G1766" s="2" t="s">
        <v>17</v>
      </c>
    </row>
    <row r="1767" spans="1:7" x14ac:dyDescent="0.2">
      <c r="A1767" s="2" t="s">
        <v>2412</v>
      </c>
      <c r="B1767" s="2" t="s">
        <v>2484</v>
      </c>
      <c r="C1767" s="2" t="s">
        <v>797</v>
      </c>
      <c r="D1767" s="2" t="s">
        <v>56</v>
      </c>
      <c r="E1767" s="2" t="s">
        <v>52</v>
      </c>
      <c r="F1767" s="2">
        <v>1</v>
      </c>
      <c r="G1767" s="2" t="s">
        <v>17</v>
      </c>
    </row>
    <row r="1768" spans="1:7" x14ac:dyDescent="0.2">
      <c r="A1768" s="2" t="s">
        <v>2412</v>
      </c>
      <c r="B1768" s="2" t="s">
        <v>2485</v>
      </c>
      <c r="C1768" s="2" t="s">
        <v>802</v>
      </c>
      <c r="D1768" s="2" t="s">
        <v>56</v>
      </c>
      <c r="E1768" s="2" t="s">
        <v>52</v>
      </c>
      <c r="F1768" s="2">
        <v>2</v>
      </c>
      <c r="G1768" s="2" t="s">
        <v>17</v>
      </c>
    </row>
    <row r="1769" spans="1:7" x14ac:dyDescent="0.2">
      <c r="A1769" s="2" t="s">
        <v>2412</v>
      </c>
      <c r="B1769" s="2" t="s">
        <v>2486</v>
      </c>
      <c r="C1769" s="2" t="s">
        <v>794</v>
      </c>
      <c r="D1769" s="2" t="s">
        <v>56</v>
      </c>
      <c r="E1769" s="2" t="s">
        <v>52</v>
      </c>
      <c r="F1769" s="2">
        <v>1</v>
      </c>
      <c r="G1769" s="2" t="s">
        <v>17</v>
      </c>
    </row>
    <row r="1770" spans="1:7" x14ac:dyDescent="0.2">
      <c r="A1770" s="2" t="s">
        <v>2412</v>
      </c>
      <c r="B1770" s="2" t="s">
        <v>2487</v>
      </c>
      <c r="C1770" s="2" t="s">
        <v>790</v>
      </c>
      <c r="D1770" s="2" t="s">
        <v>56</v>
      </c>
      <c r="E1770" s="2" t="s">
        <v>16</v>
      </c>
      <c r="F1770" s="2">
        <v>1</v>
      </c>
      <c r="G1770" s="2" t="s">
        <v>17</v>
      </c>
    </row>
    <row r="1771" spans="1:7" x14ac:dyDescent="0.2">
      <c r="A1771" s="2" t="s">
        <v>2412</v>
      </c>
      <c r="B1771" s="2" t="s">
        <v>2488</v>
      </c>
      <c r="C1771" s="2" t="s">
        <v>2426</v>
      </c>
      <c r="D1771" s="2" t="s">
        <v>56</v>
      </c>
      <c r="E1771" s="2" t="s">
        <v>52</v>
      </c>
      <c r="F1771" s="2">
        <v>2</v>
      </c>
      <c r="G1771" s="2" t="s">
        <v>12</v>
      </c>
    </row>
    <row r="1772" spans="1:7" x14ac:dyDescent="0.2">
      <c r="A1772" s="2" t="s">
        <v>2412</v>
      </c>
      <c r="B1772" s="2" t="s">
        <v>2489</v>
      </c>
      <c r="C1772" s="2" t="s">
        <v>2433</v>
      </c>
      <c r="D1772" s="2" t="s">
        <v>56</v>
      </c>
      <c r="E1772" s="2" t="s">
        <v>52</v>
      </c>
      <c r="F1772" s="2">
        <v>2</v>
      </c>
      <c r="G1772" s="2" t="s">
        <v>12</v>
      </c>
    </row>
    <row r="1773" spans="1:7" x14ac:dyDescent="0.2">
      <c r="A1773" s="2" t="s">
        <v>2412</v>
      </c>
      <c r="B1773" s="2" t="s">
        <v>2490</v>
      </c>
      <c r="C1773" s="2" t="s">
        <v>2424</v>
      </c>
      <c r="D1773" s="2" t="s">
        <v>56</v>
      </c>
      <c r="E1773" s="2" t="s">
        <v>52</v>
      </c>
      <c r="F1773" s="2">
        <v>1</v>
      </c>
      <c r="G1773" s="2" t="s">
        <v>17</v>
      </c>
    </row>
    <row r="1774" spans="1:7" x14ac:dyDescent="0.2">
      <c r="A1774" s="2" t="s">
        <v>2412</v>
      </c>
      <c r="B1774" s="2" t="s">
        <v>2491</v>
      </c>
      <c r="C1774" s="2" t="s">
        <v>794</v>
      </c>
      <c r="D1774" s="2" t="s">
        <v>56</v>
      </c>
      <c r="E1774" s="2" t="s">
        <v>52</v>
      </c>
      <c r="F1774" s="2">
        <v>1</v>
      </c>
      <c r="G1774" s="2" t="s">
        <v>17</v>
      </c>
    </row>
    <row r="1775" spans="1:7" x14ac:dyDescent="0.2">
      <c r="A1775" s="2" t="s">
        <v>2412</v>
      </c>
      <c r="B1775" s="2" t="s">
        <v>2492</v>
      </c>
      <c r="C1775" s="2" t="s">
        <v>2438</v>
      </c>
      <c r="D1775" s="2" t="s">
        <v>56</v>
      </c>
      <c r="E1775" s="2" t="s">
        <v>52</v>
      </c>
      <c r="F1775" s="2">
        <v>1</v>
      </c>
      <c r="G1775" s="2" t="s">
        <v>17</v>
      </c>
    </row>
    <row r="1776" spans="1:7" x14ac:dyDescent="0.2">
      <c r="A1776" s="2" t="s">
        <v>2412</v>
      </c>
      <c r="B1776" s="2" t="s">
        <v>2493</v>
      </c>
      <c r="C1776" s="2" t="s">
        <v>2438</v>
      </c>
      <c r="D1776" s="2" t="s">
        <v>56</v>
      </c>
      <c r="E1776" s="2" t="s">
        <v>52</v>
      </c>
      <c r="F1776" s="2">
        <v>1</v>
      </c>
      <c r="G1776" s="2" t="s">
        <v>17</v>
      </c>
    </row>
    <row r="1777" spans="1:7" x14ac:dyDescent="0.2">
      <c r="A1777" s="2" t="s">
        <v>2412</v>
      </c>
      <c r="B1777" s="2" t="s">
        <v>2494</v>
      </c>
      <c r="C1777" s="2" t="s">
        <v>794</v>
      </c>
      <c r="D1777" s="2" t="s">
        <v>56</v>
      </c>
      <c r="E1777" s="2" t="s">
        <v>52</v>
      </c>
      <c r="F1777" s="2">
        <v>1</v>
      </c>
      <c r="G1777" s="2" t="s">
        <v>17</v>
      </c>
    </row>
    <row r="1778" spans="1:7" x14ac:dyDescent="0.2">
      <c r="A1778" s="2" t="s">
        <v>2412</v>
      </c>
      <c r="B1778" s="2" t="s">
        <v>2495</v>
      </c>
      <c r="C1778" s="2" t="s">
        <v>794</v>
      </c>
      <c r="D1778" s="2" t="s">
        <v>56</v>
      </c>
      <c r="E1778" s="2" t="s">
        <v>52</v>
      </c>
      <c r="F1778" s="2">
        <v>1</v>
      </c>
      <c r="G1778" s="2" t="s">
        <v>17</v>
      </c>
    </row>
    <row r="1779" spans="1:7" x14ac:dyDescent="0.2">
      <c r="A1779" s="2" t="s">
        <v>2412</v>
      </c>
      <c r="B1779" s="2" t="s">
        <v>2496</v>
      </c>
      <c r="C1779" s="2" t="s">
        <v>794</v>
      </c>
      <c r="D1779" s="2" t="s">
        <v>56</v>
      </c>
      <c r="E1779" s="2" t="s">
        <v>52</v>
      </c>
      <c r="F1779" s="2">
        <v>1</v>
      </c>
      <c r="G1779" s="2" t="s">
        <v>17</v>
      </c>
    </row>
    <row r="1780" spans="1:7" x14ac:dyDescent="0.2">
      <c r="A1780" s="2" t="s">
        <v>2412</v>
      </c>
      <c r="B1780" s="2" t="s">
        <v>2497</v>
      </c>
      <c r="C1780" s="2" t="s">
        <v>2424</v>
      </c>
      <c r="D1780" s="2" t="s">
        <v>56</v>
      </c>
      <c r="E1780" s="2" t="s">
        <v>52</v>
      </c>
      <c r="F1780" s="2">
        <v>1</v>
      </c>
      <c r="G1780" s="2" t="s">
        <v>17</v>
      </c>
    </row>
    <row r="1781" spans="1:7" x14ac:dyDescent="0.2">
      <c r="A1781" s="2" t="s">
        <v>2412</v>
      </c>
      <c r="B1781" s="2" t="s">
        <v>2498</v>
      </c>
      <c r="C1781" s="2" t="s">
        <v>792</v>
      </c>
      <c r="D1781" s="2" t="s">
        <v>56</v>
      </c>
      <c r="E1781" s="2" t="s">
        <v>16</v>
      </c>
      <c r="F1781" s="2">
        <v>1</v>
      </c>
      <c r="G1781" s="2" t="s">
        <v>17</v>
      </c>
    </row>
    <row r="1782" spans="1:7" x14ac:dyDescent="0.2">
      <c r="A1782" s="2" t="s">
        <v>2412</v>
      </c>
      <c r="B1782" s="2" t="s">
        <v>2499</v>
      </c>
      <c r="C1782" s="2" t="s">
        <v>790</v>
      </c>
      <c r="D1782" s="2" t="s">
        <v>56</v>
      </c>
      <c r="E1782" s="2" t="s">
        <v>16</v>
      </c>
      <c r="F1782" s="2">
        <v>1</v>
      </c>
      <c r="G1782" s="2" t="s">
        <v>17</v>
      </c>
    </row>
    <row r="1783" spans="1:7" x14ac:dyDescent="0.2">
      <c r="A1783" s="2" t="s">
        <v>2412</v>
      </c>
      <c r="B1783" s="2" t="s">
        <v>2500</v>
      </c>
      <c r="C1783" s="2" t="s">
        <v>797</v>
      </c>
      <c r="D1783" s="2" t="s">
        <v>56</v>
      </c>
      <c r="E1783" s="2" t="s">
        <v>52</v>
      </c>
      <c r="F1783" s="2">
        <v>1</v>
      </c>
      <c r="G1783" s="2" t="s">
        <v>17</v>
      </c>
    </row>
    <row r="1784" spans="1:7" x14ac:dyDescent="0.2">
      <c r="A1784" s="2" t="s">
        <v>2412</v>
      </c>
      <c r="B1784" s="2" t="s">
        <v>2501</v>
      </c>
      <c r="C1784" s="2" t="s">
        <v>797</v>
      </c>
      <c r="D1784" s="2" t="s">
        <v>56</v>
      </c>
      <c r="E1784" s="2" t="s">
        <v>52</v>
      </c>
      <c r="F1784" s="2">
        <v>1</v>
      </c>
      <c r="G1784" s="2" t="s">
        <v>17</v>
      </c>
    </row>
    <row r="1785" spans="1:7" x14ac:dyDescent="0.2">
      <c r="A1785" s="2" t="s">
        <v>2412</v>
      </c>
      <c r="B1785" s="2" t="s">
        <v>2502</v>
      </c>
      <c r="C1785" s="2" t="s">
        <v>797</v>
      </c>
      <c r="D1785" s="2" t="s">
        <v>56</v>
      </c>
      <c r="E1785" s="2" t="s">
        <v>52</v>
      </c>
      <c r="F1785" s="2">
        <v>1</v>
      </c>
      <c r="G1785" s="2" t="s">
        <v>17</v>
      </c>
    </row>
    <row r="1786" spans="1:7" x14ac:dyDescent="0.2">
      <c r="A1786" s="2" t="s">
        <v>2412</v>
      </c>
      <c r="B1786" s="2" t="s">
        <v>2503</v>
      </c>
      <c r="C1786" s="2" t="s">
        <v>790</v>
      </c>
      <c r="D1786" s="2" t="s">
        <v>56</v>
      </c>
      <c r="E1786" s="2" t="s">
        <v>16</v>
      </c>
      <c r="F1786" s="2">
        <v>1</v>
      </c>
      <c r="G1786" s="2" t="s">
        <v>17</v>
      </c>
    </row>
    <row r="1787" spans="1:7" x14ac:dyDescent="0.2">
      <c r="A1787" s="2" t="s">
        <v>2412</v>
      </c>
      <c r="B1787" s="2" t="s">
        <v>2504</v>
      </c>
      <c r="C1787" s="2" t="s">
        <v>800</v>
      </c>
      <c r="D1787" s="2" t="s">
        <v>56</v>
      </c>
      <c r="E1787" s="2" t="s">
        <v>52</v>
      </c>
      <c r="F1787" s="2">
        <v>2</v>
      </c>
      <c r="G1787" s="2" t="s">
        <v>17</v>
      </c>
    </row>
    <row r="1788" spans="1:7" x14ac:dyDescent="0.2">
      <c r="A1788" s="2" t="s">
        <v>2412</v>
      </c>
      <c r="B1788" s="2" t="s">
        <v>2505</v>
      </c>
      <c r="C1788" s="2" t="s">
        <v>2422</v>
      </c>
      <c r="D1788" s="2" t="s">
        <v>56</v>
      </c>
      <c r="E1788" s="2" t="s">
        <v>52</v>
      </c>
      <c r="F1788" s="2">
        <v>2</v>
      </c>
      <c r="G1788" s="2" t="s">
        <v>17</v>
      </c>
    </row>
    <row r="1789" spans="1:7" x14ac:dyDescent="0.2">
      <c r="A1789" s="2" t="s">
        <v>2412</v>
      </c>
      <c r="B1789" s="2" t="s">
        <v>2506</v>
      </c>
      <c r="C1789" s="2" t="s">
        <v>794</v>
      </c>
      <c r="D1789" s="2" t="s">
        <v>56</v>
      </c>
      <c r="E1789" s="2" t="s">
        <v>52</v>
      </c>
      <c r="F1789" s="2">
        <v>1</v>
      </c>
      <c r="G1789" s="2" t="s">
        <v>17</v>
      </c>
    </row>
    <row r="1790" spans="1:7" x14ac:dyDescent="0.2">
      <c r="A1790" s="2" t="s">
        <v>2412</v>
      </c>
      <c r="B1790" s="2" t="s">
        <v>2507</v>
      </c>
      <c r="C1790" s="2" t="s">
        <v>794</v>
      </c>
      <c r="D1790" s="2" t="s">
        <v>56</v>
      </c>
      <c r="E1790" s="2" t="s">
        <v>52</v>
      </c>
      <c r="F1790" s="2">
        <v>1</v>
      </c>
      <c r="G1790" s="2" t="s">
        <v>17</v>
      </c>
    </row>
    <row r="1791" spans="1:7" x14ac:dyDescent="0.2">
      <c r="A1791" s="2" t="s">
        <v>2412</v>
      </c>
      <c r="B1791" s="2" t="s">
        <v>2508</v>
      </c>
      <c r="C1791" s="2" t="s">
        <v>794</v>
      </c>
      <c r="D1791" s="2" t="s">
        <v>56</v>
      </c>
      <c r="E1791" s="2" t="s">
        <v>52</v>
      </c>
      <c r="F1791" s="2">
        <v>1</v>
      </c>
      <c r="G1791" s="2" t="s">
        <v>17</v>
      </c>
    </row>
    <row r="1792" spans="1:7" x14ac:dyDescent="0.2">
      <c r="A1792" s="2" t="s">
        <v>2412</v>
      </c>
      <c r="B1792" s="2" t="s">
        <v>2509</v>
      </c>
      <c r="C1792" s="2" t="s">
        <v>794</v>
      </c>
      <c r="D1792" s="2" t="s">
        <v>56</v>
      </c>
      <c r="E1792" s="2" t="s">
        <v>52</v>
      </c>
      <c r="F1792" s="2">
        <v>1</v>
      </c>
      <c r="G1792" s="2" t="s">
        <v>17</v>
      </c>
    </row>
    <row r="1793" spans="1:7" x14ac:dyDescent="0.2">
      <c r="A1793" s="2" t="s">
        <v>2412</v>
      </c>
      <c r="B1793" s="2" t="s">
        <v>2510</v>
      </c>
      <c r="C1793" s="2" t="s">
        <v>794</v>
      </c>
      <c r="D1793" s="2" t="s">
        <v>56</v>
      </c>
      <c r="E1793" s="2" t="s">
        <v>52</v>
      </c>
      <c r="F1793" s="2">
        <v>1</v>
      </c>
      <c r="G1793" s="2" t="s">
        <v>17</v>
      </c>
    </row>
    <row r="1794" spans="1:7" x14ac:dyDescent="0.2">
      <c r="A1794" s="2" t="s">
        <v>2412</v>
      </c>
      <c r="B1794" s="2" t="s">
        <v>2511</v>
      </c>
      <c r="C1794" s="2" t="s">
        <v>794</v>
      </c>
      <c r="D1794" s="2" t="s">
        <v>56</v>
      </c>
      <c r="E1794" s="2" t="s">
        <v>52</v>
      </c>
      <c r="F1794" s="2">
        <v>1</v>
      </c>
      <c r="G1794" s="2" t="s">
        <v>17</v>
      </c>
    </row>
    <row r="1795" spans="1:7" x14ac:dyDescent="0.2">
      <c r="A1795" s="2" t="s">
        <v>2412</v>
      </c>
      <c r="B1795" s="2" t="s">
        <v>2512</v>
      </c>
      <c r="C1795" s="2" t="s">
        <v>794</v>
      </c>
      <c r="D1795" s="2" t="s">
        <v>56</v>
      </c>
      <c r="E1795" s="2" t="s">
        <v>52</v>
      </c>
      <c r="F1795" s="2">
        <v>1</v>
      </c>
      <c r="G1795" s="2" t="s">
        <v>17</v>
      </c>
    </row>
    <row r="1796" spans="1:7" x14ac:dyDescent="0.2">
      <c r="A1796" s="2" t="s">
        <v>2412</v>
      </c>
      <c r="B1796" s="2" t="s">
        <v>2513</v>
      </c>
      <c r="C1796" s="2" t="s">
        <v>794</v>
      </c>
      <c r="D1796" s="2" t="s">
        <v>56</v>
      </c>
      <c r="E1796" s="2" t="s">
        <v>52</v>
      </c>
      <c r="F1796" s="2">
        <v>1</v>
      </c>
      <c r="G1796" s="2" t="s">
        <v>17</v>
      </c>
    </row>
    <row r="1797" spans="1:7" x14ac:dyDescent="0.2">
      <c r="A1797" s="2" t="s">
        <v>2412</v>
      </c>
      <c r="B1797" s="2" t="s">
        <v>2514</v>
      </c>
      <c r="C1797" s="2" t="s">
        <v>794</v>
      </c>
      <c r="D1797" s="2" t="s">
        <v>56</v>
      </c>
      <c r="E1797" s="2" t="s">
        <v>52</v>
      </c>
      <c r="F1797" s="2">
        <v>1</v>
      </c>
      <c r="G1797" s="2" t="s">
        <v>17</v>
      </c>
    </row>
    <row r="1798" spans="1:7" x14ac:dyDescent="0.2">
      <c r="A1798" s="2" t="s">
        <v>2412</v>
      </c>
      <c r="B1798" s="2" t="s">
        <v>2515</v>
      </c>
      <c r="C1798" s="2" t="s">
        <v>800</v>
      </c>
      <c r="D1798" s="2" t="s">
        <v>56</v>
      </c>
      <c r="E1798" s="2" t="s">
        <v>52</v>
      </c>
      <c r="F1798" s="2">
        <v>2</v>
      </c>
      <c r="G1798" s="2" t="s">
        <v>17</v>
      </c>
    </row>
    <row r="1799" spans="1:7" x14ac:dyDescent="0.2">
      <c r="A1799" s="2" t="s">
        <v>2412</v>
      </c>
      <c r="B1799" s="2" t="s">
        <v>2516</v>
      </c>
      <c r="C1799" s="2" t="s">
        <v>794</v>
      </c>
      <c r="D1799" s="2" t="s">
        <v>56</v>
      </c>
      <c r="E1799" s="2" t="s">
        <v>52</v>
      </c>
      <c r="F1799" s="2">
        <v>1</v>
      </c>
      <c r="G1799" s="2" t="s">
        <v>17</v>
      </c>
    </row>
    <row r="1800" spans="1:7" x14ac:dyDescent="0.2">
      <c r="A1800" s="2" t="s">
        <v>2412</v>
      </c>
      <c r="B1800" s="2" t="s">
        <v>2517</v>
      </c>
      <c r="C1800" s="2" t="s">
        <v>2518</v>
      </c>
      <c r="D1800" s="2" t="s">
        <v>56</v>
      </c>
      <c r="E1800" s="2" t="s">
        <v>52</v>
      </c>
      <c r="F1800" s="2">
        <v>2</v>
      </c>
      <c r="G1800" s="2" t="s">
        <v>12</v>
      </c>
    </row>
    <row r="1801" spans="1:7" x14ac:dyDescent="0.2">
      <c r="A1801" s="2" t="s">
        <v>2412</v>
      </c>
      <c r="B1801" s="2" t="s">
        <v>2519</v>
      </c>
      <c r="C1801" s="2" t="s">
        <v>790</v>
      </c>
      <c r="D1801" s="2" t="s">
        <v>56</v>
      </c>
      <c r="E1801" s="2" t="s">
        <v>16</v>
      </c>
      <c r="F1801" s="2">
        <v>1</v>
      </c>
      <c r="G1801" s="2" t="s">
        <v>17</v>
      </c>
    </row>
    <row r="1802" spans="1:7" x14ac:dyDescent="0.2">
      <c r="A1802" s="2" t="s">
        <v>2412</v>
      </c>
      <c r="B1802" s="2" t="s">
        <v>2520</v>
      </c>
      <c r="C1802" s="2" t="s">
        <v>792</v>
      </c>
      <c r="D1802" s="2" t="s">
        <v>56</v>
      </c>
      <c r="E1802" s="2" t="s">
        <v>16</v>
      </c>
      <c r="F1802" s="2">
        <v>1</v>
      </c>
      <c r="G1802" s="2" t="s">
        <v>17</v>
      </c>
    </row>
    <row r="1803" spans="1:7" x14ac:dyDescent="0.2">
      <c r="A1803" s="2" t="s">
        <v>2412</v>
      </c>
      <c r="B1803" s="2" t="s">
        <v>2521</v>
      </c>
      <c r="C1803" s="2" t="s">
        <v>792</v>
      </c>
      <c r="D1803" s="2" t="s">
        <v>56</v>
      </c>
      <c r="E1803" s="2" t="s">
        <v>16</v>
      </c>
      <c r="F1803" s="2">
        <v>1</v>
      </c>
      <c r="G1803" s="2" t="s">
        <v>17</v>
      </c>
    </row>
    <row r="1804" spans="1:7" x14ac:dyDescent="0.2">
      <c r="A1804" s="2" t="s">
        <v>2412</v>
      </c>
      <c r="B1804" s="2" t="s">
        <v>2522</v>
      </c>
      <c r="C1804" s="2" t="s">
        <v>792</v>
      </c>
      <c r="D1804" s="2" t="s">
        <v>56</v>
      </c>
      <c r="E1804" s="2" t="s">
        <v>16</v>
      </c>
      <c r="F1804" s="2">
        <v>1</v>
      </c>
      <c r="G1804" s="2" t="s">
        <v>17</v>
      </c>
    </row>
    <row r="1805" spans="1:7" x14ac:dyDescent="0.2">
      <c r="A1805" s="2" t="s">
        <v>2412</v>
      </c>
      <c r="B1805" s="2" t="s">
        <v>2523</v>
      </c>
      <c r="C1805" s="2" t="s">
        <v>800</v>
      </c>
      <c r="D1805" s="2" t="s">
        <v>56</v>
      </c>
      <c r="E1805" s="2" t="s">
        <v>52</v>
      </c>
      <c r="F1805" s="2">
        <v>2</v>
      </c>
      <c r="G1805" s="2" t="s">
        <v>17</v>
      </c>
    </row>
    <row r="1806" spans="1:7" x14ac:dyDescent="0.2">
      <c r="A1806" s="2" t="s">
        <v>2412</v>
      </c>
      <c r="B1806" s="2" t="s">
        <v>2524</v>
      </c>
      <c r="C1806" s="2" t="s">
        <v>797</v>
      </c>
      <c r="D1806" s="2" t="s">
        <v>56</v>
      </c>
      <c r="E1806" s="2" t="s">
        <v>52</v>
      </c>
      <c r="F1806" s="2">
        <v>1</v>
      </c>
      <c r="G1806" s="2" t="s">
        <v>17</v>
      </c>
    </row>
    <row r="1807" spans="1:7" x14ac:dyDescent="0.2">
      <c r="A1807" s="2" t="s">
        <v>2412</v>
      </c>
      <c r="B1807" s="2" t="s">
        <v>2525</v>
      </c>
      <c r="C1807" s="2" t="s">
        <v>2436</v>
      </c>
      <c r="D1807" s="2" t="s">
        <v>873</v>
      </c>
      <c r="E1807" s="2" t="s">
        <v>52</v>
      </c>
      <c r="F1807" s="2">
        <v>2</v>
      </c>
      <c r="G1807" s="2" t="s">
        <v>17</v>
      </c>
    </row>
    <row r="1808" spans="1:7" x14ac:dyDescent="0.2">
      <c r="A1808" s="2" t="s">
        <v>2412</v>
      </c>
      <c r="B1808" s="2" t="s">
        <v>2526</v>
      </c>
      <c r="C1808" s="2" t="s">
        <v>2527</v>
      </c>
      <c r="D1808" s="2" t="s">
        <v>56</v>
      </c>
      <c r="E1808" s="2" t="s">
        <v>52</v>
      </c>
      <c r="F1808" s="2">
        <v>1</v>
      </c>
      <c r="G1808" s="2" t="s">
        <v>17</v>
      </c>
    </row>
    <row r="1809" spans="1:7" x14ac:dyDescent="0.2">
      <c r="A1809" s="2" t="s">
        <v>2412</v>
      </c>
      <c r="B1809" s="2" t="s">
        <v>2528</v>
      </c>
      <c r="C1809" s="2" t="s">
        <v>2527</v>
      </c>
      <c r="D1809" s="2" t="s">
        <v>56</v>
      </c>
      <c r="E1809" s="2" t="s">
        <v>52</v>
      </c>
      <c r="F1809" s="2">
        <v>1</v>
      </c>
      <c r="G1809" s="2" t="s">
        <v>17</v>
      </c>
    </row>
    <row r="1810" spans="1:7" x14ac:dyDescent="0.2">
      <c r="A1810" s="2" t="s">
        <v>2412</v>
      </c>
      <c r="B1810" s="2" t="s">
        <v>2529</v>
      </c>
      <c r="C1810" s="2" t="s">
        <v>802</v>
      </c>
      <c r="D1810" s="2" t="s">
        <v>56</v>
      </c>
      <c r="E1810" s="2" t="s">
        <v>52</v>
      </c>
      <c r="F1810" s="2">
        <v>2</v>
      </c>
      <c r="G1810" s="2" t="s">
        <v>17</v>
      </c>
    </row>
    <row r="1811" spans="1:7" x14ac:dyDescent="0.2">
      <c r="A1811" s="2" t="s">
        <v>2412</v>
      </c>
      <c r="B1811" s="2" t="s">
        <v>2530</v>
      </c>
      <c r="C1811" s="2" t="s">
        <v>2531</v>
      </c>
      <c r="D1811" s="2" t="s">
        <v>56</v>
      </c>
      <c r="E1811" s="2" t="s">
        <v>52</v>
      </c>
      <c r="F1811" s="2">
        <v>2</v>
      </c>
      <c r="G1811" s="2" t="s">
        <v>12</v>
      </c>
    </row>
    <row r="1812" spans="1:7" x14ac:dyDescent="0.2">
      <c r="A1812" s="2" t="s">
        <v>2412</v>
      </c>
      <c r="B1812" s="2" t="s">
        <v>2532</v>
      </c>
      <c r="C1812" s="2" t="s">
        <v>2531</v>
      </c>
      <c r="D1812" s="2" t="s">
        <v>56</v>
      </c>
      <c r="E1812" s="2" t="s">
        <v>52</v>
      </c>
      <c r="F1812" s="2">
        <v>2</v>
      </c>
      <c r="G1812" s="2" t="s">
        <v>12</v>
      </c>
    </row>
    <row r="1813" spans="1:7" x14ac:dyDescent="0.2">
      <c r="A1813" s="2" t="s">
        <v>2412</v>
      </c>
      <c r="B1813" s="2" t="s">
        <v>2533</v>
      </c>
      <c r="C1813" s="2" t="s">
        <v>2534</v>
      </c>
      <c r="D1813" s="2" t="s">
        <v>873</v>
      </c>
      <c r="E1813" s="2" t="s">
        <v>52</v>
      </c>
      <c r="F1813" s="2">
        <v>2</v>
      </c>
      <c r="G1813" s="2" t="s">
        <v>12</v>
      </c>
    </row>
    <row r="1814" spans="1:7" x14ac:dyDescent="0.2">
      <c r="A1814" s="2" t="s">
        <v>2412</v>
      </c>
      <c r="B1814" s="2" t="s">
        <v>544</v>
      </c>
      <c r="C1814" s="2" t="s">
        <v>2534</v>
      </c>
      <c r="D1814" s="2" t="s">
        <v>873</v>
      </c>
      <c r="E1814" s="2" t="s">
        <v>52</v>
      </c>
      <c r="F1814" s="2">
        <v>2</v>
      </c>
      <c r="G1814" s="2" t="s">
        <v>12</v>
      </c>
    </row>
    <row r="1815" spans="1:7" x14ac:dyDescent="0.2">
      <c r="A1815" s="2" t="s">
        <v>2535</v>
      </c>
      <c r="B1815" s="2" t="s">
        <v>2536</v>
      </c>
      <c r="C1815" s="2" t="s">
        <v>812</v>
      </c>
      <c r="D1815" s="2" t="s">
        <v>56</v>
      </c>
      <c r="E1815" s="2" t="s">
        <v>52</v>
      </c>
      <c r="F1815" s="2">
        <v>2</v>
      </c>
      <c r="G1815" s="2" t="s">
        <v>17</v>
      </c>
    </row>
    <row r="1816" spans="1:7" x14ac:dyDescent="0.2">
      <c r="A1816" s="2" t="s">
        <v>2535</v>
      </c>
      <c r="B1816" s="2" t="s">
        <v>2537</v>
      </c>
      <c r="C1816" s="2" t="s">
        <v>872</v>
      </c>
      <c r="D1816" s="2" t="s">
        <v>873</v>
      </c>
      <c r="E1816" s="2" t="s">
        <v>52</v>
      </c>
      <c r="F1816" s="2">
        <v>2</v>
      </c>
      <c r="G1816" s="2" t="s">
        <v>12</v>
      </c>
    </row>
    <row r="1817" spans="1:7" x14ac:dyDescent="0.2">
      <c r="A1817" s="2" t="s">
        <v>2538</v>
      </c>
      <c r="B1817" s="2" t="s">
        <v>2539</v>
      </c>
      <c r="C1817" s="2" t="s">
        <v>2540</v>
      </c>
      <c r="D1817" s="2" t="s">
        <v>873</v>
      </c>
      <c r="E1817" s="2" t="s">
        <v>52</v>
      </c>
      <c r="F1817" s="2">
        <v>2</v>
      </c>
      <c r="G1817" s="2" t="s">
        <v>12</v>
      </c>
    </row>
    <row r="1818" spans="1:7" x14ac:dyDescent="0.2">
      <c r="A1818" s="2" t="s">
        <v>2538</v>
      </c>
      <c r="B1818" s="2" t="s">
        <v>2541</v>
      </c>
      <c r="C1818" s="2" t="s">
        <v>2540</v>
      </c>
      <c r="D1818" s="2" t="s">
        <v>873</v>
      </c>
      <c r="E1818" s="2" t="s">
        <v>52</v>
      </c>
      <c r="F1818" s="2">
        <v>2</v>
      </c>
      <c r="G1818" s="2" t="s">
        <v>12</v>
      </c>
    </row>
    <row r="1819" spans="1:7" x14ac:dyDescent="0.2">
      <c r="A1819" s="2" t="s">
        <v>2538</v>
      </c>
      <c r="B1819" s="2" t="s">
        <v>2542</v>
      </c>
      <c r="C1819" s="2" t="s">
        <v>2540</v>
      </c>
      <c r="D1819" s="2" t="s">
        <v>873</v>
      </c>
      <c r="E1819" s="2" t="s">
        <v>52</v>
      </c>
      <c r="F1819" s="2">
        <v>2</v>
      </c>
      <c r="G1819" s="2" t="s">
        <v>12</v>
      </c>
    </row>
    <row r="1820" spans="1:7" x14ac:dyDescent="0.2">
      <c r="A1820" s="2" t="s">
        <v>2538</v>
      </c>
      <c r="B1820" s="2" t="s">
        <v>2543</v>
      </c>
      <c r="C1820" s="2" t="s">
        <v>2540</v>
      </c>
      <c r="D1820" s="2" t="s">
        <v>873</v>
      </c>
      <c r="E1820" s="2" t="s">
        <v>52</v>
      </c>
      <c r="F1820" s="2">
        <v>2</v>
      </c>
      <c r="G1820" s="2" t="s">
        <v>12</v>
      </c>
    </row>
    <row r="1821" spans="1:7" x14ac:dyDescent="0.2">
      <c r="A1821" s="2" t="s">
        <v>2538</v>
      </c>
      <c r="B1821" s="2" t="s">
        <v>2544</v>
      </c>
      <c r="C1821" s="2" t="s">
        <v>2540</v>
      </c>
      <c r="D1821" s="2" t="s">
        <v>873</v>
      </c>
      <c r="E1821" s="2" t="s">
        <v>52</v>
      </c>
      <c r="F1821" s="2">
        <v>2</v>
      </c>
      <c r="G1821" s="2" t="s">
        <v>12</v>
      </c>
    </row>
    <row r="1822" spans="1:7" x14ac:dyDescent="0.2">
      <c r="A1822" s="2" t="s">
        <v>2545</v>
      </c>
      <c r="B1822" s="2" t="s">
        <v>2546</v>
      </c>
      <c r="C1822" s="2" t="s">
        <v>452</v>
      </c>
      <c r="D1822" s="2" t="s">
        <v>10</v>
      </c>
      <c r="E1822" s="2" t="s">
        <v>16</v>
      </c>
      <c r="F1822" s="2">
        <v>1</v>
      </c>
      <c r="G1822" s="2" t="s">
        <v>17</v>
      </c>
    </row>
    <row r="1823" spans="1:7" x14ac:dyDescent="0.2">
      <c r="A1823" s="2" t="s">
        <v>2545</v>
      </c>
      <c r="B1823" s="2" t="s">
        <v>2547</v>
      </c>
      <c r="C1823" s="2" t="s">
        <v>452</v>
      </c>
      <c r="D1823" s="2" t="s">
        <v>10</v>
      </c>
      <c r="E1823" s="2" t="s">
        <v>16</v>
      </c>
      <c r="F1823" s="2">
        <v>1</v>
      </c>
      <c r="G1823" s="2" t="s">
        <v>17</v>
      </c>
    </row>
    <row r="1824" spans="1:7" x14ac:dyDescent="0.2">
      <c r="A1824" s="2" t="s">
        <v>2545</v>
      </c>
      <c r="B1824" s="2" t="s">
        <v>2548</v>
      </c>
      <c r="C1824" s="2" t="s">
        <v>1535</v>
      </c>
      <c r="D1824" s="2" t="s">
        <v>10</v>
      </c>
      <c r="E1824" s="2" t="s">
        <v>16</v>
      </c>
      <c r="F1824" s="2">
        <v>1</v>
      </c>
      <c r="G1824" s="2" t="s">
        <v>17</v>
      </c>
    </row>
    <row r="1825" spans="1:7" x14ac:dyDescent="0.2">
      <c r="A1825" s="2" t="s">
        <v>2545</v>
      </c>
      <c r="B1825" s="2" t="s">
        <v>2549</v>
      </c>
      <c r="C1825" s="2" t="s">
        <v>1535</v>
      </c>
      <c r="D1825" s="2" t="s">
        <v>10</v>
      </c>
      <c r="E1825" s="2" t="s">
        <v>16</v>
      </c>
      <c r="F1825" s="2">
        <v>1</v>
      </c>
      <c r="G1825" s="2" t="s">
        <v>17</v>
      </c>
    </row>
    <row r="1826" spans="1:7" x14ac:dyDescent="0.2">
      <c r="A1826" s="2" t="s">
        <v>2545</v>
      </c>
      <c r="B1826" s="2" t="s">
        <v>2550</v>
      </c>
      <c r="C1826" s="2" t="s">
        <v>1544</v>
      </c>
      <c r="D1826" s="2" t="s">
        <v>10</v>
      </c>
      <c r="E1826" s="2" t="s">
        <v>16</v>
      </c>
      <c r="F1826" s="2">
        <v>1</v>
      </c>
      <c r="G1826" s="2" t="s">
        <v>17</v>
      </c>
    </row>
    <row r="1827" spans="1:7" x14ac:dyDescent="0.2">
      <c r="A1827" s="2" t="s">
        <v>2545</v>
      </c>
      <c r="B1827" s="2" t="s">
        <v>1543</v>
      </c>
      <c r="C1827" s="2" t="s">
        <v>1544</v>
      </c>
      <c r="D1827" s="2" t="s">
        <v>10</v>
      </c>
      <c r="E1827" s="2" t="s">
        <v>16</v>
      </c>
      <c r="F1827" s="2">
        <v>1</v>
      </c>
      <c r="G1827" s="2" t="s">
        <v>17</v>
      </c>
    </row>
    <row r="1828" spans="1:7" x14ac:dyDescent="0.2">
      <c r="A1828" s="2" t="s">
        <v>2545</v>
      </c>
      <c r="B1828" s="2" t="s">
        <v>2551</v>
      </c>
      <c r="C1828" s="2" t="s">
        <v>2552</v>
      </c>
      <c r="D1828" s="2" t="s">
        <v>10</v>
      </c>
      <c r="E1828" s="2" t="s">
        <v>16</v>
      </c>
      <c r="F1828" s="2">
        <v>1</v>
      </c>
      <c r="G1828" s="2" t="s">
        <v>17</v>
      </c>
    </row>
    <row r="1829" spans="1:7" x14ac:dyDescent="0.2">
      <c r="A1829" s="2" t="s">
        <v>2545</v>
      </c>
      <c r="B1829" s="2" t="s">
        <v>2553</v>
      </c>
      <c r="C1829" s="2" t="s">
        <v>2552</v>
      </c>
      <c r="D1829" s="2" t="s">
        <v>10</v>
      </c>
      <c r="E1829" s="2" t="s">
        <v>16</v>
      </c>
      <c r="F1829" s="2">
        <v>1</v>
      </c>
      <c r="G1829" s="2" t="s">
        <v>17</v>
      </c>
    </row>
    <row r="1830" spans="1:7" x14ac:dyDescent="0.2">
      <c r="A1830" s="2" t="s">
        <v>2545</v>
      </c>
      <c r="B1830" s="2" t="s">
        <v>2554</v>
      </c>
      <c r="C1830" s="2" t="s">
        <v>2552</v>
      </c>
      <c r="D1830" s="2" t="s">
        <v>10</v>
      </c>
      <c r="E1830" s="2" t="s">
        <v>16</v>
      </c>
      <c r="F1830" s="2">
        <v>1</v>
      </c>
      <c r="G1830" s="2" t="s">
        <v>17</v>
      </c>
    </row>
    <row r="1831" spans="1:7" x14ac:dyDescent="0.2">
      <c r="A1831" s="2" t="s">
        <v>2545</v>
      </c>
      <c r="B1831" s="2" t="s">
        <v>2555</v>
      </c>
      <c r="C1831" s="2" t="s">
        <v>2556</v>
      </c>
      <c r="D1831" s="2" t="s">
        <v>10</v>
      </c>
      <c r="E1831" s="2" t="s">
        <v>16</v>
      </c>
      <c r="F1831" s="2">
        <v>1</v>
      </c>
      <c r="G1831" s="2" t="s">
        <v>17</v>
      </c>
    </row>
    <row r="1832" spans="1:7" x14ac:dyDescent="0.2">
      <c r="A1832" s="2" t="s">
        <v>2545</v>
      </c>
      <c r="B1832" s="2" t="s">
        <v>2557</v>
      </c>
      <c r="C1832" s="2" t="s">
        <v>2556</v>
      </c>
      <c r="D1832" s="2" t="s">
        <v>10</v>
      </c>
      <c r="E1832" s="2" t="s">
        <v>16</v>
      </c>
      <c r="F1832" s="2">
        <v>1</v>
      </c>
      <c r="G1832" s="2" t="s">
        <v>17</v>
      </c>
    </row>
    <row r="1833" spans="1:7" x14ac:dyDescent="0.2">
      <c r="A1833" s="2" t="s">
        <v>2545</v>
      </c>
      <c r="B1833" s="2" t="s">
        <v>2558</v>
      </c>
      <c r="C1833" s="2" t="s">
        <v>2556</v>
      </c>
      <c r="D1833" s="2" t="s">
        <v>10</v>
      </c>
      <c r="E1833" s="2" t="s">
        <v>16</v>
      </c>
      <c r="F1833" s="2">
        <v>1</v>
      </c>
      <c r="G1833" s="2" t="s">
        <v>17</v>
      </c>
    </row>
    <row r="1834" spans="1:7" x14ac:dyDescent="0.2">
      <c r="A1834" s="2" t="s">
        <v>2545</v>
      </c>
      <c r="B1834" s="2" t="s">
        <v>2559</v>
      </c>
      <c r="C1834" s="2" t="s">
        <v>2556</v>
      </c>
      <c r="D1834" s="2" t="s">
        <v>10</v>
      </c>
      <c r="E1834" s="2" t="s">
        <v>16</v>
      </c>
      <c r="F1834" s="2">
        <v>1</v>
      </c>
      <c r="G1834" s="2" t="s">
        <v>17</v>
      </c>
    </row>
    <row r="1835" spans="1:7" x14ac:dyDescent="0.2">
      <c r="A1835" s="2" t="s">
        <v>2545</v>
      </c>
      <c r="B1835" s="2" t="s">
        <v>1405</v>
      </c>
      <c r="C1835" s="2" t="s">
        <v>1406</v>
      </c>
      <c r="D1835" s="2" t="s">
        <v>10</v>
      </c>
      <c r="E1835" s="2" t="s">
        <v>16</v>
      </c>
      <c r="F1835" s="2">
        <v>1</v>
      </c>
      <c r="G1835" s="2" t="s">
        <v>17</v>
      </c>
    </row>
    <row r="1836" spans="1:7" x14ac:dyDescent="0.2">
      <c r="A1836" s="2" t="s">
        <v>2545</v>
      </c>
      <c r="B1836" s="2" t="s">
        <v>2560</v>
      </c>
      <c r="C1836" s="2" t="s">
        <v>1406</v>
      </c>
      <c r="D1836" s="2" t="s">
        <v>10</v>
      </c>
      <c r="E1836" s="2" t="s">
        <v>16</v>
      </c>
      <c r="F1836" s="2">
        <v>1</v>
      </c>
      <c r="G1836" s="2" t="s">
        <v>17</v>
      </c>
    </row>
    <row r="1837" spans="1:7" x14ac:dyDescent="0.2">
      <c r="A1837" s="2" t="s">
        <v>2545</v>
      </c>
      <c r="B1837" s="2" t="s">
        <v>2561</v>
      </c>
      <c r="C1837" s="2" t="s">
        <v>1406</v>
      </c>
      <c r="D1837" s="2" t="s">
        <v>10</v>
      </c>
      <c r="E1837" s="2" t="s">
        <v>16</v>
      </c>
      <c r="F1837" s="2">
        <v>1</v>
      </c>
      <c r="G1837" s="2" t="s">
        <v>17</v>
      </c>
    </row>
    <row r="1838" spans="1:7" x14ac:dyDescent="0.2">
      <c r="A1838" s="2" t="s">
        <v>2545</v>
      </c>
      <c r="B1838" s="2" t="s">
        <v>2562</v>
      </c>
      <c r="C1838" s="2" t="s">
        <v>1406</v>
      </c>
      <c r="D1838" s="2" t="s">
        <v>10</v>
      </c>
      <c r="E1838" s="2" t="s">
        <v>16</v>
      </c>
      <c r="F1838" s="2">
        <v>1</v>
      </c>
      <c r="G1838" s="2" t="s">
        <v>17</v>
      </c>
    </row>
    <row r="1839" spans="1:7" x14ac:dyDescent="0.2">
      <c r="A1839" s="2" t="s">
        <v>2545</v>
      </c>
      <c r="B1839" s="2" t="s">
        <v>1896</v>
      </c>
      <c r="C1839" s="2" t="s">
        <v>1897</v>
      </c>
      <c r="D1839" s="2" t="s">
        <v>10</v>
      </c>
      <c r="E1839" s="2" t="s">
        <v>16</v>
      </c>
      <c r="F1839" s="2">
        <v>1</v>
      </c>
      <c r="G1839" s="2" t="s">
        <v>17</v>
      </c>
    </row>
    <row r="1840" spans="1:7" x14ac:dyDescent="0.2">
      <c r="A1840" s="2" t="s">
        <v>2545</v>
      </c>
      <c r="B1840" s="2" t="s">
        <v>1590</v>
      </c>
      <c r="C1840" s="2" t="s">
        <v>1591</v>
      </c>
      <c r="D1840" s="2" t="s">
        <v>10</v>
      </c>
      <c r="E1840" s="2" t="s">
        <v>16</v>
      </c>
      <c r="F1840" s="2">
        <v>1</v>
      </c>
      <c r="G1840" s="2" t="s">
        <v>17</v>
      </c>
    </row>
    <row r="1841" spans="1:7" x14ac:dyDescent="0.2">
      <c r="A1841" s="2" t="s">
        <v>2545</v>
      </c>
      <c r="B1841" s="2" t="s">
        <v>2563</v>
      </c>
      <c r="C1841" s="2" t="s">
        <v>2552</v>
      </c>
      <c r="D1841" s="2" t="s">
        <v>10</v>
      </c>
      <c r="E1841" s="2" t="s">
        <v>16</v>
      </c>
      <c r="F1841" s="2">
        <v>1</v>
      </c>
      <c r="G1841" s="2" t="s">
        <v>17</v>
      </c>
    </row>
    <row r="1842" spans="1:7" x14ac:dyDescent="0.2">
      <c r="A1842" s="2" t="s">
        <v>2545</v>
      </c>
      <c r="B1842" s="2" t="s">
        <v>2564</v>
      </c>
      <c r="C1842" s="2" t="s">
        <v>2552</v>
      </c>
      <c r="D1842" s="2" t="s">
        <v>10</v>
      </c>
      <c r="E1842" s="2" t="s">
        <v>16</v>
      </c>
      <c r="F1842" s="2">
        <v>1</v>
      </c>
      <c r="G1842" s="2" t="s">
        <v>17</v>
      </c>
    </row>
    <row r="1843" spans="1:7" x14ac:dyDescent="0.2">
      <c r="A1843" s="2" t="s">
        <v>2545</v>
      </c>
      <c r="B1843" s="2" t="s">
        <v>2565</v>
      </c>
      <c r="C1843" s="2" t="s">
        <v>2552</v>
      </c>
      <c r="D1843" s="2" t="s">
        <v>10</v>
      </c>
      <c r="E1843" s="2" t="s">
        <v>16</v>
      </c>
      <c r="F1843" s="2">
        <v>1</v>
      </c>
      <c r="G1843" s="2" t="s">
        <v>17</v>
      </c>
    </row>
    <row r="1844" spans="1:7" x14ac:dyDescent="0.2">
      <c r="A1844" s="2" t="s">
        <v>2545</v>
      </c>
      <c r="B1844" s="2" t="s">
        <v>1546</v>
      </c>
      <c r="C1844" s="2" t="s">
        <v>452</v>
      </c>
      <c r="D1844" s="2" t="s">
        <v>10</v>
      </c>
      <c r="E1844" s="2" t="s">
        <v>16</v>
      </c>
      <c r="F1844" s="2">
        <v>1</v>
      </c>
      <c r="G1844" s="2" t="s">
        <v>17</v>
      </c>
    </row>
    <row r="1845" spans="1:7" x14ac:dyDescent="0.2">
      <c r="A1845" s="2" t="s">
        <v>2545</v>
      </c>
      <c r="B1845" s="2" t="s">
        <v>2566</v>
      </c>
      <c r="C1845" s="2" t="s">
        <v>452</v>
      </c>
      <c r="D1845" s="2" t="s">
        <v>10</v>
      </c>
      <c r="E1845" s="2" t="s">
        <v>16</v>
      </c>
      <c r="F1845" s="2">
        <v>1</v>
      </c>
      <c r="G1845" s="2" t="s">
        <v>17</v>
      </c>
    </row>
    <row r="1846" spans="1:7" x14ac:dyDescent="0.2">
      <c r="A1846" s="2" t="s">
        <v>2545</v>
      </c>
      <c r="B1846" s="2" t="s">
        <v>2567</v>
      </c>
      <c r="C1846" s="2" t="s">
        <v>1535</v>
      </c>
      <c r="D1846" s="2" t="s">
        <v>10</v>
      </c>
      <c r="E1846" s="2" t="s">
        <v>16</v>
      </c>
      <c r="F1846" s="2">
        <v>1</v>
      </c>
      <c r="G1846" s="2" t="s">
        <v>17</v>
      </c>
    </row>
    <row r="1847" spans="1:7" x14ac:dyDescent="0.2">
      <c r="A1847" s="2" t="s">
        <v>2545</v>
      </c>
      <c r="B1847" s="2" t="s">
        <v>2568</v>
      </c>
      <c r="C1847" s="2" t="s">
        <v>2556</v>
      </c>
      <c r="D1847" s="2" t="s">
        <v>10</v>
      </c>
      <c r="E1847" s="2" t="s">
        <v>16</v>
      </c>
      <c r="F1847" s="2">
        <v>1</v>
      </c>
      <c r="G1847" s="2" t="s">
        <v>17</v>
      </c>
    </row>
    <row r="1848" spans="1:7" x14ac:dyDescent="0.2">
      <c r="A1848" s="2" t="s">
        <v>2545</v>
      </c>
      <c r="B1848" s="2" t="s">
        <v>2569</v>
      </c>
      <c r="C1848" s="2" t="s">
        <v>2556</v>
      </c>
      <c r="D1848" s="2" t="s">
        <v>10</v>
      </c>
      <c r="E1848" s="2" t="s">
        <v>16</v>
      </c>
      <c r="F1848" s="2">
        <v>1</v>
      </c>
      <c r="G1848" s="2" t="s">
        <v>17</v>
      </c>
    </row>
    <row r="1849" spans="1:7" x14ac:dyDescent="0.2">
      <c r="A1849" s="2" t="s">
        <v>2545</v>
      </c>
      <c r="B1849" s="2" t="s">
        <v>2570</v>
      </c>
      <c r="C1849" s="2" t="s">
        <v>2556</v>
      </c>
      <c r="D1849" s="2" t="s">
        <v>10</v>
      </c>
      <c r="E1849" s="2" t="s">
        <v>16</v>
      </c>
      <c r="F1849" s="2">
        <v>1</v>
      </c>
      <c r="G1849" s="2" t="s">
        <v>17</v>
      </c>
    </row>
    <row r="1850" spans="1:7" x14ac:dyDescent="0.2">
      <c r="A1850" s="2" t="s">
        <v>2545</v>
      </c>
      <c r="B1850" s="2" t="s">
        <v>2571</v>
      </c>
      <c r="C1850" s="2" t="s">
        <v>1544</v>
      </c>
      <c r="D1850" s="2" t="s">
        <v>10</v>
      </c>
      <c r="E1850" s="2" t="s">
        <v>16</v>
      </c>
      <c r="F1850" s="2">
        <v>1</v>
      </c>
      <c r="G1850" s="2" t="s">
        <v>17</v>
      </c>
    </row>
    <row r="1851" spans="1:7" x14ac:dyDescent="0.2">
      <c r="A1851" s="2" t="s">
        <v>2545</v>
      </c>
      <c r="B1851" s="2" t="s">
        <v>2572</v>
      </c>
      <c r="C1851" s="2" t="s">
        <v>2573</v>
      </c>
      <c r="D1851" s="2" t="s">
        <v>10</v>
      </c>
      <c r="E1851" s="2" t="s">
        <v>16</v>
      </c>
      <c r="F1851" s="2">
        <v>1</v>
      </c>
      <c r="G1851" s="2" t="s">
        <v>17</v>
      </c>
    </row>
    <row r="1852" spans="1:7" x14ac:dyDescent="0.2">
      <c r="A1852" s="2" t="s">
        <v>2545</v>
      </c>
      <c r="B1852" s="2" t="s">
        <v>1925</v>
      </c>
      <c r="C1852" s="2" t="s">
        <v>2573</v>
      </c>
      <c r="D1852" s="2" t="s">
        <v>10</v>
      </c>
      <c r="E1852" s="2" t="s">
        <v>16</v>
      </c>
      <c r="F1852" s="2">
        <v>1</v>
      </c>
      <c r="G1852" s="2" t="s">
        <v>17</v>
      </c>
    </row>
    <row r="1853" spans="1:7" x14ac:dyDescent="0.2">
      <c r="A1853" s="2" t="s">
        <v>2545</v>
      </c>
      <c r="B1853" s="2" t="s">
        <v>2574</v>
      </c>
      <c r="C1853" s="2" t="s">
        <v>2556</v>
      </c>
      <c r="D1853" s="2" t="s">
        <v>10</v>
      </c>
      <c r="E1853" s="2" t="s">
        <v>16</v>
      </c>
      <c r="F1853" s="2">
        <v>1</v>
      </c>
      <c r="G1853" s="2" t="s">
        <v>17</v>
      </c>
    </row>
    <row r="1854" spans="1:7" x14ac:dyDescent="0.2">
      <c r="A1854" s="2" t="s">
        <v>2545</v>
      </c>
      <c r="B1854" s="2" t="s">
        <v>471</v>
      </c>
      <c r="C1854" s="2" t="s">
        <v>1544</v>
      </c>
      <c r="D1854" s="2" t="s">
        <v>10</v>
      </c>
      <c r="E1854" s="2" t="s">
        <v>16</v>
      </c>
      <c r="F1854" s="2">
        <v>1</v>
      </c>
      <c r="G1854" s="2" t="s">
        <v>17</v>
      </c>
    </row>
    <row r="1855" spans="1:7" x14ac:dyDescent="0.2">
      <c r="A1855" s="2" t="s">
        <v>2545</v>
      </c>
      <c r="B1855" s="2" t="s">
        <v>1407</v>
      </c>
      <c r="C1855" s="2" t="s">
        <v>1406</v>
      </c>
      <c r="D1855" s="2" t="s">
        <v>10</v>
      </c>
      <c r="E1855" s="2" t="s">
        <v>16</v>
      </c>
      <c r="F1855" s="2">
        <v>1</v>
      </c>
      <c r="G1855" s="2" t="s">
        <v>17</v>
      </c>
    </row>
    <row r="1856" spans="1:7" x14ac:dyDescent="0.2">
      <c r="A1856" s="2" t="s">
        <v>2545</v>
      </c>
      <c r="B1856" s="2" t="s">
        <v>1592</v>
      </c>
      <c r="C1856" s="2" t="s">
        <v>1591</v>
      </c>
      <c r="D1856" s="2" t="s">
        <v>10</v>
      </c>
      <c r="E1856" s="2" t="s">
        <v>16</v>
      </c>
      <c r="F1856" s="2">
        <v>1</v>
      </c>
      <c r="G1856" s="2" t="s">
        <v>17</v>
      </c>
    </row>
    <row r="1857" spans="1:7" x14ac:dyDescent="0.2">
      <c r="A1857" s="2" t="s">
        <v>2545</v>
      </c>
      <c r="B1857" s="2" t="s">
        <v>2575</v>
      </c>
      <c r="C1857" s="2" t="s">
        <v>1406</v>
      </c>
      <c r="D1857" s="2" t="s">
        <v>10</v>
      </c>
      <c r="E1857" s="2" t="s">
        <v>16</v>
      </c>
      <c r="F1857" s="2">
        <v>1</v>
      </c>
      <c r="G1857" s="2" t="s">
        <v>17</v>
      </c>
    </row>
    <row r="1858" spans="1:7" x14ac:dyDescent="0.2">
      <c r="A1858" s="2" t="s">
        <v>2545</v>
      </c>
      <c r="B1858" s="2" t="s">
        <v>2576</v>
      </c>
      <c r="C1858" s="2" t="s">
        <v>1406</v>
      </c>
      <c r="D1858" s="2" t="s">
        <v>10</v>
      </c>
      <c r="E1858" s="2" t="s">
        <v>16</v>
      </c>
      <c r="F1858" s="2">
        <v>1</v>
      </c>
      <c r="G1858" s="2" t="s">
        <v>17</v>
      </c>
    </row>
    <row r="1859" spans="1:7" x14ac:dyDescent="0.2">
      <c r="A1859" s="2" t="s">
        <v>2545</v>
      </c>
      <c r="B1859" s="2" t="s">
        <v>547</v>
      </c>
      <c r="C1859" s="2" t="s">
        <v>1406</v>
      </c>
      <c r="D1859" s="2" t="s">
        <v>10</v>
      </c>
      <c r="E1859" s="2" t="s">
        <v>16</v>
      </c>
      <c r="F1859" s="2">
        <v>1</v>
      </c>
      <c r="G1859" s="2" t="s">
        <v>17</v>
      </c>
    </row>
    <row r="1860" spans="1:7" x14ac:dyDescent="0.2">
      <c r="A1860" s="2" t="s">
        <v>2545</v>
      </c>
      <c r="B1860" s="2" t="s">
        <v>2577</v>
      </c>
      <c r="C1860" s="2" t="s">
        <v>2578</v>
      </c>
      <c r="D1860" s="2" t="s">
        <v>10</v>
      </c>
      <c r="E1860" s="2" t="s">
        <v>16</v>
      </c>
      <c r="F1860" s="2">
        <v>1</v>
      </c>
      <c r="G1860" s="2" t="s">
        <v>17</v>
      </c>
    </row>
    <row r="1861" spans="1:7" x14ac:dyDescent="0.2">
      <c r="A1861" s="2" t="s">
        <v>2545</v>
      </c>
      <c r="B1861" s="2" t="s">
        <v>2579</v>
      </c>
      <c r="C1861" s="2" t="s">
        <v>2578</v>
      </c>
      <c r="D1861" s="2" t="s">
        <v>10</v>
      </c>
      <c r="E1861" s="2" t="s">
        <v>16</v>
      </c>
      <c r="F1861" s="2">
        <v>1</v>
      </c>
      <c r="G1861" s="2" t="s">
        <v>17</v>
      </c>
    </row>
    <row r="1862" spans="1:7" x14ac:dyDescent="0.2">
      <c r="A1862" s="2" t="s">
        <v>2545</v>
      </c>
      <c r="B1862" s="2" t="s">
        <v>2580</v>
      </c>
      <c r="C1862" s="2" t="s">
        <v>2578</v>
      </c>
      <c r="D1862" s="2" t="s">
        <v>10</v>
      </c>
      <c r="E1862" s="2" t="s">
        <v>16</v>
      </c>
      <c r="F1862" s="2">
        <v>1</v>
      </c>
      <c r="G1862" s="2" t="s">
        <v>17</v>
      </c>
    </row>
    <row r="1863" spans="1:7" x14ac:dyDescent="0.2">
      <c r="A1863" s="2" t="s">
        <v>2545</v>
      </c>
      <c r="B1863" s="2" t="s">
        <v>2581</v>
      </c>
      <c r="C1863" s="2" t="s">
        <v>2578</v>
      </c>
      <c r="D1863" s="2" t="s">
        <v>10</v>
      </c>
      <c r="E1863" s="2" t="s">
        <v>16</v>
      </c>
      <c r="F1863" s="2">
        <v>1</v>
      </c>
      <c r="G1863" s="2" t="s">
        <v>17</v>
      </c>
    </row>
    <row r="1864" spans="1:7" x14ac:dyDescent="0.2">
      <c r="A1864" s="2" t="s">
        <v>2545</v>
      </c>
      <c r="B1864" s="2" t="s">
        <v>2582</v>
      </c>
      <c r="C1864" s="2" t="s">
        <v>2578</v>
      </c>
      <c r="D1864" s="2" t="s">
        <v>10</v>
      </c>
      <c r="E1864" s="2" t="s">
        <v>16</v>
      </c>
      <c r="F1864" s="2">
        <v>1</v>
      </c>
      <c r="G1864" s="2" t="s">
        <v>17</v>
      </c>
    </row>
    <row r="1865" spans="1:7" x14ac:dyDescent="0.2">
      <c r="A1865" s="2" t="s">
        <v>2545</v>
      </c>
      <c r="B1865" s="2" t="s">
        <v>2583</v>
      </c>
      <c r="C1865" s="2" t="s">
        <v>2578</v>
      </c>
      <c r="D1865" s="2" t="s">
        <v>10</v>
      </c>
      <c r="E1865" s="2" t="s">
        <v>16</v>
      </c>
      <c r="F1865" s="2">
        <v>1</v>
      </c>
      <c r="G1865" s="2" t="s">
        <v>17</v>
      </c>
    </row>
    <row r="1866" spans="1:7" x14ac:dyDescent="0.2">
      <c r="A1866" s="2" t="s">
        <v>2545</v>
      </c>
      <c r="B1866" s="2" t="s">
        <v>2584</v>
      </c>
      <c r="C1866" s="2" t="s">
        <v>2578</v>
      </c>
      <c r="D1866" s="2" t="s">
        <v>10</v>
      </c>
      <c r="E1866" s="2" t="s">
        <v>16</v>
      </c>
      <c r="F1866" s="2">
        <v>1</v>
      </c>
      <c r="G1866" s="2" t="s">
        <v>17</v>
      </c>
    </row>
    <row r="1867" spans="1:7" x14ac:dyDescent="0.2">
      <c r="A1867" s="2" t="s">
        <v>2545</v>
      </c>
      <c r="B1867" s="2" t="s">
        <v>2585</v>
      </c>
      <c r="C1867" s="2" t="s">
        <v>2578</v>
      </c>
      <c r="D1867" s="2" t="s">
        <v>10</v>
      </c>
      <c r="E1867" s="2" t="s">
        <v>16</v>
      </c>
      <c r="F1867" s="2">
        <v>1</v>
      </c>
      <c r="G1867" s="2" t="s">
        <v>17</v>
      </c>
    </row>
    <row r="1868" spans="1:7" x14ac:dyDescent="0.2">
      <c r="A1868" s="2" t="s">
        <v>2545</v>
      </c>
      <c r="B1868" s="2" t="s">
        <v>2586</v>
      </c>
      <c r="C1868" s="2" t="s">
        <v>1897</v>
      </c>
      <c r="D1868" s="2" t="s">
        <v>10</v>
      </c>
      <c r="E1868" s="2" t="s">
        <v>16</v>
      </c>
      <c r="F1868" s="2">
        <v>1</v>
      </c>
      <c r="G1868" s="2" t="s">
        <v>17</v>
      </c>
    </row>
    <row r="1869" spans="1:7" x14ac:dyDescent="0.2">
      <c r="A1869" s="2" t="s">
        <v>2545</v>
      </c>
      <c r="B1869" s="2">
        <v>51</v>
      </c>
      <c r="C1869" s="2" t="s">
        <v>1591</v>
      </c>
      <c r="D1869" s="2" t="s">
        <v>10</v>
      </c>
      <c r="E1869" s="2" t="s">
        <v>16</v>
      </c>
      <c r="F1869" s="2">
        <v>1</v>
      </c>
      <c r="G1869" s="2" t="s">
        <v>17</v>
      </c>
    </row>
    <row r="1870" spans="1:7" x14ac:dyDescent="0.2">
      <c r="A1870" s="2" t="s">
        <v>2587</v>
      </c>
      <c r="B1870" s="2" t="s">
        <v>2588</v>
      </c>
      <c r="C1870" s="2" t="s">
        <v>960</v>
      </c>
      <c r="D1870" s="2" t="s">
        <v>10</v>
      </c>
      <c r="E1870" s="2" t="s">
        <v>16</v>
      </c>
      <c r="F1870" s="2">
        <v>2</v>
      </c>
      <c r="G1870" s="2" t="s">
        <v>17</v>
      </c>
    </row>
    <row r="1871" spans="1:7" x14ac:dyDescent="0.2">
      <c r="A1871" s="2" t="s">
        <v>2587</v>
      </c>
      <c r="B1871" s="2" t="s">
        <v>2589</v>
      </c>
      <c r="C1871" s="2" t="s">
        <v>960</v>
      </c>
      <c r="D1871" s="2" t="s">
        <v>10</v>
      </c>
      <c r="E1871" s="2" t="s">
        <v>16</v>
      </c>
      <c r="F1871" s="2">
        <v>2</v>
      </c>
      <c r="G1871" s="2" t="s">
        <v>17</v>
      </c>
    </row>
    <row r="1872" spans="1:7" x14ac:dyDescent="0.2">
      <c r="A1872" s="2" t="s">
        <v>2590</v>
      </c>
      <c r="B1872" s="2" t="s">
        <v>2591</v>
      </c>
      <c r="C1872" s="2" t="s">
        <v>2592</v>
      </c>
      <c r="D1872" s="2" t="s">
        <v>29</v>
      </c>
      <c r="E1872" s="2" t="s">
        <v>11</v>
      </c>
      <c r="F1872" s="2">
        <v>2</v>
      </c>
      <c r="G1872" s="2" t="s">
        <v>12</v>
      </c>
    </row>
    <row r="1873" spans="1:7" x14ac:dyDescent="0.2">
      <c r="A1873" s="2" t="s">
        <v>2590</v>
      </c>
      <c r="B1873" s="2" t="s">
        <v>2593</v>
      </c>
      <c r="C1873" s="2" t="s">
        <v>2594</v>
      </c>
      <c r="D1873" s="2" t="s">
        <v>10</v>
      </c>
      <c r="E1873" s="2" t="s">
        <v>11</v>
      </c>
      <c r="F1873" s="2">
        <v>4</v>
      </c>
      <c r="G1873" s="2" t="s">
        <v>1069</v>
      </c>
    </row>
    <row r="1874" spans="1:7" x14ac:dyDescent="0.2">
      <c r="A1874" s="2" t="s">
        <v>2590</v>
      </c>
      <c r="B1874" s="2" t="s">
        <v>2595</v>
      </c>
      <c r="C1874" s="2" t="s">
        <v>2592</v>
      </c>
      <c r="D1874" s="2" t="s">
        <v>29</v>
      </c>
      <c r="E1874" s="2" t="s">
        <v>11</v>
      </c>
      <c r="F1874" s="2">
        <v>2</v>
      </c>
      <c r="G1874" s="2" t="s">
        <v>12</v>
      </c>
    </row>
    <row r="1875" spans="1:7" x14ac:dyDescent="0.2">
      <c r="A1875" s="2" t="s">
        <v>2590</v>
      </c>
      <c r="B1875" s="2" t="s">
        <v>2596</v>
      </c>
      <c r="C1875" s="2" t="s">
        <v>2597</v>
      </c>
      <c r="D1875" s="2" t="s">
        <v>29</v>
      </c>
      <c r="E1875" s="2" t="s">
        <v>11</v>
      </c>
      <c r="F1875" s="2">
        <v>2</v>
      </c>
      <c r="G1875" s="2" t="s">
        <v>12</v>
      </c>
    </row>
    <row r="1876" spans="1:7" x14ac:dyDescent="0.2">
      <c r="A1876" s="2" t="s">
        <v>2590</v>
      </c>
      <c r="B1876" s="2" t="s">
        <v>2598</v>
      </c>
      <c r="C1876" s="2" t="s">
        <v>2599</v>
      </c>
      <c r="D1876" s="2" t="s">
        <v>29</v>
      </c>
      <c r="E1876" s="2" t="s">
        <v>52</v>
      </c>
      <c r="F1876" s="2">
        <v>2</v>
      </c>
      <c r="G1876" s="2" t="s">
        <v>12</v>
      </c>
    </row>
    <row r="1877" spans="1:7" x14ac:dyDescent="0.2">
      <c r="A1877" s="2" t="s">
        <v>2590</v>
      </c>
      <c r="B1877" s="2" t="s">
        <v>2600</v>
      </c>
      <c r="C1877" s="2" t="s">
        <v>2601</v>
      </c>
      <c r="D1877" s="2" t="s">
        <v>10</v>
      </c>
      <c r="E1877" s="2" t="s">
        <v>52</v>
      </c>
      <c r="F1877" s="2">
        <v>2</v>
      </c>
      <c r="G1877" s="2" t="s">
        <v>12</v>
      </c>
    </row>
    <row r="1878" spans="1:7" x14ac:dyDescent="0.2">
      <c r="A1878" s="2" t="s">
        <v>2590</v>
      </c>
      <c r="B1878" s="2" t="s">
        <v>2602</v>
      </c>
      <c r="C1878" s="2" t="s">
        <v>2601</v>
      </c>
      <c r="D1878" s="2" t="s">
        <v>10</v>
      </c>
      <c r="E1878" s="2" t="s">
        <v>52</v>
      </c>
      <c r="F1878" s="2">
        <v>2</v>
      </c>
      <c r="G1878" s="2" t="s">
        <v>12</v>
      </c>
    </row>
    <row r="1879" spans="1:7" x14ac:dyDescent="0.2">
      <c r="A1879" s="2" t="s">
        <v>2590</v>
      </c>
      <c r="B1879" s="2" t="s">
        <v>2603</v>
      </c>
      <c r="C1879" s="2" t="s">
        <v>2604</v>
      </c>
      <c r="D1879" s="2" t="s">
        <v>29</v>
      </c>
      <c r="E1879" s="2" t="s">
        <v>16</v>
      </c>
      <c r="F1879" s="2">
        <v>2</v>
      </c>
      <c r="G1879" s="2" t="s">
        <v>17</v>
      </c>
    </row>
    <row r="1880" spans="1:7" x14ac:dyDescent="0.2">
      <c r="A1880" s="2" t="s">
        <v>2590</v>
      </c>
      <c r="B1880" s="2" t="s">
        <v>2605</v>
      </c>
      <c r="C1880" s="2" t="s">
        <v>2597</v>
      </c>
      <c r="D1880" s="2" t="s">
        <v>29</v>
      </c>
      <c r="E1880" s="2" t="s">
        <v>11</v>
      </c>
      <c r="F1880" s="2">
        <v>2</v>
      </c>
      <c r="G1880" s="2" t="s">
        <v>12</v>
      </c>
    </row>
    <row r="1881" spans="1:7" x14ac:dyDescent="0.2">
      <c r="A1881" s="2" t="s">
        <v>2590</v>
      </c>
      <c r="B1881" s="2" t="s">
        <v>2606</v>
      </c>
      <c r="C1881" s="2" t="s">
        <v>2594</v>
      </c>
      <c r="D1881" s="2" t="s">
        <v>10</v>
      </c>
      <c r="E1881" s="2" t="s">
        <v>11</v>
      </c>
      <c r="F1881" s="2">
        <v>4</v>
      </c>
      <c r="G1881" s="2" t="s">
        <v>1069</v>
      </c>
    </row>
    <row r="1882" spans="1:7" x14ac:dyDescent="0.2">
      <c r="A1882" s="2" t="s">
        <v>2590</v>
      </c>
      <c r="B1882" s="2" t="s">
        <v>2607</v>
      </c>
      <c r="C1882" s="2" t="s">
        <v>2604</v>
      </c>
      <c r="D1882" s="2" t="s">
        <v>29</v>
      </c>
      <c r="E1882" s="2" t="s">
        <v>16</v>
      </c>
      <c r="F1882" s="2">
        <v>2</v>
      </c>
      <c r="G1882" s="2" t="s">
        <v>17</v>
      </c>
    </row>
    <row r="1883" spans="1:7" x14ac:dyDescent="0.2">
      <c r="A1883" s="2" t="s">
        <v>2590</v>
      </c>
      <c r="B1883" s="2" t="s">
        <v>2608</v>
      </c>
      <c r="C1883" s="2" t="s">
        <v>2609</v>
      </c>
      <c r="D1883" s="2" t="s">
        <v>29</v>
      </c>
      <c r="E1883" s="2" t="s">
        <v>16</v>
      </c>
      <c r="F1883" s="2">
        <v>1</v>
      </c>
      <c r="G1883" s="2" t="s">
        <v>17</v>
      </c>
    </row>
    <row r="1884" spans="1:7" x14ac:dyDescent="0.2">
      <c r="A1884" s="2" t="s">
        <v>2590</v>
      </c>
      <c r="B1884" s="2" t="s">
        <v>2610</v>
      </c>
      <c r="C1884" s="2" t="s">
        <v>2599</v>
      </c>
      <c r="D1884" s="2" t="s">
        <v>29</v>
      </c>
      <c r="E1884" s="2" t="s">
        <v>52</v>
      </c>
      <c r="F1884" s="2">
        <v>2</v>
      </c>
      <c r="G1884" s="2" t="s">
        <v>12</v>
      </c>
    </row>
    <row r="1885" spans="1:7" x14ac:dyDescent="0.2">
      <c r="A1885" s="2" t="s">
        <v>2611</v>
      </c>
      <c r="B1885" s="2" t="s">
        <v>2612</v>
      </c>
      <c r="C1885" s="2" t="s">
        <v>2613</v>
      </c>
      <c r="D1885" s="2" t="s">
        <v>10</v>
      </c>
      <c r="E1885" s="2" t="s">
        <v>16</v>
      </c>
      <c r="F1885" s="2">
        <v>1</v>
      </c>
      <c r="G1885" s="2" t="s">
        <v>17</v>
      </c>
    </row>
    <row r="1886" spans="1:7" x14ac:dyDescent="0.2">
      <c r="A1886" s="2" t="s">
        <v>2614</v>
      </c>
      <c r="B1886" s="2" t="s">
        <v>2615</v>
      </c>
      <c r="C1886" s="2" t="s">
        <v>2616</v>
      </c>
      <c r="D1886" s="2" t="s">
        <v>10</v>
      </c>
      <c r="E1886" s="2" t="s">
        <v>16</v>
      </c>
      <c r="F1886" s="2">
        <v>1</v>
      </c>
      <c r="G1886" s="2" t="s">
        <v>17</v>
      </c>
    </row>
    <row r="1887" spans="1:7" x14ac:dyDescent="0.2">
      <c r="A1887" s="2" t="s">
        <v>2614</v>
      </c>
      <c r="B1887" s="2" t="s">
        <v>2617</v>
      </c>
      <c r="C1887" s="2" t="s">
        <v>2618</v>
      </c>
      <c r="D1887" s="2" t="s">
        <v>10</v>
      </c>
      <c r="E1887" s="2" t="s">
        <v>16</v>
      </c>
      <c r="F1887" s="2">
        <v>1</v>
      </c>
      <c r="G1887" s="2" t="s">
        <v>17</v>
      </c>
    </row>
    <row r="1888" spans="1:7" x14ac:dyDescent="0.2">
      <c r="A1888" s="2" t="s">
        <v>2619</v>
      </c>
      <c r="B1888" s="2" t="s">
        <v>2620</v>
      </c>
      <c r="C1888" s="2" t="s">
        <v>2621</v>
      </c>
      <c r="D1888" s="2" t="s">
        <v>10</v>
      </c>
      <c r="E1888" s="2" t="s">
        <v>16</v>
      </c>
      <c r="F1888" s="2">
        <v>1</v>
      </c>
      <c r="G1888" s="2" t="s">
        <v>17</v>
      </c>
    </row>
    <row r="1889" spans="1:7" x14ac:dyDescent="0.2">
      <c r="A1889" s="2" t="s">
        <v>2619</v>
      </c>
      <c r="B1889" s="2" t="s">
        <v>2622</v>
      </c>
      <c r="C1889" s="2" t="s">
        <v>2621</v>
      </c>
      <c r="D1889" s="2" t="s">
        <v>10</v>
      </c>
      <c r="E1889" s="2" t="s">
        <v>16</v>
      </c>
      <c r="F1889" s="2">
        <v>1</v>
      </c>
      <c r="G1889" s="2" t="s">
        <v>17</v>
      </c>
    </row>
    <row r="1890" spans="1:7" x14ac:dyDescent="0.2">
      <c r="A1890" s="2" t="s">
        <v>2619</v>
      </c>
      <c r="B1890" s="2" t="s">
        <v>2623</v>
      </c>
      <c r="C1890" s="2" t="s">
        <v>2621</v>
      </c>
      <c r="D1890" s="2" t="s">
        <v>10</v>
      </c>
      <c r="E1890" s="2" t="s">
        <v>16</v>
      </c>
      <c r="F1890" s="2">
        <v>1</v>
      </c>
      <c r="G1890" s="2" t="s">
        <v>17</v>
      </c>
    </row>
    <row r="1891" spans="1:7" x14ac:dyDescent="0.2">
      <c r="A1891" s="2" t="s">
        <v>2624</v>
      </c>
      <c r="B1891" s="2" t="s">
        <v>2625</v>
      </c>
      <c r="C1891" s="2" t="s">
        <v>35</v>
      </c>
      <c r="D1891" s="2" t="s">
        <v>29</v>
      </c>
      <c r="E1891" s="2" t="s">
        <v>16</v>
      </c>
      <c r="F1891" s="2">
        <v>1</v>
      </c>
      <c r="G1891" s="2" t="s">
        <v>17</v>
      </c>
    </row>
    <row r="1892" spans="1:7" x14ac:dyDescent="0.2">
      <c r="A1892" s="2" t="s">
        <v>2626</v>
      </c>
      <c r="B1892" s="2" t="s">
        <v>541</v>
      </c>
      <c r="C1892" s="2" t="s">
        <v>2627</v>
      </c>
      <c r="D1892" s="2" t="s">
        <v>10</v>
      </c>
      <c r="E1892" s="2" t="s">
        <v>16</v>
      </c>
      <c r="F1892" s="2">
        <v>1</v>
      </c>
      <c r="G1892" s="2" t="s">
        <v>17</v>
      </c>
    </row>
    <row r="1893" spans="1:7" x14ac:dyDescent="0.2">
      <c r="A1893" s="2" t="s">
        <v>2628</v>
      </c>
      <c r="B1893" s="2" t="s">
        <v>2629</v>
      </c>
      <c r="C1893" s="2" t="s">
        <v>2630</v>
      </c>
      <c r="D1893" s="2" t="s">
        <v>10</v>
      </c>
      <c r="E1893" s="2" t="s">
        <v>16</v>
      </c>
      <c r="F1893" s="2">
        <v>1</v>
      </c>
      <c r="G1893" s="2" t="s">
        <v>17</v>
      </c>
    </row>
    <row r="1894" spans="1:7" x14ac:dyDescent="0.2">
      <c r="A1894" s="2" t="s">
        <v>2628</v>
      </c>
      <c r="B1894" s="2" t="s">
        <v>2631</v>
      </c>
      <c r="C1894" s="2" t="s">
        <v>2630</v>
      </c>
      <c r="D1894" s="2" t="s">
        <v>10</v>
      </c>
      <c r="E1894" s="2" t="s">
        <v>16</v>
      </c>
      <c r="F1894" s="2">
        <v>1</v>
      </c>
      <c r="G1894" s="2" t="s">
        <v>17</v>
      </c>
    </row>
    <row r="1895" spans="1:7" x14ac:dyDescent="0.2">
      <c r="A1895" s="2" t="s">
        <v>2632</v>
      </c>
      <c r="B1895" s="2" t="s">
        <v>2633</v>
      </c>
      <c r="C1895" s="2" t="s">
        <v>2634</v>
      </c>
      <c r="D1895" s="2" t="s">
        <v>10</v>
      </c>
      <c r="E1895" s="2" t="s">
        <v>16</v>
      </c>
      <c r="F1895" s="2">
        <v>1</v>
      </c>
      <c r="G1895" s="2" t="s">
        <v>17</v>
      </c>
    </row>
    <row r="1896" spans="1:7" x14ac:dyDescent="0.2">
      <c r="A1896" s="2" t="s">
        <v>2632</v>
      </c>
      <c r="B1896" s="2" t="s">
        <v>2635</v>
      </c>
      <c r="C1896" s="2" t="s">
        <v>2634</v>
      </c>
      <c r="D1896" s="2" t="s">
        <v>10</v>
      </c>
      <c r="E1896" s="2" t="s">
        <v>16</v>
      </c>
      <c r="F1896" s="2">
        <v>1</v>
      </c>
      <c r="G1896" s="2" t="s">
        <v>17</v>
      </c>
    </row>
    <row r="1897" spans="1:7" x14ac:dyDescent="0.2">
      <c r="A1897" s="2" t="s">
        <v>2632</v>
      </c>
      <c r="B1897" s="2" t="s">
        <v>2636</v>
      </c>
      <c r="C1897" s="2" t="s">
        <v>2637</v>
      </c>
      <c r="D1897" s="2" t="s">
        <v>10</v>
      </c>
      <c r="E1897" s="2" t="s">
        <v>16</v>
      </c>
      <c r="F1897" s="2">
        <v>1</v>
      </c>
      <c r="G1897" s="2" t="s">
        <v>17</v>
      </c>
    </row>
    <row r="1898" spans="1:7" x14ac:dyDescent="0.2">
      <c r="A1898" s="2" t="s">
        <v>2632</v>
      </c>
      <c r="B1898" s="2" t="s">
        <v>2638</v>
      </c>
      <c r="C1898" s="2" t="s">
        <v>2637</v>
      </c>
      <c r="D1898" s="2" t="s">
        <v>10</v>
      </c>
      <c r="E1898" s="2" t="s">
        <v>16</v>
      </c>
      <c r="F1898" s="2">
        <v>1</v>
      </c>
      <c r="G1898" s="2" t="s">
        <v>17</v>
      </c>
    </row>
    <row r="1899" spans="1:7" x14ac:dyDescent="0.2">
      <c r="A1899" s="2" t="s">
        <v>2632</v>
      </c>
      <c r="B1899" s="2" t="s">
        <v>2639</v>
      </c>
      <c r="C1899" s="2" t="s">
        <v>2640</v>
      </c>
      <c r="D1899" s="2" t="s">
        <v>10</v>
      </c>
      <c r="E1899" s="2" t="s">
        <v>1080</v>
      </c>
      <c r="F1899" s="2">
        <v>1</v>
      </c>
      <c r="G1899" s="2" t="s">
        <v>17</v>
      </c>
    </row>
    <row r="1900" spans="1:7" x14ac:dyDescent="0.2">
      <c r="A1900" s="2" t="s">
        <v>2632</v>
      </c>
      <c r="B1900" s="2" t="s">
        <v>2641</v>
      </c>
      <c r="C1900" s="2" t="s">
        <v>2642</v>
      </c>
      <c r="D1900" s="2" t="s">
        <v>10</v>
      </c>
      <c r="E1900" s="2" t="s">
        <v>16</v>
      </c>
      <c r="F1900" s="2">
        <v>1</v>
      </c>
      <c r="G1900" s="2" t="s">
        <v>17</v>
      </c>
    </row>
    <row r="1901" spans="1:7" x14ac:dyDescent="0.2">
      <c r="A1901" s="2" t="s">
        <v>2643</v>
      </c>
      <c r="B1901" s="2" t="s">
        <v>2644</v>
      </c>
      <c r="C1901" s="2" t="s">
        <v>2645</v>
      </c>
      <c r="D1901" s="2" t="s">
        <v>10</v>
      </c>
      <c r="E1901" s="2" t="s">
        <v>16</v>
      </c>
      <c r="F1901" s="2">
        <v>1</v>
      </c>
      <c r="G1901" s="2" t="s">
        <v>17</v>
      </c>
    </row>
    <row r="1902" spans="1:7" x14ac:dyDescent="0.2">
      <c r="A1902" s="2" t="s">
        <v>2643</v>
      </c>
      <c r="B1902" s="2" t="s">
        <v>2646</v>
      </c>
      <c r="C1902" s="2" t="s">
        <v>2645</v>
      </c>
      <c r="D1902" s="2" t="s">
        <v>10</v>
      </c>
      <c r="E1902" s="2" t="s">
        <v>16</v>
      </c>
      <c r="F1902" s="2">
        <v>1</v>
      </c>
      <c r="G1902" s="2" t="s">
        <v>17</v>
      </c>
    </row>
    <row r="1903" spans="1:7" x14ac:dyDescent="0.2">
      <c r="A1903" s="2" t="s">
        <v>2647</v>
      </c>
      <c r="B1903" s="2" t="s">
        <v>2648</v>
      </c>
      <c r="C1903" s="2" t="s">
        <v>2649</v>
      </c>
      <c r="D1903" s="2" t="s">
        <v>10</v>
      </c>
      <c r="E1903" s="2" t="s">
        <v>16</v>
      </c>
      <c r="F1903" s="2">
        <v>1</v>
      </c>
      <c r="G1903" s="2" t="s">
        <v>17</v>
      </c>
    </row>
    <row r="1904" spans="1:7" x14ac:dyDescent="0.2">
      <c r="A1904" s="2" t="s">
        <v>2650</v>
      </c>
      <c r="B1904" s="2" t="s">
        <v>2651</v>
      </c>
      <c r="C1904" s="2" t="s">
        <v>2652</v>
      </c>
      <c r="D1904" s="2" t="s">
        <v>10</v>
      </c>
      <c r="E1904" s="2" t="s">
        <v>16</v>
      </c>
      <c r="F1904" s="2">
        <v>1</v>
      </c>
      <c r="G1904" s="2" t="s">
        <v>17</v>
      </c>
    </row>
    <row r="1905" spans="1:7" x14ac:dyDescent="0.2">
      <c r="A1905" s="2" t="s">
        <v>2650</v>
      </c>
      <c r="B1905" s="2" t="s">
        <v>2653</v>
      </c>
      <c r="C1905" s="2" t="s">
        <v>2652</v>
      </c>
      <c r="D1905" s="2" t="s">
        <v>10</v>
      </c>
      <c r="E1905" s="2" t="s">
        <v>16</v>
      </c>
      <c r="F1905" s="2">
        <v>1</v>
      </c>
      <c r="G1905" s="2" t="s">
        <v>17</v>
      </c>
    </row>
    <row r="1906" spans="1:7" x14ac:dyDescent="0.2">
      <c r="A1906" s="2" t="s">
        <v>2650</v>
      </c>
      <c r="B1906" s="2" t="s">
        <v>2654</v>
      </c>
      <c r="C1906" s="2" t="s">
        <v>2655</v>
      </c>
      <c r="D1906" s="2" t="s">
        <v>10</v>
      </c>
      <c r="E1906" s="2" t="s">
        <v>16</v>
      </c>
      <c r="F1906" s="2">
        <v>1</v>
      </c>
      <c r="G1906" s="2" t="s">
        <v>17</v>
      </c>
    </row>
    <row r="1907" spans="1:7" x14ac:dyDescent="0.2">
      <c r="A1907" s="2" t="s">
        <v>2650</v>
      </c>
      <c r="B1907" s="2" t="s">
        <v>2656</v>
      </c>
      <c r="C1907" s="2" t="s">
        <v>2655</v>
      </c>
      <c r="D1907" s="2" t="s">
        <v>10</v>
      </c>
      <c r="E1907" s="2" t="s">
        <v>16</v>
      </c>
      <c r="F1907" s="2">
        <v>1</v>
      </c>
      <c r="G1907" s="2" t="s">
        <v>17</v>
      </c>
    </row>
    <row r="1908" spans="1:7" x14ac:dyDescent="0.2">
      <c r="A1908" s="2" t="s">
        <v>2650</v>
      </c>
      <c r="B1908" s="2" t="s">
        <v>2657</v>
      </c>
      <c r="C1908" s="2" t="s">
        <v>2655</v>
      </c>
      <c r="D1908" s="2" t="s">
        <v>10</v>
      </c>
      <c r="E1908" s="2" t="s">
        <v>16</v>
      </c>
      <c r="F1908" s="2">
        <v>1</v>
      </c>
      <c r="G1908" s="2" t="s">
        <v>17</v>
      </c>
    </row>
    <row r="1909" spans="1:7" x14ac:dyDescent="0.2">
      <c r="A1909" s="2" t="s">
        <v>2658</v>
      </c>
      <c r="B1909" s="2" t="s">
        <v>2659</v>
      </c>
      <c r="C1909" s="2" t="s">
        <v>2660</v>
      </c>
      <c r="D1909" s="2" t="s">
        <v>10</v>
      </c>
      <c r="E1909" s="2" t="s">
        <v>16</v>
      </c>
      <c r="F1909" s="2">
        <v>1</v>
      </c>
      <c r="G1909" s="2" t="s">
        <v>17</v>
      </c>
    </row>
    <row r="1910" spans="1:7" x14ac:dyDescent="0.2">
      <c r="A1910" s="2" t="s">
        <v>2658</v>
      </c>
      <c r="B1910" s="2" t="s">
        <v>2661</v>
      </c>
      <c r="C1910" s="2" t="s">
        <v>2662</v>
      </c>
      <c r="D1910" s="2" t="s">
        <v>10</v>
      </c>
      <c r="E1910" s="2" t="s">
        <v>16</v>
      </c>
      <c r="F1910" s="2">
        <v>1</v>
      </c>
      <c r="G1910" s="2" t="s">
        <v>17</v>
      </c>
    </row>
    <row r="1911" spans="1:7" x14ac:dyDescent="0.2">
      <c r="A1911" s="2" t="s">
        <v>2663</v>
      </c>
      <c r="B1911" s="2">
        <v>11</v>
      </c>
      <c r="C1911" s="2" t="s">
        <v>2664</v>
      </c>
      <c r="D1911" s="2" t="s">
        <v>10</v>
      </c>
      <c r="E1911" s="2" t="s">
        <v>16</v>
      </c>
      <c r="F1911" s="2">
        <v>1</v>
      </c>
      <c r="G1911" s="2" t="s">
        <v>17</v>
      </c>
    </row>
    <row r="1912" spans="1:7" x14ac:dyDescent="0.2">
      <c r="A1912" s="2" t="s">
        <v>2663</v>
      </c>
      <c r="B1912" s="2" t="s">
        <v>2665</v>
      </c>
      <c r="C1912" s="2" t="s">
        <v>2664</v>
      </c>
      <c r="D1912" s="2" t="s">
        <v>10</v>
      </c>
      <c r="E1912" s="2" t="s">
        <v>16</v>
      </c>
      <c r="F1912" s="2">
        <v>1</v>
      </c>
      <c r="G1912" s="2" t="s">
        <v>17</v>
      </c>
    </row>
    <row r="1913" spans="1:7" x14ac:dyDescent="0.2">
      <c r="A1913" s="2" t="s">
        <v>2666</v>
      </c>
      <c r="B1913" s="2" t="s">
        <v>405</v>
      </c>
      <c r="C1913" s="2" t="s">
        <v>406</v>
      </c>
      <c r="D1913" s="2" t="s">
        <v>10</v>
      </c>
      <c r="E1913" s="2" t="s">
        <v>16</v>
      </c>
      <c r="F1913" s="2">
        <v>1</v>
      </c>
      <c r="G1913" s="2" t="s">
        <v>17</v>
      </c>
    </row>
    <row r="1914" spans="1:7" x14ac:dyDescent="0.2">
      <c r="A1914" s="2" t="s">
        <v>2666</v>
      </c>
      <c r="B1914" s="2" t="s">
        <v>2667</v>
      </c>
      <c r="C1914" s="2" t="s">
        <v>2668</v>
      </c>
      <c r="D1914" s="2" t="s">
        <v>10</v>
      </c>
      <c r="E1914" s="2" t="s">
        <v>16</v>
      </c>
      <c r="F1914" s="2">
        <v>1</v>
      </c>
      <c r="G1914" s="2" t="s">
        <v>17</v>
      </c>
    </row>
    <row r="1915" spans="1:7" x14ac:dyDescent="0.2">
      <c r="A1915" s="2" t="s">
        <v>2666</v>
      </c>
      <c r="B1915" s="2" t="s">
        <v>2669</v>
      </c>
      <c r="C1915" s="2" t="s">
        <v>2670</v>
      </c>
      <c r="D1915" s="2" t="s">
        <v>10</v>
      </c>
      <c r="E1915" s="2" t="s">
        <v>16</v>
      </c>
      <c r="F1915" s="2">
        <v>1</v>
      </c>
      <c r="G1915" s="2" t="s">
        <v>17</v>
      </c>
    </row>
    <row r="1916" spans="1:7" x14ac:dyDescent="0.2">
      <c r="A1916" s="2" t="s">
        <v>2666</v>
      </c>
      <c r="B1916" s="2" t="s">
        <v>407</v>
      </c>
      <c r="C1916" s="2" t="s">
        <v>408</v>
      </c>
      <c r="D1916" s="2" t="s">
        <v>10</v>
      </c>
      <c r="E1916" s="2" t="s">
        <v>16</v>
      </c>
      <c r="F1916" s="2">
        <v>1</v>
      </c>
      <c r="G1916" s="2" t="s">
        <v>17</v>
      </c>
    </row>
    <row r="1917" spans="1:7" x14ac:dyDescent="0.2">
      <c r="A1917" s="2" t="s">
        <v>2666</v>
      </c>
      <c r="B1917" s="2" t="s">
        <v>2671</v>
      </c>
      <c r="C1917" s="2" t="s">
        <v>2672</v>
      </c>
      <c r="D1917" s="2" t="s">
        <v>10</v>
      </c>
      <c r="E1917" s="2" t="s">
        <v>16</v>
      </c>
      <c r="F1917" s="2">
        <v>2</v>
      </c>
      <c r="G1917" s="2" t="s">
        <v>17</v>
      </c>
    </row>
    <row r="1918" spans="1:7" x14ac:dyDescent="0.2">
      <c r="A1918" s="2" t="s">
        <v>2673</v>
      </c>
      <c r="B1918" s="2" t="s">
        <v>2674</v>
      </c>
      <c r="C1918" s="2" t="s">
        <v>2675</v>
      </c>
      <c r="D1918" s="2" t="s">
        <v>10</v>
      </c>
      <c r="E1918" s="2" t="s">
        <v>16</v>
      </c>
      <c r="F1918" s="2">
        <v>1</v>
      </c>
      <c r="G1918" s="2" t="s">
        <v>17</v>
      </c>
    </row>
    <row r="1919" spans="1:7" x14ac:dyDescent="0.2">
      <c r="A1919" s="2" t="s">
        <v>2673</v>
      </c>
      <c r="B1919" s="2" t="s">
        <v>2676</v>
      </c>
      <c r="C1919" s="2" t="s">
        <v>2677</v>
      </c>
      <c r="D1919" s="2" t="s">
        <v>10</v>
      </c>
      <c r="E1919" s="2" t="s">
        <v>11</v>
      </c>
      <c r="F1919" s="2">
        <v>4</v>
      </c>
      <c r="G1919" s="2" t="s">
        <v>12</v>
      </c>
    </row>
    <row r="1920" spans="1:7" x14ac:dyDescent="0.2">
      <c r="A1920" s="2" t="s">
        <v>2673</v>
      </c>
      <c r="B1920" s="2" t="s">
        <v>2678</v>
      </c>
      <c r="C1920" s="2" t="s">
        <v>2679</v>
      </c>
      <c r="D1920" s="2" t="s">
        <v>10</v>
      </c>
      <c r="E1920" s="2" t="s">
        <v>11</v>
      </c>
      <c r="F1920" s="2">
        <v>4</v>
      </c>
      <c r="G1920" s="2" t="s">
        <v>1069</v>
      </c>
    </row>
    <row r="1921" spans="1:7" x14ac:dyDescent="0.2">
      <c r="A1921" s="2" t="s">
        <v>2673</v>
      </c>
      <c r="B1921" s="2" t="s">
        <v>2680</v>
      </c>
      <c r="C1921" s="2" t="s">
        <v>2681</v>
      </c>
      <c r="D1921" s="2" t="s">
        <v>10</v>
      </c>
      <c r="E1921" s="2" t="s">
        <v>11</v>
      </c>
      <c r="F1921" s="2">
        <v>2</v>
      </c>
      <c r="G1921" s="2" t="s">
        <v>12</v>
      </c>
    </row>
    <row r="1922" spans="1:7" x14ac:dyDescent="0.2">
      <c r="A1922" s="2" t="s">
        <v>2673</v>
      </c>
      <c r="B1922" s="2" t="s">
        <v>2682</v>
      </c>
      <c r="C1922" s="2" t="s">
        <v>2681</v>
      </c>
      <c r="D1922" s="2" t="s">
        <v>10</v>
      </c>
      <c r="E1922" s="2" t="s">
        <v>11</v>
      </c>
      <c r="F1922" s="2">
        <v>2</v>
      </c>
      <c r="G1922" s="2" t="s">
        <v>12</v>
      </c>
    </row>
    <row r="1923" spans="1:7" x14ac:dyDescent="0.2">
      <c r="A1923" s="2" t="s">
        <v>2673</v>
      </c>
      <c r="B1923" s="2">
        <v>720</v>
      </c>
      <c r="C1923" s="2" t="s">
        <v>2683</v>
      </c>
      <c r="D1923" s="2" t="s">
        <v>10</v>
      </c>
      <c r="E1923" s="2" t="s">
        <v>11</v>
      </c>
      <c r="F1923" s="2">
        <v>4</v>
      </c>
      <c r="G1923" s="2" t="s">
        <v>12</v>
      </c>
    </row>
    <row r="1924" spans="1:7" x14ac:dyDescent="0.2">
      <c r="A1924" s="2" t="s">
        <v>2673</v>
      </c>
      <c r="B1924" s="2" t="s">
        <v>2684</v>
      </c>
      <c r="C1924" s="2" t="s">
        <v>2685</v>
      </c>
      <c r="D1924" s="2" t="s">
        <v>10</v>
      </c>
      <c r="E1924" s="2" t="s">
        <v>11</v>
      </c>
      <c r="F1924" s="2">
        <v>3</v>
      </c>
      <c r="G1924" s="2" t="s">
        <v>12</v>
      </c>
    </row>
    <row r="1925" spans="1:7" x14ac:dyDescent="0.2">
      <c r="A1925" s="2" t="s">
        <v>2673</v>
      </c>
      <c r="B1925" s="2" t="s">
        <v>2686</v>
      </c>
      <c r="C1925" s="2" t="s">
        <v>2687</v>
      </c>
      <c r="D1925" s="2" t="s">
        <v>10</v>
      </c>
      <c r="E1925" s="2" t="s">
        <v>11</v>
      </c>
      <c r="F1925" s="2">
        <v>3</v>
      </c>
      <c r="G1925" s="2" t="s">
        <v>12</v>
      </c>
    </row>
    <row r="1926" spans="1:7" x14ac:dyDescent="0.2">
      <c r="A1926" s="2" t="s">
        <v>2673</v>
      </c>
      <c r="B1926" s="2" t="s">
        <v>2688</v>
      </c>
      <c r="C1926" s="2" t="s">
        <v>2689</v>
      </c>
      <c r="D1926" s="2" t="s">
        <v>10</v>
      </c>
      <c r="E1926" s="2" t="s">
        <v>11</v>
      </c>
      <c r="F1926" s="2">
        <v>3</v>
      </c>
      <c r="G1926" s="2" t="s">
        <v>12</v>
      </c>
    </row>
    <row r="1927" spans="1:7" x14ac:dyDescent="0.2">
      <c r="A1927" s="2" t="s">
        <v>2673</v>
      </c>
      <c r="B1927" s="2" t="s">
        <v>2690</v>
      </c>
      <c r="C1927" s="2" t="s">
        <v>2691</v>
      </c>
      <c r="D1927" s="2" t="s">
        <v>10</v>
      </c>
      <c r="E1927" s="2" t="s">
        <v>11</v>
      </c>
      <c r="F1927" s="2">
        <v>2</v>
      </c>
      <c r="G1927" s="2" t="s">
        <v>1069</v>
      </c>
    </row>
    <row r="1928" spans="1:7" x14ac:dyDescent="0.2">
      <c r="A1928" s="2" t="s">
        <v>2673</v>
      </c>
      <c r="B1928" s="2" t="s">
        <v>2692</v>
      </c>
      <c r="C1928" s="2" t="s">
        <v>2693</v>
      </c>
      <c r="D1928" s="2" t="s">
        <v>10</v>
      </c>
      <c r="E1928" s="2" t="s">
        <v>11</v>
      </c>
      <c r="F1928" s="2">
        <v>3</v>
      </c>
      <c r="G1928" s="2" t="s">
        <v>12</v>
      </c>
    </row>
    <row r="1929" spans="1:7" x14ac:dyDescent="0.2">
      <c r="A1929" s="2" t="s">
        <v>2673</v>
      </c>
      <c r="B1929" s="2" t="s">
        <v>2694</v>
      </c>
      <c r="C1929" s="2" t="s">
        <v>2695</v>
      </c>
      <c r="D1929" s="2" t="s">
        <v>10</v>
      </c>
      <c r="E1929" s="2" t="s">
        <v>11</v>
      </c>
      <c r="F1929" s="2">
        <v>2</v>
      </c>
      <c r="G1929" s="2" t="s">
        <v>12</v>
      </c>
    </row>
    <row r="1930" spans="1:7" x14ac:dyDescent="0.2">
      <c r="A1930" s="2" t="s">
        <v>2673</v>
      </c>
      <c r="B1930" s="2" t="s">
        <v>2696</v>
      </c>
      <c r="C1930" s="2" t="s">
        <v>2695</v>
      </c>
      <c r="D1930" s="2" t="s">
        <v>10</v>
      </c>
      <c r="E1930" s="2" t="s">
        <v>11</v>
      </c>
      <c r="F1930" s="2">
        <v>2</v>
      </c>
      <c r="G1930" s="2" t="s">
        <v>12</v>
      </c>
    </row>
    <row r="1931" spans="1:7" x14ac:dyDescent="0.2">
      <c r="A1931" s="2" t="s">
        <v>2673</v>
      </c>
      <c r="B1931" s="2" t="s">
        <v>2697</v>
      </c>
      <c r="C1931" s="2" t="s">
        <v>2698</v>
      </c>
      <c r="D1931" s="2" t="s">
        <v>10</v>
      </c>
      <c r="E1931" s="2" t="s">
        <v>11</v>
      </c>
      <c r="F1931" s="2">
        <v>2</v>
      </c>
      <c r="G1931" s="2" t="s">
        <v>12</v>
      </c>
    </row>
    <row r="1932" spans="1:7" x14ac:dyDescent="0.2">
      <c r="A1932" s="2" t="s">
        <v>2673</v>
      </c>
      <c r="B1932" s="2" t="s">
        <v>2699</v>
      </c>
      <c r="C1932" s="2" t="s">
        <v>2700</v>
      </c>
      <c r="D1932" s="2" t="s">
        <v>10</v>
      </c>
      <c r="E1932" s="2" t="s">
        <v>11</v>
      </c>
      <c r="F1932" s="2">
        <v>2</v>
      </c>
      <c r="G1932" s="2" t="s">
        <v>12</v>
      </c>
    </row>
    <row r="1933" spans="1:7" x14ac:dyDescent="0.2">
      <c r="A1933" s="2" t="s">
        <v>2673</v>
      </c>
      <c r="B1933" s="2" t="s">
        <v>2701</v>
      </c>
      <c r="C1933" s="2" t="s">
        <v>2702</v>
      </c>
      <c r="D1933" s="2" t="s">
        <v>10</v>
      </c>
      <c r="E1933" s="2" t="s">
        <v>11</v>
      </c>
      <c r="F1933" s="2">
        <v>2</v>
      </c>
      <c r="G1933" s="2" t="s">
        <v>12</v>
      </c>
    </row>
    <row r="1934" spans="1:7" x14ac:dyDescent="0.2">
      <c r="A1934" s="2" t="s">
        <v>2673</v>
      </c>
      <c r="B1934" s="2" t="s">
        <v>2703</v>
      </c>
      <c r="C1934" s="2" t="s">
        <v>2704</v>
      </c>
      <c r="D1934" s="2" t="s">
        <v>10</v>
      </c>
      <c r="E1934" s="2" t="s">
        <v>11</v>
      </c>
      <c r="F1934" s="2">
        <v>2</v>
      </c>
      <c r="G1934" s="2" t="s">
        <v>12</v>
      </c>
    </row>
    <row r="1935" spans="1:7" x14ac:dyDescent="0.2">
      <c r="A1935" s="2" t="s">
        <v>2673</v>
      </c>
      <c r="B1935" s="2" t="s">
        <v>2705</v>
      </c>
      <c r="C1935" s="2" t="s">
        <v>2706</v>
      </c>
      <c r="D1935" s="2" t="s">
        <v>10</v>
      </c>
      <c r="E1935" s="2" t="s">
        <v>11</v>
      </c>
      <c r="F1935" s="2">
        <v>2</v>
      </c>
      <c r="G1935" s="2" t="s">
        <v>12</v>
      </c>
    </row>
    <row r="1936" spans="1:7" x14ac:dyDescent="0.2">
      <c r="A1936" s="2" t="s">
        <v>2673</v>
      </c>
      <c r="B1936" s="2" t="s">
        <v>2707</v>
      </c>
      <c r="C1936" s="2" t="s">
        <v>2706</v>
      </c>
      <c r="D1936" s="2" t="s">
        <v>10</v>
      </c>
      <c r="E1936" s="2" t="s">
        <v>11</v>
      </c>
      <c r="F1936" s="2">
        <v>2</v>
      </c>
      <c r="G1936" s="2" t="s">
        <v>12</v>
      </c>
    </row>
    <row r="1937" spans="1:7" x14ac:dyDescent="0.2">
      <c r="A1937" s="2" t="s">
        <v>2673</v>
      </c>
      <c r="B1937" s="2" t="s">
        <v>2708</v>
      </c>
      <c r="C1937" s="2" t="s">
        <v>2709</v>
      </c>
      <c r="D1937" s="2" t="s">
        <v>10</v>
      </c>
      <c r="E1937" s="2" t="s">
        <v>11</v>
      </c>
      <c r="F1937" s="2">
        <v>2</v>
      </c>
      <c r="G1937" s="2" t="s">
        <v>12</v>
      </c>
    </row>
    <row r="1938" spans="1:7" x14ac:dyDescent="0.2">
      <c r="A1938" s="2" t="s">
        <v>2673</v>
      </c>
      <c r="B1938" s="2" t="s">
        <v>2710</v>
      </c>
      <c r="C1938" s="2" t="s">
        <v>2711</v>
      </c>
      <c r="D1938" s="2" t="s">
        <v>10</v>
      </c>
      <c r="E1938" s="2" t="s">
        <v>11</v>
      </c>
      <c r="F1938" s="2">
        <v>2</v>
      </c>
      <c r="G1938" s="2" t="s">
        <v>12</v>
      </c>
    </row>
    <row r="1939" spans="1:7" x14ac:dyDescent="0.2">
      <c r="A1939" s="2" t="s">
        <v>2673</v>
      </c>
      <c r="B1939" s="2" t="s">
        <v>2712</v>
      </c>
      <c r="C1939" s="2" t="s">
        <v>2711</v>
      </c>
      <c r="D1939" s="2" t="s">
        <v>10</v>
      </c>
      <c r="E1939" s="2" t="s">
        <v>11</v>
      </c>
      <c r="F1939" s="2">
        <v>2</v>
      </c>
      <c r="G1939" s="2" t="s">
        <v>12</v>
      </c>
    </row>
    <row r="1940" spans="1:7" x14ac:dyDescent="0.2">
      <c r="A1940" s="2" t="s">
        <v>2673</v>
      </c>
      <c r="B1940" s="2" t="s">
        <v>2713</v>
      </c>
      <c r="C1940" s="2" t="s">
        <v>2714</v>
      </c>
      <c r="D1940" s="2" t="s">
        <v>10</v>
      </c>
      <c r="E1940" s="2" t="s">
        <v>11</v>
      </c>
      <c r="F1940" s="2">
        <v>2</v>
      </c>
      <c r="G1940" s="2" t="s">
        <v>12</v>
      </c>
    </row>
    <row r="1941" spans="1:7" x14ac:dyDescent="0.2">
      <c r="A1941" s="2" t="s">
        <v>2673</v>
      </c>
      <c r="B1941" s="2" t="s">
        <v>2715</v>
      </c>
      <c r="C1941" s="2" t="s">
        <v>2714</v>
      </c>
      <c r="D1941" s="2" t="s">
        <v>10</v>
      </c>
      <c r="E1941" s="2" t="s">
        <v>11</v>
      </c>
      <c r="F1941" s="2">
        <v>2</v>
      </c>
      <c r="G1941" s="2" t="s">
        <v>12</v>
      </c>
    </row>
    <row r="1942" spans="1:7" x14ac:dyDescent="0.2">
      <c r="A1942" s="2" t="s">
        <v>2673</v>
      </c>
      <c r="B1942" s="2" t="s">
        <v>2716</v>
      </c>
      <c r="C1942" s="2" t="s">
        <v>2717</v>
      </c>
      <c r="D1942" s="2" t="s">
        <v>10</v>
      </c>
      <c r="E1942" s="2" t="s">
        <v>11</v>
      </c>
      <c r="F1942" s="2">
        <v>4</v>
      </c>
      <c r="G1942" s="2" t="s">
        <v>1069</v>
      </c>
    </row>
    <row r="1943" spans="1:7" x14ac:dyDescent="0.2">
      <c r="A1943" s="2" t="s">
        <v>2673</v>
      </c>
      <c r="B1943" s="2" t="s">
        <v>2718</v>
      </c>
      <c r="C1943" s="2" t="s">
        <v>2719</v>
      </c>
      <c r="D1943" s="2" t="s">
        <v>10</v>
      </c>
      <c r="E1943" s="2" t="s">
        <v>11</v>
      </c>
      <c r="F1943" s="2">
        <v>4</v>
      </c>
      <c r="G1943" s="2" t="s">
        <v>1069</v>
      </c>
    </row>
    <row r="1944" spans="1:7" x14ac:dyDescent="0.2">
      <c r="A1944" s="2" t="s">
        <v>2673</v>
      </c>
      <c r="B1944" s="2" t="s">
        <v>2720</v>
      </c>
      <c r="C1944" s="2" t="s">
        <v>2721</v>
      </c>
      <c r="D1944" s="2" t="s">
        <v>10</v>
      </c>
      <c r="E1944" s="2" t="s">
        <v>11</v>
      </c>
      <c r="F1944" s="2">
        <v>4</v>
      </c>
      <c r="G1944" s="2" t="s">
        <v>1069</v>
      </c>
    </row>
    <row r="1945" spans="1:7" x14ac:dyDescent="0.2">
      <c r="A1945" s="2" t="s">
        <v>2673</v>
      </c>
      <c r="B1945" s="2" t="s">
        <v>2722</v>
      </c>
      <c r="C1945" s="2" t="s">
        <v>2723</v>
      </c>
      <c r="D1945" s="2" t="s">
        <v>10</v>
      </c>
      <c r="E1945" s="2" t="s">
        <v>11</v>
      </c>
      <c r="F1945" s="2">
        <v>4</v>
      </c>
      <c r="G1945" s="2" t="s">
        <v>1069</v>
      </c>
    </row>
    <row r="1946" spans="1:7" x14ac:dyDescent="0.2">
      <c r="A1946" s="2" t="s">
        <v>2673</v>
      </c>
      <c r="B1946" s="2" t="s">
        <v>2724</v>
      </c>
      <c r="C1946" s="2" t="s">
        <v>2725</v>
      </c>
      <c r="D1946" s="2" t="s">
        <v>10</v>
      </c>
      <c r="E1946" s="2" t="s">
        <v>11</v>
      </c>
      <c r="F1946" s="2">
        <v>4</v>
      </c>
      <c r="G1946" s="2" t="s">
        <v>1069</v>
      </c>
    </row>
    <row r="1947" spans="1:7" x14ac:dyDescent="0.2">
      <c r="A1947" s="2" t="s">
        <v>2673</v>
      </c>
      <c r="B1947" s="2" t="s">
        <v>2726</v>
      </c>
      <c r="C1947" s="2" t="s">
        <v>2727</v>
      </c>
      <c r="D1947" s="2" t="s">
        <v>10</v>
      </c>
      <c r="E1947" s="2" t="s">
        <v>11</v>
      </c>
      <c r="F1947" s="2">
        <v>4</v>
      </c>
      <c r="G1947" s="2" t="s">
        <v>1069</v>
      </c>
    </row>
    <row r="1948" spans="1:7" x14ac:dyDescent="0.2">
      <c r="A1948" s="2" t="s">
        <v>2673</v>
      </c>
      <c r="B1948" s="2" t="s">
        <v>2728</v>
      </c>
      <c r="C1948" s="2" t="s">
        <v>2729</v>
      </c>
      <c r="D1948" s="2" t="s">
        <v>10</v>
      </c>
      <c r="E1948" s="2" t="s">
        <v>11</v>
      </c>
      <c r="F1948" s="2">
        <v>2</v>
      </c>
      <c r="G1948" s="2" t="s">
        <v>12</v>
      </c>
    </row>
    <row r="1949" spans="1:7" x14ac:dyDescent="0.2">
      <c r="A1949" s="2" t="s">
        <v>2673</v>
      </c>
      <c r="B1949" s="2" t="s">
        <v>2730</v>
      </c>
      <c r="C1949" s="2" t="s">
        <v>2731</v>
      </c>
      <c r="D1949" s="2" t="s">
        <v>10</v>
      </c>
      <c r="E1949" s="2" t="s">
        <v>11</v>
      </c>
      <c r="F1949" s="2">
        <v>2</v>
      </c>
      <c r="G1949" s="2" t="s">
        <v>12</v>
      </c>
    </row>
    <row r="1950" spans="1:7" x14ac:dyDescent="0.2">
      <c r="A1950" s="2" t="s">
        <v>2673</v>
      </c>
      <c r="B1950" s="2" t="s">
        <v>2732</v>
      </c>
      <c r="C1950" s="2" t="s">
        <v>2733</v>
      </c>
      <c r="D1950" s="2" t="s">
        <v>10</v>
      </c>
      <c r="E1950" s="2" t="s">
        <v>11</v>
      </c>
      <c r="F1950" s="2">
        <v>2</v>
      </c>
      <c r="G1950" s="2" t="s">
        <v>1069</v>
      </c>
    </row>
    <row r="1951" spans="1:7" x14ac:dyDescent="0.2">
      <c r="A1951" s="2" t="s">
        <v>2673</v>
      </c>
      <c r="B1951" s="2" t="s">
        <v>2734</v>
      </c>
      <c r="C1951" s="2" t="s">
        <v>2735</v>
      </c>
      <c r="D1951" s="2" t="s">
        <v>10</v>
      </c>
      <c r="E1951" s="2" t="s">
        <v>11</v>
      </c>
      <c r="F1951" s="2">
        <v>2</v>
      </c>
      <c r="G1951" s="2" t="s">
        <v>1069</v>
      </c>
    </row>
    <row r="1952" spans="1:7" x14ac:dyDescent="0.2">
      <c r="A1952" s="2" t="s">
        <v>2673</v>
      </c>
      <c r="B1952" s="2" t="s">
        <v>2736</v>
      </c>
      <c r="C1952" s="2" t="s">
        <v>2737</v>
      </c>
      <c r="D1952" s="2" t="s">
        <v>10</v>
      </c>
      <c r="E1952" s="2" t="s">
        <v>11</v>
      </c>
      <c r="F1952" s="2">
        <v>2</v>
      </c>
      <c r="G1952" s="2" t="s">
        <v>1069</v>
      </c>
    </row>
    <row r="1953" spans="1:7" x14ac:dyDescent="0.2">
      <c r="A1953" s="2" t="s">
        <v>2673</v>
      </c>
      <c r="B1953" s="2" t="s">
        <v>2738</v>
      </c>
      <c r="C1953" s="2" t="s">
        <v>2739</v>
      </c>
      <c r="D1953" s="2" t="s">
        <v>10</v>
      </c>
      <c r="E1953" s="2" t="s">
        <v>11</v>
      </c>
      <c r="F1953" s="2">
        <v>2</v>
      </c>
      <c r="G1953" s="2" t="s">
        <v>1069</v>
      </c>
    </row>
    <row r="1954" spans="1:7" x14ac:dyDescent="0.2">
      <c r="A1954" s="2" t="s">
        <v>2673</v>
      </c>
      <c r="B1954" s="2" t="s">
        <v>2740</v>
      </c>
      <c r="C1954" s="2" t="s">
        <v>2739</v>
      </c>
      <c r="D1954" s="2" t="s">
        <v>10</v>
      </c>
      <c r="E1954" s="2" t="s">
        <v>11</v>
      </c>
      <c r="F1954" s="2">
        <v>2</v>
      </c>
      <c r="G1954" s="2" t="s">
        <v>1069</v>
      </c>
    </row>
    <row r="1955" spans="1:7" x14ac:dyDescent="0.2">
      <c r="A1955" s="2" t="s">
        <v>2673</v>
      </c>
      <c r="B1955" s="2" t="s">
        <v>2741</v>
      </c>
      <c r="C1955" s="2" t="s">
        <v>2742</v>
      </c>
      <c r="D1955" s="2" t="s">
        <v>10</v>
      </c>
      <c r="E1955" s="2" t="s">
        <v>11</v>
      </c>
      <c r="F1955" s="2">
        <v>2</v>
      </c>
      <c r="G1955" s="2" t="s">
        <v>1069</v>
      </c>
    </row>
    <row r="1956" spans="1:7" x14ac:dyDescent="0.2">
      <c r="A1956" s="2" t="s">
        <v>2673</v>
      </c>
      <c r="B1956" s="2" t="s">
        <v>2743</v>
      </c>
      <c r="C1956" s="2" t="s">
        <v>2744</v>
      </c>
      <c r="D1956" s="2" t="s">
        <v>10</v>
      </c>
      <c r="E1956" s="2" t="s">
        <v>11</v>
      </c>
      <c r="F1956" s="2">
        <v>2</v>
      </c>
      <c r="G1956" s="2" t="s">
        <v>1069</v>
      </c>
    </row>
    <row r="1957" spans="1:7" x14ac:dyDescent="0.2">
      <c r="A1957" s="2" t="s">
        <v>2673</v>
      </c>
      <c r="B1957" s="2" t="s">
        <v>2745</v>
      </c>
      <c r="C1957" s="2" t="s">
        <v>2746</v>
      </c>
      <c r="D1957" s="2" t="s">
        <v>10</v>
      </c>
      <c r="E1957" s="2" t="s">
        <v>11</v>
      </c>
      <c r="F1957" s="2">
        <v>2</v>
      </c>
      <c r="G1957" s="2" t="s">
        <v>1069</v>
      </c>
    </row>
    <row r="1958" spans="1:7" x14ac:dyDescent="0.2">
      <c r="A1958" s="2" t="s">
        <v>2673</v>
      </c>
      <c r="B1958" s="2" t="s">
        <v>2747</v>
      </c>
      <c r="C1958" s="2" t="s">
        <v>2748</v>
      </c>
      <c r="D1958" s="2" t="s">
        <v>10</v>
      </c>
      <c r="E1958" s="2" t="s">
        <v>11</v>
      </c>
      <c r="F1958" s="2">
        <v>2</v>
      </c>
      <c r="G1958" s="2" t="s">
        <v>1069</v>
      </c>
    </row>
    <row r="1959" spans="1:7" x14ac:dyDescent="0.2">
      <c r="A1959" s="2" t="s">
        <v>2673</v>
      </c>
      <c r="B1959" s="2" t="s">
        <v>2749</v>
      </c>
      <c r="C1959" s="2" t="s">
        <v>2750</v>
      </c>
      <c r="D1959" s="2" t="s">
        <v>10</v>
      </c>
      <c r="E1959" s="2" t="s">
        <v>11</v>
      </c>
      <c r="F1959" s="2">
        <v>2</v>
      </c>
      <c r="G1959" s="2" t="s">
        <v>1069</v>
      </c>
    </row>
    <row r="1960" spans="1:7" x14ac:dyDescent="0.2">
      <c r="A1960" s="2" t="s">
        <v>2673</v>
      </c>
      <c r="B1960" s="2" t="s">
        <v>2751</v>
      </c>
      <c r="C1960" s="2" t="s">
        <v>2752</v>
      </c>
      <c r="D1960" s="2" t="s">
        <v>56</v>
      </c>
      <c r="E1960" s="2" t="s">
        <v>52</v>
      </c>
      <c r="F1960" s="2">
        <v>2</v>
      </c>
      <c r="G1960" s="2" t="s">
        <v>12</v>
      </c>
    </row>
    <row r="1961" spans="1:7" x14ac:dyDescent="0.2">
      <c r="A1961" s="2" t="s">
        <v>2673</v>
      </c>
      <c r="B1961" s="2" t="s">
        <v>1388</v>
      </c>
      <c r="C1961" s="2" t="s">
        <v>1389</v>
      </c>
      <c r="D1961" s="2" t="s">
        <v>10</v>
      </c>
      <c r="E1961" s="2" t="s">
        <v>11</v>
      </c>
      <c r="F1961" s="2">
        <v>1</v>
      </c>
      <c r="G1961" s="2" t="s">
        <v>12</v>
      </c>
    </row>
    <row r="1962" spans="1:7" x14ac:dyDescent="0.2">
      <c r="A1962" s="2" t="s">
        <v>2673</v>
      </c>
      <c r="B1962" s="2" t="s">
        <v>2753</v>
      </c>
      <c r="C1962" s="2" t="s">
        <v>2754</v>
      </c>
      <c r="D1962" s="2" t="s">
        <v>10</v>
      </c>
      <c r="E1962" s="2" t="s">
        <v>16</v>
      </c>
      <c r="F1962" s="2">
        <v>4</v>
      </c>
      <c r="G1962" s="2" t="s">
        <v>12</v>
      </c>
    </row>
    <row r="1963" spans="1:7" x14ac:dyDescent="0.2">
      <c r="A1963" s="2" t="s">
        <v>2673</v>
      </c>
      <c r="B1963" s="2" t="s">
        <v>2755</v>
      </c>
      <c r="C1963" s="2" t="s">
        <v>2756</v>
      </c>
      <c r="D1963" s="2" t="s">
        <v>10</v>
      </c>
      <c r="E1963" s="2" t="s">
        <v>16</v>
      </c>
      <c r="F1963" s="2">
        <v>4</v>
      </c>
      <c r="G1963" s="2" t="s">
        <v>12</v>
      </c>
    </row>
    <row r="1964" spans="1:7" x14ac:dyDescent="0.2">
      <c r="A1964" s="2" t="s">
        <v>2673</v>
      </c>
      <c r="B1964" s="2" t="s">
        <v>2757</v>
      </c>
      <c r="C1964" s="2" t="s">
        <v>2758</v>
      </c>
      <c r="D1964" s="2" t="s">
        <v>10</v>
      </c>
      <c r="E1964" s="2" t="s">
        <v>11</v>
      </c>
      <c r="F1964" s="2">
        <v>8</v>
      </c>
      <c r="G1964" s="2" t="s">
        <v>1069</v>
      </c>
    </row>
    <row r="1965" spans="1:7" x14ac:dyDescent="0.2">
      <c r="A1965" s="2" t="s">
        <v>2673</v>
      </c>
      <c r="B1965" s="2" t="s">
        <v>2759</v>
      </c>
      <c r="C1965" s="2" t="s">
        <v>2711</v>
      </c>
      <c r="D1965" s="2" t="s">
        <v>10</v>
      </c>
      <c r="E1965" s="2" t="s">
        <v>11</v>
      </c>
      <c r="F1965" s="2">
        <v>2</v>
      </c>
      <c r="G1965" s="2" t="s">
        <v>12</v>
      </c>
    </row>
    <row r="1966" spans="1:7" x14ac:dyDescent="0.2">
      <c r="A1966" s="2" t="s">
        <v>2673</v>
      </c>
      <c r="B1966" s="2" t="s">
        <v>2760</v>
      </c>
      <c r="C1966" s="2" t="s">
        <v>2714</v>
      </c>
      <c r="D1966" s="2" t="s">
        <v>10</v>
      </c>
      <c r="E1966" s="2" t="s">
        <v>11</v>
      </c>
      <c r="F1966" s="2">
        <v>2</v>
      </c>
      <c r="G1966" s="2" t="s">
        <v>12</v>
      </c>
    </row>
    <row r="1967" spans="1:7" x14ac:dyDescent="0.2">
      <c r="A1967" s="2" t="s">
        <v>2673</v>
      </c>
      <c r="B1967" s="2" t="s">
        <v>2761</v>
      </c>
      <c r="C1967" s="2" t="s">
        <v>2681</v>
      </c>
      <c r="D1967" s="2" t="s">
        <v>10</v>
      </c>
      <c r="E1967" s="2" t="s">
        <v>11</v>
      </c>
      <c r="F1967" s="2">
        <v>2</v>
      </c>
      <c r="G1967" s="2" t="s">
        <v>12</v>
      </c>
    </row>
    <row r="1968" spans="1:7" x14ac:dyDescent="0.2">
      <c r="A1968" s="2" t="s">
        <v>2673</v>
      </c>
      <c r="B1968" s="2" t="s">
        <v>2762</v>
      </c>
      <c r="C1968" s="2" t="s">
        <v>2763</v>
      </c>
      <c r="D1968" s="2" t="s">
        <v>10</v>
      </c>
      <c r="E1968" s="2" t="s">
        <v>11</v>
      </c>
      <c r="F1968" s="2">
        <v>4</v>
      </c>
      <c r="G1968" s="2" t="s">
        <v>1069</v>
      </c>
    </row>
    <row r="1969" spans="1:7" x14ac:dyDescent="0.2">
      <c r="A1969" s="2" t="s">
        <v>2673</v>
      </c>
      <c r="B1969" s="2" t="s">
        <v>2764</v>
      </c>
      <c r="C1969" s="2" t="s">
        <v>2679</v>
      </c>
      <c r="D1969" s="2" t="s">
        <v>10</v>
      </c>
      <c r="E1969" s="2" t="s">
        <v>11</v>
      </c>
      <c r="F1969" s="2">
        <v>4</v>
      </c>
      <c r="G1969" s="2" t="s">
        <v>1069</v>
      </c>
    </row>
    <row r="1970" spans="1:7" x14ac:dyDescent="0.2">
      <c r="A1970" s="2" t="s">
        <v>2673</v>
      </c>
      <c r="B1970" s="2" t="s">
        <v>2765</v>
      </c>
      <c r="C1970" s="2" t="s">
        <v>2685</v>
      </c>
      <c r="D1970" s="2" t="s">
        <v>10</v>
      </c>
      <c r="E1970" s="2" t="s">
        <v>11</v>
      </c>
      <c r="F1970" s="2">
        <v>3</v>
      </c>
      <c r="G1970" s="2" t="s">
        <v>12</v>
      </c>
    </row>
    <row r="1971" spans="1:7" x14ac:dyDescent="0.2">
      <c r="A1971" s="2" t="s">
        <v>2673</v>
      </c>
      <c r="B1971" s="2" t="s">
        <v>2766</v>
      </c>
      <c r="C1971" s="2" t="s">
        <v>2729</v>
      </c>
      <c r="D1971" s="2" t="s">
        <v>10</v>
      </c>
      <c r="E1971" s="2" t="s">
        <v>11</v>
      </c>
      <c r="F1971" s="2">
        <v>2</v>
      </c>
      <c r="G1971" s="2" t="s">
        <v>12</v>
      </c>
    </row>
    <row r="1972" spans="1:7" x14ac:dyDescent="0.2">
      <c r="A1972" s="2" t="s">
        <v>2673</v>
      </c>
      <c r="B1972" s="2" t="s">
        <v>2767</v>
      </c>
      <c r="C1972" s="2" t="s">
        <v>2706</v>
      </c>
      <c r="D1972" s="2" t="s">
        <v>10</v>
      </c>
      <c r="E1972" s="2" t="s">
        <v>11</v>
      </c>
      <c r="F1972" s="2">
        <v>2</v>
      </c>
      <c r="G1972" s="2" t="s">
        <v>12</v>
      </c>
    </row>
    <row r="1973" spans="1:7" x14ac:dyDescent="0.2">
      <c r="A1973" s="2" t="s">
        <v>2673</v>
      </c>
      <c r="B1973" s="2" t="s">
        <v>2768</v>
      </c>
      <c r="C1973" s="2" t="s">
        <v>2706</v>
      </c>
      <c r="D1973" s="2" t="s">
        <v>10</v>
      </c>
      <c r="E1973" s="2" t="s">
        <v>11</v>
      </c>
      <c r="F1973" s="2">
        <v>2</v>
      </c>
      <c r="G1973" s="2" t="s">
        <v>12</v>
      </c>
    </row>
    <row r="1974" spans="1:7" x14ac:dyDescent="0.2">
      <c r="A1974" s="2" t="s">
        <v>2673</v>
      </c>
      <c r="B1974" s="2" t="s">
        <v>2769</v>
      </c>
      <c r="C1974" s="2" t="s">
        <v>2770</v>
      </c>
      <c r="D1974" s="2" t="s">
        <v>10</v>
      </c>
      <c r="E1974" s="2" t="s">
        <v>16</v>
      </c>
      <c r="F1974" s="2">
        <v>4</v>
      </c>
      <c r="G1974" s="2" t="s">
        <v>12</v>
      </c>
    </row>
    <row r="1975" spans="1:7" x14ac:dyDescent="0.2">
      <c r="A1975" s="2" t="s">
        <v>2673</v>
      </c>
      <c r="B1975" s="2" t="s">
        <v>2771</v>
      </c>
      <c r="C1975" s="2" t="s">
        <v>2772</v>
      </c>
      <c r="D1975" s="2" t="s">
        <v>10</v>
      </c>
      <c r="E1975" s="2" t="s">
        <v>11</v>
      </c>
      <c r="F1975" s="2">
        <v>4</v>
      </c>
      <c r="G1975" s="2" t="s">
        <v>1069</v>
      </c>
    </row>
    <row r="1976" spans="1:7" x14ac:dyDescent="0.2">
      <c r="A1976" s="2" t="s">
        <v>2673</v>
      </c>
      <c r="B1976" s="2" t="s">
        <v>2773</v>
      </c>
      <c r="C1976" s="2" t="s">
        <v>2679</v>
      </c>
      <c r="D1976" s="2" t="s">
        <v>10</v>
      </c>
      <c r="E1976" s="2" t="s">
        <v>11</v>
      </c>
      <c r="F1976" s="2">
        <v>4</v>
      </c>
      <c r="G1976" s="2" t="s">
        <v>1069</v>
      </c>
    </row>
    <row r="1977" spans="1:7" x14ac:dyDescent="0.2">
      <c r="A1977" s="2" t="s">
        <v>2673</v>
      </c>
      <c r="B1977" s="2" t="s">
        <v>2774</v>
      </c>
      <c r="C1977" s="2" t="s">
        <v>875</v>
      </c>
      <c r="D1977" s="2" t="s">
        <v>56</v>
      </c>
      <c r="E1977" s="2" t="s">
        <v>52</v>
      </c>
      <c r="F1977" s="2">
        <v>2</v>
      </c>
      <c r="G1977" s="2" t="s">
        <v>12</v>
      </c>
    </row>
    <row r="1978" spans="1:7" x14ac:dyDescent="0.2">
      <c r="A1978" s="2" t="s">
        <v>2673</v>
      </c>
      <c r="B1978" s="2" t="s">
        <v>876</v>
      </c>
      <c r="C1978" s="2" t="s">
        <v>875</v>
      </c>
      <c r="D1978" s="2" t="s">
        <v>56</v>
      </c>
      <c r="E1978" s="2" t="s">
        <v>52</v>
      </c>
      <c r="F1978" s="2">
        <v>2</v>
      </c>
      <c r="G1978" s="2" t="s">
        <v>12</v>
      </c>
    </row>
    <row r="1979" spans="1:7" x14ac:dyDescent="0.2">
      <c r="A1979" s="2" t="s">
        <v>2673</v>
      </c>
      <c r="B1979" s="2" t="s">
        <v>2775</v>
      </c>
      <c r="C1979" s="2" t="s">
        <v>2706</v>
      </c>
      <c r="D1979" s="2" t="s">
        <v>10</v>
      </c>
      <c r="E1979" s="2" t="s">
        <v>11</v>
      </c>
      <c r="F1979" s="2">
        <v>2</v>
      </c>
      <c r="G1979" s="2" t="s">
        <v>12</v>
      </c>
    </row>
    <row r="1980" spans="1:7" x14ac:dyDescent="0.2">
      <c r="A1980" s="2" t="s">
        <v>2673</v>
      </c>
      <c r="B1980" s="2" t="s">
        <v>2776</v>
      </c>
      <c r="C1980" s="2" t="s">
        <v>2695</v>
      </c>
      <c r="D1980" s="2" t="s">
        <v>10</v>
      </c>
      <c r="E1980" s="2" t="s">
        <v>11</v>
      </c>
      <c r="F1980" s="2">
        <v>2</v>
      </c>
      <c r="G1980" s="2" t="s">
        <v>12</v>
      </c>
    </row>
    <row r="1981" spans="1:7" x14ac:dyDescent="0.2">
      <c r="A1981" s="2" t="s">
        <v>2673</v>
      </c>
      <c r="B1981" s="2" t="s">
        <v>488</v>
      </c>
      <c r="C1981" s="2" t="s">
        <v>828</v>
      </c>
      <c r="D1981" s="2" t="s">
        <v>56</v>
      </c>
      <c r="E1981" s="2" t="s">
        <v>52</v>
      </c>
      <c r="F1981" s="2">
        <v>1</v>
      </c>
      <c r="G1981" s="2" t="s">
        <v>17</v>
      </c>
    </row>
    <row r="1982" spans="1:7" x14ac:dyDescent="0.2">
      <c r="A1982" s="2" t="s">
        <v>2673</v>
      </c>
      <c r="B1982" s="2" t="s">
        <v>2777</v>
      </c>
      <c r="C1982" s="2" t="s">
        <v>2742</v>
      </c>
      <c r="D1982" s="2" t="s">
        <v>10</v>
      </c>
      <c r="E1982" s="2" t="s">
        <v>11</v>
      </c>
      <c r="F1982" s="2">
        <v>2</v>
      </c>
      <c r="G1982" s="2" t="s">
        <v>1069</v>
      </c>
    </row>
    <row r="1983" spans="1:7" x14ac:dyDescent="0.2">
      <c r="A1983" s="2" t="s">
        <v>2673</v>
      </c>
      <c r="B1983" s="2" t="s">
        <v>2778</v>
      </c>
      <c r="C1983" s="2" t="s">
        <v>2779</v>
      </c>
      <c r="D1983" s="2" t="s">
        <v>10</v>
      </c>
      <c r="E1983" s="2" t="s">
        <v>11</v>
      </c>
      <c r="F1983" s="2">
        <v>4</v>
      </c>
      <c r="G1983" s="2" t="s">
        <v>1069</v>
      </c>
    </row>
    <row r="1984" spans="1:7" x14ac:dyDescent="0.2">
      <c r="A1984" s="2" t="s">
        <v>2673</v>
      </c>
      <c r="B1984" s="2" t="s">
        <v>2780</v>
      </c>
      <c r="C1984" s="2" t="s">
        <v>2781</v>
      </c>
      <c r="D1984" s="2" t="s">
        <v>10</v>
      </c>
      <c r="E1984" s="2" t="s">
        <v>11</v>
      </c>
      <c r="F1984" s="2">
        <v>4</v>
      </c>
      <c r="G1984" s="2" t="s">
        <v>1069</v>
      </c>
    </row>
    <row r="1985" spans="1:7" x14ac:dyDescent="0.2">
      <c r="A1985" s="2" t="s">
        <v>2673</v>
      </c>
      <c r="B1985" s="2" t="s">
        <v>2782</v>
      </c>
      <c r="C1985" s="2" t="s">
        <v>2723</v>
      </c>
      <c r="D1985" s="2" t="s">
        <v>10</v>
      </c>
      <c r="E1985" s="2" t="s">
        <v>11</v>
      </c>
      <c r="F1985" s="2">
        <v>4</v>
      </c>
      <c r="G1985" s="2" t="s">
        <v>1069</v>
      </c>
    </row>
    <row r="1986" spans="1:7" x14ac:dyDescent="0.2">
      <c r="A1986" s="2" t="s">
        <v>2673</v>
      </c>
      <c r="B1986" s="2" t="s">
        <v>2783</v>
      </c>
      <c r="C1986" s="2" t="s">
        <v>2748</v>
      </c>
      <c r="D1986" s="2" t="s">
        <v>10</v>
      </c>
      <c r="E1986" s="2" t="s">
        <v>11</v>
      </c>
      <c r="F1986" s="2">
        <v>2</v>
      </c>
      <c r="G1986" s="2" t="s">
        <v>1069</v>
      </c>
    </row>
    <row r="1987" spans="1:7" x14ac:dyDescent="0.2">
      <c r="A1987" s="2" t="s">
        <v>2673</v>
      </c>
      <c r="B1987" s="2" t="s">
        <v>2784</v>
      </c>
      <c r="C1987" s="2" t="s">
        <v>2750</v>
      </c>
      <c r="D1987" s="2" t="s">
        <v>10</v>
      </c>
      <c r="E1987" s="2" t="s">
        <v>11</v>
      </c>
      <c r="F1987" s="2">
        <v>2</v>
      </c>
      <c r="G1987" s="2" t="s">
        <v>1069</v>
      </c>
    </row>
    <row r="1988" spans="1:7" x14ac:dyDescent="0.2">
      <c r="A1988" s="2" t="s">
        <v>2673</v>
      </c>
      <c r="B1988" s="2" t="s">
        <v>2785</v>
      </c>
      <c r="C1988" s="2" t="s">
        <v>2786</v>
      </c>
      <c r="D1988" s="2" t="s">
        <v>10</v>
      </c>
      <c r="E1988" s="2" t="s">
        <v>11</v>
      </c>
      <c r="F1988" s="2">
        <v>4</v>
      </c>
      <c r="G1988" s="2" t="s">
        <v>1069</v>
      </c>
    </row>
    <row r="1989" spans="1:7" x14ac:dyDescent="0.2">
      <c r="A1989" s="2" t="s">
        <v>2673</v>
      </c>
      <c r="B1989" s="2" t="s">
        <v>2787</v>
      </c>
      <c r="C1989" s="2" t="s">
        <v>2788</v>
      </c>
      <c r="D1989" s="2" t="s">
        <v>10</v>
      </c>
      <c r="E1989" s="2" t="s">
        <v>11</v>
      </c>
      <c r="F1989" s="2">
        <v>4</v>
      </c>
      <c r="G1989" s="2" t="s">
        <v>1069</v>
      </c>
    </row>
    <row r="1990" spans="1:7" x14ac:dyDescent="0.2">
      <c r="A1990" s="2" t="s">
        <v>2673</v>
      </c>
      <c r="B1990" s="2" t="s">
        <v>2789</v>
      </c>
      <c r="C1990" s="2" t="s">
        <v>2788</v>
      </c>
      <c r="D1990" s="2" t="s">
        <v>10</v>
      </c>
      <c r="E1990" s="2" t="s">
        <v>11</v>
      </c>
      <c r="F1990" s="2">
        <v>4</v>
      </c>
      <c r="G1990" s="2" t="s">
        <v>1069</v>
      </c>
    </row>
    <row r="1991" spans="1:7" x14ac:dyDescent="0.2">
      <c r="A1991" s="2" t="s">
        <v>2673</v>
      </c>
      <c r="B1991" s="2" t="s">
        <v>2790</v>
      </c>
      <c r="C1991" s="2" t="s">
        <v>2788</v>
      </c>
      <c r="D1991" s="2" t="s">
        <v>10</v>
      </c>
      <c r="E1991" s="2" t="s">
        <v>11</v>
      </c>
      <c r="F1991" s="2">
        <v>4</v>
      </c>
      <c r="G1991" s="2" t="s">
        <v>1069</v>
      </c>
    </row>
    <row r="1992" spans="1:7" x14ac:dyDescent="0.2">
      <c r="A1992" s="2" t="s">
        <v>2673</v>
      </c>
      <c r="B1992" s="2" t="s">
        <v>2791</v>
      </c>
      <c r="C1992" s="2" t="s">
        <v>2786</v>
      </c>
      <c r="D1992" s="2" t="s">
        <v>10</v>
      </c>
      <c r="E1992" s="2" t="s">
        <v>11</v>
      </c>
      <c r="F1992" s="2">
        <v>4</v>
      </c>
      <c r="G1992" s="2" t="s">
        <v>1069</v>
      </c>
    </row>
    <row r="1993" spans="1:7" x14ac:dyDescent="0.2">
      <c r="A1993" s="2" t="s">
        <v>2673</v>
      </c>
      <c r="B1993" s="2" t="s">
        <v>2792</v>
      </c>
      <c r="C1993" s="2" t="s">
        <v>2786</v>
      </c>
      <c r="D1993" s="2" t="s">
        <v>10</v>
      </c>
      <c r="E1993" s="2" t="s">
        <v>11</v>
      </c>
      <c r="F1993" s="2">
        <v>4</v>
      </c>
      <c r="G1993" s="2" t="s">
        <v>1069</v>
      </c>
    </row>
    <row r="1994" spans="1:7" x14ac:dyDescent="0.2">
      <c r="A1994" s="2" t="s">
        <v>2673</v>
      </c>
      <c r="B1994" s="2" t="s">
        <v>2793</v>
      </c>
      <c r="C1994" s="2" t="s">
        <v>2719</v>
      </c>
      <c r="D1994" s="2" t="s">
        <v>10</v>
      </c>
      <c r="E1994" s="2" t="s">
        <v>11</v>
      </c>
      <c r="F1994" s="2">
        <v>4</v>
      </c>
      <c r="G1994" s="2" t="s">
        <v>1069</v>
      </c>
    </row>
    <row r="1995" spans="1:7" x14ac:dyDescent="0.2">
      <c r="A1995" s="2" t="s">
        <v>2673</v>
      </c>
      <c r="B1995" s="2" t="s">
        <v>2794</v>
      </c>
      <c r="C1995" s="2" t="s">
        <v>2795</v>
      </c>
      <c r="D1995" s="2" t="s">
        <v>10</v>
      </c>
      <c r="E1995" s="2" t="s">
        <v>11</v>
      </c>
      <c r="F1995" s="2">
        <v>4</v>
      </c>
      <c r="G1995" s="2" t="s">
        <v>1069</v>
      </c>
    </row>
    <row r="1996" spans="1:7" x14ac:dyDescent="0.2">
      <c r="A1996" s="2" t="s">
        <v>2673</v>
      </c>
      <c r="B1996" s="2" t="s">
        <v>2796</v>
      </c>
      <c r="C1996" s="2" t="s">
        <v>2679</v>
      </c>
      <c r="D1996" s="2" t="s">
        <v>10</v>
      </c>
      <c r="E1996" s="2" t="s">
        <v>11</v>
      </c>
      <c r="F1996" s="2">
        <v>4</v>
      </c>
      <c r="G1996" s="2" t="s">
        <v>1069</v>
      </c>
    </row>
    <row r="1997" spans="1:7" x14ac:dyDescent="0.2">
      <c r="A1997" s="2" t="s">
        <v>2673</v>
      </c>
      <c r="B1997" s="2" t="s">
        <v>2797</v>
      </c>
      <c r="C1997" s="2" t="s">
        <v>2798</v>
      </c>
      <c r="D1997" s="2" t="s">
        <v>10</v>
      </c>
      <c r="E1997" s="2" t="s">
        <v>11</v>
      </c>
      <c r="F1997" s="2">
        <v>2</v>
      </c>
      <c r="G1997" s="2" t="s">
        <v>1069</v>
      </c>
    </row>
    <row r="1998" spans="1:7" x14ac:dyDescent="0.2">
      <c r="A1998" s="2" t="s">
        <v>2673</v>
      </c>
      <c r="B1998" s="2" t="s">
        <v>1925</v>
      </c>
      <c r="C1998" s="2" t="s">
        <v>2799</v>
      </c>
      <c r="D1998" s="2" t="s">
        <v>10</v>
      </c>
      <c r="E1998" s="2" t="s">
        <v>11</v>
      </c>
      <c r="F1998" s="2">
        <v>2</v>
      </c>
      <c r="G1998" s="2" t="s">
        <v>12</v>
      </c>
    </row>
    <row r="1999" spans="1:7" x14ac:dyDescent="0.2">
      <c r="A1999" s="2" t="s">
        <v>2673</v>
      </c>
      <c r="B1999" s="2" t="s">
        <v>2800</v>
      </c>
      <c r="C1999" s="2" t="s">
        <v>2679</v>
      </c>
      <c r="D1999" s="2" t="s">
        <v>10</v>
      </c>
      <c r="E1999" s="2" t="s">
        <v>11</v>
      </c>
      <c r="F1999" s="2">
        <v>4</v>
      </c>
      <c r="G1999" s="2" t="s">
        <v>1069</v>
      </c>
    </row>
    <row r="2000" spans="1:7" x14ac:dyDescent="0.2">
      <c r="A2000" s="2" t="s">
        <v>2673</v>
      </c>
      <c r="B2000" s="2" t="s">
        <v>2801</v>
      </c>
      <c r="C2000" s="2" t="s">
        <v>2679</v>
      </c>
      <c r="D2000" s="2" t="s">
        <v>10</v>
      </c>
      <c r="E2000" s="2" t="s">
        <v>11</v>
      </c>
      <c r="F2000" s="2">
        <v>4</v>
      </c>
      <c r="G2000" s="2" t="s">
        <v>1069</v>
      </c>
    </row>
    <row r="2001" spans="1:7" x14ac:dyDescent="0.2">
      <c r="A2001" s="2" t="s">
        <v>2673</v>
      </c>
      <c r="B2001" s="2" t="s">
        <v>2802</v>
      </c>
      <c r="C2001" s="2" t="s">
        <v>2803</v>
      </c>
      <c r="D2001" s="2" t="s">
        <v>56</v>
      </c>
      <c r="E2001" s="2" t="s">
        <v>52</v>
      </c>
      <c r="F2001" s="2">
        <v>2</v>
      </c>
      <c r="G2001" s="2" t="s">
        <v>17</v>
      </c>
    </row>
    <row r="2002" spans="1:7" x14ac:dyDescent="0.2">
      <c r="A2002" s="2" t="s">
        <v>2673</v>
      </c>
      <c r="B2002" s="2" t="s">
        <v>2804</v>
      </c>
      <c r="C2002" s="2" t="s">
        <v>2799</v>
      </c>
      <c r="D2002" s="2" t="s">
        <v>10</v>
      </c>
      <c r="E2002" s="2" t="s">
        <v>11</v>
      </c>
      <c r="F2002" s="2">
        <v>2</v>
      </c>
      <c r="G2002" s="2" t="s">
        <v>12</v>
      </c>
    </row>
    <row r="2003" spans="1:7" x14ac:dyDescent="0.2">
      <c r="A2003" s="2" t="s">
        <v>2673</v>
      </c>
      <c r="B2003" s="2" t="s">
        <v>2805</v>
      </c>
      <c r="C2003" s="2" t="s">
        <v>2799</v>
      </c>
      <c r="D2003" s="2" t="s">
        <v>10</v>
      </c>
      <c r="E2003" s="2" t="s">
        <v>11</v>
      </c>
      <c r="F2003" s="2">
        <v>2</v>
      </c>
      <c r="G2003" s="2" t="s">
        <v>12</v>
      </c>
    </row>
    <row r="2004" spans="1:7" x14ac:dyDescent="0.2">
      <c r="A2004" s="2" t="s">
        <v>2673</v>
      </c>
      <c r="B2004" s="2" t="s">
        <v>2806</v>
      </c>
      <c r="C2004" s="2" t="s">
        <v>2754</v>
      </c>
      <c r="D2004" s="2" t="s">
        <v>10</v>
      </c>
      <c r="E2004" s="2" t="s">
        <v>16</v>
      </c>
      <c r="F2004" s="2">
        <v>4</v>
      </c>
      <c r="G2004" s="2" t="s">
        <v>12</v>
      </c>
    </row>
    <row r="2005" spans="1:7" x14ac:dyDescent="0.2">
      <c r="A2005" s="2" t="s">
        <v>2673</v>
      </c>
      <c r="B2005" s="2" t="s">
        <v>2807</v>
      </c>
      <c r="C2005" s="2" t="s">
        <v>2763</v>
      </c>
      <c r="D2005" s="2" t="s">
        <v>10</v>
      </c>
      <c r="E2005" s="2" t="s">
        <v>11</v>
      </c>
      <c r="F2005" s="2">
        <v>4</v>
      </c>
      <c r="G2005" s="2" t="s">
        <v>1069</v>
      </c>
    </row>
    <row r="2006" spans="1:7" x14ac:dyDescent="0.2">
      <c r="A2006" s="2" t="s">
        <v>2673</v>
      </c>
      <c r="B2006" s="2" t="s">
        <v>39</v>
      </c>
      <c r="C2006" s="2" t="s">
        <v>1734</v>
      </c>
      <c r="D2006" s="2" t="s">
        <v>10</v>
      </c>
      <c r="E2006" s="2" t="s">
        <v>11</v>
      </c>
      <c r="F2006" s="2">
        <v>2</v>
      </c>
      <c r="G2006" s="2" t="s">
        <v>12</v>
      </c>
    </row>
    <row r="2007" spans="1:7" x14ac:dyDescent="0.2">
      <c r="A2007" s="2" t="s">
        <v>2673</v>
      </c>
      <c r="B2007" s="2" t="s">
        <v>2808</v>
      </c>
      <c r="C2007" s="2" t="s">
        <v>1734</v>
      </c>
      <c r="D2007" s="2" t="s">
        <v>10</v>
      </c>
      <c r="E2007" s="2" t="s">
        <v>11</v>
      </c>
      <c r="F2007" s="2">
        <v>2</v>
      </c>
      <c r="G2007" s="2" t="s">
        <v>12</v>
      </c>
    </row>
    <row r="2008" spans="1:7" x14ac:dyDescent="0.2">
      <c r="A2008" s="2" t="s">
        <v>2673</v>
      </c>
      <c r="B2008" s="2" t="s">
        <v>2117</v>
      </c>
      <c r="C2008" s="2" t="s">
        <v>2116</v>
      </c>
      <c r="D2008" s="2" t="s">
        <v>10</v>
      </c>
      <c r="E2008" s="2" t="s">
        <v>11</v>
      </c>
      <c r="F2008" s="2">
        <v>1</v>
      </c>
      <c r="G2008" s="2" t="s">
        <v>12</v>
      </c>
    </row>
    <row r="2009" spans="1:7" x14ac:dyDescent="0.2">
      <c r="A2009" s="2" t="s">
        <v>2673</v>
      </c>
      <c r="B2009" s="2" t="s">
        <v>1395</v>
      </c>
      <c r="C2009" s="2" t="s">
        <v>1389</v>
      </c>
      <c r="D2009" s="2" t="s">
        <v>10</v>
      </c>
      <c r="E2009" s="2" t="s">
        <v>11</v>
      </c>
      <c r="F2009" s="2">
        <v>1</v>
      </c>
      <c r="G2009" s="2" t="s">
        <v>12</v>
      </c>
    </row>
    <row r="2010" spans="1:7" x14ac:dyDescent="0.2">
      <c r="A2010" s="2" t="s">
        <v>2673</v>
      </c>
      <c r="B2010" s="2" t="s">
        <v>2809</v>
      </c>
      <c r="C2010" s="2" t="s">
        <v>875</v>
      </c>
      <c r="D2010" s="2" t="s">
        <v>56</v>
      </c>
      <c r="E2010" s="2" t="s">
        <v>52</v>
      </c>
      <c r="F2010" s="2">
        <v>2</v>
      </c>
      <c r="G2010" s="2" t="s">
        <v>12</v>
      </c>
    </row>
    <row r="2011" spans="1:7" x14ac:dyDescent="0.2">
      <c r="A2011" s="2" t="s">
        <v>2673</v>
      </c>
      <c r="B2011" s="2" t="s">
        <v>2810</v>
      </c>
      <c r="C2011" s="2" t="s">
        <v>2788</v>
      </c>
      <c r="D2011" s="2" t="s">
        <v>10</v>
      </c>
      <c r="E2011" s="2" t="s">
        <v>11</v>
      </c>
      <c r="F2011" s="2">
        <v>4</v>
      </c>
      <c r="G2011" s="2" t="s">
        <v>1069</v>
      </c>
    </row>
    <row r="2012" spans="1:7" x14ac:dyDescent="0.2">
      <c r="A2012" s="2" t="s">
        <v>2673</v>
      </c>
      <c r="B2012" s="2" t="s">
        <v>2811</v>
      </c>
      <c r="C2012" s="2" t="s">
        <v>2679</v>
      </c>
      <c r="D2012" s="2" t="s">
        <v>10</v>
      </c>
      <c r="E2012" s="2" t="s">
        <v>11</v>
      </c>
      <c r="F2012" s="2">
        <v>4</v>
      </c>
      <c r="G2012" s="2" t="s">
        <v>1069</v>
      </c>
    </row>
    <row r="2013" spans="1:7" x14ac:dyDescent="0.2">
      <c r="A2013" s="2" t="s">
        <v>2673</v>
      </c>
      <c r="B2013" s="2" t="s">
        <v>2812</v>
      </c>
      <c r="C2013" s="2" t="s">
        <v>2675</v>
      </c>
      <c r="D2013" s="2" t="s">
        <v>10</v>
      </c>
      <c r="E2013" s="2" t="s">
        <v>16</v>
      </c>
      <c r="F2013" s="2">
        <v>1</v>
      </c>
      <c r="G2013" s="2" t="s">
        <v>17</v>
      </c>
    </row>
    <row r="2014" spans="1:7" x14ac:dyDescent="0.2">
      <c r="A2014" s="2" t="s">
        <v>2673</v>
      </c>
      <c r="B2014" s="2" t="s">
        <v>2813</v>
      </c>
      <c r="C2014" s="2" t="s">
        <v>2814</v>
      </c>
      <c r="D2014" s="2" t="s">
        <v>10</v>
      </c>
      <c r="E2014" s="2" t="s">
        <v>11</v>
      </c>
      <c r="F2014" s="2">
        <v>4</v>
      </c>
      <c r="G2014" s="2" t="s">
        <v>1069</v>
      </c>
    </row>
    <row r="2015" spans="1:7" x14ac:dyDescent="0.2">
      <c r="A2015" s="2" t="s">
        <v>2673</v>
      </c>
      <c r="B2015" s="2" t="s">
        <v>2815</v>
      </c>
      <c r="C2015" s="2" t="s">
        <v>2772</v>
      </c>
      <c r="D2015" s="2" t="s">
        <v>10</v>
      </c>
      <c r="E2015" s="2" t="s">
        <v>11</v>
      </c>
      <c r="F2015" s="2">
        <v>4</v>
      </c>
      <c r="G2015" s="2" t="s">
        <v>1069</v>
      </c>
    </row>
    <row r="2016" spans="1:7" x14ac:dyDescent="0.2">
      <c r="A2016" s="2" t="s">
        <v>2673</v>
      </c>
      <c r="B2016" s="2" t="s">
        <v>2816</v>
      </c>
      <c r="C2016" s="2" t="s">
        <v>2772</v>
      </c>
      <c r="D2016" s="2" t="s">
        <v>10</v>
      </c>
      <c r="E2016" s="2" t="s">
        <v>11</v>
      </c>
      <c r="F2016" s="2">
        <v>4</v>
      </c>
      <c r="G2016" s="2" t="s">
        <v>1069</v>
      </c>
    </row>
    <row r="2017" spans="1:7" x14ac:dyDescent="0.2">
      <c r="A2017" s="2" t="s">
        <v>2673</v>
      </c>
      <c r="B2017" s="2" t="s">
        <v>2817</v>
      </c>
      <c r="C2017" s="2" t="s">
        <v>2679</v>
      </c>
      <c r="D2017" s="2" t="s">
        <v>10</v>
      </c>
      <c r="E2017" s="2" t="s">
        <v>11</v>
      </c>
      <c r="F2017" s="2">
        <v>4</v>
      </c>
      <c r="G2017" s="2" t="s">
        <v>1069</v>
      </c>
    </row>
    <row r="2018" spans="1:7" x14ac:dyDescent="0.2">
      <c r="A2018" s="2" t="s">
        <v>2673</v>
      </c>
      <c r="B2018" s="2" t="s">
        <v>2818</v>
      </c>
      <c r="C2018" s="2" t="s">
        <v>2733</v>
      </c>
      <c r="D2018" s="2" t="s">
        <v>10</v>
      </c>
      <c r="E2018" s="2" t="s">
        <v>11</v>
      </c>
      <c r="F2018" s="2">
        <v>2</v>
      </c>
      <c r="G2018" s="2" t="s">
        <v>1069</v>
      </c>
    </row>
    <row r="2019" spans="1:7" x14ac:dyDescent="0.2">
      <c r="A2019" s="2" t="s">
        <v>2673</v>
      </c>
      <c r="B2019" s="2" t="s">
        <v>2819</v>
      </c>
      <c r="C2019" s="2" t="s">
        <v>2820</v>
      </c>
      <c r="D2019" s="2" t="s">
        <v>10</v>
      </c>
      <c r="E2019" s="2" t="s">
        <v>11</v>
      </c>
      <c r="F2019" s="2">
        <v>4</v>
      </c>
      <c r="G2019" s="2" t="s">
        <v>1069</v>
      </c>
    </row>
    <row r="2020" spans="1:7" x14ac:dyDescent="0.2">
      <c r="A2020" s="2" t="s">
        <v>2673</v>
      </c>
      <c r="B2020" s="2" t="s">
        <v>2821</v>
      </c>
      <c r="C2020" s="2" t="s">
        <v>828</v>
      </c>
      <c r="D2020" s="2" t="s">
        <v>56</v>
      </c>
      <c r="E2020" s="2" t="s">
        <v>52</v>
      </c>
      <c r="F2020" s="2">
        <v>1</v>
      </c>
      <c r="G2020" s="2" t="s">
        <v>17</v>
      </c>
    </row>
    <row r="2021" spans="1:7" x14ac:dyDescent="0.2">
      <c r="A2021" s="2" t="s">
        <v>2673</v>
      </c>
      <c r="B2021" s="2" t="s">
        <v>2822</v>
      </c>
      <c r="C2021" s="2" t="s">
        <v>2752</v>
      </c>
      <c r="D2021" s="2" t="s">
        <v>56</v>
      </c>
      <c r="E2021" s="2" t="s">
        <v>52</v>
      </c>
      <c r="F2021" s="2">
        <v>2</v>
      </c>
      <c r="G2021" s="2" t="s">
        <v>12</v>
      </c>
    </row>
    <row r="2022" spans="1:7" x14ac:dyDescent="0.2">
      <c r="A2022" s="2" t="s">
        <v>2673</v>
      </c>
      <c r="B2022" s="2" t="s">
        <v>2823</v>
      </c>
      <c r="C2022" s="2" t="s">
        <v>2824</v>
      </c>
      <c r="D2022" s="2" t="s">
        <v>10</v>
      </c>
      <c r="E2022" s="2" t="s">
        <v>11</v>
      </c>
      <c r="F2022" s="2">
        <v>3</v>
      </c>
      <c r="G2022" s="2" t="s">
        <v>1069</v>
      </c>
    </row>
    <row r="2023" spans="1:7" x14ac:dyDescent="0.2">
      <c r="A2023" s="2" t="s">
        <v>2673</v>
      </c>
      <c r="B2023" s="2" t="s">
        <v>2825</v>
      </c>
      <c r="C2023" s="2" t="s">
        <v>2826</v>
      </c>
      <c r="D2023" s="2" t="s">
        <v>10</v>
      </c>
      <c r="E2023" s="2" t="s">
        <v>11</v>
      </c>
      <c r="F2023" s="2">
        <v>3</v>
      </c>
      <c r="G2023" s="2" t="s">
        <v>1069</v>
      </c>
    </row>
    <row r="2024" spans="1:7" x14ac:dyDescent="0.2">
      <c r="A2024" s="2" t="s">
        <v>2673</v>
      </c>
      <c r="B2024" s="2" t="s">
        <v>2827</v>
      </c>
      <c r="C2024" s="2" t="s">
        <v>2828</v>
      </c>
      <c r="D2024" s="2" t="s">
        <v>10</v>
      </c>
      <c r="E2024" s="2" t="s">
        <v>11</v>
      </c>
      <c r="F2024" s="2">
        <v>2</v>
      </c>
      <c r="G2024" s="2" t="s">
        <v>12</v>
      </c>
    </row>
    <row r="2025" spans="1:7" x14ac:dyDescent="0.2">
      <c r="A2025" s="2" t="s">
        <v>2673</v>
      </c>
      <c r="B2025" s="2" t="s">
        <v>2829</v>
      </c>
      <c r="C2025" s="2" t="s">
        <v>2830</v>
      </c>
      <c r="D2025" s="2" t="s">
        <v>10</v>
      </c>
      <c r="E2025" s="2" t="s">
        <v>11</v>
      </c>
      <c r="F2025" s="2">
        <v>2</v>
      </c>
      <c r="G2025" s="2" t="s">
        <v>12</v>
      </c>
    </row>
    <row r="2026" spans="1:7" x14ac:dyDescent="0.2">
      <c r="A2026" s="2" t="s">
        <v>2673</v>
      </c>
      <c r="B2026" s="2" t="s">
        <v>2831</v>
      </c>
      <c r="C2026" s="2" t="s">
        <v>2832</v>
      </c>
      <c r="D2026" s="2" t="s">
        <v>10</v>
      </c>
      <c r="E2026" s="2" t="s">
        <v>11</v>
      </c>
      <c r="F2026" s="2">
        <v>2</v>
      </c>
      <c r="G2026" s="2" t="s">
        <v>12</v>
      </c>
    </row>
    <row r="2027" spans="1:7" x14ac:dyDescent="0.2">
      <c r="A2027" s="2" t="s">
        <v>2673</v>
      </c>
      <c r="B2027" s="2" t="s">
        <v>2833</v>
      </c>
      <c r="C2027" s="2" t="s">
        <v>2834</v>
      </c>
      <c r="D2027" s="2" t="s">
        <v>10</v>
      </c>
      <c r="E2027" s="2" t="s">
        <v>11</v>
      </c>
      <c r="F2027" s="2">
        <v>2</v>
      </c>
      <c r="G2027" s="2" t="s">
        <v>12</v>
      </c>
    </row>
    <row r="2028" spans="1:7" x14ac:dyDescent="0.2">
      <c r="A2028" s="2" t="s">
        <v>2673</v>
      </c>
      <c r="B2028" s="2" t="s">
        <v>2835</v>
      </c>
      <c r="C2028" s="2" t="s">
        <v>2836</v>
      </c>
      <c r="D2028" s="2" t="s">
        <v>10</v>
      </c>
      <c r="E2028" s="2" t="s">
        <v>11</v>
      </c>
      <c r="F2028" s="2">
        <v>2</v>
      </c>
      <c r="G2028" s="2" t="s">
        <v>12</v>
      </c>
    </row>
    <row r="2029" spans="1:7" x14ac:dyDescent="0.2">
      <c r="A2029" s="2" t="s">
        <v>2673</v>
      </c>
      <c r="B2029" s="2" t="s">
        <v>2837</v>
      </c>
      <c r="C2029" s="2" t="s">
        <v>2838</v>
      </c>
      <c r="D2029" s="2" t="s">
        <v>10</v>
      </c>
      <c r="E2029" s="2" t="s">
        <v>11</v>
      </c>
      <c r="F2029" s="2">
        <v>2</v>
      </c>
      <c r="G2029" s="2" t="s">
        <v>12</v>
      </c>
    </row>
    <row r="2030" spans="1:7" x14ac:dyDescent="0.2">
      <c r="A2030" s="2" t="s">
        <v>2673</v>
      </c>
      <c r="B2030" s="2" t="s">
        <v>2839</v>
      </c>
      <c r="C2030" s="2" t="s">
        <v>828</v>
      </c>
      <c r="D2030" s="2" t="s">
        <v>56</v>
      </c>
      <c r="E2030" s="2" t="s">
        <v>52</v>
      </c>
      <c r="F2030" s="2">
        <v>1</v>
      </c>
      <c r="G2030" s="2" t="s">
        <v>17</v>
      </c>
    </row>
    <row r="2031" spans="1:7" x14ac:dyDescent="0.2">
      <c r="A2031" s="2" t="s">
        <v>2673</v>
      </c>
      <c r="B2031" s="2" t="s">
        <v>2840</v>
      </c>
      <c r="C2031" s="2" t="s">
        <v>828</v>
      </c>
      <c r="D2031" s="2" t="s">
        <v>56</v>
      </c>
      <c r="E2031" s="2" t="s">
        <v>52</v>
      </c>
      <c r="F2031" s="2">
        <v>1</v>
      </c>
      <c r="G2031" s="2" t="s">
        <v>17</v>
      </c>
    </row>
    <row r="2032" spans="1:7" x14ac:dyDescent="0.2">
      <c r="A2032" s="2" t="s">
        <v>2673</v>
      </c>
      <c r="B2032" s="2" t="s">
        <v>2841</v>
      </c>
      <c r="C2032" s="2" t="s">
        <v>828</v>
      </c>
      <c r="D2032" s="2" t="s">
        <v>56</v>
      </c>
      <c r="E2032" s="2" t="s">
        <v>52</v>
      </c>
      <c r="F2032" s="2">
        <v>1</v>
      </c>
      <c r="G2032" s="2" t="s">
        <v>17</v>
      </c>
    </row>
    <row r="2033" spans="1:7" x14ac:dyDescent="0.2">
      <c r="A2033" s="2" t="s">
        <v>2673</v>
      </c>
      <c r="B2033" s="2" t="s">
        <v>2842</v>
      </c>
      <c r="C2033" s="2" t="s">
        <v>2843</v>
      </c>
      <c r="D2033" s="2" t="s">
        <v>56</v>
      </c>
      <c r="E2033" s="2" t="s">
        <v>52</v>
      </c>
      <c r="F2033" s="2">
        <v>1</v>
      </c>
      <c r="G2033" s="2" t="s">
        <v>17</v>
      </c>
    </row>
    <row r="2034" spans="1:7" x14ac:dyDescent="0.2">
      <c r="A2034" s="2" t="s">
        <v>2673</v>
      </c>
      <c r="B2034" s="2" t="s">
        <v>2844</v>
      </c>
      <c r="C2034" s="2" t="s">
        <v>828</v>
      </c>
      <c r="D2034" s="2" t="s">
        <v>56</v>
      </c>
      <c r="E2034" s="2" t="s">
        <v>52</v>
      </c>
      <c r="F2034" s="2">
        <v>1</v>
      </c>
      <c r="G2034" s="2" t="s">
        <v>17</v>
      </c>
    </row>
    <row r="2035" spans="1:7" x14ac:dyDescent="0.2">
      <c r="A2035" s="2" t="s">
        <v>2673</v>
      </c>
      <c r="B2035" s="2" t="s">
        <v>2845</v>
      </c>
      <c r="C2035" s="2" t="s">
        <v>828</v>
      </c>
      <c r="D2035" s="2" t="s">
        <v>56</v>
      </c>
      <c r="E2035" s="2" t="s">
        <v>52</v>
      </c>
      <c r="F2035" s="2">
        <v>1</v>
      </c>
      <c r="G2035" s="2" t="s">
        <v>17</v>
      </c>
    </row>
    <row r="2036" spans="1:7" x14ac:dyDescent="0.2">
      <c r="A2036" s="2" t="s">
        <v>2673</v>
      </c>
      <c r="B2036" s="2" t="s">
        <v>2846</v>
      </c>
      <c r="C2036" s="2" t="s">
        <v>828</v>
      </c>
      <c r="D2036" s="2" t="s">
        <v>56</v>
      </c>
      <c r="E2036" s="2" t="s">
        <v>52</v>
      </c>
      <c r="F2036" s="2">
        <v>1</v>
      </c>
      <c r="G2036" s="2" t="s">
        <v>17</v>
      </c>
    </row>
    <row r="2037" spans="1:7" x14ac:dyDescent="0.2">
      <c r="A2037" s="2" t="s">
        <v>2673</v>
      </c>
      <c r="B2037" s="2" t="s">
        <v>2847</v>
      </c>
      <c r="C2037" s="2" t="s">
        <v>2848</v>
      </c>
      <c r="D2037" s="2" t="s">
        <v>56</v>
      </c>
      <c r="E2037" s="2" t="s">
        <v>52</v>
      </c>
      <c r="F2037" s="2">
        <v>1</v>
      </c>
      <c r="G2037" s="2" t="s">
        <v>17</v>
      </c>
    </row>
    <row r="2038" spans="1:7" x14ac:dyDescent="0.2">
      <c r="A2038" s="2" t="s">
        <v>2673</v>
      </c>
      <c r="B2038" s="2" t="s">
        <v>2849</v>
      </c>
      <c r="C2038" s="2" t="s">
        <v>2803</v>
      </c>
      <c r="D2038" s="2" t="s">
        <v>56</v>
      </c>
      <c r="E2038" s="2" t="s">
        <v>52</v>
      </c>
      <c r="F2038" s="2">
        <v>2</v>
      </c>
      <c r="G2038" s="2" t="s">
        <v>17</v>
      </c>
    </row>
    <row r="2039" spans="1:7" x14ac:dyDescent="0.2">
      <c r="A2039" s="2" t="s">
        <v>2673</v>
      </c>
      <c r="B2039" s="2" t="s">
        <v>2850</v>
      </c>
      <c r="C2039" s="2" t="s">
        <v>2795</v>
      </c>
      <c r="D2039" s="2" t="s">
        <v>10</v>
      </c>
      <c r="E2039" s="2" t="s">
        <v>11</v>
      </c>
      <c r="F2039" s="2">
        <v>4</v>
      </c>
      <c r="G2039" s="2" t="s">
        <v>1069</v>
      </c>
    </row>
    <row r="2040" spans="1:7" x14ac:dyDescent="0.2">
      <c r="A2040" s="2" t="s">
        <v>2673</v>
      </c>
      <c r="B2040" s="2" t="s">
        <v>2851</v>
      </c>
      <c r="C2040" s="2" t="s">
        <v>875</v>
      </c>
      <c r="D2040" s="2" t="s">
        <v>56</v>
      </c>
      <c r="E2040" s="2" t="s">
        <v>52</v>
      </c>
      <c r="F2040" s="2">
        <v>2</v>
      </c>
      <c r="G2040" s="2" t="s">
        <v>12</v>
      </c>
    </row>
    <row r="2041" spans="1:7" x14ac:dyDescent="0.2">
      <c r="A2041" s="2" t="s">
        <v>2673</v>
      </c>
      <c r="B2041" s="2" t="s">
        <v>2852</v>
      </c>
      <c r="C2041" s="2" t="s">
        <v>2675</v>
      </c>
      <c r="D2041" s="2" t="s">
        <v>10</v>
      </c>
      <c r="E2041" s="2" t="s">
        <v>16</v>
      </c>
      <c r="F2041" s="2">
        <v>1</v>
      </c>
      <c r="G2041" s="2" t="s">
        <v>17</v>
      </c>
    </row>
    <row r="2042" spans="1:7" x14ac:dyDescent="0.2">
      <c r="A2042" s="2" t="s">
        <v>2673</v>
      </c>
      <c r="B2042" s="2" t="s">
        <v>2853</v>
      </c>
      <c r="C2042" s="2" t="s">
        <v>828</v>
      </c>
      <c r="D2042" s="2" t="s">
        <v>56</v>
      </c>
      <c r="E2042" s="2" t="s">
        <v>52</v>
      </c>
      <c r="F2042" s="2">
        <v>1</v>
      </c>
      <c r="G2042" s="2" t="s">
        <v>17</v>
      </c>
    </row>
    <row r="2043" spans="1:7" x14ac:dyDescent="0.2">
      <c r="A2043" s="2" t="s">
        <v>2673</v>
      </c>
      <c r="B2043" s="2" t="s">
        <v>2854</v>
      </c>
      <c r="C2043" s="2" t="s">
        <v>2779</v>
      </c>
      <c r="D2043" s="2" t="s">
        <v>10</v>
      </c>
      <c r="E2043" s="2" t="s">
        <v>11</v>
      </c>
      <c r="F2043" s="2">
        <v>4</v>
      </c>
      <c r="G2043" s="2" t="s">
        <v>1069</v>
      </c>
    </row>
    <row r="2044" spans="1:7" x14ac:dyDescent="0.2">
      <c r="A2044" s="2" t="s">
        <v>2673</v>
      </c>
      <c r="B2044" s="2" t="s">
        <v>2855</v>
      </c>
      <c r="C2044" s="2" t="s">
        <v>2675</v>
      </c>
      <c r="D2044" s="2" t="s">
        <v>10</v>
      </c>
      <c r="E2044" s="2" t="s">
        <v>16</v>
      </c>
      <c r="F2044" s="2">
        <v>1</v>
      </c>
      <c r="G2044" s="2" t="s">
        <v>17</v>
      </c>
    </row>
    <row r="2045" spans="1:7" x14ac:dyDescent="0.2">
      <c r="A2045" s="2" t="s">
        <v>2673</v>
      </c>
      <c r="B2045" s="2" t="s">
        <v>2856</v>
      </c>
      <c r="C2045" s="2" t="s">
        <v>2675</v>
      </c>
      <c r="D2045" s="2" t="s">
        <v>10</v>
      </c>
      <c r="E2045" s="2" t="s">
        <v>16</v>
      </c>
      <c r="F2045" s="2">
        <v>1</v>
      </c>
      <c r="G2045" s="2" t="s">
        <v>17</v>
      </c>
    </row>
    <row r="2046" spans="1:7" x14ac:dyDescent="0.2">
      <c r="A2046" s="2" t="s">
        <v>2673</v>
      </c>
      <c r="B2046" s="2" t="s">
        <v>2857</v>
      </c>
      <c r="C2046" s="2" t="s">
        <v>2675</v>
      </c>
      <c r="D2046" s="2" t="s">
        <v>10</v>
      </c>
      <c r="E2046" s="2" t="s">
        <v>16</v>
      </c>
      <c r="F2046" s="2">
        <v>1</v>
      </c>
      <c r="G2046" s="2" t="s">
        <v>17</v>
      </c>
    </row>
    <row r="2047" spans="1:7" x14ac:dyDescent="0.2">
      <c r="A2047" s="2" t="s">
        <v>2673</v>
      </c>
      <c r="B2047" s="2" t="s">
        <v>2858</v>
      </c>
      <c r="C2047" s="2" t="s">
        <v>2675</v>
      </c>
      <c r="D2047" s="2" t="s">
        <v>10</v>
      </c>
      <c r="E2047" s="2" t="s">
        <v>16</v>
      </c>
      <c r="F2047" s="2">
        <v>1</v>
      </c>
      <c r="G2047" s="2" t="s">
        <v>17</v>
      </c>
    </row>
    <row r="2048" spans="1:7" x14ac:dyDescent="0.2">
      <c r="A2048" s="2" t="s">
        <v>2673</v>
      </c>
      <c r="B2048" s="2" t="s">
        <v>2859</v>
      </c>
      <c r="C2048" s="2" t="s">
        <v>2799</v>
      </c>
      <c r="D2048" s="2" t="s">
        <v>10</v>
      </c>
      <c r="E2048" s="2" t="s">
        <v>11</v>
      </c>
      <c r="F2048" s="2">
        <v>2</v>
      </c>
      <c r="G2048" s="2" t="s">
        <v>12</v>
      </c>
    </row>
    <row r="2049" spans="1:7" x14ac:dyDescent="0.2">
      <c r="A2049" s="2" t="s">
        <v>2673</v>
      </c>
      <c r="B2049" s="2" t="s">
        <v>2860</v>
      </c>
      <c r="C2049" s="2" t="s">
        <v>2781</v>
      </c>
      <c r="D2049" s="2" t="s">
        <v>10</v>
      </c>
      <c r="E2049" s="2" t="s">
        <v>11</v>
      </c>
      <c r="F2049" s="2">
        <v>4</v>
      </c>
      <c r="G2049" s="2" t="s">
        <v>1069</v>
      </c>
    </row>
    <row r="2050" spans="1:7" x14ac:dyDescent="0.2">
      <c r="A2050" s="2" t="s">
        <v>2673</v>
      </c>
      <c r="B2050" s="2" t="s">
        <v>2861</v>
      </c>
      <c r="C2050" s="2" t="s">
        <v>2786</v>
      </c>
      <c r="D2050" s="2" t="s">
        <v>10</v>
      </c>
      <c r="E2050" s="2" t="s">
        <v>11</v>
      </c>
      <c r="F2050" s="2">
        <v>4</v>
      </c>
      <c r="G2050" s="2" t="s">
        <v>1069</v>
      </c>
    </row>
    <row r="2051" spans="1:7" x14ac:dyDescent="0.2">
      <c r="A2051" s="2" t="s">
        <v>2673</v>
      </c>
      <c r="B2051" s="2" t="s">
        <v>2862</v>
      </c>
      <c r="C2051" s="2" t="s">
        <v>2788</v>
      </c>
      <c r="D2051" s="2" t="s">
        <v>10</v>
      </c>
      <c r="E2051" s="2" t="s">
        <v>11</v>
      </c>
      <c r="F2051" s="2">
        <v>4</v>
      </c>
      <c r="G2051" s="2" t="s">
        <v>1069</v>
      </c>
    </row>
    <row r="2052" spans="1:7" x14ac:dyDescent="0.2">
      <c r="A2052" s="2" t="s">
        <v>2673</v>
      </c>
      <c r="B2052" s="2" t="s">
        <v>2863</v>
      </c>
      <c r="C2052" s="2" t="s">
        <v>2758</v>
      </c>
      <c r="D2052" s="2" t="s">
        <v>10</v>
      </c>
      <c r="E2052" s="2" t="s">
        <v>11</v>
      </c>
      <c r="F2052" s="2">
        <v>8</v>
      </c>
      <c r="G2052" s="2" t="s">
        <v>1069</v>
      </c>
    </row>
    <row r="2053" spans="1:7" x14ac:dyDescent="0.2">
      <c r="A2053" s="2" t="s">
        <v>2673</v>
      </c>
      <c r="B2053" s="2" t="s">
        <v>2864</v>
      </c>
      <c r="C2053" s="2" t="s">
        <v>2770</v>
      </c>
      <c r="D2053" s="2" t="s">
        <v>10</v>
      </c>
      <c r="E2053" s="2" t="s">
        <v>16</v>
      </c>
      <c r="F2053" s="2">
        <v>4</v>
      </c>
      <c r="G2053" s="2" t="s">
        <v>12</v>
      </c>
    </row>
    <row r="2054" spans="1:7" x14ac:dyDescent="0.2">
      <c r="A2054" s="2" t="s">
        <v>2673</v>
      </c>
      <c r="B2054" s="2" t="s">
        <v>2865</v>
      </c>
      <c r="C2054" s="2" t="s">
        <v>2772</v>
      </c>
      <c r="D2054" s="2" t="s">
        <v>10</v>
      </c>
      <c r="E2054" s="2" t="s">
        <v>11</v>
      </c>
      <c r="F2054" s="2">
        <v>4</v>
      </c>
      <c r="G2054" s="2" t="s">
        <v>1069</v>
      </c>
    </row>
    <row r="2055" spans="1:7" x14ac:dyDescent="0.2">
      <c r="A2055" s="2" t="s">
        <v>2673</v>
      </c>
      <c r="B2055" s="2" t="s">
        <v>2866</v>
      </c>
      <c r="C2055" s="2" t="s">
        <v>2814</v>
      </c>
      <c r="D2055" s="2" t="s">
        <v>10</v>
      </c>
      <c r="E2055" s="2" t="s">
        <v>11</v>
      </c>
      <c r="F2055" s="2">
        <v>4</v>
      </c>
      <c r="G2055" s="2" t="s">
        <v>1069</v>
      </c>
    </row>
    <row r="2056" spans="1:7" x14ac:dyDescent="0.2">
      <c r="A2056" s="2" t="s">
        <v>2673</v>
      </c>
      <c r="B2056" s="2" t="s">
        <v>2867</v>
      </c>
      <c r="C2056" s="2" t="s">
        <v>2687</v>
      </c>
      <c r="D2056" s="2" t="s">
        <v>10</v>
      </c>
      <c r="E2056" s="2" t="s">
        <v>11</v>
      </c>
      <c r="F2056" s="2">
        <v>3</v>
      </c>
      <c r="G2056" s="2" t="s">
        <v>12</v>
      </c>
    </row>
    <row r="2057" spans="1:7" x14ac:dyDescent="0.2">
      <c r="A2057" s="2" t="s">
        <v>2673</v>
      </c>
      <c r="B2057" s="2" t="s">
        <v>2868</v>
      </c>
      <c r="C2057" s="2" t="s">
        <v>2693</v>
      </c>
      <c r="D2057" s="2" t="s">
        <v>10</v>
      </c>
      <c r="E2057" s="2" t="s">
        <v>11</v>
      </c>
      <c r="F2057" s="2">
        <v>3</v>
      </c>
      <c r="G2057" s="2" t="s">
        <v>12</v>
      </c>
    </row>
    <row r="2058" spans="1:7" x14ac:dyDescent="0.2">
      <c r="A2058" s="2" t="s">
        <v>2673</v>
      </c>
      <c r="B2058" s="2" t="s">
        <v>2869</v>
      </c>
      <c r="C2058" s="2" t="s">
        <v>2756</v>
      </c>
      <c r="D2058" s="2" t="s">
        <v>10</v>
      </c>
      <c r="E2058" s="2" t="s">
        <v>16</v>
      </c>
      <c r="F2058" s="2">
        <v>4</v>
      </c>
      <c r="G2058" s="2" t="s">
        <v>12</v>
      </c>
    </row>
    <row r="2059" spans="1:7" x14ac:dyDescent="0.2">
      <c r="A2059" s="2" t="s">
        <v>2673</v>
      </c>
      <c r="B2059" s="2" t="s">
        <v>2870</v>
      </c>
      <c r="C2059" s="2" t="s">
        <v>2695</v>
      </c>
      <c r="D2059" s="2" t="s">
        <v>10</v>
      </c>
      <c r="E2059" s="2" t="s">
        <v>11</v>
      </c>
      <c r="F2059" s="2">
        <v>2</v>
      </c>
      <c r="G2059" s="2" t="s">
        <v>12</v>
      </c>
    </row>
    <row r="2060" spans="1:7" x14ac:dyDescent="0.2">
      <c r="A2060" s="2" t="s">
        <v>2673</v>
      </c>
      <c r="B2060" s="2" t="s">
        <v>2119</v>
      </c>
      <c r="C2060" s="2" t="s">
        <v>2116</v>
      </c>
      <c r="D2060" s="2" t="s">
        <v>10</v>
      </c>
      <c r="E2060" s="2" t="s">
        <v>11</v>
      </c>
      <c r="F2060" s="2">
        <v>1</v>
      </c>
      <c r="G2060" s="2" t="s">
        <v>12</v>
      </c>
    </row>
    <row r="2061" spans="1:7" x14ac:dyDescent="0.2">
      <c r="A2061" s="2" t="s">
        <v>2673</v>
      </c>
      <c r="B2061" s="2" t="s">
        <v>2871</v>
      </c>
      <c r="C2061" s="2" t="s">
        <v>2719</v>
      </c>
      <c r="D2061" s="2" t="s">
        <v>10</v>
      </c>
      <c r="E2061" s="2" t="s">
        <v>11</v>
      </c>
      <c r="F2061" s="2">
        <v>4</v>
      </c>
      <c r="G2061" s="2" t="s">
        <v>1069</v>
      </c>
    </row>
    <row r="2062" spans="1:7" x14ac:dyDescent="0.2">
      <c r="A2062" s="2" t="s">
        <v>2673</v>
      </c>
      <c r="B2062" s="2" t="s">
        <v>2872</v>
      </c>
      <c r="C2062" s="2" t="s">
        <v>2695</v>
      </c>
      <c r="D2062" s="2" t="s">
        <v>10</v>
      </c>
      <c r="E2062" s="2" t="s">
        <v>11</v>
      </c>
      <c r="F2062" s="2">
        <v>2</v>
      </c>
      <c r="G2062" s="2" t="s">
        <v>12</v>
      </c>
    </row>
    <row r="2063" spans="1:7" x14ac:dyDescent="0.2">
      <c r="A2063" s="2" t="s">
        <v>2673</v>
      </c>
      <c r="B2063" s="2" t="s">
        <v>2873</v>
      </c>
      <c r="C2063" s="2" t="s">
        <v>2779</v>
      </c>
      <c r="D2063" s="2" t="s">
        <v>10</v>
      </c>
      <c r="E2063" s="2" t="s">
        <v>11</v>
      </c>
      <c r="F2063" s="2">
        <v>4</v>
      </c>
      <c r="G2063" s="2" t="s">
        <v>1069</v>
      </c>
    </row>
    <row r="2064" spans="1:7" x14ac:dyDescent="0.2">
      <c r="A2064" s="2" t="s">
        <v>2673</v>
      </c>
      <c r="B2064" s="2" t="s">
        <v>2874</v>
      </c>
      <c r="C2064" s="2" t="s">
        <v>2709</v>
      </c>
      <c r="D2064" s="2" t="s">
        <v>10</v>
      </c>
      <c r="E2064" s="2" t="s">
        <v>11</v>
      </c>
      <c r="F2064" s="2">
        <v>2</v>
      </c>
      <c r="G2064" s="2" t="s">
        <v>12</v>
      </c>
    </row>
    <row r="2065" spans="1:7" x14ac:dyDescent="0.2">
      <c r="A2065" s="2" t="s">
        <v>2673</v>
      </c>
      <c r="B2065" s="2" t="s">
        <v>2875</v>
      </c>
      <c r="C2065" s="2" t="s">
        <v>1734</v>
      </c>
      <c r="D2065" s="2" t="s">
        <v>10</v>
      </c>
      <c r="E2065" s="2" t="s">
        <v>11</v>
      </c>
      <c r="F2065" s="2">
        <v>2</v>
      </c>
      <c r="G2065" s="2" t="s">
        <v>12</v>
      </c>
    </row>
    <row r="2066" spans="1:7" x14ac:dyDescent="0.2">
      <c r="A2066" s="2" t="s">
        <v>2673</v>
      </c>
      <c r="B2066" s="2" t="s">
        <v>2876</v>
      </c>
      <c r="C2066" s="2" t="s">
        <v>2877</v>
      </c>
      <c r="D2066" s="2" t="s">
        <v>10</v>
      </c>
      <c r="E2066" s="2" t="s">
        <v>11</v>
      </c>
      <c r="F2066" s="2">
        <v>2</v>
      </c>
      <c r="G2066" s="2" t="s">
        <v>12</v>
      </c>
    </row>
    <row r="2067" spans="1:7" x14ac:dyDescent="0.2">
      <c r="A2067" s="2" t="s">
        <v>2673</v>
      </c>
      <c r="B2067" s="2" t="s">
        <v>2878</v>
      </c>
      <c r="C2067" s="2" t="s">
        <v>2763</v>
      </c>
      <c r="D2067" s="2" t="s">
        <v>10</v>
      </c>
      <c r="E2067" s="2" t="s">
        <v>11</v>
      </c>
      <c r="F2067" s="2">
        <v>4</v>
      </c>
      <c r="G2067" s="2" t="s">
        <v>1069</v>
      </c>
    </row>
    <row r="2068" spans="1:7" x14ac:dyDescent="0.2">
      <c r="A2068" s="2" t="s">
        <v>2673</v>
      </c>
      <c r="B2068" s="2" t="s">
        <v>2879</v>
      </c>
      <c r="C2068" s="2" t="s">
        <v>2877</v>
      </c>
      <c r="D2068" s="2" t="s">
        <v>10</v>
      </c>
      <c r="E2068" s="2" t="s">
        <v>11</v>
      </c>
      <c r="F2068" s="2">
        <v>2</v>
      </c>
      <c r="G2068" s="2" t="s">
        <v>12</v>
      </c>
    </row>
    <row r="2069" spans="1:7" x14ac:dyDescent="0.2">
      <c r="A2069" s="2" t="s">
        <v>2673</v>
      </c>
      <c r="B2069" s="2" t="s">
        <v>2880</v>
      </c>
      <c r="C2069" s="2" t="s">
        <v>2877</v>
      </c>
      <c r="D2069" s="2" t="s">
        <v>10</v>
      </c>
      <c r="E2069" s="2" t="s">
        <v>11</v>
      </c>
      <c r="F2069" s="2">
        <v>2</v>
      </c>
      <c r="G2069" s="2" t="s">
        <v>12</v>
      </c>
    </row>
    <row r="2070" spans="1:7" x14ac:dyDescent="0.2">
      <c r="A2070" s="2" t="s">
        <v>2673</v>
      </c>
      <c r="B2070" s="2" t="s">
        <v>2881</v>
      </c>
      <c r="C2070" s="2" t="s">
        <v>2799</v>
      </c>
      <c r="D2070" s="2" t="s">
        <v>10</v>
      </c>
      <c r="E2070" s="2" t="s">
        <v>11</v>
      </c>
      <c r="F2070" s="2">
        <v>2</v>
      </c>
      <c r="G2070" s="2" t="s">
        <v>12</v>
      </c>
    </row>
    <row r="2071" spans="1:7" x14ac:dyDescent="0.2">
      <c r="A2071" s="2" t="s">
        <v>2673</v>
      </c>
      <c r="B2071" s="2" t="s">
        <v>2882</v>
      </c>
      <c r="C2071" s="2" t="s">
        <v>2799</v>
      </c>
      <c r="D2071" s="2" t="s">
        <v>10</v>
      </c>
      <c r="E2071" s="2" t="s">
        <v>11</v>
      </c>
      <c r="F2071" s="2">
        <v>2</v>
      </c>
      <c r="G2071" s="2" t="s">
        <v>12</v>
      </c>
    </row>
    <row r="2072" spans="1:7" x14ac:dyDescent="0.2">
      <c r="A2072" s="2" t="s">
        <v>2673</v>
      </c>
      <c r="B2072" s="2" t="s">
        <v>2883</v>
      </c>
      <c r="C2072" s="2" t="s">
        <v>875</v>
      </c>
      <c r="D2072" s="2" t="s">
        <v>56</v>
      </c>
      <c r="E2072" s="2" t="s">
        <v>52</v>
      </c>
      <c r="F2072" s="2">
        <v>2</v>
      </c>
      <c r="G2072" s="2" t="s">
        <v>12</v>
      </c>
    </row>
    <row r="2073" spans="1:7" x14ac:dyDescent="0.2">
      <c r="A2073" s="2" t="s">
        <v>2673</v>
      </c>
      <c r="B2073" s="2" t="s">
        <v>2884</v>
      </c>
      <c r="C2073" s="2" t="s">
        <v>2885</v>
      </c>
      <c r="D2073" s="2" t="s">
        <v>10</v>
      </c>
      <c r="E2073" s="2" t="s">
        <v>11</v>
      </c>
      <c r="F2073" s="2">
        <v>4</v>
      </c>
      <c r="G2073" s="2" t="s">
        <v>1069</v>
      </c>
    </row>
    <row r="2074" spans="1:7" x14ac:dyDescent="0.2">
      <c r="A2074" s="2" t="s">
        <v>2673</v>
      </c>
      <c r="B2074" s="2" t="s">
        <v>2886</v>
      </c>
      <c r="C2074" s="2" t="s">
        <v>2709</v>
      </c>
      <c r="D2074" s="2" t="s">
        <v>10</v>
      </c>
      <c r="E2074" s="2" t="s">
        <v>11</v>
      </c>
      <c r="F2074" s="2">
        <v>2</v>
      </c>
      <c r="G2074" s="2" t="s">
        <v>12</v>
      </c>
    </row>
    <row r="2075" spans="1:7" x14ac:dyDescent="0.2">
      <c r="A2075" s="2" t="s">
        <v>2673</v>
      </c>
      <c r="B2075" s="2" t="s">
        <v>2887</v>
      </c>
      <c r="C2075" s="2" t="s">
        <v>2752</v>
      </c>
      <c r="D2075" s="2" t="s">
        <v>56</v>
      </c>
      <c r="E2075" s="2" t="s">
        <v>52</v>
      </c>
      <c r="F2075" s="2">
        <v>2</v>
      </c>
      <c r="G2075" s="2" t="s">
        <v>12</v>
      </c>
    </row>
    <row r="2076" spans="1:7" x14ac:dyDescent="0.2">
      <c r="A2076" s="2" t="s">
        <v>2673</v>
      </c>
      <c r="B2076" s="2" t="s">
        <v>2888</v>
      </c>
      <c r="C2076" s="2" t="s">
        <v>2752</v>
      </c>
      <c r="D2076" s="2" t="s">
        <v>56</v>
      </c>
      <c r="E2076" s="2" t="s">
        <v>52</v>
      </c>
      <c r="F2076" s="2">
        <v>2</v>
      </c>
      <c r="G2076" s="2" t="s">
        <v>12</v>
      </c>
    </row>
    <row r="2077" spans="1:7" x14ac:dyDescent="0.2">
      <c r="A2077" s="2" t="s">
        <v>2673</v>
      </c>
      <c r="B2077" s="2" t="s">
        <v>2889</v>
      </c>
      <c r="C2077" s="2" t="s">
        <v>2890</v>
      </c>
      <c r="D2077" s="2" t="s">
        <v>10</v>
      </c>
      <c r="E2077" s="2" t="s">
        <v>11</v>
      </c>
      <c r="F2077" s="2">
        <v>2</v>
      </c>
      <c r="G2077" s="2" t="s">
        <v>12</v>
      </c>
    </row>
    <row r="2078" spans="1:7" x14ac:dyDescent="0.2">
      <c r="A2078" s="2" t="s">
        <v>2673</v>
      </c>
      <c r="B2078" s="2" t="s">
        <v>2891</v>
      </c>
      <c r="C2078" s="2" t="s">
        <v>2890</v>
      </c>
      <c r="D2078" s="2" t="s">
        <v>10</v>
      </c>
      <c r="E2078" s="2" t="s">
        <v>11</v>
      </c>
      <c r="F2078" s="2">
        <v>2</v>
      </c>
      <c r="G2078" s="2" t="s">
        <v>12</v>
      </c>
    </row>
    <row r="2079" spans="1:7" x14ac:dyDescent="0.2">
      <c r="A2079" s="2" t="s">
        <v>2673</v>
      </c>
      <c r="B2079" s="2" t="s">
        <v>2892</v>
      </c>
      <c r="C2079" s="2" t="s">
        <v>2893</v>
      </c>
      <c r="D2079" s="2" t="s">
        <v>10</v>
      </c>
      <c r="E2079" s="2" t="s">
        <v>11</v>
      </c>
      <c r="F2079" s="2">
        <v>2</v>
      </c>
      <c r="G2079" s="2" t="s">
        <v>1069</v>
      </c>
    </row>
    <row r="2080" spans="1:7" x14ac:dyDescent="0.2">
      <c r="A2080" s="2" t="s">
        <v>2673</v>
      </c>
      <c r="B2080" s="2" t="s">
        <v>2894</v>
      </c>
      <c r="C2080" s="2" t="s">
        <v>2895</v>
      </c>
      <c r="D2080" s="2" t="s">
        <v>10</v>
      </c>
      <c r="E2080" s="2" t="s">
        <v>11</v>
      </c>
      <c r="F2080" s="2">
        <v>2</v>
      </c>
      <c r="G2080" s="2" t="s">
        <v>1069</v>
      </c>
    </row>
    <row r="2081" spans="1:7" x14ac:dyDescent="0.2">
      <c r="A2081" s="2" t="s">
        <v>2673</v>
      </c>
      <c r="B2081" s="2" t="s">
        <v>2896</v>
      </c>
      <c r="C2081" s="2" t="s">
        <v>2890</v>
      </c>
      <c r="D2081" s="2" t="s">
        <v>10</v>
      </c>
      <c r="E2081" s="2" t="s">
        <v>11</v>
      </c>
      <c r="F2081" s="2">
        <v>2</v>
      </c>
      <c r="G2081" s="2" t="s">
        <v>12</v>
      </c>
    </row>
    <row r="2082" spans="1:7" x14ac:dyDescent="0.2">
      <c r="A2082" s="2" t="s">
        <v>2673</v>
      </c>
      <c r="B2082" s="2" t="s">
        <v>2897</v>
      </c>
      <c r="C2082" s="2" t="s">
        <v>2890</v>
      </c>
      <c r="D2082" s="2" t="s">
        <v>10</v>
      </c>
      <c r="E2082" s="2" t="s">
        <v>11</v>
      </c>
      <c r="F2082" s="2">
        <v>2</v>
      </c>
      <c r="G2082" s="2" t="s">
        <v>12</v>
      </c>
    </row>
    <row r="2083" spans="1:7" x14ac:dyDescent="0.2">
      <c r="A2083" s="2" t="s">
        <v>2673</v>
      </c>
      <c r="B2083" s="2" t="s">
        <v>2898</v>
      </c>
      <c r="C2083" s="2" t="s">
        <v>2890</v>
      </c>
      <c r="D2083" s="2" t="s">
        <v>10</v>
      </c>
      <c r="E2083" s="2" t="s">
        <v>11</v>
      </c>
      <c r="F2083" s="2">
        <v>2</v>
      </c>
      <c r="G2083" s="2" t="s">
        <v>12</v>
      </c>
    </row>
    <row r="2084" spans="1:7" x14ac:dyDescent="0.2">
      <c r="A2084" s="2" t="s">
        <v>2673</v>
      </c>
      <c r="B2084" s="2" t="s">
        <v>2899</v>
      </c>
      <c r="C2084" s="2" t="s">
        <v>2890</v>
      </c>
      <c r="D2084" s="2" t="s">
        <v>10</v>
      </c>
      <c r="E2084" s="2" t="s">
        <v>11</v>
      </c>
      <c r="F2084" s="2">
        <v>2</v>
      </c>
      <c r="G2084" s="2" t="s">
        <v>12</v>
      </c>
    </row>
    <row r="2085" spans="1:7" x14ac:dyDescent="0.2">
      <c r="A2085" s="2" t="s">
        <v>2673</v>
      </c>
      <c r="B2085" s="2" t="s">
        <v>2900</v>
      </c>
      <c r="C2085" s="2" t="s">
        <v>2691</v>
      </c>
      <c r="D2085" s="2" t="s">
        <v>10</v>
      </c>
      <c r="E2085" s="2" t="s">
        <v>11</v>
      </c>
      <c r="F2085" s="2">
        <v>2</v>
      </c>
      <c r="G2085" s="2" t="s">
        <v>1069</v>
      </c>
    </row>
    <row r="2086" spans="1:7" x14ac:dyDescent="0.2">
      <c r="A2086" s="2" t="s">
        <v>2673</v>
      </c>
      <c r="B2086" s="2" t="s">
        <v>2901</v>
      </c>
      <c r="C2086" s="2" t="s">
        <v>2885</v>
      </c>
      <c r="D2086" s="2" t="s">
        <v>10</v>
      </c>
      <c r="E2086" s="2" t="s">
        <v>11</v>
      </c>
      <c r="F2086" s="2">
        <v>4</v>
      </c>
      <c r="G2086" s="2" t="s">
        <v>1069</v>
      </c>
    </row>
    <row r="2087" spans="1:7" x14ac:dyDescent="0.2">
      <c r="A2087" s="2" t="s">
        <v>2673</v>
      </c>
      <c r="B2087" s="2" t="s">
        <v>2902</v>
      </c>
      <c r="C2087" s="2" t="s">
        <v>2885</v>
      </c>
      <c r="D2087" s="2" t="s">
        <v>10</v>
      </c>
      <c r="E2087" s="2" t="s">
        <v>11</v>
      </c>
      <c r="F2087" s="2">
        <v>4</v>
      </c>
      <c r="G2087" s="2" t="s">
        <v>1069</v>
      </c>
    </row>
    <row r="2088" spans="1:7" x14ac:dyDescent="0.2">
      <c r="A2088" s="2" t="s">
        <v>2673</v>
      </c>
      <c r="B2088" s="2" t="s">
        <v>2903</v>
      </c>
      <c r="C2088" s="2" t="s">
        <v>2742</v>
      </c>
      <c r="D2088" s="2" t="s">
        <v>10</v>
      </c>
      <c r="E2088" s="2" t="s">
        <v>11</v>
      </c>
      <c r="F2088" s="2">
        <v>2</v>
      </c>
      <c r="G2088" s="2" t="s">
        <v>1069</v>
      </c>
    </row>
    <row r="2089" spans="1:7" x14ac:dyDescent="0.2">
      <c r="A2089" s="2" t="s">
        <v>2673</v>
      </c>
      <c r="B2089" s="2" t="s">
        <v>2904</v>
      </c>
      <c r="C2089" s="2" t="s">
        <v>2742</v>
      </c>
      <c r="D2089" s="2" t="s">
        <v>10</v>
      </c>
      <c r="E2089" s="2" t="s">
        <v>11</v>
      </c>
      <c r="F2089" s="2">
        <v>2</v>
      </c>
      <c r="G2089" s="2" t="s">
        <v>1069</v>
      </c>
    </row>
    <row r="2090" spans="1:7" x14ac:dyDescent="0.2">
      <c r="A2090" s="2" t="s">
        <v>2673</v>
      </c>
      <c r="B2090" s="2" t="s">
        <v>2905</v>
      </c>
      <c r="C2090" s="2" t="s">
        <v>2746</v>
      </c>
      <c r="D2090" s="2" t="s">
        <v>10</v>
      </c>
      <c r="E2090" s="2" t="s">
        <v>11</v>
      </c>
      <c r="F2090" s="2">
        <v>2</v>
      </c>
      <c r="G2090" s="2" t="s">
        <v>1069</v>
      </c>
    </row>
    <row r="2091" spans="1:7" x14ac:dyDescent="0.2">
      <c r="A2091" s="2" t="s">
        <v>2673</v>
      </c>
      <c r="B2091" s="2" t="s">
        <v>2906</v>
      </c>
      <c r="C2091" s="2" t="s">
        <v>2746</v>
      </c>
      <c r="D2091" s="2" t="s">
        <v>10</v>
      </c>
      <c r="E2091" s="2" t="s">
        <v>11</v>
      </c>
      <c r="F2091" s="2">
        <v>2</v>
      </c>
      <c r="G2091" s="2" t="s">
        <v>1069</v>
      </c>
    </row>
    <row r="2092" spans="1:7" x14ac:dyDescent="0.2">
      <c r="A2092" s="2" t="s">
        <v>2673</v>
      </c>
      <c r="B2092" s="2" t="s">
        <v>2907</v>
      </c>
      <c r="C2092" s="2" t="s">
        <v>2748</v>
      </c>
      <c r="D2092" s="2" t="s">
        <v>10</v>
      </c>
      <c r="E2092" s="2" t="s">
        <v>11</v>
      </c>
      <c r="F2092" s="2">
        <v>2</v>
      </c>
      <c r="G2092" s="2" t="s">
        <v>1069</v>
      </c>
    </row>
    <row r="2093" spans="1:7" x14ac:dyDescent="0.2">
      <c r="A2093" s="2" t="s">
        <v>2673</v>
      </c>
      <c r="B2093" s="2" t="s">
        <v>2908</v>
      </c>
      <c r="C2093" s="2" t="s">
        <v>2748</v>
      </c>
      <c r="D2093" s="2" t="s">
        <v>10</v>
      </c>
      <c r="E2093" s="2" t="s">
        <v>11</v>
      </c>
      <c r="F2093" s="2">
        <v>2</v>
      </c>
      <c r="G2093" s="2" t="s">
        <v>1069</v>
      </c>
    </row>
    <row r="2094" spans="1:7" x14ac:dyDescent="0.2">
      <c r="A2094" s="2" t="s">
        <v>2673</v>
      </c>
      <c r="B2094" s="2" t="s">
        <v>2909</v>
      </c>
      <c r="C2094" s="2" t="s">
        <v>2750</v>
      </c>
      <c r="D2094" s="2" t="s">
        <v>10</v>
      </c>
      <c r="E2094" s="2" t="s">
        <v>11</v>
      </c>
      <c r="F2094" s="2">
        <v>2</v>
      </c>
      <c r="G2094" s="2" t="s">
        <v>1069</v>
      </c>
    </row>
    <row r="2095" spans="1:7" x14ac:dyDescent="0.2">
      <c r="A2095" s="2" t="s">
        <v>2673</v>
      </c>
      <c r="B2095" s="2" t="s">
        <v>2910</v>
      </c>
      <c r="C2095" s="2" t="s">
        <v>2750</v>
      </c>
      <c r="D2095" s="2" t="s">
        <v>10</v>
      </c>
      <c r="E2095" s="2" t="s">
        <v>11</v>
      </c>
      <c r="F2095" s="2">
        <v>2</v>
      </c>
      <c r="G2095" s="2" t="s">
        <v>1069</v>
      </c>
    </row>
    <row r="2096" spans="1:7" x14ac:dyDescent="0.2">
      <c r="A2096" s="2" t="s">
        <v>2673</v>
      </c>
      <c r="B2096" s="2" t="s">
        <v>2911</v>
      </c>
      <c r="C2096" s="2" t="s">
        <v>2912</v>
      </c>
      <c r="D2096" s="2" t="s">
        <v>10</v>
      </c>
      <c r="E2096" s="2" t="s">
        <v>11</v>
      </c>
      <c r="F2096" s="2">
        <v>2</v>
      </c>
      <c r="G2096" s="2" t="s">
        <v>12</v>
      </c>
    </row>
    <row r="2097" spans="1:7" x14ac:dyDescent="0.2">
      <c r="A2097" s="2" t="s">
        <v>2673</v>
      </c>
      <c r="B2097" s="2" t="s">
        <v>2913</v>
      </c>
      <c r="C2097" s="2" t="s">
        <v>2912</v>
      </c>
      <c r="D2097" s="2" t="s">
        <v>10</v>
      </c>
      <c r="E2097" s="2" t="s">
        <v>11</v>
      </c>
      <c r="F2097" s="2">
        <v>2</v>
      </c>
      <c r="G2097" s="2" t="s">
        <v>12</v>
      </c>
    </row>
    <row r="2098" spans="1:7" x14ac:dyDescent="0.2">
      <c r="A2098" s="2" t="s">
        <v>2673</v>
      </c>
      <c r="B2098" s="2" t="s">
        <v>2914</v>
      </c>
      <c r="C2098" s="2" t="s">
        <v>2915</v>
      </c>
      <c r="D2098" s="2" t="s">
        <v>10</v>
      </c>
      <c r="E2098" s="2" t="s">
        <v>11</v>
      </c>
      <c r="F2098" s="2">
        <v>2</v>
      </c>
      <c r="G2098" s="2" t="s">
        <v>12</v>
      </c>
    </row>
    <row r="2099" spans="1:7" x14ac:dyDescent="0.2">
      <c r="A2099" s="2" t="s">
        <v>2673</v>
      </c>
      <c r="B2099" s="2" t="s">
        <v>2916</v>
      </c>
      <c r="C2099" s="2" t="s">
        <v>2915</v>
      </c>
      <c r="D2099" s="2" t="s">
        <v>10</v>
      </c>
      <c r="E2099" s="2" t="s">
        <v>11</v>
      </c>
      <c r="F2099" s="2">
        <v>2</v>
      </c>
      <c r="G2099" s="2" t="s">
        <v>12</v>
      </c>
    </row>
    <row r="2100" spans="1:7" x14ac:dyDescent="0.2">
      <c r="A2100" s="2" t="s">
        <v>2673</v>
      </c>
      <c r="B2100" s="2" t="s">
        <v>2917</v>
      </c>
      <c r="C2100" s="2" t="s">
        <v>2918</v>
      </c>
      <c r="D2100" s="2" t="s">
        <v>10</v>
      </c>
      <c r="E2100" s="2" t="s">
        <v>11</v>
      </c>
      <c r="F2100" s="2">
        <v>2</v>
      </c>
      <c r="G2100" s="2" t="s">
        <v>12</v>
      </c>
    </row>
    <row r="2101" spans="1:7" x14ac:dyDescent="0.2">
      <c r="A2101" s="2" t="s">
        <v>2673</v>
      </c>
      <c r="B2101" s="2" t="s">
        <v>2919</v>
      </c>
      <c r="C2101" s="2" t="s">
        <v>2918</v>
      </c>
      <c r="D2101" s="2" t="s">
        <v>10</v>
      </c>
      <c r="E2101" s="2" t="s">
        <v>11</v>
      </c>
      <c r="F2101" s="2">
        <v>2</v>
      </c>
      <c r="G2101" s="2" t="s">
        <v>12</v>
      </c>
    </row>
    <row r="2102" spans="1:7" x14ac:dyDescent="0.2">
      <c r="A2102" s="2" t="s">
        <v>2673</v>
      </c>
      <c r="B2102" s="2" t="s">
        <v>2920</v>
      </c>
      <c r="C2102" s="2" t="s">
        <v>2915</v>
      </c>
      <c r="D2102" s="2" t="s">
        <v>10</v>
      </c>
      <c r="E2102" s="2" t="s">
        <v>11</v>
      </c>
      <c r="F2102" s="2">
        <v>2</v>
      </c>
      <c r="G2102" s="2" t="s">
        <v>12</v>
      </c>
    </row>
    <row r="2103" spans="1:7" x14ac:dyDescent="0.2">
      <c r="A2103" s="2" t="s">
        <v>2673</v>
      </c>
      <c r="B2103" s="2" t="s">
        <v>2921</v>
      </c>
      <c r="C2103" s="2" t="s">
        <v>2915</v>
      </c>
      <c r="D2103" s="2" t="s">
        <v>10</v>
      </c>
      <c r="E2103" s="2" t="s">
        <v>11</v>
      </c>
      <c r="F2103" s="2">
        <v>2</v>
      </c>
      <c r="G2103" s="2" t="s">
        <v>12</v>
      </c>
    </row>
    <row r="2104" spans="1:7" x14ac:dyDescent="0.2">
      <c r="A2104" s="2" t="s">
        <v>2673</v>
      </c>
      <c r="B2104" s="2" t="s">
        <v>2922</v>
      </c>
      <c r="C2104" s="2" t="s">
        <v>2923</v>
      </c>
      <c r="D2104" s="2" t="s">
        <v>10</v>
      </c>
      <c r="E2104" s="2" t="s">
        <v>16</v>
      </c>
      <c r="F2104" s="2">
        <v>1</v>
      </c>
      <c r="G2104" s="2" t="s">
        <v>17</v>
      </c>
    </row>
    <row r="2105" spans="1:7" x14ac:dyDescent="0.2">
      <c r="A2105" s="2" t="s">
        <v>2673</v>
      </c>
      <c r="B2105" s="2" t="s">
        <v>2924</v>
      </c>
      <c r="C2105" s="2" t="s">
        <v>2923</v>
      </c>
      <c r="D2105" s="2" t="s">
        <v>10</v>
      </c>
      <c r="E2105" s="2" t="s">
        <v>16</v>
      </c>
      <c r="F2105" s="2">
        <v>1</v>
      </c>
      <c r="G2105" s="2" t="s">
        <v>17</v>
      </c>
    </row>
    <row r="2106" spans="1:7" x14ac:dyDescent="0.2">
      <c r="A2106" s="2" t="s">
        <v>2673</v>
      </c>
      <c r="B2106" s="2" t="s">
        <v>471</v>
      </c>
      <c r="C2106" s="2" t="s">
        <v>2923</v>
      </c>
      <c r="D2106" s="2" t="s">
        <v>10</v>
      </c>
      <c r="E2106" s="2" t="s">
        <v>16</v>
      </c>
      <c r="F2106" s="2">
        <v>1</v>
      </c>
      <c r="G2106" s="2" t="s">
        <v>17</v>
      </c>
    </row>
    <row r="2107" spans="1:7" x14ac:dyDescent="0.2">
      <c r="A2107" s="2" t="s">
        <v>2673</v>
      </c>
      <c r="B2107" s="2" t="s">
        <v>2925</v>
      </c>
      <c r="C2107" s="2" t="s">
        <v>2706</v>
      </c>
      <c r="D2107" s="2" t="s">
        <v>10</v>
      </c>
      <c r="E2107" s="2" t="s">
        <v>11</v>
      </c>
      <c r="F2107" s="2">
        <v>2</v>
      </c>
      <c r="G2107" s="2" t="s">
        <v>12</v>
      </c>
    </row>
    <row r="2108" spans="1:7" x14ac:dyDescent="0.2">
      <c r="A2108" s="2" t="s">
        <v>2673</v>
      </c>
      <c r="B2108" s="2" t="s">
        <v>2926</v>
      </c>
      <c r="C2108" s="2" t="s">
        <v>2912</v>
      </c>
      <c r="D2108" s="2" t="s">
        <v>10</v>
      </c>
      <c r="E2108" s="2" t="s">
        <v>11</v>
      </c>
      <c r="F2108" s="2">
        <v>2</v>
      </c>
      <c r="G2108" s="2" t="s">
        <v>12</v>
      </c>
    </row>
    <row r="2109" spans="1:7" x14ac:dyDescent="0.2">
      <c r="A2109" s="2" t="s">
        <v>2673</v>
      </c>
      <c r="B2109" s="2" t="s">
        <v>2927</v>
      </c>
      <c r="C2109" s="2" t="s">
        <v>2915</v>
      </c>
      <c r="D2109" s="2" t="s">
        <v>10</v>
      </c>
      <c r="E2109" s="2" t="s">
        <v>11</v>
      </c>
      <c r="F2109" s="2">
        <v>2</v>
      </c>
      <c r="G2109" s="2" t="s">
        <v>12</v>
      </c>
    </row>
    <row r="2110" spans="1:7" x14ac:dyDescent="0.2">
      <c r="A2110" s="2" t="s">
        <v>2673</v>
      </c>
      <c r="B2110" s="2" t="s">
        <v>2928</v>
      </c>
      <c r="C2110" s="2" t="s">
        <v>2918</v>
      </c>
      <c r="D2110" s="2" t="s">
        <v>10</v>
      </c>
      <c r="E2110" s="2" t="s">
        <v>11</v>
      </c>
      <c r="F2110" s="2">
        <v>2</v>
      </c>
      <c r="G2110" s="2" t="s">
        <v>12</v>
      </c>
    </row>
    <row r="2111" spans="1:7" x14ac:dyDescent="0.2">
      <c r="A2111" s="2" t="s">
        <v>2673</v>
      </c>
      <c r="B2111" s="2" t="s">
        <v>2929</v>
      </c>
      <c r="C2111" s="2" t="s">
        <v>2930</v>
      </c>
      <c r="D2111" s="2" t="s">
        <v>10</v>
      </c>
      <c r="E2111" s="2" t="s">
        <v>11</v>
      </c>
      <c r="F2111" s="2">
        <v>4</v>
      </c>
      <c r="G2111" s="2" t="s">
        <v>1069</v>
      </c>
    </row>
    <row r="2112" spans="1:7" x14ac:dyDescent="0.2">
      <c r="A2112" s="2" t="s">
        <v>2673</v>
      </c>
      <c r="B2112" s="2">
        <v>40</v>
      </c>
      <c r="C2112" s="2" t="s">
        <v>2931</v>
      </c>
      <c r="D2112" s="2" t="s">
        <v>10</v>
      </c>
      <c r="E2112" s="2" t="s">
        <v>16</v>
      </c>
      <c r="F2112" s="2">
        <v>1</v>
      </c>
      <c r="G2112" s="2" t="s">
        <v>17</v>
      </c>
    </row>
    <row r="2113" spans="1:7" x14ac:dyDescent="0.2">
      <c r="A2113" s="2" t="s">
        <v>2673</v>
      </c>
      <c r="B2113" s="2" t="s">
        <v>2932</v>
      </c>
      <c r="C2113" s="2" t="s">
        <v>2733</v>
      </c>
      <c r="D2113" s="2" t="s">
        <v>10</v>
      </c>
      <c r="E2113" s="2" t="s">
        <v>11</v>
      </c>
      <c r="F2113" s="2">
        <v>2</v>
      </c>
      <c r="G2113" s="2" t="s">
        <v>1069</v>
      </c>
    </row>
    <row r="2114" spans="1:7" x14ac:dyDescent="0.2">
      <c r="A2114" s="2" t="s">
        <v>2673</v>
      </c>
      <c r="B2114" s="2" t="s">
        <v>2933</v>
      </c>
      <c r="C2114" s="2" t="s">
        <v>2733</v>
      </c>
      <c r="D2114" s="2" t="s">
        <v>10</v>
      </c>
      <c r="E2114" s="2" t="s">
        <v>11</v>
      </c>
      <c r="F2114" s="2">
        <v>2</v>
      </c>
      <c r="G2114" s="2" t="s">
        <v>1069</v>
      </c>
    </row>
    <row r="2115" spans="1:7" x14ac:dyDescent="0.2">
      <c r="A2115" s="2" t="s">
        <v>2673</v>
      </c>
      <c r="B2115" s="2" t="s">
        <v>2934</v>
      </c>
      <c r="C2115" s="2" t="s">
        <v>2935</v>
      </c>
      <c r="D2115" s="2" t="s">
        <v>10</v>
      </c>
      <c r="E2115" s="2" t="s">
        <v>11</v>
      </c>
      <c r="F2115" s="2">
        <v>1</v>
      </c>
      <c r="G2115" s="2" t="s">
        <v>12</v>
      </c>
    </row>
    <row r="2116" spans="1:7" x14ac:dyDescent="0.2">
      <c r="A2116" s="2" t="s">
        <v>2673</v>
      </c>
      <c r="B2116" s="2" t="s">
        <v>2936</v>
      </c>
      <c r="C2116" s="2" t="s">
        <v>2935</v>
      </c>
      <c r="D2116" s="2" t="s">
        <v>10</v>
      </c>
      <c r="E2116" s="2" t="s">
        <v>11</v>
      </c>
      <c r="F2116" s="2">
        <v>1</v>
      </c>
      <c r="G2116" s="2" t="s">
        <v>12</v>
      </c>
    </row>
    <row r="2117" spans="1:7" x14ac:dyDescent="0.2">
      <c r="A2117" s="2" t="s">
        <v>2673</v>
      </c>
      <c r="B2117" s="2" t="s">
        <v>2937</v>
      </c>
      <c r="C2117" s="2" t="s">
        <v>2935</v>
      </c>
      <c r="D2117" s="2" t="s">
        <v>10</v>
      </c>
      <c r="E2117" s="2" t="s">
        <v>11</v>
      </c>
      <c r="F2117" s="2">
        <v>1</v>
      </c>
      <c r="G2117" s="2" t="s">
        <v>12</v>
      </c>
    </row>
    <row r="2118" spans="1:7" x14ac:dyDescent="0.2">
      <c r="A2118" s="2" t="s">
        <v>2673</v>
      </c>
      <c r="B2118" s="2" t="s">
        <v>2938</v>
      </c>
      <c r="C2118" s="2" t="s">
        <v>2912</v>
      </c>
      <c r="D2118" s="2" t="s">
        <v>10</v>
      </c>
      <c r="E2118" s="2" t="s">
        <v>11</v>
      </c>
      <c r="F2118" s="2">
        <v>2</v>
      </c>
      <c r="G2118" s="2" t="s">
        <v>12</v>
      </c>
    </row>
    <row r="2119" spans="1:7" x14ac:dyDescent="0.2">
      <c r="A2119" s="2" t="s">
        <v>2673</v>
      </c>
      <c r="B2119" s="2" t="s">
        <v>2939</v>
      </c>
      <c r="C2119" s="2" t="s">
        <v>2915</v>
      </c>
      <c r="D2119" s="2" t="s">
        <v>10</v>
      </c>
      <c r="E2119" s="2" t="s">
        <v>11</v>
      </c>
      <c r="F2119" s="2">
        <v>2</v>
      </c>
      <c r="G2119" s="2" t="s">
        <v>12</v>
      </c>
    </row>
    <row r="2120" spans="1:7" x14ac:dyDescent="0.2">
      <c r="A2120" s="2" t="s">
        <v>2673</v>
      </c>
      <c r="B2120" s="2" t="s">
        <v>2940</v>
      </c>
      <c r="C2120" s="2" t="s">
        <v>2918</v>
      </c>
      <c r="D2120" s="2" t="s">
        <v>10</v>
      </c>
      <c r="E2120" s="2" t="s">
        <v>11</v>
      </c>
      <c r="F2120" s="2">
        <v>2</v>
      </c>
      <c r="G2120" s="2" t="s">
        <v>12</v>
      </c>
    </row>
    <row r="2121" spans="1:7" x14ac:dyDescent="0.2">
      <c r="A2121" s="2" t="s">
        <v>2673</v>
      </c>
      <c r="B2121" s="2" t="s">
        <v>2941</v>
      </c>
      <c r="C2121" s="2" t="s">
        <v>2942</v>
      </c>
      <c r="D2121" s="2" t="s">
        <v>10</v>
      </c>
      <c r="E2121" s="2" t="s">
        <v>11</v>
      </c>
      <c r="F2121" s="2">
        <v>2</v>
      </c>
      <c r="G2121" s="2" t="s">
        <v>12</v>
      </c>
    </row>
    <row r="2122" spans="1:7" x14ac:dyDescent="0.2">
      <c r="A2122" s="2" t="s">
        <v>2673</v>
      </c>
      <c r="B2122" s="2" t="s">
        <v>2943</v>
      </c>
      <c r="C2122" s="2" t="s">
        <v>2942</v>
      </c>
      <c r="D2122" s="2" t="s">
        <v>10</v>
      </c>
      <c r="E2122" s="2" t="s">
        <v>11</v>
      </c>
      <c r="F2122" s="2">
        <v>2</v>
      </c>
      <c r="G2122" s="2" t="s">
        <v>12</v>
      </c>
    </row>
    <row r="2123" spans="1:7" x14ac:dyDescent="0.2">
      <c r="A2123" s="2" t="s">
        <v>2673</v>
      </c>
      <c r="B2123" s="2" t="s">
        <v>2944</v>
      </c>
      <c r="C2123" s="2" t="s">
        <v>2945</v>
      </c>
      <c r="D2123" s="2" t="s">
        <v>10</v>
      </c>
      <c r="E2123" s="2" t="s">
        <v>11</v>
      </c>
      <c r="F2123" s="2">
        <v>1</v>
      </c>
      <c r="G2123" s="2" t="s">
        <v>12</v>
      </c>
    </row>
    <row r="2124" spans="1:7" x14ac:dyDescent="0.2">
      <c r="A2124" s="2" t="s">
        <v>2673</v>
      </c>
      <c r="B2124" s="2" t="s">
        <v>831</v>
      </c>
      <c r="C2124" s="2" t="s">
        <v>2945</v>
      </c>
      <c r="D2124" s="2" t="s">
        <v>10</v>
      </c>
      <c r="E2124" s="2" t="s">
        <v>11</v>
      </c>
      <c r="F2124" s="2">
        <v>1</v>
      </c>
      <c r="G2124" s="2" t="s">
        <v>12</v>
      </c>
    </row>
    <row r="2125" spans="1:7" x14ac:dyDescent="0.2">
      <c r="A2125" s="2" t="s">
        <v>2946</v>
      </c>
      <c r="B2125" s="2" t="s">
        <v>2947</v>
      </c>
      <c r="C2125" s="2" t="s">
        <v>2948</v>
      </c>
      <c r="D2125" s="2" t="s">
        <v>29</v>
      </c>
      <c r="E2125" s="2" t="s">
        <v>16</v>
      </c>
      <c r="F2125" s="2">
        <v>2</v>
      </c>
      <c r="G2125" s="2" t="s">
        <v>12</v>
      </c>
    </row>
    <row r="2126" spans="1:7" x14ac:dyDescent="0.2">
      <c r="A2126" s="2" t="s">
        <v>2946</v>
      </c>
      <c r="B2126" s="2" t="s">
        <v>1971</v>
      </c>
      <c r="C2126" s="2" t="s">
        <v>2948</v>
      </c>
      <c r="D2126" s="2" t="s">
        <v>29</v>
      </c>
      <c r="E2126" s="2" t="s">
        <v>16</v>
      </c>
      <c r="F2126" s="2">
        <v>2</v>
      </c>
      <c r="G2126" s="2" t="s">
        <v>12</v>
      </c>
    </row>
    <row r="2127" spans="1:7" x14ac:dyDescent="0.2">
      <c r="A2127" s="2" t="s">
        <v>2946</v>
      </c>
      <c r="B2127" s="2" t="s">
        <v>2949</v>
      </c>
      <c r="C2127" s="2" t="s">
        <v>2948</v>
      </c>
      <c r="D2127" s="2" t="s">
        <v>29</v>
      </c>
      <c r="E2127" s="2" t="s">
        <v>16</v>
      </c>
      <c r="F2127" s="2">
        <v>2</v>
      </c>
      <c r="G2127" s="2" t="s">
        <v>12</v>
      </c>
    </row>
    <row r="2128" spans="1:7" x14ac:dyDescent="0.2">
      <c r="A2128" s="2" t="s">
        <v>2950</v>
      </c>
      <c r="B2128" s="2">
        <v>107</v>
      </c>
      <c r="C2128" s="2" t="s">
        <v>2951</v>
      </c>
      <c r="D2128" s="2" t="s">
        <v>56</v>
      </c>
      <c r="E2128" s="2" t="s">
        <v>52</v>
      </c>
      <c r="F2128" s="2">
        <v>2</v>
      </c>
      <c r="G2128" s="2" t="s">
        <v>12</v>
      </c>
    </row>
    <row r="2129" spans="1:7" x14ac:dyDescent="0.2">
      <c r="A2129" s="2" t="s">
        <v>2950</v>
      </c>
      <c r="B2129" s="2">
        <v>114</v>
      </c>
      <c r="C2129" s="2" t="s">
        <v>875</v>
      </c>
      <c r="D2129" s="2" t="s">
        <v>56</v>
      </c>
      <c r="E2129" s="2" t="s">
        <v>52</v>
      </c>
      <c r="F2129" s="2">
        <v>2</v>
      </c>
      <c r="G2129" s="2" t="s">
        <v>12</v>
      </c>
    </row>
    <row r="2130" spans="1:7" x14ac:dyDescent="0.2">
      <c r="A2130" s="2" t="s">
        <v>2950</v>
      </c>
      <c r="B2130" s="2">
        <v>234</v>
      </c>
      <c r="C2130" s="2" t="s">
        <v>875</v>
      </c>
      <c r="D2130" s="2" t="s">
        <v>56</v>
      </c>
      <c r="E2130" s="2" t="s">
        <v>52</v>
      </c>
      <c r="F2130" s="2">
        <v>2</v>
      </c>
      <c r="G2130" s="2" t="s">
        <v>12</v>
      </c>
    </row>
    <row r="2131" spans="1:7" x14ac:dyDescent="0.2">
      <c r="A2131" s="2" t="s">
        <v>2950</v>
      </c>
      <c r="B2131" s="2">
        <v>414</v>
      </c>
      <c r="C2131" s="2" t="s">
        <v>875</v>
      </c>
      <c r="D2131" s="2" t="s">
        <v>56</v>
      </c>
      <c r="E2131" s="2" t="s">
        <v>52</v>
      </c>
      <c r="F2131" s="2">
        <v>2</v>
      </c>
      <c r="G2131" s="2" t="s">
        <v>12</v>
      </c>
    </row>
    <row r="2132" spans="1:7" x14ac:dyDescent="0.2">
      <c r="A2132" s="2" t="s">
        <v>2950</v>
      </c>
      <c r="B2132" s="2" t="s">
        <v>2952</v>
      </c>
      <c r="C2132" s="2" t="s">
        <v>2951</v>
      </c>
      <c r="D2132" s="2" t="s">
        <v>56</v>
      </c>
      <c r="E2132" s="2" t="s">
        <v>52</v>
      </c>
      <c r="F2132" s="2">
        <v>2</v>
      </c>
      <c r="G2132" s="2" t="s">
        <v>12</v>
      </c>
    </row>
    <row r="2133" spans="1:7" x14ac:dyDescent="0.2">
      <c r="A2133" s="2" t="s">
        <v>2950</v>
      </c>
      <c r="B2133" s="2" t="s">
        <v>2774</v>
      </c>
      <c r="C2133" s="2" t="s">
        <v>875</v>
      </c>
      <c r="D2133" s="2" t="s">
        <v>56</v>
      </c>
      <c r="E2133" s="2" t="s">
        <v>52</v>
      </c>
      <c r="F2133" s="2">
        <v>2</v>
      </c>
      <c r="G2133" s="2" t="s">
        <v>12</v>
      </c>
    </row>
    <row r="2134" spans="1:7" x14ac:dyDescent="0.2">
      <c r="A2134" s="2" t="s">
        <v>2950</v>
      </c>
      <c r="B2134" s="2" t="s">
        <v>2953</v>
      </c>
      <c r="C2134" s="2" t="s">
        <v>2951</v>
      </c>
      <c r="D2134" s="2" t="s">
        <v>56</v>
      </c>
      <c r="E2134" s="2" t="s">
        <v>52</v>
      </c>
      <c r="F2134" s="2">
        <v>2</v>
      </c>
      <c r="G2134" s="2" t="s">
        <v>12</v>
      </c>
    </row>
    <row r="2135" spans="1:7" x14ac:dyDescent="0.2">
      <c r="A2135" s="2" t="s">
        <v>2950</v>
      </c>
      <c r="B2135" s="2" t="s">
        <v>876</v>
      </c>
      <c r="C2135" s="2" t="s">
        <v>875</v>
      </c>
      <c r="D2135" s="2" t="s">
        <v>56</v>
      </c>
      <c r="E2135" s="2" t="s">
        <v>52</v>
      </c>
      <c r="F2135" s="2">
        <v>2</v>
      </c>
      <c r="G2135" s="2" t="s">
        <v>12</v>
      </c>
    </row>
    <row r="2136" spans="1:7" x14ac:dyDescent="0.2">
      <c r="A2136" s="2" t="s">
        <v>2950</v>
      </c>
      <c r="B2136" s="2" t="s">
        <v>2954</v>
      </c>
      <c r="C2136" s="2" t="s">
        <v>2951</v>
      </c>
      <c r="D2136" s="2" t="s">
        <v>56</v>
      </c>
      <c r="E2136" s="2" t="s">
        <v>52</v>
      </c>
      <c r="F2136" s="2">
        <v>2</v>
      </c>
      <c r="G2136" s="2" t="s">
        <v>12</v>
      </c>
    </row>
    <row r="2137" spans="1:7" x14ac:dyDescent="0.2">
      <c r="A2137" s="2" t="s">
        <v>2950</v>
      </c>
      <c r="B2137" s="2" t="s">
        <v>2955</v>
      </c>
      <c r="C2137" s="2" t="s">
        <v>2951</v>
      </c>
      <c r="D2137" s="2" t="s">
        <v>56</v>
      </c>
      <c r="E2137" s="2" t="s">
        <v>52</v>
      </c>
      <c r="F2137" s="2">
        <v>2</v>
      </c>
      <c r="G2137" s="2" t="s">
        <v>12</v>
      </c>
    </row>
    <row r="2138" spans="1:7" x14ac:dyDescent="0.2">
      <c r="A2138" s="2" t="s">
        <v>2950</v>
      </c>
      <c r="B2138" s="2" t="s">
        <v>2883</v>
      </c>
      <c r="C2138" s="2" t="s">
        <v>875</v>
      </c>
      <c r="D2138" s="2" t="s">
        <v>56</v>
      </c>
      <c r="E2138" s="2" t="s">
        <v>52</v>
      </c>
      <c r="F2138" s="2">
        <v>2</v>
      </c>
      <c r="G2138" s="2" t="s">
        <v>12</v>
      </c>
    </row>
    <row r="2139" spans="1:7" x14ac:dyDescent="0.2">
      <c r="A2139" s="2" t="s">
        <v>2950</v>
      </c>
      <c r="B2139" s="2" t="s">
        <v>2956</v>
      </c>
      <c r="C2139" s="2" t="s">
        <v>2951</v>
      </c>
      <c r="D2139" s="2" t="s">
        <v>56</v>
      </c>
      <c r="E2139" s="2" t="s">
        <v>52</v>
      </c>
      <c r="F2139" s="2">
        <v>2</v>
      </c>
      <c r="G2139" s="2" t="s">
        <v>12</v>
      </c>
    </row>
    <row r="2140" spans="1:7" x14ac:dyDescent="0.2">
      <c r="A2140" s="2" t="s">
        <v>2950</v>
      </c>
      <c r="B2140" s="2" t="s">
        <v>2851</v>
      </c>
      <c r="C2140" s="2" t="s">
        <v>875</v>
      </c>
      <c r="D2140" s="2" t="s">
        <v>56</v>
      </c>
      <c r="E2140" s="2" t="s">
        <v>52</v>
      </c>
      <c r="F2140" s="2">
        <v>2</v>
      </c>
      <c r="G2140" s="2" t="s">
        <v>12</v>
      </c>
    </row>
    <row r="2141" spans="1:7" x14ac:dyDescent="0.2">
      <c r="A2141" s="2" t="s">
        <v>2950</v>
      </c>
      <c r="B2141" s="2" t="s">
        <v>2957</v>
      </c>
      <c r="C2141" s="2" t="s">
        <v>2951</v>
      </c>
      <c r="D2141" s="2" t="s">
        <v>56</v>
      </c>
      <c r="E2141" s="2" t="s">
        <v>52</v>
      </c>
      <c r="F2141" s="2">
        <v>2</v>
      </c>
      <c r="G2141" s="2" t="s">
        <v>12</v>
      </c>
    </row>
    <row r="2142" spans="1:7" x14ac:dyDescent="0.2">
      <c r="A2142" s="2" t="s">
        <v>2950</v>
      </c>
      <c r="B2142" s="2" t="s">
        <v>2958</v>
      </c>
      <c r="C2142" s="2" t="s">
        <v>2951</v>
      </c>
      <c r="D2142" s="2" t="s">
        <v>56</v>
      </c>
      <c r="E2142" s="2" t="s">
        <v>52</v>
      </c>
      <c r="F2142" s="2">
        <v>2</v>
      </c>
      <c r="G2142" s="2" t="s">
        <v>12</v>
      </c>
    </row>
    <row r="2143" spans="1:7" x14ac:dyDescent="0.2">
      <c r="A2143" s="2" t="s">
        <v>2959</v>
      </c>
      <c r="B2143" s="2" t="s">
        <v>2960</v>
      </c>
      <c r="C2143" s="2" t="s">
        <v>812</v>
      </c>
      <c r="D2143" s="2" t="s">
        <v>56</v>
      </c>
      <c r="E2143" s="2" t="s">
        <v>52</v>
      </c>
      <c r="F2143" s="2">
        <v>2</v>
      </c>
      <c r="G2143" s="2" t="s">
        <v>17</v>
      </c>
    </row>
    <row r="2144" spans="1:7" x14ac:dyDescent="0.2">
      <c r="A2144" s="2" t="s">
        <v>2959</v>
      </c>
      <c r="B2144" s="2" t="s">
        <v>2961</v>
      </c>
      <c r="C2144" s="2" t="s">
        <v>812</v>
      </c>
      <c r="D2144" s="2" t="s">
        <v>56</v>
      </c>
      <c r="E2144" s="2" t="s">
        <v>52</v>
      </c>
      <c r="F2144" s="2">
        <v>2</v>
      </c>
      <c r="G2144" s="2" t="s">
        <v>17</v>
      </c>
    </row>
    <row r="2145" spans="1:7" x14ac:dyDescent="0.2">
      <c r="A2145" s="2" t="s">
        <v>2962</v>
      </c>
      <c r="B2145" s="2" t="s">
        <v>2963</v>
      </c>
      <c r="C2145" s="2" t="s">
        <v>2964</v>
      </c>
      <c r="D2145" s="2" t="s">
        <v>10</v>
      </c>
      <c r="E2145" s="2" t="s">
        <v>16</v>
      </c>
      <c r="F2145" s="2">
        <v>1</v>
      </c>
      <c r="G2145" s="2" t="s">
        <v>17</v>
      </c>
    </row>
    <row r="2146" spans="1:7" x14ac:dyDescent="0.2">
      <c r="A2146" s="2" t="s">
        <v>2965</v>
      </c>
      <c r="B2146" s="2" t="s">
        <v>2966</v>
      </c>
      <c r="C2146" s="2" t="s">
        <v>2967</v>
      </c>
      <c r="D2146" s="2" t="s">
        <v>10</v>
      </c>
      <c r="E2146" s="2" t="s">
        <v>16</v>
      </c>
      <c r="F2146" s="2">
        <v>1</v>
      </c>
      <c r="G2146" s="2" t="s">
        <v>17</v>
      </c>
    </row>
    <row r="2147" spans="1:7" x14ac:dyDescent="0.2">
      <c r="A2147" s="2" t="s">
        <v>2965</v>
      </c>
      <c r="B2147" s="2" t="s">
        <v>2968</v>
      </c>
      <c r="C2147" s="2" t="s">
        <v>2967</v>
      </c>
      <c r="D2147" s="2" t="s">
        <v>10</v>
      </c>
      <c r="E2147" s="2" t="s">
        <v>16</v>
      </c>
      <c r="F2147" s="2">
        <v>1</v>
      </c>
      <c r="G2147" s="2" t="s">
        <v>17</v>
      </c>
    </row>
    <row r="2148" spans="1:7" x14ac:dyDescent="0.2">
      <c r="A2148" s="2" t="s">
        <v>2965</v>
      </c>
      <c r="B2148" s="2" t="s">
        <v>2969</v>
      </c>
      <c r="C2148" s="2" t="s">
        <v>2967</v>
      </c>
      <c r="D2148" s="2" t="s">
        <v>10</v>
      </c>
      <c r="E2148" s="2" t="s">
        <v>16</v>
      </c>
      <c r="F2148" s="2">
        <v>1</v>
      </c>
      <c r="G2148" s="2" t="s">
        <v>17</v>
      </c>
    </row>
    <row r="2149" spans="1:7" x14ac:dyDescent="0.2">
      <c r="A2149" s="2" t="s">
        <v>2965</v>
      </c>
      <c r="B2149" s="2" t="s">
        <v>2970</v>
      </c>
      <c r="C2149" s="2" t="s">
        <v>2967</v>
      </c>
      <c r="D2149" s="2" t="s">
        <v>10</v>
      </c>
      <c r="E2149" s="2" t="s">
        <v>16</v>
      </c>
      <c r="F2149" s="2">
        <v>1</v>
      </c>
      <c r="G2149" s="2" t="s">
        <v>17</v>
      </c>
    </row>
    <row r="2150" spans="1:7" x14ac:dyDescent="0.2">
      <c r="A2150" s="2" t="s">
        <v>2965</v>
      </c>
      <c r="B2150" s="2" t="s">
        <v>2971</v>
      </c>
      <c r="C2150" s="2" t="s">
        <v>2967</v>
      </c>
      <c r="D2150" s="2" t="s">
        <v>10</v>
      </c>
      <c r="E2150" s="2" t="s">
        <v>16</v>
      </c>
      <c r="F2150" s="2">
        <v>1</v>
      </c>
      <c r="G2150" s="2" t="s">
        <v>17</v>
      </c>
    </row>
    <row r="2151" spans="1:7" x14ac:dyDescent="0.2">
      <c r="A2151" s="2" t="s">
        <v>2965</v>
      </c>
      <c r="B2151" s="2" t="s">
        <v>2972</v>
      </c>
      <c r="C2151" s="2" t="s">
        <v>2967</v>
      </c>
      <c r="D2151" s="2" t="s">
        <v>10</v>
      </c>
      <c r="E2151" s="2" t="s">
        <v>16</v>
      </c>
      <c r="F2151" s="2">
        <v>1</v>
      </c>
      <c r="G2151" s="2" t="s">
        <v>17</v>
      </c>
    </row>
    <row r="2152" spans="1:7" x14ac:dyDescent="0.2">
      <c r="A2152" s="2" t="s">
        <v>2965</v>
      </c>
      <c r="B2152" s="2" t="s">
        <v>2973</v>
      </c>
      <c r="C2152" s="2" t="s">
        <v>2967</v>
      </c>
      <c r="D2152" s="2" t="s">
        <v>10</v>
      </c>
      <c r="E2152" s="2" t="s">
        <v>16</v>
      </c>
      <c r="F2152" s="2">
        <v>1</v>
      </c>
      <c r="G2152" s="2" t="s">
        <v>17</v>
      </c>
    </row>
    <row r="2153" spans="1:7" x14ac:dyDescent="0.2">
      <c r="A2153" s="2" t="s">
        <v>2965</v>
      </c>
      <c r="B2153" s="2" t="s">
        <v>2974</v>
      </c>
      <c r="C2153" s="2" t="s">
        <v>2967</v>
      </c>
      <c r="D2153" s="2" t="s">
        <v>10</v>
      </c>
      <c r="E2153" s="2" t="s">
        <v>16</v>
      </c>
      <c r="F2153" s="2">
        <v>1</v>
      </c>
      <c r="G2153" s="2" t="s">
        <v>17</v>
      </c>
    </row>
    <row r="2154" spans="1:7" x14ac:dyDescent="0.2">
      <c r="A2154" s="2" t="s">
        <v>2975</v>
      </c>
      <c r="B2154" s="2" t="s">
        <v>2976</v>
      </c>
      <c r="C2154" s="2" t="s">
        <v>2977</v>
      </c>
      <c r="D2154" s="2" t="s">
        <v>56</v>
      </c>
      <c r="E2154" s="2" t="s">
        <v>52</v>
      </c>
      <c r="F2154" s="2">
        <v>2</v>
      </c>
      <c r="G2154" s="2" t="s">
        <v>17</v>
      </c>
    </row>
    <row r="2155" spans="1:7" x14ac:dyDescent="0.2">
      <c r="A2155" s="2" t="s">
        <v>2975</v>
      </c>
      <c r="B2155" s="2" t="s">
        <v>2978</v>
      </c>
      <c r="C2155" s="2" t="s">
        <v>1595</v>
      </c>
      <c r="D2155" s="2" t="s">
        <v>10</v>
      </c>
      <c r="E2155" s="2" t="s">
        <v>16</v>
      </c>
      <c r="F2155" s="2">
        <v>1</v>
      </c>
      <c r="G2155" s="2" t="s">
        <v>17</v>
      </c>
    </row>
    <row r="2156" spans="1:7" x14ac:dyDescent="0.2">
      <c r="A2156" s="2" t="s">
        <v>2975</v>
      </c>
      <c r="B2156" s="2" t="s">
        <v>2979</v>
      </c>
      <c r="C2156" s="2" t="s">
        <v>2980</v>
      </c>
      <c r="D2156" s="2" t="s">
        <v>10</v>
      </c>
      <c r="E2156" s="2" t="s">
        <v>16</v>
      </c>
      <c r="F2156" s="2">
        <v>1</v>
      </c>
      <c r="G2156" s="2" t="s">
        <v>17</v>
      </c>
    </row>
    <row r="2157" spans="1:7" x14ac:dyDescent="0.2">
      <c r="A2157" s="2" t="s">
        <v>2975</v>
      </c>
      <c r="B2157" s="2" t="s">
        <v>2981</v>
      </c>
      <c r="C2157" s="2" t="s">
        <v>2982</v>
      </c>
      <c r="D2157" s="2" t="s">
        <v>10</v>
      </c>
      <c r="E2157" s="2" t="s">
        <v>16</v>
      </c>
      <c r="F2157" s="2">
        <v>1</v>
      </c>
      <c r="G2157" s="2" t="s">
        <v>17</v>
      </c>
    </row>
    <row r="2158" spans="1:7" x14ac:dyDescent="0.2">
      <c r="A2158" s="2" t="s">
        <v>2975</v>
      </c>
      <c r="B2158" s="2" t="s">
        <v>2574</v>
      </c>
      <c r="C2158" s="2" t="s">
        <v>1595</v>
      </c>
      <c r="D2158" s="2" t="s">
        <v>10</v>
      </c>
      <c r="E2158" s="2" t="s">
        <v>16</v>
      </c>
      <c r="F2158" s="2">
        <v>1</v>
      </c>
      <c r="G2158" s="2" t="s">
        <v>17</v>
      </c>
    </row>
    <row r="2159" spans="1:7" x14ac:dyDescent="0.2">
      <c r="A2159" s="2" t="s">
        <v>2975</v>
      </c>
      <c r="B2159" s="2" t="s">
        <v>2983</v>
      </c>
      <c r="C2159" s="2" t="s">
        <v>2982</v>
      </c>
      <c r="D2159" s="2" t="s">
        <v>10</v>
      </c>
      <c r="E2159" s="2" t="s">
        <v>16</v>
      </c>
      <c r="F2159" s="2">
        <v>1</v>
      </c>
      <c r="G2159" s="2" t="s">
        <v>17</v>
      </c>
    </row>
    <row r="2160" spans="1:7" x14ac:dyDescent="0.2">
      <c r="A2160" s="2" t="s">
        <v>2975</v>
      </c>
      <c r="B2160" s="2" t="s">
        <v>2984</v>
      </c>
      <c r="C2160" s="2" t="s">
        <v>2980</v>
      </c>
      <c r="D2160" s="2" t="s">
        <v>10</v>
      </c>
      <c r="E2160" s="2" t="s">
        <v>16</v>
      </c>
      <c r="F2160" s="2">
        <v>1</v>
      </c>
      <c r="G2160" s="2" t="s">
        <v>17</v>
      </c>
    </row>
    <row r="2161" spans="1:7" x14ac:dyDescent="0.2">
      <c r="A2161" s="2" t="s">
        <v>2975</v>
      </c>
      <c r="B2161" s="2" t="s">
        <v>2985</v>
      </c>
      <c r="C2161" s="2" t="s">
        <v>2982</v>
      </c>
      <c r="D2161" s="2" t="s">
        <v>10</v>
      </c>
      <c r="E2161" s="2" t="s">
        <v>16</v>
      </c>
      <c r="F2161" s="2">
        <v>1</v>
      </c>
      <c r="G2161" s="2" t="s">
        <v>17</v>
      </c>
    </row>
    <row r="2162" spans="1:7" x14ac:dyDescent="0.2">
      <c r="A2162" s="2" t="s">
        <v>2986</v>
      </c>
      <c r="B2162" s="2" t="s">
        <v>2987</v>
      </c>
      <c r="C2162" s="2" t="s">
        <v>2988</v>
      </c>
      <c r="D2162" s="2" t="s">
        <v>10</v>
      </c>
      <c r="E2162" s="2" t="s">
        <v>11</v>
      </c>
      <c r="F2162" s="2">
        <v>2</v>
      </c>
      <c r="G2162" s="2" t="s">
        <v>12</v>
      </c>
    </row>
    <row r="2163" spans="1:7" x14ac:dyDescent="0.2">
      <c r="A2163" s="2" t="s">
        <v>2986</v>
      </c>
      <c r="B2163" s="2" t="s">
        <v>2989</v>
      </c>
      <c r="C2163" s="2" t="s">
        <v>2990</v>
      </c>
      <c r="D2163" s="2" t="s">
        <v>10</v>
      </c>
      <c r="E2163" s="2" t="s">
        <v>11</v>
      </c>
      <c r="F2163" s="2">
        <v>2</v>
      </c>
      <c r="G2163" s="2" t="s">
        <v>12</v>
      </c>
    </row>
    <row r="2164" spans="1:7" x14ac:dyDescent="0.2">
      <c r="A2164" s="2" t="s">
        <v>2986</v>
      </c>
      <c r="B2164" s="2" t="s">
        <v>2991</v>
      </c>
      <c r="C2164" s="2" t="s">
        <v>2990</v>
      </c>
      <c r="D2164" s="2" t="s">
        <v>10</v>
      </c>
      <c r="E2164" s="2" t="s">
        <v>11</v>
      </c>
      <c r="F2164" s="2">
        <v>2</v>
      </c>
      <c r="G2164" s="2" t="s">
        <v>12</v>
      </c>
    </row>
    <row r="2165" spans="1:7" x14ac:dyDescent="0.2">
      <c r="A2165" s="2" t="s">
        <v>2986</v>
      </c>
      <c r="B2165" s="2" t="s">
        <v>2992</v>
      </c>
      <c r="C2165" s="2" t="s">
        <v>2993</v>
      </c>
      <c r="D2165" s="2" t="s">
        <v>10</v>
      </c>
      <c r="E2165" s="2" t="s">
        <v>11</v>
      </c>
      <c r="F2165" s="2">
        <v>2</v>
      </c>
      <c r="G2165" s="2" t="s">
        <v>12</v>
      </c>
    </row>
    <row r="2166" spans="1:7" x14ac:dyDescent="0.2">
      <c r="A2166" s="2" t="s">
        <v>2986</v>
      </c>
      <c r="B2166" s="2" t="s">
        <v>2994</v>
      </c>
      <c r="C2166" s="2" t="s">
        <v>2993</v>
      </c>
      <c r="D2166" s="2" t="s">
        <v>10</v>
      </c>
      <c r="E2166" s="2" t="s">
        <v>11</v>
      </c>
      <c r="F2166" s="2">
        <v>2</v>
      </c>
      <c r="G2166" s="2" t="s">
        <v>12</v>
      </c>
    </row>
    <row r="2167" spans="1:7" x14ac:dyDescent="0.2">
      <c r="A2167" s="2" t="s">
        <v>2986</v>
      </c>
      <c r="B2167" s="2" t="s">
        <v>2995</v>
      </c>
      <c r="C2167" s="2" t="s">
        <v>2996</v>
      </c>
      <c r="D2167" s="2" t="s">
        <v>10</v>
      </c>
      <c r="E2167" s="2" t="s">
        <v>11</v>
      </c>
      <c r="F2167" s="2">
        <v>2</v>
      </c>
      <c r="G2167" s="2" t="s">
        <v>12</v>
      </c>
    </row>
    <row r="2168" spans="1:7" x14ac:dyDescent="0.2">
      <c r="A2168" s="2" t="s">
        <v>2986</v>
      </c>
      <c r="B2168" s="2" t="s">
        <v>2997</v>
      </c>
      <c r="C2168" s="2" t="s">
        <v>2996</v>
      </c>
      <c r="D2168" s="2" t="s">
        <v>10</v>
      </c>
      <c r="E2168" s="2" t="s">
        <v>11</v>
      </c>
      <c r="F2168" s="2">
        <v>2</v>
      </c>
      <c r="G2168" s="2" t="s">
        <v>12</v>
      </c>
    </row>
    <row r="2169" spans="1:7" x14ac:dyDescent="0.2">
      <c r="A2169" s="2" t="s">
        <v>2986</v>
      </c>
      <c r="B2169" s="2" t="s">
        <v>2998</v>
      </c>
      <c r="C2169" s="2" t="s">
        <v>1136</v>
      </c>
      <c r="D2169" s="2" t="s">
        <v>10</v>
      </c>
      <c r="E2169" s="2" t="s">
        <v>11</v>
      </c>
      <c r="F2169" s="2">
        <v>2</v>
      </c>
      <c r="G2169" s="2" t="s">
        <v>12</v>
      </c>
    </row>
    <row r="2170" spans="1:7" x14ac:dyDescent="0.2">
      <c r="A2170" s="2" t="s">
        <v>2986</v>
      </c>
      <c r="B2170" s="2" t="s">
        <v>2999</v>
      </c>
      <c r="C2170" s="2" t="s">
        <v>1138</v>
      </c>
      <c r="D2170" s="2" t="s">
        <v>10</v>
      </c>
      <c r="E2170" s="2" t="s">
        <v>11</v>
      </c>
      <c r="F2170" s="2">
        <v>2</v>
      </c>
      <c r="G2170" s="2" t="s">
        <v>12</v>
      </c>
    </row>
    <row r="2171" spans="1:7" x14ac:dyDescent="0.2">
      <c r="A2171" s="2" t="s">
        <v>2986</v>
      </c>
      <c r="B2171" s="2" t="s">
        <v>3000</v>
      </c>
      <c r="C2171" s="2" t="s">
        <v>3001</v>
      </c>
      <c r="D2171" s="2" t="s">
        <v>10</v>
      </c>
      <c r="E2171" s="2" t="s">
        <v>11</v>
      </c>
      <c r="F2171" s="2">
        <v>2</v>
      </c>
      <c r="G2171" s="2" t="s">
        <v>12</v>
      </c>
    </row>
    <row r="2172" spans="1:7" x14ac:dyDescent="0.2">
      <c r="A2172" s="2" t="s">
        <v>2986</v>
      </c>
      <c r="B2172" s="2" t="s">
        <v>3002</v>
      </c>
      <c r="C2172" s="2" t="s">
        <v>2988</v>
      </c>
      <c r="D2172" s="2" t="s">
        <v>10</v>
      </c>
      <c r="E2172" s="2" t="s">
        <v>11</v>
      </c>
      <c r="F2172" s="2">
        <v>2</v>
      </c>
      <c r="G2172" s="2" t="s">
        <v>12</v>
      </c>
    </row>
    <row r="2173" spans="1:7" x14ac:dyDescent="0.2">
      <c r="A2173" s="2" t="s">
        <v>2986</v>
      </c>
      <c r="B2173" s="2" t="s">
        <v>3003</v>
      </c>
      <c r="C2173" s="2" t="s">
        <v>2990</v>
      </c>
      <c r="D2173" s="2" t="s">
        <v>10</v>
      </c>
      <c r="E2173" s="2" t="s">
        <v>11</v>
      </c>
      <c r="F2173" s="2">
        <v>2</v>
      </c>
      <c r="G2173" s="2" t="s">
        <v>12</v>
      </c>
    </row>
    <row r="2174" spans="1:7" x14ac:dyDescent="0.2">
      <c r="A2174" s="2" t="s">
        <v>2986</v>
      </c>
      <c r="B2174" s="2" t="s">
        <v>3004</v>
      </c>
      <c r="C2174" s="2" t="s">
        <v>3001</v>
      </c>
      <c r="D2174" s="2" t="s">
        <v>10</v>
      </c>
      <c r="E2174" s="2" t="s">
        <v>11</v>
      </c>
      <c r="F2174" s="2">
        <v>2</v>
      </c>
      <c r="G2174" s="2" t="s">
        <v>12</v>
      </c>
    </row>
    <row r="2175" spans="1:7" x14ac:dyDescent="0.2">
      <c r="A2175" s="2" t="s">
        <v>2986</v>
      </c>
      <c r="B2175" s="2" t="s">
        <v>3005</v>
      </c>
      <c r="C2175" s="2" t="s">
        <v>2988</v>
      </c>
      <c r="D2175" s="2" t="s">
        <v>10</v>
      </c>
      <c r="E2175" s="2" t="s">
        <v>11</v>
      </c>
      <c r="F2175" s="2">
        <v>2</v>
      </c>
      <c r="G2175" s="2" t="s">
        <v>12</v>
      </c>
    </row>
    <row r="2176" spans="1:7" x14ac:dyDescent="0.2">
      <c r="A2176" s="2" t="s">
        <v>2986</v>
      </c>
      <c r="B2176" s="2" t="s">
        <v>3006</v>
      </c>
      <c r="C2176" s="2" t="s">
        <v>2990</v>
      </c>
      <c r="D2176" s="2" t="s">
        <v>10</v>
      </c>
      <c r="E2176" s="2" t="s">
        <v>11</v>
      </c>
      <c r="F2176" s="2">
        <v>2</v>
      </c>
      <c r="G2176" s="2" t="s">
        <v>12</v>
      </c>
    </row>
    <row r="2177" spans="1:7" x14ac:dyDescent="0.2">
      <c r="A2177" s="2" t="s">
        <v>2986</v>
      </c>
      <c r="B2177" s="2" t="s">
        <v>3007</v>
      </c>
      <c r="C2177" s="2" t="s">
        <v>3008</v>
      </c>
      <c r="D2177" s="2" t="s">
        <v>10</v>
      </c>
      <c r="E2177" s="2" t="s">
        <v>11</v>
      </c>
      <c r="F2177" s="2">
        <v>2</v>
      </c>
      <c r="G2177" s="2" t="s">
        <v>12</v>
      </c>
    </row>
    <row r="2178" spans="1:7" x14ac:dyDescent="0.2">
      <c r="A2178" s="2" t="s">
        <v>2986</v>
      </c>
      <c r="B2178" s="2" t="s">
        <v>3009</v>
      </c>
      <c r="C2178" s="2" t="s">
        <v>3008</v>
      </c>
      <c r="D2178" s="2" t="s">
        <v>10</v>
      </c>
      <c r="E2178" s="2" t="s">
        <v>11</v>
      </c>
      <c r="F2178" s="2">
        <v>2</v>
      </c>
      <c r="G2178" s="2" t="s">
        <v>12</v>
      </c>
    </row>
    <row r="2179" spans="1:7" x14ac:dyDescent="0.2">
      <c r="A2179" s="2" t="s">
        <v>2986</v>
      </c>
      <c r="B2179" s="2" t="s">
        <v>3010</v>
      </c>
      <c r="C2179" s="2" t="s">
        <v>1136</v>
      </c>
      <c r="D2179" s="2" t="s">
        <v>10</v>
      </c>
      <c r="E2179" s="2" t="s">
        <v>11</v>
      </c>
      <c r="F2179" s="2">
        <v>2</v>
      </c>
      <c r="G2179" s="2" t="s">
        <v>12</v>
      </c>
    </row>
    <row r="2180" spans="1:7" x14ac:dyDescent="0.2">
      <c r="A2180" s="2" t="s">
        <v>2986</v>
      </c>
      <c r="B2180" s="2" t="s">
        <v>3011</v>
      </c>
      <c r="C2180" s="2" t="s">
        <v>1138</v>
      </c>
      <c r="D2180" s="2" t="s">
        <v>10</v>
      </c>
      <c r="E2180" s="2" t="s">
        <v>11</v>
      </c>
      <c r="F2180" s="2">
        <v>2</v>
      </c>
      <c r="G2180" s="2" t="s">
        <v>12</v>
      </c>
    </row>
    <row r="2181" spans="1:7" x14ac:dyDescent="0.2">
      <c r="A2181" s="2" t="s">
        <v>2986</v>
      </c>
      <c r="B2181" s="2" t="s">
        <v>3012</v>
      </c>
      <c r="C2181" s="2" t="s">
        <v>1136</v>
      </c>
      <c r="D2181" s="2" t="s">
        <v>10</v>
      </c>
      <c r="E2181" s="2" t="s">
        <v>11</v>
      </c>
      <c r="F2181" s="2">
        <v>2</v>
      </c>
      <c r="G2181" s="2" t="s">
        <v>12</v>
      </c>
    </row>
    <row r="2182" spans="1:7" x14ac:dyDescent="0.2">
      <c r="A2182" s="2" t="s">
        <v>2986</v>
      </c>
      <c r="B2182" s="2" t="s">
        <v>3013</v>
      </c>
      <c r="C2182" s="2" t="s">
        <v>1138</v>
      </c>
      <c r="D2182" s="2" t="s">
        <v>10</v>
      </c>
      <c r="E2182" s="2" t="s">
        <v>11</v>
      </c>
      <c r="F2182" s="2">
        <v>2</v>
      </c>
      <c r="G2182" s="2" t="s">
        <v>12</v>
      </c>
    </row>
    <row r="2183" spans="1:7" x14ac:dyDescent="0.2">
      <c r="A2183" s="2" t="s">
        <v>2986</v>
      </c>
      <c r="B2183" s="2" t="s">
        <v>3014</v>
      </c>
      <c r="C2183" s="2" t="s">
        <v>2988</v>
      </c>
      <c r="D2183" s="2" t="s">
        <v>10</v>
      </c>
      <c r="E2183" s="2" t="s">
        <v>11</v>
      </c>
      <c r="F2183" s="2">
        <v>2</v>
      </c>
      <c r="G2183" s="2" t="s">
        <v>12</v>
      </c>
    </row>
    <row r="2184" spans="1:7" x14ac:dyDescent="0.2">
      <c r="A2184" s="2" t="s">
        <v>2986</v>
      </c>
      <c r="B2184" s="2" t="s">
        <v>3015</v>
      </c>
      <c r="C2184" s="2" t="s">
        <v>2988</v>
      </c>
      <c r="D2184" s="2" t="s">
        <v>10</v>
      </c>
      <c r="E2184" s="2" t="s">
        <v>11</v>
      </c>
      <c r="F2184" s="2">
        <v>2</v>
      </c>
      <c r="G2184" s="2" t="s">
        <v>12</v>
      </c>
    </row>
    <row r="2185" spans="1:7" x14ac:dyDescent="0.2">
      <c r="A2185" s="2" t="s">
        <v>2986</v>
      </c>
      <c r="B2185" s="2" t="s">
        <v>3016</v>
      </c>
      <c r="C2185" s="2" t="s">
        <v>3017</v>
      </c>
      <c r="D2185" s="2" t="s">
        <v>10</v>
      </c>
      <c r="E2185" s="2" t="s">
        <v>11</v>
      </c>
      <c r="F2185" s="2">
        <v>2</v>
      </c>
      <c r="G2185" s="2" t="s">
        <v>12</v>
      </c>
    </row>
    <row r="2186" spans="1:7" x14ac:dyDescent="0.2">
      <c r="A2186" s="2" t="s">
        <v>2986</v>
      </c>
      <c r="B2186" s="2" t="s">
        <v>3018</v>
      </c>
      <c r="C2186" s="2" t="s">
        <v>3001</v>
      </c>
      <c r="D2186" s="2" t="s">
        <v>10</v>
      </c>
      <c r="E2186" s="2" t="s">
        <v>11</v>
      </c>
      <c r="F2186" s="2">
        <v>2</v>
      </c>
      <c r="G2186" s="2" t="s">
        <v>12</v>
      </c>
    </row>
    <row r="2187" spans="1:7" x14ac:dyDescent="0.2">
      <c r="A2187" s="2" t="s">
        <v>2986</v>
      </c>
      <c r="B2187" s="2" t="s">
        <v>3019</v>
      </c>
      <c r="C2187" s="2" t="s">
        <v>2988</v>
      </c>
      <c r="D2187" s="2" t="s">
        <v>10</v>
      </c>
      <c r="E2187" s="2" t="s">
        <v>11</v>
      </c>
      <c r="F2187" s="2">
        <v>2</v>
      </c>
      <c r="G2187" s="2" t="s">
        <v>12</v>
      </c>
    </row>
    <row r="2188" spans="1:7" x14ac:dyDescent="0.2">
      <c r="A2188" s="2" t="s">
        <v>2986</v>
      </c>
      <c r="B2188" s="2" t="s">
        <v>3020</v>
      </c>
      <c r="C2188" s="2" t="s">
        <v>3017</v>
      </c>
      <c r="D2188" s="2" t="s">
        <v>10</v>
      </c>
      <c r="E2188" s="2" t="s">
        <v>11</v>
      </c>
      <c r="F2188" s="2">
        <v>2</v>
      </c>
      <c r="G2188" s="2" t="s">
        <v>12</v>
      </c>
    </row>
    <row r="2189" spans="1:7" x14ac:dyDescent="0.2">
      <c r="A2189" s="2" t="s">
        <v>2986</v>
      </c>
      <c r="B2189" s="2" t="s">
        <v>3021</v>
      </c>
      <c r="C2189" s="2" t="s">
        <v>3001</v>
      </c>
      <c r="D2189" s="2" t="s">
        <v>10</v>
      </c>
      <c r="E2189" s="2" t="s">
        <v>11</v>
      </c>
      <c r="F2189" s="2">
        <v>2</v>
      </c>
      <c r="G2189" s="2" t="s">
        <v>12</v>
      </c>
    </row>
    <row r="2190" spans="1:7" x14ac:dyDescent="0.2">
      <c r="A2190" s="2" t="s">
        <v>2986</v>
      </c>
      <c r="B2190" s="2" t="s">
        <v>3022</v>
      </c>
      <c r="C2190" s="2" t="s">
        <v>2988</v>
      </c>
      <c r="D2190" s="2" t="s">
        <v>10</v>
      </c>
      <c r="E2190" s="2" t="s">
        <v>11</v>
      </c>
      <c r="F2190" s="2">
        <v>2</v>
      </c>
      <c r="G2190" s="2" t="s">
        <v>12</v>
      </c>
    </row>
    <row r="2191" spans="1:7" x14ac:dyDescent="0.2">
      <c r="A2191" s="2" t="s">
        <v>2986</v>
      </c>
      <c r="B2191" s="2" t="s">
        <v>2485</v>
      </c>
      <c r="C2191" s="2" t="s">
        <v>2988</v>
      </c>
      <c r="D2191" s="2" t="s">
        <v>10</v>
      </c>
      <c r="E2191" s="2" t="s">
        <v>11</v>
      </c>
      <c r="F2191" s="2">
        <v>2</v>
      </c>
      <c r="G2191" s="2" t="s">
        <v>12</v>
      </c>
    </row>
    <row r="2192" spans="1:7" x14ac:dyDescent="0.2">
      <c r="A2192" s="2" t="s">
        <v>2986</v>
      </c>
      <c r="B2192" s="2" t="s">
        <v>3023</v>
      </c>
      <c r="C2192" s="2" t="s">
        <v>3024</v>
      </c>
      <c r="D2192" s="2" t="s">
        <v>10</v>
      </c>
      <c r="E2192" s="2" t="s">
        <v>11</v>
      </c>
      <c r="F2192" s="2">
        <v>2</v>
      </c>
      <c r="G2192" s="2" t="s">
        <v>12</v>
      </c>
    </row>
    <row r="2193" spans="1:7" x14ac:dyDescent="0.2">
      <c r="A2193" s="2" t="s">
        <v>2986</v>
      </c>
      <c r="B2193" s="2" t="s">
        <v>3025</v>
      </c>
      <c r="C2193" s="2" t="s">
        <v>3024</v>
      </c>
      <c r="D2193" s="2" t="s">
        <v>10</v>
      </c>
      <c r="E2193" s="2" t="s">
        <v>11</v>
      </c>
      <c r="F2193" s="2">
        <v>2</v>
      </c>
      <c r="G2193" s="2" t="s">
        <v>12</v>
      </c>
    </row>
    <row r="2194" spans="1:7" x14ac:dyDescent="0.2">
      <c r="A2194" s="2" t="s">
        <v>3026</v>
      </c>
      <c r="B2194" s="2" t="s">
        <v>3027</v>
      </c>
      <c r="C2194" s="2" t="s">
        <v>3028</v>
      </c>
      <c r="D2194" s="2" t="s">
        <v>10</v>
      </c>
      <c r="E2194" s="2" t="s">
        <v>11</v>
      </c>
      <c r="F2194" s="2">
        <v>3</v>
      </c>
      <c r="G2194" s="2" t="s">
        <v>17</v>
      </c>
    </row>
    <row r="2195" spans="1:7" x14ac:dyDescent="0.2">
      <c r="A2195" s="2" t="s">
        <v>3029</v>
      </c>
      <c r="B2195" s="2" t="s">
        <v>3030</v>
      </c>
      <c r="C2195" s="2" t="s">
        <v>2627</v>
      </c>
      <c r="D2195" s="2" t="s">
        <v>10</v>
      </c>
      <c r="E2195" s="2" t="s">
        <v>16</v>
      </c>
      <c r="F2195" s="2">
        <v>1</v>
      </c>
      <c r="G2195" s="2" t="s">
        <v>17</v>
      </c>
    </row>
    <row r="2196" spans="1:7" x14ac:dyDescent="0.2">
      <c r="A2196" s="2" t="s">
        <v>3029</v>
      </c>
      <c r="B2196" s="2" t="s">
        <v>3031</v>
      </c>
      <c r="C2196" s="2" t="s">
        <v>2627</v>
      </c>
      <c r="D2196" s="2" t="s">
        <v>10</v>
      </c>
      <c r="E2196" s="2" t="s">
        <v>16</v>
      </c>
      <c r="F2196" s="2">
        <v>1</v>
      </c>
      <c r="G2196" s="2" t="s">
        <v>17</v>
      </c>
    </row>
    <row r="2197" spans="1:7" x14ac:dyDescent="0.2">
      <c r="A2197" s="2" t="s">
        <v>3032</v>
      </c>
      <c r="B2197" s="2" t="s">
        <v>3033</v>
      </c>
      <c r="C2197" s="2" t="s">
        <v>3034</v>
      </c>
      <c r="D2197" s="2" t="s">
        <v>10</v>
      </c>
      <c r="E2197" s="2" t="s">
        <v>16</v>
      </c>
      <c r="F2197" s="2">
        <v>1</v>
      </c>
      <c r="G2197" s="2" t="s">
        <v>17</v>
      </c>
    </row>
    <row r="2198" spans="1:7" x14ac:dyDescent="0.2">
      <c r="A2198" s="2" t="s">
        <v>3035</v>
      </c>
      <c r="B2198" s="2" t="s">
        <v>3036</v>
      </c>
      <c r="C2198" s="2" t="s">
        <v>3037</v>
      </c>
      <c r="D2198" s="2" t="s">
        <v>10</v>
      </c>
      <c r="E2198" s="2" t="s">
        <v>16</v>
      </c>
      <c r="F2198" s="2">
        <v>1</v>
      </c>
      <c r="G2198" s="2" t="s">
        <v>17</v>
      </c>
    </row>
    <row r="2199" spans="1:7" x14ac:dyDescent="0.2">
      <c r="A2199" s="2" t="s">
        <v>3035</v>
      </c>
      <c r="B2199" s="2" t="s">
        <v>3038</v>
      </c>
      <c r="C2199" s="2" t="s">
        <v>3039</v>
      </c>
      <c r="D2199" s="2" t="s">
        <v>10</v>
      </c>
      <c r="E2199" s="2" t="s">
        <v>16</v>
      </c>
      <c r="F2199" s="2">
        <v>1</v>
      </c>
      <c r="G2199" s="2" t="s">
        <v>17</v>
      </c>
    </row>
    <row r="2200" spans="1:7" x14ac:dyDescent="0.2">
      <c r="A2200" s="2" t="s">
        <v>3040</v>
      </c>
      <c r="B2200" s="2" t="s">
        <v>3041</v>
      </c>
      <c r="C2200" s="2" t="s">
        <v>3042</v>
      </c>
      <c r="D2200" s="2" t="s">
        <v>10</v>
      </c>
      <c r="E2200" s="2" t="s">
        <v>16</v>
      </c>
      <c r="F2200" s="2">
        <v>1</v>
      </c>
      <c r="G2200" s="2" t="s">
        <v>17</v>
      </c>
    </row>
    <row r="2201" spans="1:7" x14ac:dyDescent="0.2">
      <c r="A2201" s="2" t="s">
        <v>3040</v>
      </c>
      <c r="B2201" s="2" t="s">
        <v>3043</v>
      </c>
      <c r="C2201" s="2" t="s">
        <v>3042</v>
      </c>
      <c r="D2201" s="2" t="s">
        <v>10</v>
      </c>
      <c r="E2201" s="2" t="s">
        <v>16</v>
      </c>
      <c r="F2201" s="2">
        <v>1</v>
      </c>
      <c r="G2201" s="2" t="s">
        <v>17</v>
      </c>
    </row>
    <row r="2202" spans="1:7" x14ac:dyDescent="0.2">
      <c r="A2202" s="2" t="s">
        <v>3044</v>
      </c>
      <c r="B2202" s="2" t="s">
        <v>3045</v>
      </c>
      <c r="C2202" s="2" t="s">
        <v>3046</v>
      </c>
      <c r="D2202" s="2" t="s">
        <v>10</v>
      </c>
      <c r="E2202" s="2" t="s">
        <v>16</v>
      </c>
      <c r="F2202" s="2">
        <v>1</v>
      </c>
      <c r="G2202" s="2" t="s">
        <v>17</v>
      </c>
    </row>
    <row r="2203" spans="1:7" x14ac:dyDescent="0.2">
      <c r="A2203" s="2" t="s">
        <v>3044</v>
      </c>
      <c r="B2203" s="2" t="s">
        <v>3047</v>
      </c>
      <c r="C2203" s="2" t="s">
        <v>3046</v>
      </c>
      <c r="D2203" s="2" t="s">
        <v>10</v>
      </c>
      <c r="E2203" s="2" t="s">
        <v>16</v>
      </c>
      <c r="F2203" s="2">
        <v>1</v>
      </c>
      <c r="G2203" s="2" t="s">
        <v>17</v>
      </c>
    </row>
    <row r="2204" spans="1:7" x14ac:dyDescent="0.2">
      <c r="A2204" s="2" t="s">
        <v>3048</v>
      </c>
      <c r="B2204" s="2">
        <v>305</v>
      </c>
      <c r="C2204" s="2" t="s">
        <v>3049</v>
      </c>
      <c r="D2204" s="2" t="s">
        <v>56</v>
      </c>
      <c r="E2204" s="2" t="s">
        <v>16</v>
      </c>
      <c r="F2204" s="2">
        <v>1</v>
      </c>
      <c r="G2204" s="2" t="s">
        <v>17</v>
      </c>
    </row>
    <row r="2205" spans="1:7" x14ac:dyDescent="0.2">
      <c r="A2205" s="2" t="s">
        <v>3048</v>
      </c>
      <c r="B2205" s="2" t="s">
        <v>3050</v>
      </c>
      <c r="C2205" s="2" t="s">
        <v>3051</v>
      </c>
      <c r="D2205" s="2" t="s">
        <v>56</v>
      </c>
      <c r="E2205" s="2" t="s">
        <v>16</v>
      </c>
      <c r="F2205" s="2">
        <v>1</v>
      </c>
      <c r="G2205" s="2" t="s">
        <v>17</v>
      </c>
    </row>
    <row r="2206" spans="1:7" x14ac:dyDescent="0.2">
      <c r="A2206" s="2" t="s">
        <v>3052</v>
      </c>
      <c r="B2206" s="2" t="s">
        <v>3050</v>
      </c>
      <c r="C2206" s="2" t="s">
        <v>3051</v>
      </c>
      <c r="D2206" s="2" t="s">
        <v>56</v>
      </c>
      <c r="E2206" s="2" t="s">
        <v>16</v>
      </c>
      <c r="F2206" s="2">
        <v>1</v>
      </c>
      <c r="G2206" s="2" t="s">
        <v>17</v>
      </c>
    </row>
    <row r="2207" spans="1:7" x14ac:dyDescent="0.2">
      <c r="A2207" s="2" t="s">
        <v>3053</v>
      </c>
      <c r="B2207" s="2" t="s">
        <v>3054</v>
      </c>
      <c r="C2207" s="2" t="s">
        <v>3055</v>
      </c>
      <c r="D2207" s="2" t="s">
        <v>10</v>
      </c>
      <c r="E2207" s="2" t="s">
        <v>16</v>
      </c>
      <c r="F2207" s="2">
        <v>1</v>
      </c>
      <c r="G2207" s="2" t="s">
        <v>17</v>
      </c>
    </row>
    <row r="2208" spans="1:7" x14ac:dyDescent="0.2">
      <c r="A2208" s="2" t="s">
        <v>3053</v>
      </c>
      <c r="B2208" s="2" t="s">
        <v>3056</v>
      </c>
      <c r="C2208" s="2" t="s">
        <v>3057</v>
      </c>
      <c r="D2208" s="2" t="s">
        <v>10</v>
      </c>
      <c r="E2208" s="2" t="s">
        <v>16</v>
      </c>
      <c r="F2208" s="2">
        <v>1</v>
      </c>
      <c r="G2208" s="2" t="s">
        <v>17</v>
      </c>
    </row>
    <row r="2209" spans="1:7" x14ac:dyDescent="0.2">
      <c r="A2209" s="2" t="s">
        <v>3053</v>
      </c>
      <c r="B2209" s="2" t="s">
        <v>3058</v>
      </c>
      <c r="C2209" s="2" t="s">
        <v>3057</v>
      </c>
      <c r="D2209" s="2" t="s">
        <v>10</v>
      </c>
      <c r="E2209" s="2" t="s">
        <v>16</v>
      </c>
      <c r="F2209" s="2">
        <v>1</v>
      </c>
      <c r="G2209" s="2" t="s">
        <v>17</v>
      </c>
    </row>
    <row r="2210" spans="1:7" x14ac:dyDescent="0.2">
      <c r="A2210" s="2" t="s">
        <v>3053</v>
      </c>
      <c r="B2210" s="2" t="s">
        <v>3059</v>
      </c>
      <c r="C2210" s="2" t="s">
        <v>3060</v>
      </c>
      <c r="D2210" s="2" t="s">
        <v>10</v>
      </c>
      <c r="E2210" s="2" t="s">
        <v>16</v>
      </c>
      <c r="F2210" s="2">
        <v>1</v>
      </c>
      <c r="G2210" s="2" t="s">
        <v>17</v>
      </c>
    </row>
    <row r="2211" spans="1:7" x14ac:dyDescent="0.2">
      <c r="A2211" s="2" t="s">
        <v>3053</v>
      </c>
      <c r="B2211" s="2" t="s">
        <v>3061</v>
      </c>
      <c r="C2211" s="2" t="s">
        <v>3060</v>
      </c>
      <c r="D2211" s="2" t="s">
        <v>10</v>
      </c>
      <c r="E2211" s="2" t="s">
        <v>16</v>
      </c>
      <c r="F2211" s="2">
        <v>1</v>
      </c>
      <c r="G2211" s="2" t="s">
        <v>17</v>
      </c>
    </row>
    <row r="2212" spans="1:7" x14ac:dyDescent="0.2">
      <c r="A2212" s="2" t="s">
        <v>3053</v>
      </c>
      <c r="B2212" s="2" t="s">
        <v>3062</v>
      </c>
      <c r="C2212" s="2" t="s">
        <v>3057</v>
      </c>
      <c r="D2212" s="2" t="s">
        <v>10</v>
      </c>
      <c r="E2212" s="2" t="s">
        <v>16</v>
      </c>
      <c r="F2212" s="2">
        <v>1</v>
      </c>
      <c r="G2212" s="2" t="s">
        <v>17</v>
      </c>
    </row>
    <row r="2213" spans="1:7" x14ac:dyDescent="0.2">
      <c r="A2213" s="2" t="s">
        <v>3053</v>
      </c>
      <c r="B2213" s="2" t="s">
        <v>3063</v>
      </c>
      <c r="C2213" s="2" t="s">
        <v>3057</v>
      </c>
      <c r="D2213" s="2" t="s">
        <v>10</v>
      </c>
      <c r="E2213" s="2" t="s">
        <v>16</v>
      </c>
      <c r="F2213" s="2">
        <v>1</v>
      </c>
      <c r="G2213" s="2" t="s">
        <v>17</v>
      </c>
    </row>
    <row r="2214" spans="1:7" x14ac:dyDescent="0.2">
      <c r="A2214" s="2" t="s">
        <v>3053</v>
      </c>
      <c r="B2214" s="2" t="s">
        <v>3064</v>
      </c>
      <c r="C2214" s="2" t="s">
        <v>3060</v>
      </c>
      <c r="D2214" s="2" t="s">
        <v>10</v>
      </c>
      <c r="E2214" s="2" t="s">
        <v>16</v>
      </c>
      <c r="F2214" s="2">
        <v>1</v>
      </c>
      <c r="G2214" s="2" t="s">
        <v>17</v>
      </c>
    </row>
    <row r="2215" spans="1:7" x14ac:dyDescent="0.2">
      <c r="A2215" s="2" t="s">
        <v>3053</v>
      </c>
      <c r="B2215" s="2" t="s">
        <v>3065</v>
      </c>
      <c r="C2215" s="2" t="s">
        <v>3060</v>
      </c>
      <c r="D2215" s="2" t="s">
        <v>10</v>
      </c>
      <c r="E2215" s="2" t="s">
        <v>16</v>
      </c>
      <c r="F2215" s="2">
        <v>1</v>
      </c>
      <c r="G2215" s="2" t="s">
        <v>17</v>
      </c>
    </row>
    <row r="2216" spans="1:7" x14ac:dyDescent="0.2">
      <c r="A2216" s="2" t="s">
        <v>3066</v>
      </c>
      <c r="B2216" s="2" t="s">
        <v>3067</v>
      </c>
      <c r="C2216" s="2" t="s">
        <v>3068</v>
      </c>
      <c r="D2216" s="2" t="s">
        <v>56</v>
      </c>
      <c r="E2216" s="2" t="s">
        <v>16</v>
      </c>
      <c r="F2216" s="2">
        <v>1</v>
      </c>
      <c r="G2216" s="2" t="s">
        <v>17</v>
      </c>
    </row>
    <row r="2217" spans="1:7" x14ac:dyDescent="0.2">
      <c r="A2217" s="2" t="s">
        <v>3066</v>
      </c>
      <c r="B2217" s="2" t="s">
        <v>827</v>
      </c>
      <c r="C2217" s="2" t="s">
        <v>828</v>
      </c>
      <c r="D2217" s="2" t="s">
        <v>56</v>
      </c>
      <c r="E2217" s="2" t="s">
        <v>52</v>
      </c>
      <c r="F2217" s="2">
        <v>1</v>
      </c>
      <c r="G2217" s="2" t="s">
        <v>17</v>
      </c>
    </row>
    <row r="2218" spans="1:7" x14ac:dyDescent="0.2">
      <c r="A2218" s="2" t="s">
        <v>3069</v>
      </c>
      <c r="B2218" s="2" t="s">
        <v>715</v>
      </c>
      <c r="C2218" s="2" t="s">
        <v>716</v>
      </c>
      <c r="D2218" s="2" t="s">
        <v>10</v>
      </c>
      <c r="E2218" s="2" t="s">
        <v>16</v>
      </c>
      <c r="F2218" s="2">
        <v>1</v>
      </c>
      <c r="G2218" s="2" t="s">
        <v>17</v>
      </c>
    </row>
    <row r="2219" spans="1:7" x14ac:dyDescent="0.2">
      <c r="A2219" s="2" t="s">
        <v>3070</v>
      </c>
      <c r="B2219" s="2" t="s">
        <v>3071</v>
      </c>
      <c r="C2219" s="2" t="s">
        <v>3072</v>
      </c>
      <c r="D2219" s="2" t="s">
        <v>10</v>
      </c>
      <c r="E2219" s="2" t="s">
        <v>16</v>
      </c>
      <c r="F2219" s="2">
        <v>1</v>
      </c>
      <c r="G2219" s="2" t="s">
        <v>17</v>
      </c>
    </row>
    <row r="2220" spans="1:7" x14ac:dyDescent="0.2">
      <c r="A2220" s="2" t="s">
        <v>3070</v>
      </c>
      <c r="B2220" s="2" t="s">
        <v>3073</v>
      </c>
      <c r="C2220" s="2" t="s">
        <v>3074</v>
      </c>
      <c r="D2220" s="2" t="s">
        <v>10</v>
      </c>
      <c r="E2220" s="2" t="s">
        <v>52</v>
      </c>
      <c r="F2220" s="2">
        <v>1</v>
      </c>
      <c r="G2220" s="2" t="s">
        <v>12</v>
      </c>
    </row>
    <row r="2221" spans="1:7" x14ac:dyDescent="0.2">
      <c r="A2221" s="2" t="s">
        <v>3070</v>
      </c>
      <c r="B2221" s="2" t="s">
        <v>3075</v>
      </c>
      <c r="C2221" s="2" t="s">
        <v>3076</v>
      </c>
      <c r="D2221" s="2" t="s">
        <v>10</v>
      </c>
      <c r="E2221" s="2" t="s">
        <v>52</v>
      </c>
      <c r="F2221" s="2">
        <v>2</v>
      </c>
      <c r="G2221" s="2" t="s">
        <v>12</v>
      </c>
    </row>
    <row r="2222" spans="1:7" x14ac:dyDescent="0.2">
      <c r="A2222" s="2" t="s">
        <v>3070</v>
      </c>
      <c r="B2222" s="2" t="s">
        <v>3077</v>
      </c>
      <c r="C2222" s="2" t="s">
        <v>3074</v>
      </c>
      <c r="D2222" s="2" t="s">
        <v>10</v>
      </c>
      <c r="E2222" s="2" t="s">
        <v>52</v>
      </c>
      <c r="F2222" s="2">
        <v>1</v>
      </c>
      <c r="G2222" s="2" t="s">
        <v>12</v>
      </c>
    </row>
    <row r="2223" spans="1:7" x14ac:dyDescent="0.2">
      <c r="A2223" s="2" t="s">
        <v>3070</v>
      </c>
      <c r="B2223" s="2" t="s">
        <v>3078</v>
      </c>
      <c r="C2223" s="2" t="s">
        <v>3076</v>
      </c>
      <c r="D2223" s="2" t="s">
        <v>10</v>
      </c>
      <c r="E2223" s="2" t="s">
        <v>52</v>
      </c>
      <c r="F2223" s="2">
        <v>2</v>
      </c>
      <c r="G2223" s="2" t="s">
        <v>12</v>
      </c>
    </row>
    <row r="2224" spans="1:7" x14ac:dyDescent="0.2">
      <c r="A2224" s="2" t="s">
        <v>3079</v>
      </c>
      <c r="B2224" s="2" t="s">
        <v>2018</v>
      </c>
      <c r="C2224" s="2" t="s">
        <v>2019</v>
      </c>
      <c r="D2224" s="2" t="s">
        <v>10</v>
      </c>
      <c r="E2224" s="2" t="s">
        <v>16</v>
      </c>
      <c r="F2224" s="2">
        <v>1</v>
      </c>
      <c r="G2224" s="2" t="s">
        <v>17</v>
      </c>
    </row>
    <row r="2225" spans="1:7" x14ac:dyDescent="0.2">
      <c r="A2225" s="2" t="s">
        <v>3079</v>
      </c>
      <c r="B2225" s="2" t="s">
        <v>2024</v>
      </c>
      <c r="C2225" s="2" t="s">
        <v>2019</v>
      </c>
      <c r="D2225" s="2" t="s">
        <v>10</v>
      </c>
      <c r="E2225" s="2" t="s">
        <v>16</v>
      </c>
      <c r="F2225" s="2">
        <v>1</v>
      </c>
      <c r="G2225" s="2" t="s">
        <v>17</v>
      </c>
    </row>
    <row r="2226" spans="1:7" x14ac:dyDescent="0.2">
      <c r="A2226" s="2" t="s">
        <v>3080</v>
      </c>
      <c r="B2226" s="2" t="s">
        <v>3081</v>
      </c>
      <c r="C2226" s="2" t="s">
        <v>3082</v>
      </c>
      <c r="D2226" s="2" t="s">
        <v>10</v>
      </c>
      <c r="E2226" s="2" t="s">
        <v>16</v>
      </c>
      <c r="F2226" s="2">
        <v>2</v>
      </c>
      <c r="G2226" s="2" t="s">
        <v>17</v>
      </c>
    </row>
    <row r="2227" spans="1:7" x14ac:dyDescent="0.2">
      <c r="A2227" s="2" t="s">
        <v>3080</v>
      </c>
      <c r="B2227" s="2" t="s">
        <v>3083</v>
      </c>
      <c r="C2227" s="2" t="s">
        <v>3082</v>
      </c>
      <c r="D2227" s="2" t="s">
        <v>10</v>
      </c>
      <c r="E2227" s="2" t="s">
        <v>16</v>
      </c>
      <c r="F2227" s="2">
        <v>2</v>
      </c>
      <c r="G2227" s="2" t="s">
        <v>17</v>
      </c>
    </row>
    <row r="2228" spans="1:7" x14ac:dyDescent="0.2">
      <c r="A2228" s="2" t="s">
        <v>3080</v>
      </c>
      <c r="B2228" s="2" t="s">
        <v>3084</v>
      </c>
      <c r="C2228" s="2" t="s">
        <v>3085</v>
      </c>
      <c r="D2228" s="2" t="s">
        <v>56</v>
      </c>
      <c r="E2228" s="2" t="s">
        <v>16</v>
      </c>
      <c r="F2228" s="2">
        <v>1</v>
      </c>
      <c r="G2228" s="2" t="s">
        <v>17</v>
      </c>
    </row>
    <row r="2229" spans="1:7" x14ac:dyDescent="0.2">
      <c r="A2229" s="2" t="s">
        <v>3080</v>
      </c>
      <c r="B2229" s="2" t="s">
        <v>3086</v>
      </c>
      <c r="C2229" s="2" t="s">
        <v>3082</v>
      </c>
      <c r="D2229" s="2" t="s">
        <v>10</v>
      </c>
      <c r="E2229" s="2" t="s">
        <v>16</v>
      </c>
      <c r="F2229" s="2">
        <v>2</v>
      </c>
      <c r="G2229" s="2" t="s">
        <v>17</v>
      </c>
    </row>
    <row r="2230" spans="1:7" x14ac:dyDescent="0.2">
      <c r="A2230" s="2" t="s">
        <v>3080</v>
      </c>
      <c r="B2230" s="2" t="s">
        <v>3087</v>
      </c>
      <c r="C2230" s="2" t="s">
        <v>3082</v>
      </c>
      <c r="D2230" s="2" t="s">
        <v>10</v>
      </c>
      <c r="E2230" s="2" t="s">
        <v>16</v>
      </c>
      <c r="F2230" s="2">
        <v>2</v>
      </c>
      <c r="G2230" s="2" t="s">
        <v>17</v>
      </c>
    </row>
    <row r="2231" spans="1:7" x14ac:dyDescent="0.2">
      <c r="A2231" s="2" t="s">
        <v>3080</v>
      </c>
      <c r="B2231" s="2" t="s">
        <v>3088</v>
      </c>
      <c r="C2231" s="2" t="s">
        <v>3089</v>
      </c>
      <c r="D2231" s="2" t="s">
        <v>10</v>
      </c>
      <c r="E2231" s="2" t="s">
        <v>16</v>
      </c>
      <c r="F2231" s="2">
        <v>1</v>
      </c>
      <c r="G2231" s="2" t="s">
        <v>17</v>
      </c>
    </row>
    <row r="2232" spans="1:7" x14ac:dyDescent="0.2">
      <c r="A2232" s="2" t="s">
        <v>3080</v>
      </c>
      <c r="B2232" s="2" t="s">
        <v>3090</v>
      </c>
      <c r="C2232" s="2" t="s">
        <v>3089</v>
      </c>
      <c r="D2232" s="2" t="s">
        <v>10</v>
      </c>
      <c r="E2232" s="2" t="s">
        <v>16</v>
      </c>
      <c r="F2232" s="2">
        <v>1</v>
      </c>
      <c r="G2232" s="2" t="s">
        <v>17</v>
      </c>
    </row>
    <row r="2233" spans="1:7" x14ac:dyDescent="0.2">
      <c r="A2233" s="2" t="s">
        <v>3080</v>
      </c>
      <c r="B2233" s="2" t="s">
        <v>3091</v>
      </c>
      <c r="C2233" s="2" t="s">
        <v>3089</v>
      </c>
      <c r="D2233" s="2" t="s">
        <v>10</v>
      </c>
      <c r="E2233" s="2" t="s">
        <v>16</v>
      </c>
      <c r="F2233" s="2">
        <v>1</v>
      </c>
      <c r="G2233" s="2" t="s">
        <v>17</v>
      </c>
    </row>
    <row r="2234" spans="1:7" x14ac:dyDescent="0.2">
      <c r="A2234" s="2" t="s">
        <v>3080</v>
      </c>
      <c r="B2234" s="2" t="s">
        <v>3092</v>
      </c>
      <c r="C2234" s="2" t="s">
        <v>3089</v>
      </c>
      <c r="D2234" s="2" t="s">
        <v>10</v>
      </c>
      <c r="E2234" s="2" t="s">
        <v>16</v>
      </c>
      <c r="F2234" s="2">
        <v>1</v>
      </c>
      <c r="G2234" s="2" t="s">
        <v>17</v>
      </c>
    </row>
    <row r="2235" spans="1:7" x14ac:dyDescent="0.2">
      <c r="A2235" s="2" t="s">
        <v>3080</v>
      </c>
      <c r="B2235" s="2" t="s">
        <v>3093</v>
      </c>
      <c r="C2235" s="2" t="s">
        <v>3085</v>
      </c>
      <c r="D2235" s="2" t="s">
        <v>56</v>
      </c>
      <c r="E2235" s="2" t="s">
        <v>16</v>
      </c>
      <c r="F2235" s="2">
        <v>1</v>
      </c>
      <c r="G2235" s="2" t="s">
        <v>17</v>
      </c>
    </row>
    <row r="2236" spans="1:7" x14ac:dyDescent="0.2">
      <c r="A2236" s="2" t="s">
        <v>3094</v>
      </c>
      <c r="B2236" s="2" t="s">
        <v>3095</v>
      </c>
      <c r="C2236" s="2" t="s">
        <v>3095</v>
      </c>
      <c r="D2236" s="2" t="s">
        <v>10</v>
      </c>
      <c r="E2236" s="2" t="s">
        <v>52</v>
      </c>
      <c r="F2236" s="2">
        <v>2</v>
      </c>
      <c r="G2236" s="2" t="s">
        <v>12</v>
      </c>
    </row>
    <row r="2237" spans="1:7" x14ac:dyDescent="0.2">
      <c r="A2237" s="2" t="s">
        <v>3094</v>
      </c>
      <c r="B2237" s="2" t="s">
        <v>3096</v>
      </c>
      <c r="C2237" s="2" t="s">
        <v>2092</v>
      </c>
      <c r="D2237" s="2" t="s">
        <v>10</v>
      </c>
      <c r="E2237" s="2" t="s">
        <v>11</v>
      </c>
      <c r="F2237" s="2">
        <v>2</v>
      </c>
      <c r="G2237" s="2" t="s">
        <v>12</v>
      </c>
    </row>
    <row r="2238" spans="1:7" x14ac:dyDescent="0.2">
      <c r="A2238" s="2" t="s">
        <v>3094</v>
      </c>
      <c r="B2238" s="2" t="s">
        <v>3097</v>
      </c>
      <c r="C2238" s="2" t="s">
        <v>3098</v>
      </c>
      <c r="D2238" s="2" t="s">
        <v>10</v>
      </c>
      <c r="E2238" s="2" t="s">
        <v>11</v>
      </c>
      <c r="F2238" s="2">
        <v>2</v>
      </c>
      <c r="G2238" s="2" t="s">
        <v>12</v>
      </c>
    </row>
    <row r="2239" spans="1:7" x14ac:dyDescent="0.2">
      <c r="A2239" s="2" t="s">
        <v>3094</v>
      </c>
      <c r="B2239" s="2" t="s">
        <v>3099</v>
      </c>
      <c r="C2239" s="2" t="s">
        <v>3098</v>
      </c>
      <c r="D2239" s="2" t="s">
        <v>10</v>
      </c>
      <c r="E2239" s="2" t="s">
        <v>11</v>
      </c>
      <c r="F2239" s="2">
        <v>2</v>
      </c>
      <c r="G2239" s="2" t="s">
        <v>12</v>
      </c>
    </row>
    <row r="2240" spans="1:7" x14ac:dyDescent="0.2">
      <c r="A2240" s="2" t="s">
        <v>3094</v>
      </c>
      <c r="B2240" s="2" t="s">
        <v>3100</v>
      </c>
      <c r="C2240" s="2" t="s">
        <v>3101</v>
      </c>
      <c r="D2240" s="2" t="s">
        <v>10</v>
      </c>
      <c r="E2240" s="2" t="s">
        <v>11</v>
      </c>
      <c r="F2240" s="2">
        <v>2</v>
      </c>
      <c r="G2240" s="2" t="s">
        <v>12</v>
      </c>
    </row>
    <row r="2241" spans="1:7" x14ac:dyDescent="0.2">
      <c r="A2241" s="2" t="s">
        <v>3094</v>
      </c>
      <c r="B2241" s="2" t="s">
        <v>3102</v>
      </c>
      <c r="C2241" s="2" t="s">
        <v>3103</v>
      </c>
      <c r="D2241" s="2" t="s">
        <v>10</v>
      </c>
      <c r="E2241" s="2" t="s">
        <v>11</v>
      </c>
      <c r="F2241" s="2">
        <v>4</v>
      </c>
      <c r="G2241" s="2" t="s">
        <v>12</v>
      </c>
    </row>
    <row r="2242" spans="1:7" x14ac:dyDescent="0.2">
      <c r="A2242" s="2" t="s">
        <v>3094</v>
      </c>
      <c r="B2242" s="2" t="s">
        <v>3104</v>
      </c>
      <c r="C2242" s="2" t="s">
        <v>3103</v>
      </c>
      <c r="D2242" s="2" t="s">
        <v>10</v>
      </c>
      <c r="E2242" s="2" t="s">
        <v>11</v>
      </c>
      <c r="F2242" s="2">
        <v>4</v>
      </c>
      <c r="G2242" s="2" t="s">
        <v>12</v>
      </c>
    </row>
    <row r="2243" spans="1:7" x14ac:dyDescent="0.2">
      <c r="A2243" s="2" t="s">
        <v>3094</v>
      </c>
      <c r="B2243" s="2" t="s">
        <v>3105</v>
      </c>
      <c r="C2243" s="2" t="s">
        <v>3106</v>
      </c>
      <c r="D2243" s="2" t="s">
        <v>10</v>
      </c>
      <c r="E2243" s="2" t="s">
        <v>11</v>
      </c>
      <c r="F2243" s="2">
        <v>4</v>
      </c>
      <c r="G2243" s="2" t="s">
        <v>12</v>
      </c>
    </row>
    <row r="2244" spans="1:7" x14ac:dyDescent="0.2">
      <c r="A2244" s="2" t="s">
        <v>3094</v>
      </c>
      <c r="B2244" s="2" t="s">
        <v>3107</v>
      </c>
      <c r="C2244" s="2" t="s">
        <v>3106</v>
      </c>
      <c r="D2244" s="2" t="s">
        <v>10</v>
      </c>
      <c r="E2244" s="2" t="s">
        <v>11</v>
      </c>
      <c r="F2244" s="2">
        <v>4</v>
      </c>
      <c r="G2244" s="2" t="s">
        <v>12</v>
      </c>
    </row>
    <row r="2245" spans="1:7" x14ac:dyDescent="0.2">
      <c r="A2245" s="2" t="s">
        <v>3094</v>
      </c>
      <c r="B2245" s="2" t="s">
        <v>3108</v>
      </c>
      <c r="C2245" s="2" t="s">
        <v>3106</v>
      </c>
      <c r="D2245" s="2" t="s">
        <v>10</v>
      </c>
      <c r="E2245" s="2" t="s">
        <v>11</v>
      </c>
      <c r="F2245" s="2">
        <v>4</v>
      </c>
      <c r="G2245" s="2" t="s">
        <v>12</v>
      </c>
    </row>
    <row r="2246" spans="1:7" x14ac:dyDescent="0.2">
      <c r="A2246" s="2" t="s">
        <v>3094</v>
      </c>
      <c r="B2246" s="2" t="s">
        <v>3109</v>
      </c>
      <c r="C2246" s="2" t="s">
        <v>3110</v>
      </c>
      <c r="D2246" s="2" t="s">
        <v>10</v>
      </c>
      <c r="E2246" s="2" t="s">
        <v>11</v>
      </c>
      <c r="F2246" s="2">
        <v>4</v>
      </c>
      <c r="G2246" s="2" t="s">
        <v>12</v>
      </c>
    </row>
    <row r="2247" spans="1:7" x14ac:dyDescent="0.2">
      <c r="A2247" s="2" t="s">
        <v>3094</v>
      </c>
      <c r="B2247" s="2" t="s">
        <v>3111</v>
      </c>
      <c r="C2247" s="2" t="s">
        <v>1011</v>
      </c>
      <c r="D2247" s="2" t="s">
        <v>10</v>
      </c>
      <c r="E2247" s="2" t="s">
        <v>52</v>
      </c>
      <c r="F2247" s="2">
        <v>2</v>
      </c>
      <c r="G2247" s="2" t="s">
        <v>12</v>
      </c>
    </row>
    <row r="2248" spans="1:7" x14ac:dyDescent="0.2">
      <c r="A2248" s="2" t="s">
        <v>3094</v>
      </c>
      <c r="B2248" s="2" t="s">
        <v>3112</v>
      </c>
      <c r="C2248" s="2" t="s">
        <v>3113</v>
      </c>
      <c r="D2248" s="2" t="s">
        <v>10</v>
      </c>
      <c r="E2248" s="2" t="s">
        <v>52</v>
      </c>
      <c r="F2248" s="2">
        <v>2</v>
      </c>
      <c r="G2248" s="2" t="s">
        <v>1058</v>
      </c>
    </row>
    <row r="2249" spans="1:7" x14ac:dyDescent="0.2">
      <c r="A2249" s="2" t="s">
        <v>3094</v>
      </c>
      <c r="B2249" s="2" t="s">
        <v>3114</v>
      </c>
      <c r="C2249" s="2" t="s">
        <v>3115</v>
      </c>
      <c r="D2249" s="2" t="s">
        <v>10</v>
      </c>
      <c r="E2249" s="2" t="s">
        <v>52</v>
      </c>
      <c r="F2249" s="2">
        <v>2</v>
      </c>
      <c r="G2249" s="2" t="s">
        <v>12</v>
      </c>
    </row>
    <row r="2250" spans="1:7" x14ac:dyDescent="0.2">
      <c r="A2250" s="2" t="s">
        <v>3094</v>
      </c>
      <c r="B2250" s="2" t="s">
        <v>886</v>
      </c>
      <c r="C2250" s="2" t="s">
        <v>887</v>
      </c>
      <c r="D2250" s="2" t="s">
        <v>10</v>
      </c>
      <c r="E2250" s="2" t="s">
        <v>52</v>
      </c>
      <c r="F2250" s="2">
        <v>2</v>
      </c>
      <c r="G2250" s="2" t="s">
        <v>12</v>
      </c>
    </row>
    <row r="2251" spans="1:7" x14ac:dyDescent="0.2">
      <c r="A2251" s="2" t="s">
        <v>3094</v>
      </c>
      <c r="B2251" s="2" t="s">
        <v>2158</v>
      </c>
      <c r="C2251" s="2" t="s">
        <v>2154</v>
      </c>
      <c r="D2251" s="2" t="s">
        <v>10</v>
      </c>
      <c r="E2251" s="2" t="s">
        <v>16</v>
      </c>
      <c r="F2251" s="2">
        <v>1</v>
      </c>
      <c r="G2251" s="2" t="s">
        <v>17</v>
      </c>
    </row>
    <row r="2252" spans="1:7" x14ac:dyDescent="0.2">
      <c r="A2252" s="2" t="s">
        <v>3094</v>
      </c>
      <c r="B2252" s="2" t="s">
        <v>3116</v>
      </c>
      <c r="C2252" s="2" t="s">
        <v>3098</v>
      </c>
      <c r="D2252" s="2" t="s">
        <v>10</v>
      </c>
      <c r="E2252" s="2" t="s">
        <v>11</v>
      </c>
      <c r="F2252" s="2">
        <v>2</v>
      </c>
      <c r="G2252" s="2" t="s">
        <v>12</v>
      </c>
    </row>
    <row r="2253" spans="1:7" x14ac:dyDescent="0.2">
      <c r="A2253" s="2" t="s">
        <v>3094</v>
      </c>
      <c r="B2253" s="2" t="s">
        <v>1393</v>
      </c>
      <c r="C2253" s="2" t="s">
        <v>1394</v>
      </c>
      <c r="D2253" s="2" t="s">
        <v>10</v>
      </c>
      <c r="E2253" s="2" t="s">
        <v>11</v>
      </c>
      <c r="F2253" s="2">
        <v>2</v>
      </c>
      <c r="G2253" s="2" t="s">
        <v>12</v>
      </c>
    </row>
    <row r="2254" spans="1:7" x14ac:dyDescent="0.2">
      <c r="A2254" s="2" t="s">
        <v>3094</v>
      </c>
      <c r="B2254" s="2" t="s">
        <v>2117</v>
      </c>
      <c r="C2254" s="2" t="s">
        <v>2116</v>
      </c>
      <c r="D2254" s="2" t="s">
        <v>10</v>
      </c>
      <c r="E2254" s="2" t="s">
        <v>11</v>
      </c>
      <c r="F2254" s="2">
        <v>1</v>
      </c>
      <c r="G2254" s="2" t="s">
        <v>12</v>
      </c>
    </row>
    <row r="2255" spans="1:7" x14ac:dyDescent="0.2">
      <c r="A2255" s="2" t="s">
        <v>3094</v>
      </c>
      <c r="B2255" s="2" t="s">
        <v>1395</v>
      </c>
      <c r="C2255" s="2" t="s">
        <v>1389</v>
      </c>
      <c r="D2255" s="2" t="s">
        <v>10</v>
      </c>
      <c r="E2255" s="2" t="s">
        <v>11</v>
      </c>
      <c r="F2255" s="2">
        <v>1</v>
      </c>
      <c r="G2255" s="2" t="s">
        <v>12</v>
      </c>
    </row>
    <row r="2256" spans="1:7" x14ac:dyDescent="0.2">
      <c r="A2256" s="2" t="s">
        <v>3094</v>
      </c>
      <c r="B2256" s="2" t="s">
        <v>2118</v>
      </c>
      <c r="C2256" s="2" t="s">
        <v>2116</v>
      </c>
      <c r="D2256" s="2" t="s">
        <v>10</v>
      </c>
      <c r="E2256" s="2" t="s">
        <v>11</v>
      </c>
      <c r="F2256" s="2">
        <v>1</v>
      </c>
      <c r="G2256" s="2" t="s">
        <v>12</v>
      </c>
    </row>
    <row r="2257" spans="1:7" x14ac:dyDescent="0.2">
      <c r="A2257" s="2" t="s">
        <v>3094</v>
      </c>
      <c r="B2257" s="2" t="s">
        <v>3117</v>
      </c>
      <c r="C2257" s="2" t="s">
        <v>3113</v>
      </c>
      <c r="D2257" s="2" t="s">
        <v>10</v>
      </c>
      <c r="E2257" s="2" t="s">
        <v>52</v>
      </c>
      <c r="F2257" s="2">
        <v>2</v>
      </c>
      <c r="G2257" s="2" t="s">
        <v>1058</v>
      </c>
    </row>
    <row r="2258" spans="1:7" x14ac:dyDescent="0.2">
      <c r="A2258" s="2" t="s">
        <v>3094</v>
      </c>
      <c r="B2258" s="2" t="s">
        <v>888</v>
      </c>
      <c r="C2258" s="2" t="s">
        <v>887</v>
      </c>
      <c r="D2258" s="2" t="s">
        <v>10</v>
      </c>
      <c r="E2258" s="2" t="s">
        <v>52</v>
      </c>
      <c r="F2258" s="2">
        <v>2</v>
      </c>
      <c r="G2258" s="2" t="s">
        <v>12</v>
      </c>
    </row>
    <row r="2259" spans="1:7" x14ac:dyDescent="0.2">
      <c r="A2259" s="2" t="s">
        <v>3094</v>
      </c>
      <c r="B2259" s="2" t="s">
        <v>3118</v>
      </c>
      <c r="C2259" s="2" t="s">
        <v>3115</v>
      </c>
      <c r="D2259" s="2" t="s">
        <v>10</v>
      </c>
      <c r="E2259" s="2" t="s">
        <v>52</v>
      </c>
      <c r="F2259" s="2">
        <v>2</v>
      </c>
      <c r="G2259" s="2" t="s">
        <v>12</v>
      </c>
    </row>
    <row r="2260" spans="1:7" x14ac:dyDescent="0.2">
      <c r="A2260" s="2" t="s">
        <v>3094</v>
      </c>
      <c r="B2260" s="2" t="s">
        <v>3119</v>
      </c>
      <c r="C2260" s="2" t="s">
        <v>3113</v>
      </c>
      <c r="D2260" s="2" t="s">
        <v>10</v>
      </c>
      <c r="E2260" s="2" t="s">
        <v>52</v>
      </c>
      <c r="F2260" s="2">
        <v>2</v>
      </c>
      <c r="G2260" s="2" t="s">
        <v>1058</v>
      </c>
    </row>
    <row r="2261" spans="1:7" x14ac:dyDescent="0.2">
      <c r="A2261" s="2" t="s">
        <v>3094</v>
      </c>
      <c r="B2261" s="2" t="s">
        <v>2099</v>
      </c>
      <c r="C2261" s="2" t="s">
        <v>2092</v>
      </c>
      <c r="D2261" s="2" t="s">
        <v>10</v>
      </c>
      <c r="E2261" s="2" t="s">
        <v>11</v>
      </c>
      <c r="F2261" s="2">
        <v>2</v>
      </c>
      <c r="G2261" s="2" t="s">
        <v>12</v>
      </c>
    </row>
    <row r="2262" spans="1:7" x14ac:dyDescent="0.2">
      <c r="A2262" s="2" t="s">
        <v>3094</v>
      </c>
      <c r="B2262" s="2" t="s">
        <v>3120</v>
      </c>
      <c r="C2262" s="2" t="s">
        <v>3106</v>
      </c>
      <c r="D2262" s="2" t="s">
        <v>10</v>
      </c>
      <c r="E2262" s="2" t="s">
        <v>11</v>
      </c>
      <c r="F2262" s="2">
        <v>4</v>
      </c>
      <c r="G2262" s="2" t="s">
        <v>12</v>
      </c>
    </row>
    <row r="2263" spans="1:7" x14ac:dyDescent="0.2">
      <c r="A2263" s="2" t="s">
        <v>3094</v>
      </c>
      <c r="B2263" s="2" t="s">
        <v>3121</v>
      </c>
      <c r="C2263" s="2" t="s">
        <v>881</v>
      </c>
      <c r="D2263" s="2" t="s">
        <v>10</v>
      </c>
      <c r="E2263" s="2" t="s">
        <v>11</v>
      </c>
      <c r="F2263" s="2">
        <v>4</v>
      </c>
      <c r="G2263" s="2" t="s">
        <v>12</v>
      </c>
    </row>
    <row r="2264" spans="1:7" x14ac:dyDescent="0.2">
      <c r="A2264" s="2" t="s">
        <v>3094</v>
      </c>
      <c r="B2264" s="2" t="s">
        <v>3122</v>
      </c>
      <c r="C2264" s="2" t="s">
        <v>883</v>
      </c>
      <c r="D2264" s="2" t="s">
        <v>10</v>
      </c>
      <c r="E2264" s="2" t="s">
        <v>11</v>
      </c>
      <c r="F2264" s="2">
        <v>4</v>
      </c>
      <c r="G2264" s="2" t="s">
        <v>12</v>
      </c>
    </row>
    <row r="2265" spans="1:7" x14ac:dyDescent="0.2">
      <c r="A2265" s="2" t="s">
        <v>3094</v>
      </c>
      <c r="B2265" s="2" t="s">
        <v>3123</v>
      </c>
      <c r="C2265" s="2" t="s">
        <v>885</v>
      </c>
      <c r="D2265" s="2" t="s">
        <v>10</v>
      </c>
      <c r="E2265" s="2" t="s">
        <v>11</v>
      </c>
      <c r="F2265" s="2">
        <v>4</v>
      </c>
      <c r="G2265" s="2" t="s">
        <v>12</v>
      </c>
    </row>
    <row r="2266" spans="1:7" x14ac:dyDescent="0.2">
      <c r="A2266" s="2" t="s">
        <v>3094</v>
      </c>
      <c r="B2266" s="2" t="s">
        <v>3124</v>
      </c>
      <c r="C2266" s="2" t="s">
        <v>2154</v>
      </c>
      <c r="D2266" s="2" t="s">
        <v>10</v>
      </c>
      <c r="E2266" s="2" t="s">
        <v>16</v>
      </c>
      <c r="F2266" s="2">
        <v>1</v>
      </c>
      <c r="G2266" s="2" t="s">
        <v>17</v>
      </c>
    </row>
    <row r="2267" spans="1:7" x14ac:dyDescent="0.2">
      <c r="A2267" s="2" t="s">
        <v>3094</v>
      </c>
      <c r="B2267" s="2" t="s">
        <v>3125</v>
      </c>
      <c r="C2267" s="2" t="s">
        <v>1389</v>
      </c>
      <c r="D2267" s="2" t="s">
        <v>10</v>
      </c>
      <c r="E2267" s="2" t="s">
        <v>11</v>
      </c>
      <c r="F2267" s="2">
        <v>1</v>
      </c>
      <c r="G2267" s="2" t="s">
        <v>12</v>
      </c>
    </row>
    <row r="2268" spans="1:7" x14ac:dyDescent="0.2">
      <c r="A2268" s="2" t="s">
        <v>3094</v>
      </c>
      <c r="B2268" s="2" t="s">
        <v>3126</v>
      </c>
      <c r="C2268" s="2" t="s">
        <v>3103</v>
      </c>
      <c r="D2268" s="2" t="s">
        <v>10</v>
      </c>
      <c r="E2268" s="2" t="s">
        <v>11</v>
      </c>
      <c r="F2268" s="2">
        <v>4</v>
      </c>
      <c r="G2268" s="2" t="s">
        <v>12</v>
      </c>
    </row>
    <row r="2269" spans="1:7" x14ac:dyDescent="0.2">
      <c r="A2269" s="2" t="s">
        <v>3094</v>
      </c>
      <c r="B2269" s="2" t="s">
        <v>3127</v>
      </c>
      <c r="C2269" s="2" t="s">
        <v>3106</v>
      </c>
      <c r="D2269" s="2" t="s">
        <v>10</v>
      </c>
      <c r="E2269" s="2" t="s">
        <v>11</v>
      </c>
      <c r="F2269" s="2">
        <v>4</v>
      </c>
      <c r="G2269" s="2" t="s">
        <v>12</v>
      </c>
    </row>
    <row r="2270" spans="1:7" x14ac:dyDescent="0.2">
      <c r="A2270" s="2" t="s">
        <v>3094</v>
      </c>
      <c r="B2270" s="2" t="s">
        <v>2119</v>
      </c>
      <c r="C2270" s="2" t="s">
        <v>2116</v>
      </c>
      <c r="D2270" s="2" t="s">
        <v>10</v>
      </c>
      <c r="E2270" s="2" t="s">
        <v>11</v>
      </c>
      <c r="F2270" s="2">
        <v>1</v>
      </c>
      <c r="G2270" s="2" t="s">
        <v>12</v>
      </c>
    </row>
    <row r="2271" spans="1:7" x14ac:dyDescent="0.2">
      <c r="A2271" s="2" t="s">
        <v>3094</v>
      </c>
      <c r="B2271" s="2" t="s">
        <v>145</v>
      </c>
      <c r="C2271" s="2" t="s">
        <v>146</v>
      </c>
      <c r="D2271" s="2" t="s">
        <v>10</v>
      </c>
      <c r="E2271" s="2" t="s">
        <v>11</v>
      </c>
      <c r="F2271" s="2">
        <v>2</v>
      </c>
      <c r="G2271" s="2" t="s">
        <v>12</v>
      </c>
    </row>
    <row r="2272" spans="1:7" x14ac:dyDescent="0.2">
      <c r="A2272" s="2" t="s">
        <v>3094</v>
      </c>
      <c r="B2272" s="2" t="s">
        <v>1398</v>
      </c>
      <c r="C2272" s="2" t="s">
        <v>1394</v>
      </c>
      <c r="D2272" s="2" t="s">
        <v>10</v>
      </c>
      <c r="E2272" s="2" t="s">
        <v>11</v>
      </c>
      <c r="F2272" s="2">
        <v>2</v>
      </c>
      <c r="G2272" s="2" t="s">
        <v>12</v>
      </c>
    </row>
    <row r="2273" spans="1:7" x14ac:dyDescent="0.2">
      <c r="A2273" s="2" t="s">
        <v>3094</v>
      </c>
      <c r="B2273" s="2" t="s">
        <v>3128</v>
      </c>
      <c r="C2273" s="2" t="s">
        <v>3098</v>
      </c>
      <c r="D2273" s="2" t="s">
        <v>10</v>
      </c>
      <c r="E2273" s="2" t="s">
        <v>11</v>
      </c>
      <c r="F2273" s="2">
        <v>2</v>
      </c>
      <c r="G2273" s="2" t="s">
        <v>12</v>
      </c>
    </row>
    <row r="2274" spans="1:7" x14ac:dyDescent="0.2">
      <c r="A2274" s="2" t="s">
        <v>3094</v>
      </c>
      <c r="B2274" s="2" t="s">
        <v>3129</v>
      </c>
      <c r="C2274" s="2" t="s">
        <v>2101</v>
      </c>
      <c r="D2274" s="2" t="s">
        <v>10</v>
      </c>
      <c r="E2274" s="2" t="s">
        <v>11</v>
      </c>
      <c r="F2274" s="2">
        <v>1</v>
      </c>
      <c r="G2274" s="2" t="s">
        <v>17</v>
      </c>
    </row>
    <row r="2275" spans="1:7" x14ac:dyDescent="0.2">
      <c r="A2275" s="2" t="s">
        <v>3094</v>
      </c>
      <c r="B2275" s="2" t="s">
        <v>2100</v>
      </c>
      <c r="C2275" s="2" t="s">
        <v>2101</v>
      </c>
      <c r="D2275" s="2" t="s">
        <v>10</v>
      </c>
      <c r="E2275" s="2" t="s">
        <v>11</v>
      </c>
      <c r="F2275" s="2">
        <v>1</v>
      </c>
      <c r="G2275" s="2" t="s">
        <v>17</v>
      </c>
    </row>
    <row r="2276" spans="1:7" x14ac:dyDescent="0.2">
      <c r="A2276" s="2" t="s">
        <v>3130</v>
      </c>
      <c r="B2276" s="2" t="s">
        <v>3131</v>
      </c>
      <c r="C2276" s="2" t="s">
        <v>2009</v>
      </c>
      <c r="D2276" s="2" t="s">
        <v>10</v>
      </c>
      <c r="E2276" s="2" t="s">
        <v>16</v>
      </c>
      <c r="F2276" s="2">
        <v>2</v>
      </c>
      <c r="G2276" s="2" t="s">
        <v>17</v>
      </c>
    </row>
    <row r="2277" spans="1:7" x14ac:dyDescent="0.2">
      <c r="A2277" s="2" t="s">
        <v>3130</v>
      </c>
      <c r="B2277" s="2" t="s">
        <v>2008</v>
      </c>
      <c r="C2277" s="2" t="s">
        <v>2009</v>
      </c>
      <c r="D2277" s="2" t="s">
        <v>10</v>
      </c>
      <c r="E2277" s="2" t="s">
        <v>16</v>
      </c>
      <c r="F2277" s="2">
        <v>2</v>
      </c>
      <c r="G2277" s="2" t="s">
        <v>17</v>
      </c>
    </row>
    <row r="2278" spans="1:7" x14ac:dyDescent="0.2">
      <c r="A2278" s="2" t="s">
        <v>3130</v>
      </c>
      <c r="B2278" s="2" t="s">
        <v>2010</v>
      </c>
      <c r="C2278" s="2" t="s">
        <v>2009</v>
      </c>
      <c r="D2278" s="2" t="s">
        <v>10</v>
      </c>
      <c r="E2278" s="2" t="s">
        <v>16</v>
      </c>
      <c r="F2278" s="2">
        <v>2</v>
      </c>
      <c r="G2278" s="2" t="s">
        <v>17</v>
      </c>
    </row>
    <row r="2279" spans="1:7" x14ac:dyDescent="0.2">
      <c r="A2279" s="2" t="s">
        <v>3130</v>
      </c>
      <c r="B2279" s="2" t="s">
        <v>2011</v>
      </c>
      <c r="C2279" s="2" t="s">
        <v>2009</v>
      </c>
      <c r="D2279" s="2" t="s">
        <v>10</v>
      </c>
      <c r="E2279" s="2" t="s">
        <v>16</v>
      </c>
      <c r="F2279" s="2">
        <v>2</v>
      </c>
      <c r="G2279" s="2" t="s">
        <v>17</v>
      </c>
    </row>
    <row r="2280" spans="1:7" x14ac:dyDescent="0.2">
      <c r="A2280" s="2" t="s">
        <v>3130</v>
      </c>
      <c r="B2280" s="2" t="s">
        <v>1606</v>
      </c>
      <c r="C2280" s="2" t="s">
        <v>1607</v>
      </c>
      <c r="D2280" s="2" t="s">
        <v>10</v>
      </c>
      <c r="E2280" s="2" t="s">
        <v>16</v>
      </c>
      <c r="F2280" s="2">
        <v>3</v>
      </c>
      <c r="G2280" s="2" t="s">
        <v>17</v>
      </c>
    </row>
    <row r="2281" spans="1:7" x14ac:dyDescent="0.2">
      <c r="A2281" s="2" t="s">
        <v>3130</v>
      </c>
      <c r="B2281" s="2" t="s">
        <v>2012</v>
      </c>
      <c r="C2281" s="2" t="s">
        <v>2009</v>
      </c>
      <c r="D2281" s="2" t="s">
        <v>10</v>
      </c>
      <c r="E2281" s="2" t="s">
        <v>16</v>
      </c>
      <c r="F2281" s="2">
        <v>2</v>
      </c>
      <c r="G2281" s="2" t="s">
        <v>17</v>
      </c>
    </row>
    <row r="2282" spans="1:7" x14ac:dyDescent="0.2">
      <c r="A2282" s="2" t="s">
        <v>3130</v>
      </c>
      <c r="B2282" s="2" t="s">
        <v>3132</v>
      </c>
      <c r="C2282" s="2" t="s">
        <v>3133</v>
      </c>
      <c r="D2282" s="2" t="s">
        <v>10</v>
      </c>
      <c r="E2282" s="2" t="s">
        <v>52</v>
      </c>
      <c r="F2282" s="2">
        <v>2</v>
      </c>
      <c r="G2282" s="2" t="s">
        <v>17</v>
      </c>
    </row>
    <row r="2283" spans="1:7" x14ac:dyDescent="0.2">
      <c r="A2283" s="2" t="s">
        <v>3130</v>
      </c>
      <c r="B2283" s="2" t="s">
        <v>3134</v>
      </c>
      <c r="C2283" s="2" t="s">
        <v>3133</v>
      </c>
      <c r="D2283" s="2" t="s">
        <v>10</v>
      </c>
      <c r="E2283" s="2" t="s">
        <v>52</v>
      </c>
      <c r="F2283" s="2">
        <v>2</v>
      </c>
      <c r="G2283" s="2" t="s">
        <v>17</v>
      </c>
    </row>
    <row r="2284" spans="1:7" x14ac:dyDescent="0.2">
      <c r="A2284" s="2" t="s">
        <v>3130</v>
      </c>
      <c r="B2284" s="2" t="s">
        <v>488</v>
      </c>
      <c r="C2284" s="2" t="s">
        <v>2009</v>
      </c>
      <c r="D2284" s="2" t="s">
        <v>10</v>
      </c>
      <c r="E2284" s="2" t="s">
        <v>16</v>
      </c>
      <c r="F2284" s="2">
        <v>2</v>
      </c>
      <c r="G2284" s="2" t="s">
        <v>17</v>
      </c>
    </row>
    <row r="2285" spans="1:7" x14ac:dyDescent="0.2">
      <c r="A2285" s="2" t="s">
        <v>3130</v>
      </c>
      <c r="B2285" s="2" t="s">
        <v>3135</v>
      </c>
      <c r="C2285" s="2" t="s">
        <v>3133</v>
      </c>
      <c r="D2285" s="2" t="s">
        <v>10</v>
      </c>
      <c r="E2285" s="2" t="s">
        <v>52</v>
      </c>
      <c r="F2285" s="2">
        <v>2</v>
      </c>
      <c r="G2285" s="2" t="s">
        <v>17</v>
      </c>
    </row>
    <row r="2286" spans="1:7" x14ac:dyDescent="0.2">
      <c r="A2286" s="2" t="s">
        <v>3130</v>
      </c>
      <c r="B2286" s="2" t="s">
        <v>2013</v>
      </c>
      <c r="C2286" s="2" t="s">
        <v>2009</v>
      </c>
      <c r="D2286" s="2" t="s">
        <v>10</v>
      </c>
      <c r="E2286" s="2" t="s">
        <v>16</v>
      </c>
      <c r="F2286" s="2">
        <v>2</v>
      </c>
      <c r="G2286" s="2" t="s">
        <v>17</v>
      </c>
    </row>
    <row r="2287" spans="1:7" x14ac:dyDescent="0.2">
      <c r="A2287" s="2" t="s">
        <v>3130</v>
      </c>
      <c r="B2287" s="2" t="s">
        <v>2014</v>
      </c>
      <c r="C2287" s="2" t="s">
        <v>2009</v>
      </c>
      <c r="D2287" s="2" t="s">
        <v>10</v>
      </c>
      <c r="E2287" s="2" t="s">
        <v>16</v>
      </c>
      <c r="F2287" s="2">
        <v>2</v>
      </c>
      <c r="G2287" s="2" t="s">
        <v>17</v>
      </c>
    </row>
    <row r="2288" spans="1:7" x14ac:dyDescent="0.2">
      <c r="A2288" s="2" t="s">
        <v>3130</v>
      </c>
      <c r="B2288" s="2" t="s">
        <v>1608</v>
      </c>
      <c r="C2288" s="2" t="s">
        <v>1607</v>
      </c>
      <c r="D2288" s="2" t="s">
        <v>10</v>
      </c>
      <c r="E2288" s="2" t="s">
        <v>16</v>
      </c>
      <c r="F2288" s="2">
        <v>3</v>
      </c>
      <c r="G2288" s="2" t="s">
        <v>17</v>
      </c>
    </row>
    <row r="2289" spans="1:7" x14ac:dyDescent="0.2">
      <c r="A2289" s="2" t="s">
        <v>3130</v>
      </c>
      <c r="B2289" s="2" t="s">
        <v>3136</v>
      </c>
      <c r="C2289" s="2" t="s">
        <v>3133</v>
      </c>
      <c r="D2289" s="2" t="s">
        <v>10</v>
      </c>
      <c r="E2289" s="2" t="s">
        <v>52</v>
      </c>
      <c r="F2289" s="2">
        <v>2</v>
      </c>
      <c r="G2289" s="2" t="s">
        <v>17</v>
      </c>
    </row>
    <row r="2290" spans="1:7" x14ac:dyDescent="0.2">
      <c r="A2290" s="2" t="s">
        <v>3130</v>
      </c>
      <c r="B2290" s="2" t="s">
        <v>3137</v>
      </c>
      <c r="C2290" s="2" t="s">
        <v>2009</v>
      </c>
      <c r="D2290" s="2" t="s">
        <v>10</v>
      </c>
      <c r="E2290" s="2" t="s">
        <v>16</v>
      </c>
      <c r="F2290" s="2">
        <v>2</v>
      </c>
      <c r="G2290" s="2" t="s">
        <v>17</v>
      </c>
    </row>
    <row r="2291" spans="1:7" x14ac:dyDescent="0.2">
      <c r="A2291" s="2" t="s">
        <v>3130</v>
      </c>
      <c r="B2291" s="2" t="s">
        <v>3138</v>
      </c>
      <c r="C2291" s="2" t="s">
        <v>3133</v>
      </c>
      <c r="D2291" s="2" t="s">
        <v>10</v>
      </c>
      <c r="E2291" s="2" t="s">
        <v>52</v>
      </c>
      <c r="F2291" s="2">
        <v>2</v>
      </c>
      <c r="G2291" s="2" t="s">
        <v>17</v>
      </c>
    </row>
    <row r="2292" spans="1:7" x14ac:dyDescent="0.2">
      <c r="A2292" s="2" t="s">
        <v>3130</v>
      </c>
      <c r="B2292" s="2" t="s">
        <v>3139</v>
      </c>
      <c r="C2292" s="2" t="s">
        <v>3133</v>
      </c>
      <c r="D2292" s="2" t="s">
        <v>10</v>
      </c>
      <c r="E2292" s="2" t="s">
        <v>52</v>
      </c>
      <c r="F2292" s="2">
        <v>2</v>
      </c>
      <c r="G2292" s="2" t="s">
        <v>17</v>
      </c>
    </row>
    <row r="2293" spans="1:7" x14ac:dyDescent="0.2">
      <c r="A2293" s="2" t="s">
        <v>3140</v>
      </c>
      <c r="B2293" s="2" t="s">
        <v>3141</v>
      </c>
      <c r="C2293" s="2" t="s">
        <v>3142</v>
      </c>
      <c r="D2293" s="2" t="s">
        <v>10</v>
      </c>
      <c r="E2293" s="2" t="s">
        <v>16</v>
      </c>
      <c r="F2293" s="2">
        <v>1</v>
      </c>
      <c r="G2293" s="2" t="s">
        <v>17</v>
      </c>
    </row>
    <row r="2294" spans="1:7" x14ac:dyDescent="0.2">
      <c r="A2294" s="2" t="s">
        <v>3140</v>
      </c>
      <c r="B2294" s="2" t="s">
        <v>3143</v>
      </c>
      <c r="C2294" s="2" t="s">
        <v>3144</v>
      </c>
      <c r="D2294" s="2" t="s">
        <v>10</v>
      </c>
      <c r="E2294" s="2" t="s">
        <v>16</v>
      </c>
      <c r="F2294" s="2">
        <v>1</v>
      </c>
      <c r="G2294" s="2" t="s">
        <v>17</v>
      </c>
    </row>
    <row r="2295" spans="1:7" x14ac:dyDescent="0.2">
      <c r="A2295" s="2" t="s">
        <v>3140</v>
      </c>
      <c r="B2295" s="2" t="s">
        <v>3145</v>
      </c>
      <c r="C2295" s="2" t="s">
        <v>3144</v>
      </c>
      <c r="D2295" s="2" t="s">
        <v>10</v>
      </c>
      <c r="E2295" s="2" t="s">
        <v>16</v>
      </c>
      <c r="F2295" s="2">
        <v>1</v>
      </c>
      <c r="G2295" s="2" t="s">
        <v>17</v>
      </c>
    </row>
    <row r="2296" spans="1:7" x14ac:dyDescent="0.2">
      <c r="A2296" s="2" t="s">
        <v>3140</v>
      </c>
      <c r="B2296" s="2" t="s">
        <v>3146</v>
      </c>
      <c r="C2296" s="2" t="s">
        <v>3144</v>
      </c>
      <c r="D2296" s="2" t="s">
        <v>10</v>
      </c>
      <c r="E2296" s="2" t="s">
        <v>16</v>
      </c>
      <c r="F2296" s="2">
        <v>1</v>
      </c>
      <c r="G2296" s="2" t="s">
        <v>17</v>
      </c>
    </row>
    <row r="2297" spans="1:7" x14ac:dyDescent="0.2">
      <c r="A2297" s="2" t="s">
        <v>3140</v>
      </c>
      <c r="B2297" s="2" t="s">
        <v>3147</v>
      </c>
      <c r="C2297" s="2" t="s">
        <v>3144</v>
      </c>
      <c r="D2297" s="2" t="s">
        <v>10</v>
      </c>
      <c r="E2297" s="2" t="s">
        <v>16</v>
      </c>
      <c r="F2297" s="2">
        <v>1</v>
      </c>
      <c r="G2297" s="2" t="s">
        <v>17</v>
      </c>
    </row>
    <row r="2298" spans="1:7" x14ac:dyDescent="0.2">
      <c r="A2298" s="2" t="s">
        <v>3140</v>
      </c>
      <c r="B2298" s="2" t="s">
        <v>3148</v>
      </c>
      <c r="C2298" s="2" t="s">
        <v>3144</v>
      </c>
      <c r="D2298" s="2" t="s">
        <v>10</v>
      </c>
      <c r="E2298" s="2" t="s">
        <v>16</v>
      </c>
      <c r="F2298" s="2">
        <v>1</v>
      </c>
      <c r="G2298" s="2" t="s">
        <v>17</v>
      </c>
    </row>
    <row r="2299" spans="1:7" x14ac:dyDescent="0.2">
      <c r="A2299" s="2" t="s">
        <v>3140</v>
      </c>
      <c r="B2299" s="2" t="s">
        <v>3149</v>
      </c>
      <c r="C2299" s="2" t="s">
        <v>3144</v>
      </c>
      <c r="D2299" s="2" t="s">
        <v>10</v>
      </c>
      <c r="E2299" s="2" t="s">
        <v>16</v>
      </c>
      <c r="F2299" s="2">
        <v>1</v>
      </c>
      <c r="G2299" s="2" t="s">
        <v>17</v>
      </c>
    </row>
    <row r="2300" spans="1:7" x14ac:dyDescent="0.2">
      <c r="A2300" s="2" t="s">
        <v>3140</v>
      </c>
      <c r="B2300" s="2" t="s">
        <v>3150</v>
      </c>
      <c r="C2300" s="2" t="s">
        <v>3144</v>
      </c>
      <c r="D2300" s="2" t="s">
        <v>10</v>
      </c>
      <c r="E2300" s="2" t="s">
        <v>16</v>
      </c>
      <c r="F2300" s="2">
        <v>1</v>
      </c>
      <c r="G2300" s="2" t="s">
        <v>17</v>
      </c>
    </row>
    <row r="2301" spans="1:7" x14ac:dyDescent="0.2">
      <c r="A2301" s="2" t="s">
        <v>3140</v>
      </c>
      <c r="B2301" s="2" t="s">
        <v>3151</v>
      </c>
      <c r="C2301" s="2" t="s">
        <v>3144</v>
      </c>
      <c r="D2301" s="2" t="s">
        <v>10</v>
      </c>
      <c r="E2301" s="2" t="s">
        <v>16</v>
      </c>
      <c r="F2301" s="2">
        <v>1</v>
      </c>
      <c r="G2301" s="2" t="s">
        <v>17</v>
      </c>
    </row>
    <row r="2302" spans="1:7" x14ac:dyDescent="0.2">
      <c r="A2302" s="2" t="s">
        <v>3140</v>
      </c>
      <c r="B2302" s="2" t="s">
        <v>3152</v>
      </c>
      <c r="C2302" s="2" t="s">
        <v>3144</v>
      </c>
      <c r="D2302" s="2" t="s">
        <v>10</v>
      </c>
      <c r="E2302" s="2" t="s">
        <v>16</v>
      </c>
      <c r="F2302" s="2">
        <v>1</v>
      </c>
      <c r="G2302" s="2" t="s">
        <v>17</v>
      </c>
    </row>
    <row r="2303" spans="1:7" x14ac:dyDescent="0.2">
      <c r="A2303" s="2" t="s">
        <v>3140</v>
      </c>
      <c r="B2303" s="2" t="s">
        <v>3153</v>
      </c>
      <c r="C2303" s="2" t="s">
        <v>3154</v>
      </c>
      <c r="D2303" s="2" t="s">
        <v>10</v>
      </c>
      <c r="E2303" s="2" t="s">
        <v>16</v>
      </c>
      <c r="F2303" s="2">
        <v>1</v>
      </c>
      <c r="G2303" s="2" t="s">
        <v>17</v>
      </c>
    </row>
    <row r="2304" spans="1:7" x14ac:dyDescent="0.2">
      <c r="A2304" s="2" t="s">
        <v>3140</v>
      </c>
      <c r="B2304" s="2" t="s">
        <v>3155</v>
      </c>
      <c r="C2304" s="2" t="s">
        <v>3156</v>
      </c>
      <c r="D2304" s="2" t="s">
        <v>10</v>
      </c>
      <c r="E2304" s="2" t="s">
        <v>1080</v>
      </c>
      <c r="F2304" s="2">
        <v>1</v>
      </c>
      <c r="G2304" s="2" t="s">
        <v>17</v>
      </c>
    </row>
    <row r="2305" spans="1:7" x14ac:dyDescent="0.2">
      <c r="A2305" s="2" t="s">
        <v>3140</v>
      </c>
      <c r="B2305" s="2" t="s">
        <v>3157</v>
      </c>
      <c r="C2305" s="2" t="s">
        <v>3158</v>
      </c>
      <c r="D2305" s="2" t="s">
        <v>10</v>
      </c>
      <c r="E2305" s="2" t="s">
        <v>16</v>
      </c>
      <c r="F2305" s="2">
        <v>1</v>
      </c>
      <c r="G2305" s="2" t="s">
        <v>17</v>
      </c>
    </row>
    <row r="2306" spans="1:7" x14ac:dyDescent="0.2">
      <c r="A2306" s="2" t="s">
        <v>3159</v>
      </c>
      <c r="B2306" s="2" t="s">
        <v>3160</v>
      </c>
      <c r="C2306" s="2" t="s">
        <v>3161</v>
      </c>
      <c r="D2306" s="2" t="s">
        <v>10</v>
      </c>
      <c r="E2306" s="2" t="s">
        <v>16</v>
      </c>
      <c r="F2306" s="2">
        <v>1</v>
      </c>
      <c r="G2306" s="2" t="s">
        <v>17</v>
      </c>
    </row>
    <row r="2307" spans="1:7" x14ac:dyDescent="0.2">
      <c r="A2307" s="2" t="s">
        <v>3159</v>
      </c>
      <c r="B2307" s="2" t="s">
        <v>3162</v>
      </c>
      <c r="C2307" s="2" t="s">
        <v>3161</v>
      </c>
      <c r="D2307" s="2" t="s">
        <v>10</v>
      </c>
      <c r="E2307" s="2" t="s">
        <v>16</v>
      </c>
      <c r="F2307" s="2">
        <v>1</v>
      </c>
      <c r="G2307" s="2" t="s">
        <v>17</v>
      </c>
    </row>
    <row r="2308" spans="1:7" x14ac:dyDescent="0.2">
      <c r="A2308" s="2" t="s">
        <v>3163</v>
      </c>
      <c r="B2308" s="2" t="s">
        <v>3164</v>
      </c>
      <c r="C2308" s="2" t="s">
        <v>3165</v>
      </c>
      <c r="D2308" s="2" t="s">
        <v>10</v>
      </c>
      <c r="E2308" s="2" t="s">
        <v>16</v>
      </c>
      <c r="F2308" s="2">
        <v>1</v>
      </c>
      <c r="G2308" s="2" t="s">
        <v>17</v>
      </c>
    </row>
    <row r="2309" spans="1:7" x14ac:dyDescent="0.2">
      <c r="A2309" s="2" t="s">
        <v>3163</v>
      </c>
      <c r="B2309" s="2" t="s">
        <v>3166</v>
      </c>
      <c r="C2309" s="2" t="s">
        <v>3165</v>
      </c>
      <c r="D2309" s="2" t="s">
        <v>10</v>
      </c>
      <c r="E2309" s="2" t="s">
        <v>16</v>
      </c>
      <c r="F2309" s="2">
        <v>1</v>
      </c>
      <c r="G2309" s="2" t="s">
        <v>17</v>
      </c>
    </row>
    <row r="2310" spans="1:7" x14ac:dyDescent="0.2">
      <c r="A2310" s="2" t="s">
        <v>3167</v>
      </c>
      <c r="B2310" s="2" t="s">
        <v>414</v>
      </c>
      <c r="C2310" s="2" t="s">
        <v>3168</v>
      </c>
      <c r="D2310" s="2" t="s">
        <v>10</v>
      </c>
      <c r="E2310" s="2" t="s">
        <v>16</v>
      </c>
      <c r="F2310" s="2">
        <v>1</v>
      </c>
      <c r="G2310" s="2" t="s">
        <v>17</v>
      </c>
    </row>
    <row r="2311" spans="1:7" x14ac:dyDescent="0.2">
      <c r="A2311" s="2" t="s">
        <v>3167</v>
      </c>
      <c r="B2311" s="2" t="s">
        <v>3169</v>
      </c>
      <c r="C2311" s="2" t="s">
        <v>3170</v>
      </c>
      <c r="D2311" s="2" t="s">
        <v>10</v>
      </c>
      <c r="E2311" s="2" t="s">
        <v>16</v>
      </c>
      <c r="F2311" s="2">
        <v>1</v>
      </c>
      <c r="G2311" s="2" t="s">
        <v>17</v>
      </c>
    </row>
    <row r="2312" spans="1:7" x14ac:dyDescent="0.2">
      <c r="A2312" s="2" t="s">
        <v>3167</v>
      </c>
      <c r="B2312" s="2">
        <v>600</v>
      </c>
      <c r="C2312" s="2" t="s">
        <v>3170</v>
      </c>
      <c r="D2312" s="2" t="s">
        <v>10</v>
      </c>
      <c r="E2312" s="2" t="s">
        <v>16</v>
      </c>
      <c r="F2312" s="2">
        <v>1</v>
      </c>
      <c r="G2312" s="2" t="s">
        <v>17</v>
      </c>
    </row>
    <row r="2313" spans="1:7" x14ac:dyDescent="0.2">
      <c r="A2313" s="2" t="s">
        <v>3167</v>
      </c>
      <c r="B2313" s="2" t="s">
        <v>3171</v>
      </c>
      <c r="C2313" s="2" t="s">
        <v>3168</v>
      </c>
      <c r="D2313" s="2" t="s">
        <v>10</v>
      </c>
      <c r="E2313" s="2" t="s">
        <v>16</v>
      </c>
      <c r="F2313" s="2">
        <v>1</v>
      </c>
      <c r="G2313" s="2" t="s">
        <v>17</v>
      </c>
    </row>
    <row r="2314" spans="1:7" x14ac:dyDescent="0.2">
      <c r="A2314" s="2" t="s">
        <v>3172</v>
      </c>
      <c r="B2314" s="2" t="s">
        <v>3173</v>
      </c>
      <c r="C2314" s="2" t="s">
        <v>3174</v>
      </c>
      <c r="D2314" s="2" t="s">
        <v>10</v>
      </c>
      <c r="E2314" s="2" t="s">
        <v>16</v>
      </c>
      <c r="F2314" s="2">
        <v>1</v>
      </c>
      <c r="G2314" s="2" t="s">
        <v>17</v>
      </c>
    </row>
    <row r="2315" spans="1:7" x14ac:dyDescent="0.2">
      <c r="A2315" s="2" t="s">
        <v>3172</v>
      </c>
      <c r="B2315" s="2" t="s">
        <v>3175</v>
      </c>
      <c r="C2315" s="2" t="s">
        <v>3174</v>
      </c>
      <c r="D2315" s="2" t="s">
        <v>10</v>
      </c>
      <c r="E2315" s="2" t="s">
        <v>16</v>
      </c>
      <c r="F2315" s="2">
        <v>1</v>
      </c>
      <c r="G2315" s="2" t="s">
        <v>17</v>
      </c>
    </row>
    <row r="2316" spans="1:7" x14ac:dyDescent="0.2">
      <c r="A2316" s="2" t="s">
        <v>3176</v>
      </c>
      <c r="B2316" s="2" t="s">
        <v>3177</v>
      </c>
      <c r="C2316" s="2" t="s">
        <v>3178</v>
      </c>
      <c r="D2316" s="2" t="s">
        <v>10</v>
      </c>
      <c r="E2316" s="2" t="s">
        <v>16</v>
      </c>
      <c r="F2316" s="2">
        <v>1</v>
      </c>
      <c r="G2316" s="2" t="s">
        <v>17</v>
      </c>
    </row>
    <row r="2317" spans="1:7" x14ac:dyDescent="0.2">
      <c r="A2317" s="2" t="s">
        <v>3176</v>
      </c>
      <c r="B2317" s="2" t="s">
        <v>3179</v>
      </c>
      <c r="C2317" s="2" t="s">
        <v>207</v>
      </c>
      <c r="D2317" s="2" t="s">
        <v>10</v>
      </c>
      <c r="E2317" s="2" t="s">
        <v>16</v>
      </c>
      <c r="F2317" s="2">
        <v>1</v>
      </c>
      <c r="G2317" s="2" t="s">
        <v>17</v>
      </c>
    </row>
    <row r="2318" spans="1:7" x14ac:dyDescent="0.2">
      <c r="A2318" s="2" t="s">
        <v>3176</v>
      </c>
      <c r="B2318" s="2" t="s">
        <v>2644</v>
      </c>
      <c r="C2318" s="2" t="s">
        <v>2645</v>
      </c>
      <c r="D2318" s="2" t="s">
        <v>10</v>
      </c>
      <c r="E2318" s="2" t="s">
        <v>16</v>
      </c>
      <c r="F2318" s="2">
        <v>1</v>
      </c>
      <c r="G2318" s="2" t="s">
        <v>17</v>
      </c>
    </row>
    <row r="2319" spans="1:7" x14ac:dyDescent="0.2">
      <c r="A2319" s="2" t="s">
        <v>3176</v>
      </c>
      <c r="B2319" s="2" t="s">
        <v>3180</v>
      </c>
      <c r="C2319" s="2" t="s">
        <v>3178</v>
      </c>
      <c r="D2319" s="2" t="s">
        <v>10</v>
      </c>
      <c r="E2319" s="2" t="s">
        <v>16</v>
      </c>
      <c r="F2319" s="2">
        <v>1</v>
      </c>
      <c r="G2319" s="2" t="s">
        <v>17</v>
      </c>
    </row>
    <row r="2320" spans="1:7" x14ac:dyDescent="0.2">
      <c r="A2320" s="2" t="s">
        <v>3176</v>
      </c>
      <c r="B2320" s="2" t="s">
        <v>3181</v>
      </c>
      <c r="C2320" s="2" t="s">
        <v>207</v>
      </c>
      <c r="D2320" s="2" t="s">
        <v>10</v>
      </c>
      <c r="E2320" s="2" t="s">
        <v>16</v>
      </c>
      <c r="F2320" s="2">
        <v>1</v>
      </c>
      <c r="G2320" s="2" t="s">
        <v>17</v>
      </c>
    </row>
    <row r="2321" spans="1:7" x14ac:dyDescent="0.2">
      <c r="A2321" s="2" t="s">
        <v>3176</v>
      </c>
      <c r="B2321" s="2" t="s">
        <v>2646</v>
      </c>
      <c r="C2321" s="2" t="s">
        <v>2645</v>
      </c>
      <c r="D2321" s="2" t="s">
        <v>10</v>
      </c>
      <c r="E2321" s="2" t="s">
        <v>16</v>
      </c>
      <c r="F2321" s="2">
        <v>1</v>
      </c>
      <c r="G2321" s="2" t="s">
        <v>17</v>
      </c>
    </row>
    <row r="2322" spans="1:7" x14ac:dyDescent="0.2">
      <c r="A2322" s="2" t="s">
        <v>3182</v>
      </c>
      <c r="B2322" s="2" t="s">
        <v>3179</v>
      </c>
      <c r="C2322" s="2" t="s">
        <v>207</v>
      </c>
      <c r="D2322" s="2" t="s">
        <v>10</v>
      </c>
      <c r="E2322" s="2" t="s">
        <v>16</v>
      </c>
      <c r="F2322" s="2">
        <v>1</v>
      </c>
      <c r="G2322" s="2" t="s">
        <v>17</v>
      </c>
    </row>
    <row r="2323" spans="1:7" x14ac:dyDescent="0.2">
      <c r="A2323" s="2" t="s">
        <v>3182</v>
      </c>
      <c r="B2323" s="2" t="s">
        <v>2644</v>
      </c>
      <c r="C2323" s="2" t="s">
        <v>2645</v>
      </c>
      <c r="D2323" s="2" t="s">
        <v>10</v>
      </c>
      <c r="E2323" s="2" t="s">
        <v>16</v>
      </c>
      <c r="F2323" s="2">
        <v>1</v>
      </c>
      <c r="G2323" s="2" t="s">
        <v>17</v>
      </c>
    </row>
    <row r="2324" spans="1:7" x14ac:dyDescent="0.2">
      <c r="A2324" s="2" t="s">
        <v>3182</v>
      </c>
      <c r="B2324" s="2" t="s">
        <v>3181</v>
      </c>
      <c r="C2324" s="2" t="s">
        <v>207</v>
      </c>
      <c r="D2324" s="2" t="s">
        <v>10</v>
      </c>
      <c r="E2324" s="2" t="s">
        <v>16</v>
      </c>
      <c r="F2324" s="2">
        <v>1</v>
      </c>
      <c r="G2324" s="2" t="s">
        <v>17</v>
      </c>
    </row>
    <row r="2325" spans="1:7" x14ac:dyDescent="0.2">
      <c r="A2325" s="2" t="s">
        <v>3182</v>
      </c>
      <c r="B2325" s="2" t="s">
        <v>2646</v>
      </c>
      <c r="C2325" s="2" t="s">
        <v>2645</v>
      </c>
      <c r="D2325" s="2" t="s">
        <v>10</v>
      </c>
      <c r="E2325" s="2" t="s">
        <v>16</v>
      </c>
      <c r="F2325" s="2">
        <v>1</v>
      </c>
      <c r="G2325" s="2" t="s">
        <v>17</v>
      </c>
    </row>
    <row r="2326" spans="1:7" x14ac:dyDescent="0.2">
      <c r="A2326" s="2" t="s">
        <v>3183</v>
      </c>
      <c r="B2326" s="2" t="s">
        <v>2012</v>
      </c>
      <c r="C2326" s="2" t="s">
        <v>2009</v>
      </c>
      <c r="D2326" s="2" t="s">
        <v>10</v>
      </c>
      <c r="E2326" s="2" t="s">
        <v>16</v>
      </c>
      <c r="F2326" s="2">
        <v>2</v>
      </c>
      <c r="G2326" s="2" t="s">
        <v>17</v>
      </c>
    </row>
    <row r="2327" spans="1:7" x14ac:dyDescent="0.2">
      <c r="A2327" s="2" t="s">
        <v>3183</v>
      </c>
      <c r="B2327" s="2" t="s">
        <v>3134</v>
      </c>
      <c r="C2327" s="2" t="s">
        <v>3133</v>
      </c>
      <c r="D2327" s="2" t="s">
        <v>10</v>
      </c>
      <c r="E2327" s="2" t="s">
        <v>52</v>
      </c>
      <c r="F2327" s="2">
        <v>2</v>
      </c>
      <c r="G2327" s="2" t="s">
        <v>17</v>
      </c>
    </row>
    <row r="2328" spans="1:7" x14ac:dyDescent="0.2">
      <c r="A2328" s="2" t="s">
        <v>3183</v>
      </c>
      <c r="B2328" s="2" t="s">
        <v>3184</v>
      </c>
      <c r="C2328" s="2" t="s">
        <v>3185</v>
      </c>
      <c r="D2328" s="2" t="s">
        <v>10</v>
      </c>
      <c r="E2328" s="2" t="s">
        <v>16</v>
      </c>
      <c r="F2328" s="2">
        <v>1</v>
      </c>
      <c r="G2328" s="2" t="s">
        <v>17</v>
      </c>
    </row>
    <row r="2329" spans="1:7" x14ac:dyDescent="0.2">
      <c r="A2329" s="2" t="s">
        <v>3183</v>
      </c>
      <c r="B2329" s="2" t="s">
        <v>3186</v>
      </c>
      <c r="C2329" s="2" t="s">
        <v>3185</v>
      </c>
      <c r="D2329" s="2" t="s">
        <v>10</v>
      </c>
      <c r="E2329" s="2" t="s">
        <v>16</v>
      </c>
      <c r="F2329" s="2">
        <v>1</v>
      </c>
      <c r="G2329" s="2" t="s">
        <v>17</v>
      </c>
    </row>
    <row r="2330" spans="1:7" x14ac:dyDescent="0.2">
      <c r="A2330" s="2" t="s">
        <v>3183</v>
      </c>
      <c r="B2330" s="2" t="s">
        <v>2013</v>
      </c>
      <c r="C2330" s="2" t="s">
        <v>2009</v>
      </c>
      <c r="D2330" s="2" t="s">
        <v>10</v>
      </c>
      <c r="E2330" s="2" t="s">
        <v>16</v>
      </c>
      <c r="F2330" s="2">
        <v>2</v>
      </c>
      <c r="G2330" s="2" t="s">
        <v>17</v>
      </c>
    </row>
    <row r="2331" spans="1:7" x14ac:dyDescent="0.2">
      <c r="A2331" s="2" t="s">
        <v>3183</v>
      </c>
      <c r="B2331" s="2" t="s">
        <v>2099</v>
      </c>
      <c r="C2331" s="2" t="s">
        <v>2092</v>
      </c>
      <c r="D2331" s="2" t="s">
        <v>10</v>
      </c>
      <c r="E2331" s="2" t="s">
        <v>11</v>
      </c>
      <c r="F2331" s="2">
        <v>2</v>
      </c>
      <c r="G2331" s="2" t="s">
        <v>12</v>
      </c>
    </row>
    <row r="2332" spans="1:7" x14ac:dyDescent="0.2">
      <c r="A2332" s="2" t="s">
        <v>3183</v>
      </c>
      <c r="B2332" s="2" t="s">
        <v>3187</v>
      </c>
      <c r="C2332" s="2" t="s">
        <v>2092</v>
      </c>
      <c r="D2332" s="2" t="s">
        <v>10</v>
      </c>
      <c r="E2332" s="2" t="s">
        <v>11</v>
      </c>
      <c r="F2332" s="2">
        <v>2</v>
      </c>
      <c r="G2332" s="2" t="s">
        <v>12</v>
      </c>
    </row>
    <row r="2333" spans="1:7" x14ac:dyDescent="0.2">
      <c r="A2333" s="2" t="s">
        <v>3183</v>
      </c>
      <c r="B2333" s="2" t="s">
        <v>3136</v>
      </c>
      <c r="C2333" s="2" t="s">
        <v>3133</v>
      </c>
      <c r="D2333" s="2" t="s">
        <v>10</v>
      </c>
      <c r="E2333" s="2" t="s">
        <v>52</v>
      </c>
      <c r="F2333" s="2">
        <v>2</v>
      </c>
      <c r="G2333" s="2" t="s">
        <v>17</v>
      </c>
    </row>
    <row r="2334" spans="1:7" x14ac:dyDescent="0.2">
      <c r="A2334" s="2" t="s">
        <v>3188</v>
      </c>
      <c r="B2334" s="2" t="s">
        <v>3189</v>
      </c>
      <c r="C2334" s="2" t="s">
        <v>3190</v>
      </c>
      <c r="D2334" s="2" t="s">
        <v>10</v>
      </c>
      <c r="E2334" s="2" t="s">
        <v>16</v>
      </c>
      <c r="F2334" s="2">
        <v>1</v>
      </c>
      <c r="G2334" s="2" t="s">
        <v>17</v>
      </c>
    </row>
    <row r="2335" spans="1:7" x14ac:dyDescent="0.2">
      <c r="A2335" s="2" t="s">
        <v>3191</v>
      </c>
      <c r="B2335" s="2" t="s">
        <v>3192</v>
      </c>
      <c r="C2335" s="2" t="s">
        <v>3193</v>
      </c>
      <c r="D2335" s="2" t="s">
        <v>10</v>
      </c>
      <c r="E2335" s="2" t="s">
        <v>16</v>
      </c>
      <c r="F2335" s="2">
        <v>1</v>
      </c>
      <c r="G2335" s="2" t="s">
        <v>17</v>
      </c>
    </row>
    <row r="2336" spans="1:7" x14ac:dyDescent="0.2">
      <c r="A2336" s="2" t="s">
        <v>3191</v>
      </c>
      <c r="B2336" s="2" t="s">
        <v>3194</v>
      </c>
      <c r="C2336" s="2" t="s">
        <v>3193</v>
      </c>
      <c r="D2336" s="2" t="s">
        <v>10</v>
      </c>
      <c r="E2336" s="2" t="s">
        <v>16</v>
      </c>
      <c r="F2336" s="2">
        <v>1</v>
      </c>
      <c r="G2336" s="2" t="s">
        <v>17</v>
      </c>
    </row>
    <row r="2337" spans="1:7" x14ac:dyDescent="0.2">
      <c r="A2337" s="2" t="s">
        <v>3195</v>
      </c>
      <c r="B2337" s="2" t="s">
        <v>3196</v>
      </c>
      <c r="C2337" s="2" t="s">
        <v>3197</v>
      </c>
      <c r="D2337" s="2" t="s">
        <v>10</v>
      </c>
      <c r="E2337" s="2" t="s">
        <v>16</v>
      </c>
      <c r="F2337" s="2">
        <v>1</v>
      </c>
      <c r="G2337" s="2" t="s">
        <v>17</v>
      </c>
    </row>
    <row r="2338" spans="1:7" x14ac:dyDescent="0.2">
      <c r="A2338" s="2" t="s">
        <v>3198</v>
      </c>
      <c r="B2338" s="2" t="s">
        <v>3199</v>
      </c>
      <c r="C2338" s="2" t="s">
        <v>3200</v>
      </c>
      <c r="D2338" s="2" t="s">
        <v>10</v>
      </c>
      <c r="E2338" s="2" t="s">
        <v>16</v>
      </c>
      <c r="F2338" s="2">
        <v>1</v>
      </c>
      <c r="G2338" s="2" t="s">
        <v>17</v>
      </c>
    </row>
    <row r="2339" spans="1:7" x14ac:dyDescent="0.2">
      <c r="A2339" s="2" t="s">
        <v>3198</v>
      </c>
      <c r="B2339" s="2" t="s">
        <v>3201</v>
      </c>
      <c r="C2339" s="2" t="s">
        <v>3202</v>
      </c>
      <c r="D2339" s="2" t="s">
        <v>10</v>
      </c>
      <c r="E2339" s="2" t="s">
        <v>16</v>
      </c>
      <c r="F2339" s="2">
        <v>1</v>
      </c>
      <c r="G2339" s="2" t="s">
        <v>17</v>
      </c>
    </row>
    <row r="2340" spans="1:7" x14ac:dyDescent="0.2">
      <c r="A2340" s="2" t="s">
        <v>3198</v>
      </c>
      <c r="B2340" s="2" t="s">
        <v>3203</v>
      </c>
      <c r="C2340" s="2" t="s">
        <v>3202</v>
      </c>
      <c r="D2340" s="2" t="s">
        <v>10</v>
      </c>
      <c r="E2340" s="2" t="s">
        <v>16</v>
      </c>
      <c r="F2340" s="2">
        <v>1</v>
      </c>
      <c r="G2340" s="2" t="s">
        <v>17</v>
      </c>
    </row>
    <row r="2341" spans="1:7" x14ac:dyDescent="0.2">
      <c r="A2341" s="2" t="s">
        <v>3198</v>
      </c>
      <c r="B2341" s="2" t="s">
        <v>3204</v>
      </c>
      <c r="C2341" s="2" t="s">
        <v>3200</v>
      </c>
      <c r="D2341" s="2" t="s">
        <v>10</v>
      </c>
      <c r="E2341" s="2" t="s">
        <v>16</v>
      </c>
      <c r="F2341" s="2">
        <v>1</v>
      </c>
      <c r="G2341" s="2" t="s">
        <v>17</v>
      </c>
    </row>
    <row r="2342" spans="1:7" x14ac:dyDescent="0.2">
      <c r="A2342" s="2" t="s">
        <v>3205</v>
      </c>
      <c r="B2342" s="2" t="s">
        <v>3206</v>
      </c>
      <c r="C2342" s="2" t="s">
        <v>3207</v>
      </c>
      <c r="D2342" s="2" t="s">
        <v>64</v>
      </c>
      <c r="E2342" s="2" t="s">
        <v>16</v>
      </c>
      <c r="F2342" s="2">
        <v>1</v>
      </c>
      <c r="G2342" s="2" t="s">
        <v>17</v>
      </c>
    </row>
    <row r="2343" spans="1:7" x14ac:dyDescent="0.2">
      <c r="A2343" s="2" t="s">
        <v>3205</v>
      </c>
      <c r="B2343" s="2" t="s">
        <v>3208</v>
      </c>
      <c r="C2343" s="2" t="s">
        <v>3209</v>
      </c>
      <c r="D2343" s="2" t="s">
        <v>64</v>
      </c>
      <c r="E2343" s="2" t="s">
        <v>16</v>
      </c>
      <c r="F2343" s="2">
        <v>1</v>
      </c>
      <c r="G2343" s="2" t="s">
        <v>17</v>
      </c>
    </row>
    <row r="2344" spans="1:7" x14ac:dyDescent="0.2">
      <c r="A2344" s="2" t="s">
        <v>3210</v>
      </c>
      <c r="B2344" s="2" t="s">
        <v>3211</v>
      </c>
      <c r="C2344" s="2" t="s">
        <v>3212</v>
      </c>
      <c r="D2344" s="2" t="s">
        <v>10</v>
      </c>
      <c r="E2344" s="2" t="s">
        <v>1080</v>
      </c>
      <c r="F2344" s="2">
        <v>1</v>
      </c>
      <c r="G2344" s="2" t="s">
        <v>17</v>
      </c>
    </row>
    <row r="2345" spans="1:7" x14ac:dyDescent="0.2">
      <c r="A2345" s="2" t="s">
        <v>3213</v>
      </c>
      <c r="B2345" s="2" t="s">
        <v>1314</v>
      </c>
      <c r="C2345" s="2" t="s">
        <v>1315</v>
      </c>
      <c r="D2345" s="2" t="s">
        <v>10</v>
      </c>
      <c r="E2345" s="2" t="s">
        <v>16</v>
      </c>
      <c r="F2345" s="2">
        <v>1</v>
      </c>
      <c r="G2345" s="2" t="s">
        <v>17</v>
      </c>
    </row>
    <row r="2346" spans="1:7" x14ac:dyDescent="0.2">
      <c r="A2346" s="2" t="s">
        <v>3214</v>
      </c>
      <c r="B2346" s="2" t="s">
        <v>1378</v>
      </c>
      <c r="C2346" s="2" t="s">
        <v>1379</v>
      </c>
      <c r="D2346" s="2" t="s">
        <v>10</v>
      </c>
      <c r="E2346" s="2" t="s">
        <v>16</v>
      </c>
      <c r="F2346" s="2">
        <v>1</v>
      </c>
      <c r="G2346" s="2" t="s">
        <v>17</v>
      </c>
    </row>
    <row r="2347" spans="1:7" x14ac:dyDescent="0.2">
      <c r="A2347" s="2" t="s">
        <v>3214</v>
      </c>
      <c r="B2347" s="2" t="s">
        <v>3215</v>
      </c>
      <c r="C2347" s="2" t="s">
        <v>3216</v>
      </c>
      <c r="D2347" s="2" t="s">
        <v>10</v>
      </c>
      <c r="E2347" s="2" t="s">
        <v>16</v>
      </c>
      <c r="F2347" s="2">
        <v>1</v>
      </c>
      <c r="G2347" s="2" t="s">
        <v>17</v>
      </c>
    </row>
    <row r="2348" spans="1:7" x14ac:dyDescent="0.2">
      <c r="A2348" s="2" t="s">
        <v>3214</v>
      </c>
      <c r="B2348" s="2" t="s">
        <v>3217</v>
      </c>
      <c r="C2348" s="2" t="s">
        <v>3218</v>
      </c>
      <c r="D2348" s="2" t="s">
        <v>10</v>
      </c>
      <c r="E2348" s="2" t="s">
        <v>16</v>
      </c>
      <c r="F2348" s="2">
        <v>1</v>
      </c>
      <c r="G2348" s="2" t="s">
        <v>17</v>
      </c>
    </row>
    <row r="2349" spans="1:7" x14ac:dyDescent="0.2">
      <c r="A2349" s="2" t="s">
        <v>3214</v>
      </c>
      <c r="B2349" s="2" t="s">
        <v>3219</v>
      </c>
      <c r="C2349" s="2" t="s">
        <v>3218</v>
      </c>
      <c r="D2349" s="2" t="s">
        <v>10</v>
      </c>
      <c r="E2349" s="2" t="s">
        <v>16</v>
      </c>
      <c r="F2349" s="2">
        <v>1</v>
      </c>
      <c r="G2349" s="2" t="s">
        <v>17</v>
      </c>
    </row>
    <row r="2350" spans="1:7" x14ac:dyDescent="0.2">
      <c r="A2350" s="2" t="s">
        <v>3220</v>
      </c>
      <c r="B2350" s="2" t="s">
        <v>3221</v>
      </c>
      <c r="C2350" s="2" t="s">
        <v>3222</v>
      </c>
      <c r="D2350" s="2" t="s">
        <v>10</v>
      </c>
      <c r="E2350" s="2" t="s">
        <v>16</v>
      </c>
      <c r="F2350" s="2">
        <v>1</v>
      </c>
      <c r="G2350" s="2" t="s">
        <v>17</v>
      </c>
    </row>
    <row r="2351" spans="1:7" x14ac:dyDescent="0.2">
      <c r="A2351" s="2" t="s">
        <v>3220</v>
      </c>
      <c r="B2351" s="2" t="s">
        <v>3223</v>
      </c>
      <c r="C2351" s="2" t="s">
        <v>3224</v>
      </c>
      <c r="D2351" s="2" t="s">
        <v>10</v>
      </c>
      <c r="E2351" s="2" t="s">
        <v>16</v>
      </c>
      <c r="F2351" s="2">
        <v>1</v>
      </c>
      <c r="G2351" s="2" t="s">
        <v>17</v>
      </c>
    </row>
    <row r="2352" spans="1:7" x14ac:dyDescent="0.2">
      <c r="A2352" s="2" t="s">
        <v>3220</v>
      </c>
      <c r="B2352" s="2" t="s">
        <v>3225</v>
      </c>
      <c r="C2352" s="2" t="s">
        <v>3222</v>
      </c>
      <c r="D2352" s="2" t="s">
        <v>10</v>
      </c>
      <c r="E2352" s="2" t="s">
        <v>16</v>
      </c>
      <c r="F2352" s="2">
        <v>1</v>
      </c>
      <c r="G2352" s="2" t="s">
        <v>17</v>
      </c>
    </row>
    <row r="2353" spans="1:7" x14ac:dyDescent="0.2">
      <c r="A2353" s="2" t="s">
        <v>3220</v>
      </c>
      <c r="B2353" s="2" t="s">
        <v>3226</v>
      </c>
      <c r="C2353" s="2" t="s">
        <v>3224</v>
      </c>
      <c r="D2353" s="2" t="s">
        <v>10</v>
      </c>
      <c r="E2353" s="2" t="s">
        <v>16</v>
      </c>
      <c r="F2353" s="2">
        <v>1</v>
      </c>
      <c r="G2353" s="2" t="s">
        <v>17</v>
      </c>
    </row>
    <row r="2354" spans="1:7" x14ac:dyDescent="0.2">
      <c r="A2354" s="2" t="s">
        <v>3227</v>
      </c>
      <c r="B2354" s="2" t="s">
        <v>1034</v>
      </c>
      <c r="C2354" s="2" t="s">
        <v>1035</v>
      </c>
      <c r="D2354" s="2" t="s">
        <v>10</v>
      </c>
      <c r="E2354" s="2" t="s">
        <v>16</v>
      </c>
      <c r="F2354" s="2">
        <v>1</v>
      </c>
      <c r="G2354" s="2" t="s">
        <v>17</v>
      </c>
    </row>
    <row r="2355" spans="1:7" x14ac:dyDescent="0.2">
      <c r="A2355" s="2" t="s">
        <v>3228</v>
      </c>
      <c r="B2355" s="2" t="s">
        <v>3229</v>
      </c>
      <c r="C2355" s="2" t="s">
        <v>3230</v>
      </c>
      <c r="D2355" s="2" t="s">
        <v>10</v>
      </c>
      <c r="E2355" s="2" t="s">
        <v>16</v>
      </c>
      <c r="F2355" s="2">
        <v>1</v>
      </c>
      <c r="G2355" s="2" t="s">
        <v>17</v>
      </c>
    </row>
    <row r="2356" spans="1:7" x14ac:dyDescent="0.2">
      <c r="A2356" s="2" t="s">
        <v>3228</v>
      </c>
      <c r="B2356" s="2" t="s">
        <v>3231</v>
      </c>
      <c r="C2356" s="2" t="s">
        <v>3230</v>
      </c>
      <c r="D2356" s="2" t="s">
        <v>10</v>
      </c>
      <c r="E2356" s="2" t="s">
        <v>16</v>
      </c>
      <c r="F2356" s="2">
        <v>1</v>
      </c>
      <c r="G2356" s="2" t="s">
        <v>17</v>
      </c>
    </row>
    <row r="2357" spans="1:7" x14ac:dyDescent="0.2">
      <c r="A2357" s="2" t="s">
        <v>3232</v>
      </c>
      <c r="B2357" s="2" t="s">
        <v>3233</v>
      </c>
      <c r="C2357" s="2" t="s">
        <v>3234</v>
      </c>
      <c r="D2357" s="2" t="s">
        <v>10</v>
      </c>
      <c r="E2357" s="2" t="s">
        <v>16</v>
      </c>
      <c r="F2357" s="2">
        <v>1</v>
      </c>
      <c r="G2357" s="2" t="s">
        <v>17</v>
      </c>
    </row>
    <row r="2358" spans="1:7" x14ac:dyDescent="0.2">
      <c r="A2358" s="2" t="s">
        <v>3235</v>
      </c>
      <c r="B2358" s="2" t="s">
        <v>3236</v>
      </c>
      <c r="C2358" s="2" t="s">
        <v>3237</v>
      </c>
      <c r="D2358" s="2" t="s">
        <v>10</v>
      </c>
      <c r="E2358" s="2" t="s">
        <v>16</v>
      </c>
      <c r="F2358" s="2">
        <v>1</v>
      </c>
      <c r="G2358" s="2" t="s">
        <v>17</v>
      </c>
    </row>
    <row r="2359" spans="1:7" x14ac:dyDescent="0.2">
      <c r="A2359" s="2" t="s">
        <v>3238</v>
      </c>
      <c r="B2359" s="2" t="s">
        <v>3239</v>
      </c>
      <c r="C2359" s="2" t="s">
        <v>3240</v>
      </c>
      <c r="D2359" s="2" t="s">
        <v>10</v>
      </c>
      <c r="E2359" s="2" t="s">
        <v>16</v>
      </c>
      <c r="F2359" s="2">
        <v>1</v>
      </c>
      <c r="G2359" s="2" t="s">
        <v>17</v>
      </c>
    </row>
    <row r="2360" spans="1:7" x14ac:dyDescent="0.2">
      <c r="A2360" s="2" t="s">
        <v>3238</v>
      </c>
      <c r="B2360" s="2" t="s">
        <v>3241</v>
      </c>
      <c r="C2360" s="2" t="s">
        <v>3240</v>
      </c>
      <c r="D2360" s="2" t="s">
        <v>10</v>
      </c>
      <c r="E2360" s="2" t="s">
        <v>16</v>
      </c>
      <c r="F2360" s="2">
        <v>1</v>
      </c>
      <c r="G2360" s="2" t="s">
        <v>17</v>
      </c>
    </row>
    <row r="2361" spans="1:7" x14ac:dyDescent="0.2">
      <c r="A2361" s="2" t="s">
        <v>3238</v>
      </c>
      <c r="B2361" s="2" t="s">
        <v>3242</v>
      </c>
      <c r="C2361" s="2" t="s">
        <v>3240</v>
      </c>
      <c r="D2361" s="2" t="s">
        <v>10</v>
      </c>
      <c r="E2361" s="2" t="s">
        <v>16</v>
      </c>
      <c r="F2361" s="2">
        <v>1</v>
      </c>
      <c r="G2361" s="2" t="s">
        <v>17</v>
      </c>
    </row>
    <row r="2362" spans="1:7" x14ac:dyDescent="0.2">
      <c r="A2362" s="2" t="s">
        <v>3243</v>
      </c>
      <c r="B2362" s="2" t="s">
        <v>3244</v>
      </c>
      <c r="C2362" s="2" t="s">
        <v>3245</v>
      </c>
      <c r="D2362" s="2" t="s">
        <v>29</v>
      </c>
      <c r="E2362" s="2" t="s">
        <v>52</v>
      </c>
      <c r="F2362" s="2">
        <v>4</v>
      </c>
      <c r="G2362" s="2" t="s">
        <v>12</v>
      </c>
    </row>
    <row r="2363" spans="1:7" x14ac:dyDescent="0.2">
      <c r="A2363" s="2" t="s">
        <v>3243</v>
      </c>
      <c r="B2363" s="2" t="s">
        <v>3246</v>
      </c>
      <c r="C2363" s="2" t="s">
        <v>3245</v>
      </c>
      <c r="D2363" s="2" t="s">
        <v>29</v>
      </c>
      <c r="E2363" s="2" t="s">
        <v>52</v>
      </c>
      <c r="F2363" s="2">
        <v>4</v>
      </c>
      <c r="G2363" s="2" t="s">
        <v>12</v>
      </c>
    </row>
    <row r="2364" spans="1:7" x14ac:dyDescent="0.2">
      <c r="A2364" s="2" t="s">
        <v>3243</v>
      </c>
      <c r="B2364" s="2" t="s">
        <v>3247</v>
      </c>
      <c r="C2364" s="2" t="s">
        <v>3248</v>
      </c>
      <c r="D2364" s="2" t="s">
        <v>10</v>
      </c>
      <c r="E2364" s="2" t="s">
        <v>16</v>
      </c>
      <c r="F2364" s="2">
        <v>1</v>
      </c>
      <c r="G2364" s="2" t="s">
        <v>17</v>
      </c>
    </row>
    <row r="2365" spans="1:7" x14ac:dyDescent="0.2">
      <c r="A2365" s="2" t="s">
        <v>3249</v>
      </c>
      <c r="B2365" s="2" t="s">
        <v>3250</v>
      </c>
      <c r="C2365" s="2" t="s">
        <v>3251</v>
      </c>
      <c r="D2365" s="2" t="s">
        <v>10</v>
      </c>
      <c r="E2365" s="2" t="s">
        <v>16</v>
      </c>
      <c r="F2365" s="2">
        <v>1</v>
      </c>
      <c r="G2365" s="2" t="s">
        <v>17</v>
      </c>
    </row>
    <row r="2366" spans="1:7" x14ac:dyDescent="0.2">
      <c r="A2366" s="2" t="s">
        <v>3249</v>
      </c>
      <c r="B2366" s="2" t="s">
        <v>3252</v>
      </c>
      <c r="C2366" s="2" t="s">
        <v>3251</v>
      </c>
      <c r="D2366" s="2" t="s">
        <v>10</v>
      </c>
      <c r="E2366" s="2" t="s">
        <v>16</v>
      </c>
      <c r="F2366" s="2">
        <v>1</v>
      </c>
      <c r="G2366" s="2" t="s">
        <v>17</v>
      </c>
    </row>
    <row r="2367" spans="1:7" x14ac:dyDescent="0.2">
      <c r="A2367" s="2" t="s">
        <v>3249</v>
      </c>
      <c r="B2367" s="2" t="s">
        <v>3253</v>
      </c>
      <c r="C2367" s="2" t="s">
        <v>3251</v>
      </c>
      <c r="D2367" s="2" t="s">
        <v>10</v>
      </c>
      <c r="E2367" s="2" t="s">
        <v>16</v>
      </c>
      <c r="F2367" s="2">
        <v>1</v>
      </c>
      <c r="G2367" s="2" t="s">
        <v>17</v>
      </c>
    </row>
    <row r="2368" spans="1:7" x14ac:dyDescent="0.2">
      <c r="A2368" s="2" t="s">
        <v>3249</v>
      </c>
      <c r="B2368" s="2" t="s">
        <v>3254</v>
      </c>
      <c r="C2368" s="2" t="s">
        <v>1687</v>
      </c>
      <c r="D2368" s="2" t="s">
        <v>10</v>
      </c>
      <c r="E2368" s="2" t="s">
        <v>16</v>
      </c>
      <c r="F2368" s="2">
        <v>1</v>
      </c>
      <c r="G2368" s="2" t="s">
        <v>17</v>
      </c>
    </row>
    <row r="2369" spans="1:7" x14ac:dyDescent="0.2">
      <c r="A2369" s="2" t="s">
        <v>3255</v>
      </c>
      <c r="B2369" s="2" t="s">
        <v>3256</v>
      </c>
      <c r="C2369" s="2" t="s">
        <v>3257</v>
      </c>
      <c r="D2369" s="2" t="s">
        <v>64</v>
      </c>
      <c r="E2369" s="2" t="s">
        <v>16</v>
      </c>
      <c r="F2369" s="2">
        <v>1</v>
      </c>
      <c r="G2369" s="2" t="s">
        <v>17</v>
      </c>
    </row>
    <row r="2370" spans="1:7" x14ac:dyDescent="0.2">
      <c r="A2370" s="2" t="s">
        <v>3255</v>
      </c>
      <c r="B2370" s="2" t="s">
        <v>3258</v>
      </c>
      <c r="C2370" s="2" t="s">
        <v>3257</v>
      </c>
      <c r="D2370" s="2" t="s">
        <v>64</v>
      </c>
      <c r="E2370" s="2" t="s">
        <v>16</v>
      </c>
      <c r="F2370" s="2">
        <v>1</v>
      </c>
      <c r="G2370" s="2" t="s">
        <v>17</v>
      </c>
    </row>
    <row r="2371" spans="1:7" x14ac:dyDescent="0.2">
      <c r="A2371" s="2" t="s">
        <v>3259</v>
      </c>
      <c r="B2371" s="2" t="s">
        <v>3260</v>
      </c>
      <c r="C2371" s="2" t="s">
        <v>3261</v>
      </c>
      <c r="D2371" s="2" t="s">
        <v>10</v>
      </c>
      <c r="E2371" s="2" t="s">
        <v>16</v>
      </c>
      <c r="F2371" s="2">
        <v>2</v>
      </c>
      <c r="G2371" s="2" t="s">
        <v>17</v>
      </c>
    </row>
    <row r="2372" spans="1:7" x14ac:dyDescent="0.2">
      <c r="A2372" s="2" t="s">
        <v>3259</v>
      </c>
      <c r="B2372" s="2" t="s">
        <v>3262</v>
      </c>
      <c r="C2372" s="2" t="s">
        <v>3261</v>
      </c>
      <c r="D2372" s="2" t="s">
        <v>10</v>
      </c>
      <c r="E2372" s="2" t="s">
        <v>16</v>
      </c>
      <c r="F2372" s="2">
        <v>2</v>
      </c>
      <c r="G2372" s="2" t="s">
        <v>17</v>
      </c>
    </row>
    <row r="2373" spans="1:7" x14ac:dyDescent="0.2">
      <c r="A2373" s="2" t="s">
        <v>3263</v>
      </c>
      <c r="B2373" s="2" t="s">
        <v>3264</v>
      </c>
      <c r="C2373" s="2" t="s">
        <v>3265</v>
      </c>
      <c r="D2373" s="2" t="s">
        <v>10</v>
      </c>
      <c r="E2373" s="2" t="s">
        <v>52</v>
      </c>
      <c r="F2373" s="2">
        <v>1</v>
      </c>
      <c r="G2373" s="2" t="s">
        <v>17</v>
      </c>
    </row>
    <row r="2374" spans="1:7" x14ac:dyDescent="0.2">
      <c r="A2374" s="2" t="s">
        <v>3263</v>
      </c>
      <c r="B2374" s="2" t="s">
        <v>3266</v>
      </c>
      <c r="C2374" s="2" t="s">
        <v>3265</v>
      </c>
      <c r="D2374" s="2" t="s">
        <v>10</v>
      </c>
      <c r="E2374" s="2" t="s">
        <v>52</v>
      </c>
      <c r="F2374" s="2">
        <v>1</v>
      </c>
      <c r="G2374" s="2" t="s">
        <v>17</v>
      </c>
    </row>
    <row r="2375" spans="1:7" x14ac:dyDescent="0.2">
      <c r="A2375" s="2" t="s">
        <v>3267</v>
      </c>
      <c r="B2375" s="2" t="s">
        <v>3268</v>
      </c>
      <c r="C2375" s="2" t="s">
        <v>3269</v>
      </c>
      <c r="D2375" s="2" t="s">
        <v>10</v>
      </c>
      <c r="E2375" s="2" t="s">
        <v>16</v>
      </c>
      <c r="F2375" s="2">
        <v>1</v>
      </c>
      <c r="G2375" s="2" t="s">
        <v>17</v>
      </c>
    </row>
    <row r="2376" spans="1:7" x14ac:dyDescent="0.2">
      <c r="A2376" s="2" t="s">
        <v>3270</v>
      </c>
      <c r="B2376" s="2" t="s">
        <v>2465</v>
      </c>
      <c r="C2376" s="2" t="s">
        <v>3271</v>
      </c>
      <c r="D2376" s="2" t="s">
        <v>10</v>
      </c>
      <c r="E2376" s="2" t="s">
        <v>16</v>
      </c>
      <c r="F2376" s="2">
        <v>1</v>
      </c>
      <c r="G2376" s="2" t="s">
        <v>17</v>
      </c>
    </row>
    <row r="2377" spans="1:7" x14ac:dyDescent="0.2">
      <c r="A2377" s="2" t="s">
        <v>3272</v>
      </c>
      <c r="B2377" s="2" t="s">
        <v>3273</v>
      </c>
      <c r="C2377" s="2" t="s">
        <v>2948</v>
      </c>
      <c r="D2377" s="2" t="s">
        <v>29</v>
      </c>
      <c r="E2377" s="2" t="s">
        <v>16</v>
      </c>
      <c r="F2377" s="2">
        <v>2</v>
      </c>
      <c r="G2377" s="2" t="s">
        <v>12</v>
      </c>
    </row>
    <row r="2378" spans="1:7" x14ac:dyDescent="0.2">
      <c r="A2378" s="2" t="s">
        <v>3272</v>
      </c>
      <c r="B2378" s="2" t="s">
        <v>3274</v>
      </c>
      <c r="C2378" s="2" t="s">
        <v>2996</v>
      </c>
      <c r="D2378" s="2" t="s">
        <v>10</v>
      </c>
      <c r="E2378" s="2" t="s">
        <v>11</v>
      </c>
      <c r="F2378" s="2">
        <v>2</v>
      </c>
      <c r="G2378" s="2" t="s">
        <v>12</v>
      </c>
    </row>
    <row r="2379" spans="1:7" x14ac:dyDescent="0.2">
      <c r="A2379" s="2" t="s">
        <v>3272</v>
      </c>
      <c r="B2379" s="2" t="s">
        <v>1971</v>
      </c>
      <c r="C2379" s="2" t="s">
        <v>2948</v>
      </c>
      <c r="D2379" s="2" t="s">
        <v>29</v>
      </c>
      <c r="E2379" s="2" t="s">
        <v>16</v>
      </c>
      <c r="F2379" s="2">
        <v>2</v>
      </c>
      <c r="G2379" s="2" t="s">
        <v>12</v>
      </c>
    </row>
    <row r="2380" spans="1:7" x14ac:dyDescent="0.2">
      <c r="A2380" s="2" t="s">
        <v>3272</v>
      </c>
      <c r="B2380" s="2" t="s">
        <v>3275</v>
      </c>
      <c r="C2380" s="2" t="s">
        <v>3276</v>
      </c>
      <c r="D2380" s="2" t="s">
        <v>10</v>
      </c>
      <c r="E2380" s="2" t="s">
        <v>52</v>
      </c>
      <c r="F2380" s="2">
        <v>2</v>
      </c>
      <c r="G2380" s="2" t="s">
        <v>12</v>
      </c>
    </row>
    <row r="2381" spans="1:7" x14ac:dyDescent="0.2">
      <c r="A2381" s="2" t="s">
        <v>3272</v>
      </c>
      <c r="B2381" s="2" t="s">
        <v>3277</v>
      </c>
      <c r="C2381" s="2" t="s">
        <v>2996</v>
      </c>
      <c r="D2381" s="2" t="s">
        <v>10</v>
      </c>
      <c r="E2381" s="2" t="s">
        <v>11</v>
      </c>
      <c r="F2381" s="2">
        <v>2</v>
      </c>
      <c r="G2381" s="2" t="s">
        <v>12</v>
      </c>
    </row>
    <row r="2382" spans="1:7" x14ac:dyDescent="0.2">
      <c r="A2382" s="2" t="s">
        <v>3272</v>
      </c>
      <c r="B2382" s="2" t="s">
        <v>3278</v>
      </c>
      <c r="C2382" s="2" t="s">
        <v>2996</v>
      </c>
      <c r="D2382" s="2" t="s">
        <v>10</v>
      </c>
      <c r="E2382" s="2" t="s">
        <v>11</v>
      </c>
      <c r="F2382" s="2">
        <v>2</v>
      </c>
      <c r="G2382" s="2" t="s">
        <v>12</v>
      </c>
    </row>
    <row r="2383" spans="1:7" x14ac:dyDescent="0.2">
      <c r="A2383" s="2" t="s">
        <v>3272</v>
      </c>
      <c r="B2383" s="2" t="s">
        <v>3279</v>
      </c>
      <c r="C2383" s="2" t="s">
        <v>2996</v>
      </c>
      <c r="D2383" s="2" t="s">
        <v>10</v>
      </c>
      <c r="E2383" s="2" t="s">
        <v>11</v>
      </c>
      <c r="F2383" s="2">
        <v>2</v>
      </c>
      <c r="G2383" s="2" t="s">
        <v>12</v>
      </c>
    </row>
    <row r="2384" spans="1:7" x14ac:dyDescent="0.2">
      <c r="A2384" s="2" t="s">
        <v>3272</v>
      </c>
      <c r="B2384" s="2" t="s">
        <v>3280</v>
      </c>
      <c r="C2384" s="2" t="s">
        <v>995</v>
      </c>
      <c r="D2384" s="2" t="s">
        <v>10</v>
      </c>
      <c r="E2384" s="2" t="s">
        <v>11</v>
      </c>
      <c r="F2384" s="2">
        <v>2</v>
      </c>
      <c r="G2384" s="2" t="s">
        <v>12</v>
      </c>
    </row>
    <row r="2385" spans="1:7" x14ac:dyDescent="0.2">
      <c r="A2385" s="2" t="s">
        <v>3272</v>
      </c>
      <c r="B2385" s="2" t="s">
        <v>3281</v>
      </c>
      <c r="C2385" s="2" t="s">
        <v>3282</v>
      </c>
      <c r="D2385" s="2" t="s">
        <v>10</v>
      </c>
      <c r="E2385" s="2" t="s">
        <v>11</v>
      </c>
      <c r="F2385" s="2">
        <v>1</v>
      </c>
      <c r="G2385" s="2" t="s">
        <v>12</v>
      </c>
    </row>
    <row r="2386" spans="1:7" x14ac:dyDescent="0.2">
      <c r="A2386" s="2" t="s">
        <v>3272</v>
      </c>
      <c r="B2386" s="2" t="s">
        <v>3283</v>
      </c>
      <c r="C2386" s="2" t="s">
        <v>995</v>
      </c>
      <c r="D2386" s="2" t="s">
        <v>10</v>
      </c>
      <c r="E2386" s="2" t="s">
        <v>11</v>
      </c>
      <c r="F2386" s="2">
        <v>2</v>
      </c>
      <c r="G2386" s="2" t="s">
        <v>12</v>
      </c>
    </row>
    <row r="2387" spans="1:7" x14ac:dyDescent="0.2">
      <c r="A2387" s="2" t="s">
        <v>3272</v>
      </c>
      <c r="B2387" s="2" t="s">
        <v>3284</v>
      </c>
      <c r="C2387" s="2" t="s">
        <v>2996</v>
      </c>
      <c r="D2387" s="2" t="s">
        <v>10</v>
      </c>
      <c r="E2387" s="2" t="s">
        <v>11</v>
      </c>
      <c r="F2387" s="2">
        <v>2</v>
      </c>
      <c r="G2387" s="2" t="s">
        <v>12</v>
      </c>
    </row>
    <row r="2388" spans="1:7" x14ac:dyDescent="0.2">
      <c r="A2388" s="2" t="s">
        <v>3272</v>
      </c>
      <c r="B2388" s="2" t="s">
        <v>3285</v>
      </c>
      <c r="C2388" s="2" t="s">
        <v>2996</v>
      </c>
      <c r="D2388" s="2" t="s">
        <v>10</v>
      </c>
      <c r="E2388" s="2" t="s">
        <v>11</v>
      </c>
      <c r="F2388" s="2">
        <v>2</v>
      </c>
      <c r="G2388" s="2" t="s">
        <v>12</v>
      </c>
    </row>
    <row r="2389" spans="1:7" x14ac:dyDescent="0.2">
      <c r="A2389" s="2" t="s">
        <v>3272</v>
      </c>
      <c r="B2389" s="2" t="s">
        <v>3286</v>
      </c>
      <c r="C2389" s="2" t="s">
        <v>2996</v>
      </c>
      <c r="D2389" s="2" t="s">
        <v>10</v>
      </c>
      <c r="E2389" s="2" t="s">
        <v>11</v>
      </c>
      <c r="F2389" s="2">
        <v>2</v>
      </c>
      <c r="G2389" s="2" t="s">
        <v>12</v>
      </c>
    </row>
    <row r="2390" spans="1:7" x14ac:dyDescent="0.2">
      <c r="A2390" s="2" t="s">
        <v>3272</v>
      </c>
      <c r="B2390" s="2" t="s">
        <v>3287</v>
      </c>
      <c r="C2390" s="2" t="s">
        <v>2996</v>
      </c>
      <c r="D2390" s="2" t="s">
        <v>10</v>
      </c>
      <c r="E2390" s="2" t="s">
        <v>11</v>
      </c>
      <c r="F2390" s="2">
        <v>2</v>
      </c>
      <c r="G2390" s="2" t="s">
        <v>12</v>
      </c>
    </row>
    <row r="2391" spans="1:7" x14ac:dyDescent="0.2">
      <c r="A2391" s="2" t="s">
        <v>3272</v>
      </c>
      <c r="B2391" s="2" t="s">
        <v>3288</v>
      </c>
      <c r="C2391" s="2" t="s">
        <v>3289</v>
      </c>
      <c r="D2391" s="2" t="s">
        <v>10</v>
      </c>
      <c r="E2391" s="2" t="s">
        <v>11</v>
      </c>
      <c r="F2391" s="2">
        <v>2</v>
      </c>
      <c r="G2391" s="2" t="s">
        <v>12</v>
      </c>
    </row>
    <row r="2392" spans="1:7" x14ac:dyDescent="0.2">
      <c r="A2392" s="2" t="s">
        <v>3272</v>
      </c>
      <c r="B2392" s="2" t="s">
        <v>3290</v>
      </c>
      <c r="C2392" s="2" t="s">
        <v>3289</v>
      </c>
      <c r="D2392" s="2" t="s">
        <v>10</v>
      </c>
      <c r="E2392" s="2" t="s">
        <v>11</v>
      </c>
      <c r="F2392" s="2">
        <v>2</v>
      </c>
      <c r="G2392" s="2" t="s">
        <v>12</v>
      </c>
    </row>
    <row r="2393" spans="1:7" x14ac:dyDescent="0.2">
      <c r="A2393" s="2" t="s">
        <v>3272</v>
      </c>
      <c r="B2393" s="2" t="s">
        <v>3291</v>
      </c>
      <c r="C2393" s="2" t="s">
        <v>3008</v>
      </c>
      <c r="D2393" s="2" t="s">
        <v>10</v>
      </c>
      <c r="E2393" s="2" t="s">
        <v>11</v>
      </c>
      <c r="F2393" s="2">
        <v>2</v>
      </c>
      <c r="G2393" s="2" t="s">
        <v>12</v>
      </c>
    </row>
    <row r="2394" spans="1:7" x14ac:dyDescent="0.2">
      <c r="A2394" s="2" t="s">
        <v>3272</v>
      </c>
      <c r="B2394" s="2" t="s">
        <v>3292</v>
      </c>
      <c r="C2394" s="2" t="s">
        <v>3293</v>
      </c>
      <c r="D2394" s="2" t="s">
        <v>10</v>
      </c>
      <c r="E2394" s="2" t="s">
        <v>11</v>
      </c>
      <c r="F2394" s="2">
        <v>2</v>
      </c>
      <c r="G2394" s="2" t="s">
        <v>12</v>
      </c>
    </row>
    <row r="2395" spans="1:7" x14ac:dyDescent="0.2">
      <c r="A2395" s="2" t="s">
        <v>3272</v>
      </c>
      <c r="B2395" s="2" t="s">
        <v>3294</v>
      </c>
      <c r="C2395" s="2" t="s">
        <v>2948</v>
      </c>
      <c r="D2395" s="2" t="s">
        <v>29</v>
      </c>
      <c r="E2395" s="2" t="s">
        <v>16</v>
      </c>
      <c r="F2395" s="2">
        <v>2</v>
      </c>
      <c r="G2395" s="2" t="s">
        <v>12</v>
      </c>
    </row>
    <row r="2396" spans="1:7" x14ac:dyDescent="0.2">
      <c r="A2396" s="2" t="s">
        <v>3272</v>
      </c>
      <c r="B2396" s="2" t="s">
        <v>3295</v>
      </c>
      <c r="C2396" s="2" t="s">
        <v>3296</v>
      </c>
      <c r="D2396" s="2" t="s">
        <v>10</v>
      </c>
      <c r="E2396" s="2" t="s">
        <v>11</v>
      </c>
      <c r="F2396" s="2">
        <v>1</v>
      </c>
      <c r="G2396" s="2" t="s">
        <v>12</v>
      </c>
    </row>
    <row r="2397" spans="1:7" x14ac:dyDescent="0.2">
      <c r="A2397" s="2" t="s">
        <v>3272</v>
      </c>
      <c r="B2397" s="2" t="s">
        <v>3297</v>
      </c>
      <c r="C2397" s="2" t="s">
        <v>3298</v>
      </c>
      <c r="D2397" s="2" t="s">
        <v>10</v>
      </c>
      <c r="E2397" s="2" t="s">
        <v>11</v>
      </c>
      <c r="F2397" s="2">
        <v>1</v>
      </c>
      <c r="G2397" s="2" t="s">
        <v>12</v>
      </c>
    </row>
    <row r="2398" spans="1:7" x14ac:dyDescent="0.2">
      <c r="A2398" s="2" t="s">
        <v>3272</v>
      </c>
      <c r="B2398" s="2" t="s">
        <v>3299</v>
      </c>
      <c r="C2398" s="2" t="s">
        <v>3300</v>
      </c>
      <c r="D2398" s="2" t="s">
        <v>10</v>
      </c>
      <c r="E2398" s="2" t="s">
        <v>11</v>
      </c>
      <c r="F2398" s="2">
        <v>1</v>
      </c>
      <c r="G2398" s="2" t="s">
        <v>17</v>
      </c>
    </row>
    <row r="2399" spans="1:7" x14ac:dyDescent="0.2">
      <c r="A2399" s="2" t="s">
        <v>3272</v>
      </c>
      <c r="B2399" s="2" t="s">
        <v>3301</v>
      </c>
      <c r="C2399" s="2" t="s">
        <v>3302</v>
      </c>
      <c r="D2399" s="2" t="s">
        <v>10</v>
      </c>
      <c r="E2399" s="2" t="s">
        <v>52</v>
      </c>
      <c r="F2399" s="2">
        <v>4</v>
      </c>
      <c r="G2399" s="2" t="s">
        <v>12</v>
      </c>
    </row>
    <row r="2400" spans="1:7" x14ac:dyDescent="0.2">
      <c r="A2400" s="2" t="s">
        <v>3272</v>
      </c>
      <c r="B2400" s="2" t="s">
        <v>3303</v>
      </c>
      <c r="C2400" s="2" t="s">
        <v>3276</v>
      </c>
      <c r="D2400" s="2" t="s">
        <v>10</v>
      </c>
      <c r="E2400" s="2" t="s">
        <v>52</v>
      </c>
      <c r="F2400" s="2">
        <v>2</v>
      </c>
      <c r="G2400" s="2" t="s">
        <v>12</v>
      </c>
    </row>
    <row r="2401" spans="1:7" x14ac:dyDescent="0.2">
      <c r="A2401" s="2" t="s">
        <v>3272</v>
      </c>
      <c r="B2401" s="2" t="s">
        <v>3304</v>
      </c>
      <c r="C2401" s="2" t="s">
        <v>3282</v>
      </c>
      <c r="D2401" s="2" t="s">
        <v>10</v>
      </c>
      <c r="E2401" s="2" t="s">
        <v>11</v>
      </c>
      <c r="F2401" s="2">
        <v>1</v>
      </c>
      <c r="G2401" s="2" t="s">
        <v>12</v>
      </c>
    </row>
    <row r="2402" spans="1:7" x14ac:dyDescent="0.2">
      <c r="A2402" s="2" t="s">
        <v>3272</v>
      </c>
      <c r="B2402" s="2" t="s">
        <v>3305</v>
      </c>
      <c r="C2402" s="2" t="s">
        <v>3282</v>
      </c>
      <c r="D2402" s="2" t="s">
        <v>10</v>
      </c>
      <c r="E2402" s="2" t="s">
        <v>11</v>
      </c>
      <c r="F2402" s="2">
        <v>1</v>
      </c>
      <c r="G2402" s="2" t="s">
        <v>12</v>
      </c>
    </row>
    <row r="2403" spans="1:7" x14ac:dyDescent="0.2">
      <c r="A2403" s="2" t="s">
        <v>3272</v>
      </c>
      <c r="B2403" s="2" t="s">
        <v>3306</v>
      </c>
      <c r="C2403" s="2" t="s">
        <v>3307</v>
      </c>
      <c r="D2403" s="2" t="s">
        <v>29</v>
      </c>
      <c r="E2403" s="2" t="s">
        <v>16</v>
      </c>
      <c r="F2403" s="2">
        <v>2</v>
      </c>
      <c r="G2403" s="2" t="s">
        <v>12</v>
      </c>
    </row>
    <row r="2404" spans="1:7" x14ac:dyDescent="0.2">
      <c r="A2404" s="2" t="s">
        <v>3272</v>
      </c>
      <c r="B2404" s="2" t="s">
        <v>3308</v>
      </c>
      <c r="C2404" s="2" t="s">
        <v>3309</v>
      </c>
      <c r="D2404" s="2" t="s">
        <v>29</v>
      </c>
      <c r="E2404" s="2" t="s">
        <v>52</v>
      </c>
      <c r="F2404" s="2">
        <v>2</v>
      </c>
      <c r="G2404" s="2" t="s">
        <v>12</v>
      </c>
    </row>
    <row r="2405" spans="1:7" x14ac:dyDescent="0.2">
      <c r="A2405" s="2" t="s">
        <v>3272</v>
      </c>
      <c r="B2405" s="2" t="s">
        <v>3310</v>
      </c>
      <c r="C2405" s="2" t="s">
        <v>995</v>
      </c>
      <c r="D2405" s="2" t="s">
        <v>10</v>
      </c>
      <c r="E2405" s="2" t="s">
        <v>11</v>
      </c>
      <c r="F2405" s="2">
        <v>2</v>
      </c>
      <c r="G2405" s="2" t="s">
        <v>12</v>
      </c>
    </row>
    <row r="2406" spans="1:7" x14ac:dyDescent="0.2">
      <c r="A2406" s="2" t="s">
        <v>3272</v>
      </c>
      <c r="B2406" s="2" t="s">
        <v>3311</v>
      </c>
      <c r="C2406" s="2" t="s">
        <v>995</v>
      </c>
      <c r="D2406" s="2" t="s">
        <v>10</v>
      </c>
      <c r="E2406" s="2" t="s">
        <v>11</v>
      </c>
      <c r="F2406" s="2">
        <v>2</v>
      </c>
      <c r="G2406" s="2" t="s">
        <v>12</v>
      </c>
    </row>
    <row r="2407" spans="1:7" x14ac:dyDescent="0.2">
      <c r="A2407" s="2" t="s">
        <v>3272</v>
      </c>
      <c r="B2407" s="2" t="s">
        <v>3312</v>
      </c>
      <c r="C2407" s="2" t="s">
        <v>3309</v>
      </c>
      <c r="D2407" s="2" t="s">
        <v>29</v>
      </c>
      <c r="E2407" s="2" t="s">
        <v>52</v>
      </c>
      <c r="F2407" s="2">
        <v>2</v>
      </c>
      <c r="G2407" s="2" t="s">
        <v>12</v>
      </c>
    </row>
    <row r="2408" spans="1:7" x14ac:dyDescent="0.2">
      <c r="A2408" s="2" t="s">
        <v>3272</v>
      </c>
      <c r="B2408" s="2" t="s">
        <v>3313</v>
      </c>
      <c r="C2408" s="2" t="s">
        <v>3309</v>
      </c>
      <c r="D2408" s="2" t="s">
        <v>29</v>
      </c>
      <c r="E2408" s="2" t="s">
        <v>52</v>
      </c>
      <c r="F2408" s="2">
        <v>2</v>
      </c>
      <c r="G2408" s="2" t="s">
        <v>12</v>
      </c>
    </row>
    <row r="2409" spans="1:7" x14ac:dyDescent="0.2">
      <c r="A2409" s="2" t="s">
        <v>3272</v>
      </c>
      <c r="B2409" s="2" t="s">
        <v>3314</v>
      </c>
      <c r="C2409" s="2" t="s">
        <v>2996</v>
      </c>
      <c r="D2409" s="2" t="s">
        <v>10</v>
      </c>
      <c r="E2409" s="2" t="s">
        <v>11</v>
      </c>
      <c r="F2409" s="2">
        <v>2</v>
      </c>
      <c r="G2409" s="2" t="s">
        <v>12</v>
      </c>
    </row>
    <row r="2410" spans="1:7" x14ac:dyDescent="0.2">
      <c r="A2410" s="2" t="s">
        <v>3272</v>
      </c>
      <c r="B2410" s="2" t="s">
        <v>3315</v>
      </c>
      <c r="C2410" s="2" t="s">
        <v>2996</v>
      </c>
      <c r="D2410" s="2" t="s">
        <v>10</v>
      </c>
      <c r="E2410" s="2" t="s">
        <v>11</v>
      </c>
      <c r="F2410" s="2">
        <v>2</v>
      </c>
      <c r="G2410" s="2" t="s">
        <v>12</v>
      </c>
    </row>
    <row r="2411" spans="1:7" x14ac:dyDescent="0.2">
      <c r="A2411" s="2" t="s">
        <v>3272</v>
      </c>
      <c r="B2411" s="2" t="s">
        <v>3316</v>
      </c>
      <c r="C2411" s="2" t="s">
        <v>2996</v>
      </c>
      <c r="D2411" s="2" t="s">
        <v>10</v>
      </c>
      <c r="E2411" s="2" t="s">
        <v>11</v>
      </c>
      <c r="F2411" s="2">
        <v>2</v>
      </c>
      <c r="G2411" s="2" t="s">
        <v>12</v>
      </c>
    </row>
    <row r="2412" spans="1:7" x14ac:dyDescent="0.2">
      <c r="A2412" s="2" t="s">
        <v>3272</v>
      </c>
      <c r="B2412" s="2" t="s">
        <v>3317</v>
      </c>
      <c r="C2412" s="2" t="s">
        <v>2996</v>
      </c>
      <c r="D2412" s="2" t="s">
        <v>10</v>
      </c>
      <c r="E2412" s="2" t="s">
        <v>11</v>
      </c>
      <c r="F2412" s="2">
        <v>2</v>
      </c>
      <c r="G2412" s="2" t="s">
        <v>12</v>
      </c>
    </row>
    <row r="2413" spans="1:7" x14ac:dyDescent="0.2">
      <c r="A2413" s="2" t="s">
        <v>3272</v>
      </c>
      <c r="B2413" s="2" t="s">
        <v>3318</v>
      </c>
      <c r="C2413" s="2" t="s">
        <v>3289</v>
      </c>
      <c r="D2413" s="2" t="s">
        <v>10</v>
      </c>
      <c r="E2413" s="2" t="s">
        <v>11</v>
      </c>
      <c r="F2413" s="2">
        <v>2</v>
      </c>
      <c r="G2413" s="2" t="s">
        <v>12</v>
      </c>
    </row>
    <row r="2414" spans="1:7" x14ac:dyDescent="0.2">
      <c r="A2414" s="2" t="s">
        <v>3272</v>
      </c>
      <c r="B2414" s="2" t="s">
        <v>3319</v>
      </c>
      <c r="C2414" s="2" t="s">
        <v>3289</v>
      </c>
      <c r="D2414" s="2" t="s">
        <v>10</v>
      </c>
      <c r="E2414" s="2" t="s">
        <v>11</v>
      </c>
      <c r="F2414" s="2">
        <v>2</v>
      </c>
      <c r="G2414" s="2" t="s">
        <v>12</v>
      </c>
    </row>
    <row r="2415" spans="1:7" x14ac:dyDescent="0.2">
      <c r="A2415" s="2" t="s">
        <v>3272</v>
      </c>
      <c r="B2415" s="2" t="s">
        <v>3320</v>
      </c>
      <c r="C2415" s="2" t="s">
        <v>3008</v>
      </c>
      <c r="D2415" s="2" t="s">
        <v>10</v>
      </c>
      <c r="E2415" s="2" t="s">
        <v>11</v>
      </c>
      <c r="F2415" s="2">
        <v>2</v>
      </c>
      <c r="G2415" s="2" t="s">
        <v>12</v>
      </c>
    </row>
    <row r="2416" spans="1:7" x14ac:dyDescent="0.2">
      <c r="A2416" s="2" t="s">
        <v>3272</v>
      </c>
      <c r="B2416" s="2" t="s">
        <v>3321</v>
      </c>
      <c r="C2416" s="2" t="s">
        <v>3293</v>
      </c>
      <c r="D2416" s="2" t="s">
        <v>10</v>
      </c>
      <c r="E2416" s="2" t="s">
        <v>11</v>
      </c>
      <c r="F2416" s="2">
        <v>2</v>
      </c>
      <c r="G2416" s="2" t="s">
        <v>12</v>
      </c>
    </row>
    <row r="2417" spans="1:7" x14ac:dyDescent="0.2">
      <c r="A2417" s="2" t="s">
        <v>3272</v>
      </c>
      <c r="B2417" s="2" t="s">
        <v>3322</v>
      </c>
      <c r="C2417" s="2" t="s">
        <v>3289</v>
      </c>
      <c r="D2417" s="2" t="s">
        <v>10</v>
      </c>
      <c r="E2417" s="2" t="s">
        <v>11</v>
      </c>
      <c r="F2417" s="2">
        <v>2</v>
      </c>
      <c r="G2417" s="2" t="s">
        <v>12</v>
      </c>
    </row>
    <row r="2418" spans="1:7" x14ac:dyDescent="0.2">
      <c r="A2418" s="2" t="s">
        <v>3272</v>
      </c>
      <c r="B2418" s="2" t="s">
        <v>3323</v>
      </c>
      <c r="C2418" s="2" t="s">
        <v>3324</v>
      </c>
      <c r="D2418" s="2" t="s">
        <v>10</v>
      </c>
      <c r="E2418" s="2" t="s">
        <v>11</v>
      </c>
      <c r="F2418" s="2">
        <v>2</v>
      </c>
      <c r="G2418" s="2" t="s">
        <v>12</v>
      </c>
    </row>
    <row r="2419" spans="1:7" x14ac:dyDescent="0.2">
      <c r="A2419" s="2" t="s">
        <v>3272</v>
      </c>
      <c r="B2419" s="2" t="s">
        <v>3325</v>
      </c>
      <c r="C2419" s="2" t="s">
        <v>3289</v>
      </c>
      <c r="D2419" s="2" t="s">
        <v>10</v>
      </c>
      <c r="E2419" s="2" t="s">
        <v>11</v>
      </c>
      <c r="F2419" s="2">
        <v>2</v>
      </c>
      <c r="G2419" s="2" t="s">
        <v>12</v>
      </c>
    </row>
    <row r="2420" spans="1:7" x14ac:dyDescent="0.2">
      <c r="A2420" s="2" t="s">
        <v>3272</v>
      </c>
      <c r="B2420" s="2" t="s">
        <v>3326</v>
      </c>
      <c r="C2420" s="2" t="s">
        <v>3289</v>
      </c>
      <c r="D2420" s="2" t="s">
        <v>10</v>
      </c>
      <c r="E2420" s="2" t="s">
        <v>11</v>
      </c>
      <c r="F2420" s="2">
        <v>2</v>
      </c>
      <c r="G2420" s="2" t="s">
        <v>12</v>
      </c>
    </row>
    <row r="2421" spans="1:7" x14ac:dyDescent="0.2">
      <c r="A2421" s="2" t="s">
        <v>3272</v>
      </c>
      <c r="B2421" s="2" t="s">
        <v>3327</v>
      </c>
      <c r="C2421" s="2" t="s">
        <v>3008</v>
      </c>
      <c r="D2421" s="2" t="s">
        <v>10</v>
      </c>
      <c r="E2421" s="2" t="s">
        <v>11</v>
      </c>
      <c r="F2421" s="2">
        <v>2</v>
      </c>
      <c r="G2421" s="2" t="s">
        <v>12</v>
      </c>
    </row>
    <row r="2422" spans="1:7" x14ac:dyDescent="0.2">
      <c r="A2422" s="2" t="s">
        <v>3272</v>
      </c>
      <c r="B2422" s="2" t="s">
        <v>3328</v>
      </c>
      <c r="C2422" s="2" t="s">
        <v>3008</v>
      </c>
      <c r="D2422" s="2" t="s">
        <v>10</v>
      </c>
      <c r="E2422" s="2" t="s">
        <v>11</v>
      </c>
      <c r="F2422" s="2">
        <v>2</v>
      </c>
      <c r="G2422" s="2" t="s">
        <v>12</v>
      </c>
    </row>
    <row r="2423" spans="1:7" x14ac:dyDescent="0.2">
      <c r="A2423" s="2" t="s">
        <v>3272</v>
      </c>
      <c r="B2423" s="2" t="s">
        <v>3329</v>
      </c>
      <c r="C2423" s="2" t="s">
        <v>3293</v>
      </c>
      <c r="D2423" s="2" t="s">
        <v>10</v>
      </c>
      <c r="E2423" s="2" t="s">
        <v>11</v>
      </c>
      <c r="F2423" s="2">
        <v>2</v>
      </c>
      <c r="G2423" s="2" t="s">
        <v>12</v>
      </c>
    </row>
    <row r="2424" spans="1:7" x14ac:dyDescent="0.2">
      <c r="A2424" s="2" t="s">
        <v>3272</v>
      </c>
      <c r="B2424" s="2" t="s">
        <v>3330</v>
      </c>
      <c r="C2424" s="2" t="s">
        <v>3293</v>
      </c>
      <c r="D2424" s="2" t="s">
        <v>10</v>
      </c>
      <c r="E2424" s="2" t="s">
        <v>11</v>
      </c>
      <c r="F2424" s="2">
        <v>2</v>
      </c>
      <c r="G2424" s="2" t="s">
        <v>12</v>
      </c>
    </row>
    <row r="2425" spans="1:7" x14ac:dyDescent="0.2">
      <c r="A2425" s="2" t="s">
        <v>3272</v>
      </c>
      <c r="B2425" s="2" t="s">
        <v>3331</v>
      </c>
      <c r="C2425" s="2" t="s">
        <v>3324</v>
      </c>
      <c r="D2425" s="2" t="s">
        <v>10</v>
      </c>
      <c r="E2425" s="2" t="s">
        <v>11</v>
      </c>
      <c r="F2425" s="2">
        <v>2</v>
      </c>
      <c r="G2425" s="2" t="s">
        <v>12</v>
      </c>
    </row>
    <row r="2426" spans="1:7" x14ac:dyDescent="0.2">
      <c r="A2426" s="2" t="s">
        <v>3272</v>
      </c>
      <c r="B2426" s="2" t="s">
        <v>3332</v>
      </c>
      <c r="C2426" s="2" t="s">
        <v>3289</v>
      </c>
      <c r="D2426" s="2" t="s">
        <v>10</v>
      </c>
      <c r="E2426" s="2" t="s">
        <v>11</v>
      </c>
      <c r="F2426" s="2">
        <v>2</v>
      </c>
      <c r="G2426" s="2" t="s">
        <v>12</v>
      </c>
    </row>
    <row r="2427" spans="1:7" x14ac:dyDescent="0.2">
      <c r="A2427" s="2" t="s">
        <v>3272</v>
      </c>
      <c r="B2427" s="2" t="s">
        <v>3333</v>
      </c>
      <c r="C2427" s="2" t="s">
        <v>3289</v>
      </c>
      <c r="D2427" s="2" t="s">
        <v>10</v>
      </c>
      <c r="E2427" s="2" t="s">
        <v>11</v>
      </c>
      <c r="F2427" s="2">
        <v>2</v>
      </c>
      <c r="G2427" s="2" t="s">
        <v>12</v>
      </c>
    </row>
    <row r="2428" spans="1:7" x14ac:dyDescent="0.2">
      <c r="A2428" s="2" t="s">
        <v>3272</v>
      </c>
      <c r="B2428" s="2" t="s">
        <v>3334</v>
      </c>
      <c r="C2428" s="2" t="s">
        <v>3289</v>
      </c>
      <c r="D2428" s="2" t="s">
        <v>10</v>
      </c>
      <c r="E2428" s="2" t="s">
        <v>11</v>
      </c>
      <c r="F2428" s="2">
        <v>2</v>
      </c>
      <c r="G2428" s="2" t="s">
        <v>12</v>
      </c>
    </row>
    <row r="2429" spans="1:7" x14ac:dyDescent="0.2">
      <c r="A2429" s="2" t="s">
        <v>3272</v>
      </c>
      <c r="B2429" s="2" t="s">
        <v>3335</v>
      </c>
      <c r="C2429" s="2" t="s">
        <v>3276</v>
      </c>
      <c r="D2429" s="2" t="s">
        <v>10</v>
      </c>
      <c r="E2429" s="2" t="s">
        <v>52</v>
      </c>
      <c r="F2429" s="2">
        <v>2</v>
      </c>
      <c r="G2429" s="2" t="s">
        <v>12</v>
      </c>
    </row>
    <row r="2430" spans="1:7" x14ac:dyDescent="0.2">
      <c r="A2430" s="2" t="s">
        <v>3272</v>
      </c>
      <c r="B2430" s="2" t="s">
        <v>3336</v>
      </c>
      <c r="C2430" s="2" t="s">
        <v>3300</v>
      </c>
      <c r="D2430" s="2" t="s">
        <v>10</v>
      </c>
      <c r="E2430" s="2" t="s">
        <v>11</v>
      </c>
      <c r="F2430" s="2">
        <v>1</v>
      </c>
      <c r="G2430" s="2" t="s">
        <v>17</v>
      </c>
    </row>
    <row r="2431" spans="1:7" x14ac:dyDescent="0.2">
      <c r="A2431" s="2" t="s">
        <v>3272</v>
      </c>
      <c r="B2431" s="2" t="s">
        <v>3337</v>
      </c>
      <c r="C2431" s="2" t="s">
        <v>3298</v>
      </c>
      <c r="D2431" s="2" t="s">
        <v>10</v>
      </c>
      <c r="E2431" s="2" t="s">
        <v>11</v>
      </c>
      <c r="F2431" s="2">
        <v>1</v>
      </c>
      <c r="G2431" s="2" t="s">
        <v>12</v>
      </c>
    </row>
    <row r="2432" spans="1:7" x14ac:dyDescent="0.2">
      <c r="A2432" s="2" t="s">
        <v>3272</v>
      </c>
      <c r="B2432" s="2" t="s">
        <v>3338</v>
      </c>
      <c r="C2432" s="2" t="s">
        <v>3276</v>
      </c>
      <c r="D2432" s="2" t="s">
        <v>10</v>
      </c>
      <c r="E2432" s="2" t="s">
        <v>52</v>
      </c>
      <c r="F2432" s="2">
        <v>2</v>
      </c>
      <c r="G2432" s="2" t="s">
        <v>12</v>
      </c>
    </row>
    <row r="2433" spans="1:7" x14ac:dyDescent="0.2">
      <c r="A2433" s="2" t="s">
        <v>3272</v>
      </c>
      <c r="B2433" s="2" t="s">
        <v>3339</v>
      </c>
      <c r="C2433" s="2" t="s">
        <v>3282</v>
      </c>
      <c r="D2433" s="2" t="s">
        <v>10</v>
      </c>
      <c r="E2433" s="2" t="s">
        <v>11</v>
      </c>
      <c r="F2433" s="2">
        <v>1</v>
      </c>
      <c r="G2433" s="2" t="s">
        <v>12</v>
      </c>
    </row>
    <row r="2434" spans="1:7" x14ac:dyDescent="0.2">
      <c r="A2434" s="2" t="s">
        <v>3272</v>
      </c>
      <c r="B2434" s="2" t="s">
        <v>3340</v>
      </c>
      <c r="C2434" s="2" t="s">
        <v>3302</v>
      </c>
      <c r="D2434" s="2" t="s">
        <v>10</v>
      </c>
      <c r="E2434" s="2" t="s">
        <v>52</v>
      </c>
      <c r="F2434" s="2">
        <v>4</v>
      </c>
      <c r="G2434" s="2" t="s">
        <v>12</v>
      </c>
    </row>
    <row r="2435" spans="1:7" x14ac:dyDescent="0.2">
      <c r="A2435" s="2" t="s">
        <v>3272</v>
      </c>
      <c r="B2435" s="2" t="s">
        <v>3341</v>
      </c>
      <c r="C2435" s="2" t="s">
        <v>995</v>
      </c>
      <c r="D2435" s="2" t="s">
        <v>10</v>
      </c>
      <c r="E2435" s="2" t="s">
        <v>11</v>
      </c>
      <c r="F2435" s="2">
        <v>2</v>
      </c>
      <c r="G2435" s="2" t="s">
        <v>12</v>
      </c>
    </row>
    <row r="2436" spans="1:7" x14ac:dyDescent="0.2">
      <c r="A2436" s="2" t="s">
        <v>3272</v>
      </c>
      <c r="B2436" s="2" t="s">
        <v>3342</v>
      </c>
      <c r="C2436" s="2" t="s">
        <v>2948</v>
      </c>
      <c r="D2436" s="2" t="s">
        <v>29</v>
      </c>
      <c r="E2436" s="2" t="s">
        <v>16</v>
      </c>
      <c r="F2436" s="2">
        <v>2</v>
      </c>
      <c r="G2436" s="2" t="s">
        <v>12</v>
      </c>
    </row>
    <row r="2437" spans="1:7" x14ac:dyDescent="0.2">
      <c r="A2437" s="2" t="s">
        <v>3272</v>
      </c>
      <c r="B2437" s="2" t="s">
        <v>3343</v>
      </c>
      <c r="C2437" s="2" t="s">
        <v>3324</v>
      </c>
      <c r="D2437" s="2" t="s">
        <v>10</v>
      </c>
      <c r="E2437" s="2" t="s">
        <v>11</v>
      </c>
      <c r="F2437" s="2">
        <v>2</v>
      </c>
      <c r="G2437" s="2" t="s">
        <v>12</v>
      </c>
    </row>
    <row r="2438" spans="1:7" x14ac:dyDescent="0.2">
      <c r="A2438" s="2" t="s">
        <v>3272</v>
      </c>
      <c r="B2438" s="2" t="s">
        <v>3344</v>
      </c>
      <c r="C2438" s="2" t="s">
        <v>3289</v>
      </c>
      <c r="D2438" s="2" t="s">
        <v>10</v>
      </c>
      <c r="E2438" s="2" t="s">
        <v>11</v>
      </c>
      <c r="F2438" s="2">
        <v>2</v>
      </c>
      <c r="G2438" s="2" t="s">
        <v>12</v>
      </c>
    </row>
    <row r="2439" spans="1:7" x14ac:dyDescent="0.2">
      <c r="A2439" s="2" t="s">
        <v>3272</v>
      </c>
      <c r="B2439" s="2" t="s">
        <v>3345</v>
      </c>
      <c r="C2439" s="2" t="s">
        <v>3289</v>
      </c>
      <c r="D2439" s="2" t="s">
        <v>10</v>
      </c>
      <c r="E2439" s="2" t="s">
        <v>11</v>
      </c>
      <c r="F2439" s="2">
        <v>2</v>
      </c>
      <c r="G2439" s="2" t="s">
        <v>12</v>
      </c>
    </row>
    <row r="2440" spans="1:7" x14ac:dyDescent="0.2">
      <c r="A2440" s="2" t="s">
        <v>3272</v>
      </c>
      <c r="B2440" s="2" t="s">
        <v>3346</v>
      </c>
      <c r="C2440" s="2" t="s">
        <v>3008</v>
      </c>
      <c r="D2440" s="2" t="s">
        <v>10</v>
      </c>
      <c r="E2440" s="2" t="s">
        <v>11</v>
      </c>
      <c r="F2440" s="2">
        <v>2</v>
      </c>
      <c r="G2440" s="2" t="s">
        <v>12</v>
      </c>
    </row>
    <row r="2441" spans="1:7" x14ac:dyDescent="0.2">
      <c r="A2441" s="2" t="s">
        <v>3272</v>
      </c>
      <c r="B2441" s="2" t="s">
        <v>3347</v>
      </c>
      <c r="C2441" s="2" t="s">
        <v>3008</v>
      </c>
      <c r="D2441" s="2" t="s">
        <v>10</v>
      </c>
      <c r="E2441" s="2" t="s">
        <v>11</v>
      </c>
      <c r="F2441" s="2">
        <v>2</v>
      </c>
      <c r="G2441" s="2" t="s">
        <v>12</v>
      </c>
    </row>
    <row r="2442" spans="1:7" x14ac:dyDescent="0.2">
      <c r="A2442" s="2" t="s">
        <v>3272</v>
      </c>
      <c r="B2442" s="2" t="s">
        <v>3348</v>
      </c>
      <c r="C2442" s="2" t="s">
        <v>3293</v>
      </c>
      <c r="D2442" s="2" t="s">
        <v>10</v>
      </c>
      <c r="E2442" s="2" t="s">
        <v>11</v>
      </c>
      <c r="F2442" s="2">
        <v>2</v>
      </c>
      <c r="G2442" s="2" t="s">
        <v>12</v>
      </c>
    </row>
    <row r="2443" spans="1:7" x14ac:dyDescent="0.2">
      <c r="A2443" s="2" t="s">
        <v>3272</v>
      </c>
      <c r="B2443" s="2" t="s">
        <v>3349</v>
      </c>
      <c r="C2443" s="2" t="s">
        <v>3293</v>
      </c>
      <c r="D2443" s="2" t="s">
        <v>10</v>
      </c>
      <c r="E2443" s="2" t="s">
        <v>11</v>
      </c>
      <c r="F2443" s="2">
        <v>2</v>
      </c>
      <c r="G2443" s="2" t="s">
        <v>12</v>
      </c>
    </row>
    <row r="2444" spans="1:7" x14ac:dyDescent="0.2">
      <c r="A2444" s="2" t="s">
        <v>3272</v>
      </c>
      <c r="B2444" s="2" t="s">
        <v>3350</v>
      </c>
      <c r="C2444" s="2" t="s">
        <v>3324</v>
      </c>
      <c r="D2444" s="2" t="s">
        <v>10</v>
      </c>
      <c r="E2444" s="2" t="s">
        <v>11</v>
      </c>
      <c r="F2444" s="2">
        <v>2</v>
      </c>
      <c r="G2444" s="2" t="s">
        <v>12</v>
      </c>
    </row>
    <row r="2445" spans="1:7" x14ac:dyDescent="0.2">
      <c r="A2445" s="2" t="s">
        <v>3272</v>
      </c>
      <c r="B2445" s="2" t="s">
        <v>3351</v>
      </c>
      <c r="C2445" s="2" t="s">
        <v>3289</v>
      </c>
      <c r="D2445" s="2" t="s">
        <v>10</v>
      </c>
      <c r="E2445" s="2" t="s">
        <v>11</v>
      </c>
      <c r="F2445" s="2">
        <v>2</v>
      </c>
      <c r="G2445" s="2" t="s">
        <v>12</v>
      </c>
    </row>
    <row r="2446" spans="1:7" x14ac:dyDescent="0.2">
      <c r="A2446" s="2" t="s">
        <v>3272</v>
      </c>
      <c r="B2446" s="2" t="s">
        <v>3352</v>
      </c>
      <c r="C2446" s="2" t="s">
        <v>3296</v>
      </c>
      <c r="D2446" s="2" t="s">
        <v>10</v>
      </c>
      <c r="E2446" s="2" t="s">
        <v>11</v>
      </c>
      <c r="F2446" s="2">
        <v>1</v>
      </c>
      <c r="G2446" s="2" t="s">
        <v>12</v>
      </c>
    </row>
    <row r="2447" spans="1:7" x14ac:dyDescent="0.2">
      <c r="A2447" s="2" t="s">
        <v>3272</v>
      </c>
      <c r="B2447" s="2" t="s">
        <v>3353</v>
      </c>
      <c r="C2447" s="2" t="s">
        <v>3298</v>
      </c>
      <c r="D2447" s="2" t="s">
        <v>10</v>
      </c>
      <c r="E2447" s="2" t="s">
        <v>11</v>
      </c>
      <c r="F2447" s="2">
        <v>1</v>
      </c>
      <c r="G2447" s="2" t="s">
        <v>12</v>
      </c>
    </row>
    <row r="2448" spans="1:7" x14ac:dyDescent="0.2">
      <c r="A2448" s="2" t="s">
        <v>3272</v>
      </c>
      <c r="B2448" s="2" t="s">
        <v>3354</v>
      </c>
      <c r="C2448" s="2" t="s">
        <v>3289</v>
      </c>
      <c r="D2448" s="2" t="s">
        <v>10</v>
      </c>
      <c r="E2448" s="2" t="s">
        <v>11</v>
      </c>
      <c r="F2448" s="2">
        <v>2</v>
      </c>
      <c r="G2448" s="2" t="s">
        <v>12</v>
      </c>
    </row>
    <row r="2449" spans="1:7" x14ac:dyDescent="0.2">
      <c r="A2449" s="2" t="s">
        <v>3272</v>
      </c>
      <c r="B2449" s="2" t="s">
        <v>3355</v>
      </c>
      <c r="C2449" s="2" t="s">
        <v>3282</v>
      </c>
      <c r="D2449" s="2" t="s">
        <v>10</v>
      </c>
      <c r="E2449" s="2" t="s">
        <v>11</v>
      </c>
      <c r="F2449" s="2">
        <v>1</v>
      </c>
      <c r="G2449" s="2" t="s">
        <v>12</v>
      </c>
    </row>
    <row r="2450" spans="1:7" x14ac:dyDescent="0.2">
      <c r="A2450" s="2" t="s">
        <v>3272</v>
      </c>
      <c r="B2450" s="2" t="s">
        <v>3356</v>
      </c>
      <c r="C2450" s="2" t="s">
        <v>3309</v>
      </c>
      <c r="D2450" s="2" t="s">
        <v>29</v>
      </c>
      <c r="E2450" s="2" t="s">
        <v>52</v>
      </c>
      <c r="F2450" s="2">
        <v>2</v>
      </c>
      <c r="G2450" s="2" t="s">
        <v>12</v>
      </c>
    </row>
    <row r="2451" spans="1:7" x14ac:dyDescent="0.2">
      <c r="A2451" s="2" t="s">
        <v>3272</v>
      </c>
      <c r="B2451" s="2" t="s">
        <v>3357</v>
      </c>
      <c r="C2451" s="2" t="s">
        <v>3298</v>
      </c>
      <c r="D2451" s="2" t="s">
        <v>10</v>
      </c>
      <c r="E2451" s="2" t="s">
        <v>11</v>
      </c>
      <c r="F2451" s="2">
        <v>1</v>
      </c>
      <c r="G2451" s="2" t="s">
        <v>12</v>
      </c>
    </row>
    <row r="2452" spans="1:7" x14ac:dyDescent="0.2">
      <c r="A2452" s="2" t="s">
        <v>3272</v>
      </c>
      <c r="B2452" s="2" t="s">
        <v>2057</v>
      </c>
      <c r="C2452" s="2" t="s">
        <v>3300</v>
      </c>
      <c r="D2452" s="2" t="s">
        <v>10</v>
      </c>
      <c r="E2452" s="2" t="s">
        <v>11</v>
      </c>
      <c r="F2452" s="2">
        <v>1</v>
      </c>
      <c r="G2452" s="2" t="s">
        <v>17</v>
      </c>
    </row>
    <row r="2453" spans="1:7" x14ac:dyDescent="0.2">
      <c r="A2453" s="2" t="s">
        <v>3358</v>
      </c>
      <c r="B2453" s="2" t="s">
        <v>3359</v>
      </c>
      <c r="C2453" s="2" t="s">
        <v>3360</v>
      </c>
      <c r="D2453" s="2" t="s">
        <v>56</v>
      </c>
      <c r="E2453" s="2" t="s">
        <v>16</v>
      </c>
      <c r="F2453" s="2">
        <v>1</v>
      </c>
      <c r="G2453" s="2" t="s">
        <v>17</v>
      </c>
    </row>
    <row r="2454" spans="1:7" x14ac:dyDescent="0.2">
      <c r="A2454" s="2" t="s">
        <v>3358</v>
      </c>
      <c r="B2454" s="2" t="s">
        <v>3361</v>
      </c>
      <c r="C2454" s="2" t="s">
        <v>3360</v>
      </c>
      <c r="D2454" s="2" t="s">
        <v>56</v>
      </c>
      <c r="E2454" s="2" t="s">
        <v>16</v>
      </c>
      <c r="F2454" s="2">
        <v>1</v>
      </c>
      <c r="G2454" s="2" t="s">
        <v>17</v>
      </c>
    </row>
    <row r="2455" spans="1:7" x14ac:dyDescent="0.2">
      <c r="A2455" s="2" t="s">
        <v>3362</v>
      </c>
      <c r="B2455" s="2" t="s">
        <v>3273</v>
      </c>
      <c r="C2455" s="2" t="s">
        <v>2948</v>
      </c>
      <c r="D2455" s="2" t="s">
        <v>29</v>
      </c>
      <c r="E2455" s="2" t="s">
        <v>16</v>
      </c>
      <c r="F2455" s="2">
        <v>2</v>
      </c>
      <c r="G2455" s="2" t="s">
        <v>12</v>
      </c>
    </row>
    <row r="2456" spans="1:7" x14ac:dyDescent="0.2">
      <c r="A2456" s="2" t="s">
        <v>3362</v>
      </c>
      <c r="B2456" s="2" t="s">
        <v>2947</v>
      </c>
      <c r="C2456" s="2" t="s">
        <v>2948</v>
      </c>
      <c r="D2456" s="2" t="s">
        <v>29</v>
      </c>
      <c r="E2456" s="2" t="s">
        <v>16</v>
      </c>
      <c r="F2456" s="2">
        <v>2</v>
      </c>
      <c r="G2456" s="2" t="s">
        <v>12</v>
      </c>
    </row>
    <row r="2457" spans="1:7" x14ac:dyDescent="0.2">
      <c r="A2457" s="2" t="s">
        <v>3362</v>
      </c>
      <c r="B2457" s="2" t="s">
        <v>1971</v>
      </c>
      <c r="C2457" s="2" t="s">
        <v>2948</v>
      </c>
      <c r="D2457" s="2" t="s">
        <v>29</v>
      </c>
      <c r="E2457" s="2" t="s">
        <v>16</v>
      </c>
      <c r="F2457" s="2">
        <v>2</v>
      </c>
      <c r="G2457" s="2" t="s">
        <v>12</v>
      </c>
    </row>
    <row r="2458" spans="1:7" x14ac:dyDescent="0.2">
      <c r="A2458" s="2" t="s">
        <v>3362</v>
      </c>
      <c r="B2458" s="2" t="s">
        <v>3342</v>
      </c>
      <c r="C2458" s="2" t="s">
        <v>2948</v>
      </c>
      <c r="D2458" s="2" t="s">
        <v>29</v>
      </c>
      <c r="E2458" s="2" t="s">
        <v>16</v>
      </c>
      <c r="F2458" s="2">
        <v>2</v>
      </c>
      <c r="G2458" s="2" t="s">
        <v>12</v>
      </c>
    </row>
    <row r="2459" spans="1:7" x14ac:dyDescent="0.2">
      <c r="A2459" s="2" t="s">
        <v>3362</v>
      </c>
      <c r="B2459" s="2" t="s">
        <v>3363</v>
      </c>
      <c r="C2459" s="2" t="s">
        <v>2948</v>
      </c>
      <c r="D2459" s="2" t="s">
        <v>29</v>
      </c>
      <c r="E2459" s="2" t="s">
        <v>16</v>
      </c>
      <c r="F2459" s="2">
        <v>2</v>
      </c>
      <c r="G2459" s="2" t="s">
        <v>12</v>
      </c>
    </row>
    <row r="2460" spans="1:7" x14ac:dyDescent="0.2">
      <c r="A2460" s="2" t="s">
        <v>3362</v>
      </c>
      <c r="B2460" s="2" t="s">
        <v>2949</v>
      </c>
      <c r="C2460" s="2" t="s">
        <v>2948</v>
      </c>
      <c r="D2460" s="2" t="s">
        <v>29</v>
      </c>
      <c r="E2460" s="2" t="s">
        <v>16</v>
      </c>
      <c r="F2460" s="2">
        <v>2</v>
      </c>
      <c r="G2460" s="2" t="s">
        <v>12</v>
      </c>
    </row>
    <row r="2461" spans="1:7" x14ac:dyDescent="0.2">
      <c r="A2461" s="2" t="s">
        <v>3364</v>
      </c>
      <c r="B2461" s="2" t="s">
        <v>1378</v>
      </c>
      <c r="C2461" s="2" t="s">
        <v>1379</v>
      </c>
      <c r="D2461" s="2" t="s">
        <v>10</v>
      </c>
      <c r="E2461" s="2" t="s">
        <v>16</v>
      </c>
      <c r="F2461" s="2">
        <v>1</v>
      </c>
      <c r="G2461" s="2" t="s">
        <v>17</v>
      </c>
    </row>
    <row r="2462" spans="1:7" x14ac:dyDescent="0.2">
      <c r="A2462" s="2" t="s">
        <v>3364</v>
      </c>
      <c r="B2462" s="2" t="s">
        <v>1380</v>
      </c>
      <c r="C2462" s="2" t="s">
        <v>1381</v>
      </c>
      <c r="D2462" s="2" t="s">
        <v>10</v>
      </c>
      <c r="E2462" s="2" t="s">
        <v>16</v>
      </c>
      <c r="F2462" s="2">
        <v>1</v>
      </c>
      <c r="G2462" s="2" t="s">
        <v>17</v>
      </c>
    </row>
    <row r="2463" spans="1:7" x14ac:dyDescent="0.2">
      <c r="A2463" s="2" t="s">
        <v>3364</v>
      </c>
      <c r="B2463" s="2" t="s">
        <v>1382</v>
      </c>
      <c r="C2463" s="2" t="s">
        <v>1383</v>
      </c>
      <c r="D2463" s="2" t="s">
        <v>10</v>
      </c>
      <c r="E2463" s="2" t="s">
        <v>16</v>
      </c>
      <c r="F2463" s="2">
        <v>1</v>
      </c>
      <c r="G2463" s="2" t="s">
        <v>17</v>
      </c>
    </row>
    <row r="2464" spans="1:7" x14ac:dyDescent="0.2">
      <c r="A2464" s="2" t="s">
        <v>3365</v>
      </c>
      <c r="B2464" s="2" t="s">
        <v>3366</v>
      </c>
      <c r="C2464" s="2" t="s">
        <v>3367</v>
      </c>
      <c r="D2464" s="2" t="s">
        <v>10</v>
      </c>
      <c r="E2464" s="2" t="s">
        <v>16</v>
      </c>
      <c r="F2464" s="2">
        <v>1</v>
      </c>
      <c r="G2464" s="2" t="s">
        <v>17</v>
      </c>
    </row>
    <row r="2465" spans="1:7" x14ac:dyDescent="0.2">
      <c r="A2465" s="2" t="s">
        <v>3365</v>
      </c>
      <c r="B2465" s="2" t="s">
        <v>3368</v>
      </c>
      <c r="C2465" s="2" t="s">
        <v>3369</v>
      </c>
      <c r="D2465" s="2" t="s">
        <v>10</v>
      </c>
      <c r="E2465" s="2" t="s">
        <v>16</v>
      </c>
      <c r="F2465" s="2">
        <v>1</v>
      </c>
      <c r="G2465" s="2" t="s">
        <v>17</v>
      </c>
    </row>
    <row r="2466" spans="1:7" x14ac:dyDescent="0.2">
      <c r="A2466" s="2" t="s">
        <v>3370</v>
      </c>
      <c r="B2466" s="2" t="s">
        <v>3371</v>
      </c>
      <c r="C2466" s="2" t="s">
        <v>3372</v>
      </c>
      <c r="D2466" s="2" t="s">
        <v>10</v>
      </c>
      <c r="E2466" s="2" t="s">
        <v>11</v>
      </c>
      <c r="F2466" s="2">
        <v>2</v>
      </c>
      <c r="G2466" s="2" t="s">
        <v>17</v>
      </c>
    </row>
    <row r="2467" spans="1:7" x14ac:dyDescent="0.2">
      <c r="A2467" s="2" t="s">
        <v>3370</v>
      </c>
      <c r="B2467" s="2" t="s">
        <v>3373</v>
      </c>
      <c r="C2467" s="2" t="s">
        <v>3372</v>
      </c>
      <c r="D2467" s="2" t="s">
        <v>10</v>
      </c>
      <c r="E2467" s="2" t="s">
        <v>11</v>
      </c>
      <c r="F2467" s="2">
        <v>2</v>
      </c>
      <c r="G2467" s="2" t="s">
        <v>17</v>
      </c>
    </row>
    <row r="2468" spans="1:7" x14ac:dyDescent="0.2">
      <c r="A2468" s="2" t="s">
        <v>3374</v>
      </c>
      <c r="B2468" s="2" t="s">
        <v>3375</v>
      </c>
      <c r="C2468" s="2" t="s">
        <v>3376</v>
      </c>
      <c r="D2468" s="2" t="s">
        <v>10</v>
      </c>
      <c r="E2468" s="2" t="s">
        <v>16</v>
      </c>
      <c r="F2468" s="2">
        <v>1</v>
      </c>
      <c r="G2468" s="2" t="s">
        <v>17</v>
      </c>
    </row>
    <row r="2469" spans="1:7" x14ac:dyDescent="0.2">
      <c r="A2469" s="2" t="s">
        <v>3374</v>
      </c>
      <c r="B2469" s="2" t="s">
        <v>3377</v>
      </c>
      <c r="C2469" s="2" t="s">
        <v>3378</v>
      </c>
      <c r="D2469" s="2" t="s">
        <v>10</v>
      </c>
      <c r="E2469" s="2" t="s">
        <v>16</v>
      </c>
      <c r="F2469" s="2">
        <v>1</v>
      </c>
      <c r="G2469" s="2" t="s">
        <v>17</v>
      </c>
    </row>
    <row r="2470" spans="1:7" x14ac:dyDescent="0.2">
      <c r="A2470" s="2" t="s">
        <v>3374</v>
      </c>
      <c r="B2470" s="2" t="s">
        <v>3379</v>
      </c>
      <c r="C2470" s="2" t="s">
        <v>3378</v>
      </c>
      <c r="D2470" s="2" t="s">
        <v>10</v>
      </c>
      <c r="E2470" s="2" t="s">
        <v>16</v>
      </c>
      <c r="F2470" s="2">
        <v>1</v>
      </c>
      <c r="G2470" s="2" t="s">
        <v>17</v>
      </c>
    </row>
    <row r="2471" spans="1:7" x14ac:dyDescent="0.2">
      <c r="A2471" s="2" t="s">
        <v>3380</v>
      </c>
      <c r="B2471" s="2" t="s">
        <v>3381</v>
      </c>
      <c r="C2471" s="2" t="s">
        <v>3382</v>
      </c>
      <c r="D2471" s="2" t="s">
        <v>10</v>
      </c>
      <c r="E2471" s="2" t="s">
        <v>16</v>
      </c>
      <c r="F2471" s="2">
        <v>1</v>
      </c>
      <c r="G2471" s="2" t="s">
        <v>17</v>
      </c>
    </row>
    <row r="2472" spans="1:7" x14ac:dyDescent="0.2">
      <c r="A2472" s="2" t="s">
        <v>3380</v>
      </c>
      <c r="B2472" s="2" t="s">
        <v>3383</v>
      </c>
      <c r="C2472" s="2" t="s">
        <v>3382</v>
      </c>
      <c r="D2472" s="2" t="s">
        <v>10</v>
      </c>
      <c r="E2472" s="2" t="s">
        <v>16</v>
      </c>
      <c r="F2472" s="2">
        <v>1</v>
      </c>
      <c r="G2472" s="2" t="s">
        <v>17</v>
      </c>
    </row>
    <row r="2473" spans="1:7" x14ac:dyDescent="0.2">
      <c r="A2473" s="2" t="s">
        <v>3384</v>
      </c>
      <c r="B2473" s="2" t="s">
        <v>3385</v>
      </c>
      <c r="C2473" s="2" t="s">
        <v>3386</v>
      </c>
      <c r="D2473" s="2" t="s">
        <v>64</v>
      </c>
      <c r="E2473" s="2" t="s">
        <v>16</v>
      </c>
      <c r="F2473" s="2">
        <v>1</v>
      </c>
      <c r="G2473" s="2" t="s">
        <v>17</v>
      </c>
    </row>
    <row r="2474" spans="1:7" x14ac:dyDescent="0.2">
      <c r="A2474" s="2" t="s">
        <v>3387</v>
      </c>
      <c r="B2474" s="2" t="s">
        <v>1097</v>
      </c>
      <c r="C2474" s="2" t="s">
        <v>1094</v>
      </c>
      <c r="D2474" s="2" t="s">
        <v>10</v>
      </c>
      <c r="E2474" s="2" t="s">
        <v>52</v>
      </c>
      <c r="F2474" s="2">
        <v>2</v>
      </c>
      <c r="G2474" s="2" t="s">
        <v>12</v>
      </c>
    </row>
    <row r="2475" spans="1:7" x14ac:dyDescent="0.2">
      <c r="A2475" s="2" t="s">
        <v>3387</v>
      </c>
      <c r="B2475" s="2" t="s">
        <v>1098</v>
      </c>
      <c r="C2475" s="2" t="s">
        <v>1094</v>
      </c>
      <c r="D2475" s="2" t="s">
        <v>10</v>
      </c>
      <c r="E2475" s="2" t="s">
        <v>52</v>
      </c>
      <c r="F2475" s="2">
        <v>2</v>
      </c>
      <c r="G2475" s="2" t="s">
        <v>12</v>
      </c>
    </row>
    <row r="2476" spans="1:7" x14ac:dyDescent="0.2">
      <c r="A2476" s="2" t="s">
        <v>3387</v>
      </c>
      <c r="B2476" s="2" t="s">
        <v>3388</v>
      </c>
      <c r="C2476" s="2" t="s">
        <v>207</v>
      </c>
      <c r="D2476" s="2" t="s">
        <v>10</v>
      </c>
      <c r="E2476" s="2" t="s">
        <v>16</v>
      </c>
      <c r="F2476" s="2">
        <v>1</v>
      </c>
      <c r="G2476" s="2" t="s">
        <v>17</v>
      </c>
    </row>
    <row r="2477" spans="1:7" x14ac:dyDescent="0.2">
      <c r="A2477" s="2" t="s">
        <v>3387</v>
      </c>
      <c r="B2477" s="2" t="s">
        <v>3389</v>
      </c>
      <c r="C2477" s="2" t="s">
        <v>2645</v>
      </c>
      <c r="D2477" s="2" t="s">
        <v>10</v>
      </c>
      <c r="E2477" s="2" t="s">
        <v>16</v>
      </c>
      <c r="F2477" s="2">
        <v>1</v>
      </c>
      <c r="G2477" s="2" t="s">
        <v>17</v>
      </c>
    </row>
    <row r="2478" spans="1:7" x14ac:dyDescent="0.2">
      <c r="A2478" s="2" t="s">
        <v>3387</v>
      </c>
      <c r="B2478" s="2" t="s">
        <v>3390</v>
      </c>
      <c r="C2478" s="2" t="s">
        <v>3391</v>
      </c>
      <c r="D2478" s="2" t="s">
        <v>10</v>
      </c>
      <c r="E2478" s="2" t="s">
        <v>16</v>
      </c>
      <c r="F2478" s="2">
        <v>2</v>
      </c>
      <c r="G2478" s="2" t="s">
        <v>12</v>
      </c>
    </row>
    <row r="2479" spans="1:7" x14ac:dyDescent="0.2">
      <c r="A2479" s="2" t="s">
        <v>3387</v>
      </c>
      <c r="B2479" s="2" t="s">
        <v>3392</v>
      </c>
      <c r="C2479" s="2" t="s">
        <v>3393</v>
      </c>
      <c r="D2479" s="2" t="s">
        <v>10</v>
      </c>
      <c r="E2479" s="2" t="s">
        <v>16</v>
      </c>
      <c r="F2479" s="2">
        <v>1</v>
      </c>
      <c r="G2479" s="2" t="s">
        <v>17</v>
      </c>
    </row>
    <row r="2480" spans="1:7" x14ac:dyDescent="0.2">
      <c r="A2480" s="2" t="s">
        <v>3387</v>
      </c>
      <c r="B2480" s="2" t="s">
        <v>3394</v>
      </c>
      <c r="C2480" s="2" t="s">
        <v>3395</v>
      </c>
      <c r="D2480" s="2" t="s">
        <v>10</v>
      </c>
      <c r="E2480" s="2" t="s">
        <v>16</v>
      </c>
      <c r="F2480" s="2">
        <v>3</v>
      </c>
      <c r="G2480" s="2" t="s">
        <v>12</v>
      </c>
    </row>
    <row r="2481" spans="1:7" x14ac:dyDescent="0.2">
      <c r="A2481" s="2" t="s">
        <v>3387</v>
      </c>
      <c r="B2481" s="2" t="s">
        <v>3396</v>
      </c>
      <c r="C2481" s="2" t="s">
        <v>995</v>
      </c>
      <c r="D2481" s="2" t="s">
        <v>10</v>
      </c>
      <c r="E2481" s="2" t="s">
        <v>11</v>
      </c>
      <c r="F2481" s="2">
        <v>2</v>
      </c>
      <c r="G2481" s="2" t="s">
        <v>12</v>
      </c>
    </row>
    <row r="2482" spans="1:7" x14ac:dyDescent="0.2">
      <c r="A2482" s="2" t="s">
        <v>3387</v>
      </c>
      <c r="B2482" s="2" t="s">
        <v>3397</v>
      </c>
      <c r="C2482" s="2" t="s">
        <v>3398</v>
      </c>
      <c r="D2482" s="2" t="s">
        <v>10</v>
      </c>
      <c r="E2482" s="2" t="s">
        <v>11</v>
      </c>
      <c r="F2482" s="2">
        <v>1</v>
      </c>
      <c r="G2482" s="2" t="s">
        <v>17</v>
      </c>
    </row>
    <row r="2483" spans="1:7" x14ac:dyDescent="0.2">
      <c r="A2483" s="2" t="s">
        <v>3387</v>
      </c>
      <c r="B2483" s="2" t="s">
        <v>1092</v>
      </c>
      <c r="C2483" s="2" t="s">
        <v>1088</v>
      </c>
      <c r="D2483" s="2" t="s">
        <v>10</v>
      </c>
      <c r="E2483" s="2" t="s">
        <v>52</v>
      </c>
      <c r="F2483" s="2">
        <v>2</v>
      </c>
      <c r="G2483" s="2" t="s">
        <v>12</v>
      </c>
    </row>
    <row r="2484" spans="1:7" x14ac:dyDescent="0.2">
      <c r="A2484" s="2" t="s">
        <v>3387</v>
      </c>
      <c r="B2484" s="2" t="s">
        <v>3399</v>
      </c>
      <c r="C2484" s="2" t="s">
        <v>995</v>
      </c>
      <c r="D2484" s="2" t="s">
        <v>10</v>
      </c>
      <c r="E2484" s="2" t="s">
        <v>11</v>
      </c>
      <c r="F2484" s="2">
        <v>2</v>
      </c>
      <c r="G2484" s="2" t="s">
        <v>12</v>
      </c>
    </row>
    <row r="2485" spans="1:7" x14ac:dyDescent="0.2">
      <c r="A2485" s="2" t="s">
        <v>3387</v>
      </c>
      <c r="B2485" s="2" t="s">
        <v>3400</v>
      </c>
      <c r="C2485" s="2" t="s">
        <v>593</v>
      </c>
      <c r="D2485" s="2" t="s">
        <v>56</v>
      </c>
      <c r="E2485" s="2" t="s">
        <v>52</v>
      </c>
      <c r="F2485" s="2">
        <v>2</v>
      </c>
      <c r="G2485" s="2" t="s">
        <v>12</v>
      </c>
    </row>
    <row r="2486" spans="1:7" x14ac:dyDescent="0.2">
      <c r="A2486" s="2" t="s">
        <v>3387</v>
      </c>
      <c r="B2486" s="2" t="s">
        <v>3401</v>
      </c>
      <c r="C2486" s="2" t="s">
        <v>1191</v>
      </c>
      <c r="D2486" s="2" t="s">
        <v>10</v>
      </c>
      <c r="E2486" s="2" t="s">
        <v>52</v>
      </c>
      <c r="F2486" s="2">
        <v>2</v>
      </c>
      <c r="G2486" s="2" t="s">
        <v>12</v>
      </c>
    </row>
    <row r="2487" spans="1:7" x14ac:dyDescent="0.2">
      <c r="A2487" s="2" t="s">
        <v>3387</v>
      </c>
      <c r="B2487" s="2" t="s">
        <v>3402</v>
      </c>
      <c r="C2487" s="2" t="s">
        <v>3398</v>
      </c>
      <c r="D2487" s="2" t="s">
        <v>10</v>
      </c>
      <c r="E2487" s="2" t="s">
        <v>11</v>
      </c>
      <c r="F2487" s="2">
        <v>1</v>
      </c>
      <c r="G2487" s="2" t="s">
        <v>17</v>
      </c>
    </row>
    <row r="2488" spans="1:7" x14ac:dyDescent="0.2">
      <c r="A2488" s="2" t="s">
        <v>3387</v>
      </c>
      <c r="B2488" s="2" t="s">
        <v>3403</v>
      </c>
      <c r="C2488" s="2" t="s">
        <v>3404</v>
      </c>
      <c r="D2488" s="2" t="s">
        <v>56</v>
      </c>
      <c r="E2488" s="2" t="s">
        <v>52</v>
      </c>
      <c r="F2488" s="2">
        <v>2</v>
      </c>
      <c r="G2488" s="2" t="s">
        <v>17</v>
      </c>
    </row>
    <row r="2489" spans="1:7" x14ac:dyDescent="0.2">
      <c r="A2489" s="2" t="s">
        <v>3387</v>
      </c>
      <c r="B2489" s="2" t="s">
        <v>2976</v>
      </c>
      <c r="C2489" s="2" t="s">
        <v>2977</v>
      </c>
      <c r="D2489" s="2" t="s">
        <v>56</v>
      </c>
      <c r="E2489" s="2" t="s">
        <v>52</v>
      </c>
      <c r="F2489" s="2">
        <v>2</v>
      </c>
      <c r="G2489" s="2" t="s">
        <v>17</v>
      </c>
    </row>
    <row r="2490" spans="1:7" x14ac:dyDescent="0.2">
      <c r="A2490" s="2" t="s">
        <v>3387</v>
      </c>
      <c r="B2490" s="2" t="s">
        <v>3405</v>
      </c>
      <c r="C2490" s="2" t="s">
        <v>1191</v>
      </c>
      <c r="D2490" s="2" t="s">
        <v>10</v>
      </c>
      <c r="E2490" s="2" t="s">
        <v>52</v>
      </c>
      <c r="F2490" s="2">
        <v>2</v>
      </c>
      <c r="G2490" s="2" t="s">
        <v>12</v>
      </c>
    </row>
    <row r="2491" spans="1:7" x14ac:dyDescent="0.2">
      <c r="A2491" s="2" t="s">
        <v>3387</v>
      </c>
      <c r="B2491" s="2" t="s">
        <v>3406</v>
      </c>
      <c r="C2491" s="2" t="s">
        <v>3398</v>
      </c>
      <c r="D2491" s="2" t="s">
        <v>10</v>
      </c>
      <c r="E2491" s="2" t="s">
        <v>11</v>
      </c>
      <c r="F2491" s="2">
        <v>1</v>
      </c>
      <c r="G2491" s="2" t="s">
        <v>17</v>
      </c>
    </row>
    <row r="2492" spans="1:7" x14ac:dyDescent="0.2">
      <c r="A2492" s="2" t="s">
        <v>3387</v>
      </c>
      <c r="B2492" s="2" t="s">
        <v>3407</v>
      </c>
      <c r="C2492" s="2" t="s">
        <v>1088</v>
      </c>
      <c r="D2492" s="2" t="s">
        <v>10</v>
      </c>
      <c r="E2492" s="2" t="s">
        <v>52</v>
      </c>
      <c r="F2492" s="2">
        <v>2</v>
      </c>
      <c r="G2492" s="2" t="s">
        <v>12</v>
      </c>
    </row>
    <row r="2493" spans="1:7" x14ac:dyDescent="0.2">
      <c r="A2493" s="2" t="s">
        <v>3387</v>
      </c>
      <c r="B2493" s="2" t="s">
        <v>3408</v>
      </c>
      <c r="C2493" s="2" t="s">
        <v>3409</v>
      </c>
      <c r="D2493" s="2" t="s">
        <v>10</v>
      </c>
      <c r="E2493" s="2" t="s">
        <v>16</v>
      </c>
      <c r="F2493" s="2">
        <v>1</v>
      </c>
      <c r="G2493" s="2" t="s">
        <v>17</v>
      </c>
    </row>
    <row r="2494" spans="1:7" x14ac:dyDescent="0.2">
      <c r="A2494" s="2" t="s">
        <v>3387</v>
      </c>
      <c r="B2494" s="2" t="s">
        <v>3410</v>
      </c>
      <c r="C2494" s="2" t="s">
        <v>1191</v>
      </c>
      <c r="D2494" s="2" t="s">
        <v>10</v>
      </c>
      <c r="E2494" s="2" t="s">
        <v>52</v>
      </c>
      <c r="F2494" s="2">
        <v>2</v>
      </c>
      <c r="G2494" s="2" t="s">
        <v>12</v>
      </c>
    </row>
    <row r="2495" spans="1:7" x14ac:dyDescent="0.2">
      <c r="A2495" s="2" t="s">
        <v>3387</v>
      </c>
      <c r="B2495" s="2" t="s">
        <v>1087</v>
      </c>
      <c r="C2495" s="2" t="s">
        <v>1088</v>
      </c>
      <c r="D2495" s="2" t="s">
        <v>10</v>
      </c>
      <c r="E2495" s="2" t="s">
        <v>52</v>
      </c>
      <c r="F2495" s="2">
        <v>2</v>
      </c>
      <c r="G2495" s="2" t="s">
        <v>12</v>
      </c>
    </row>
    <row r="2496" spans="1:7" x14ac:dyDescent="0.2">
      <c r="A2496" s="2" t="s">
        <v>3387</v>
      </c>
      <c r="B2496" s="2" t="s">
        <v>1089</v>
      </c>
      <c r="C2496" s="2" t="s">
        <v>1088</v>
      </c>
      <c r="D2496" s="2" t="s">
        <v>10</v>
      </c>
      <c r="E2496" s="2" t="s">
        <v>52</v>
      </c>
      <c r="F2496" s="2">
        <v>2</v>
      </c>
      <c r="G2496" s="2" t="s">
        <v>12</v>
      </c>
    </row>
    <row r="2497" spans="1:7" x14ac:dyDescent="0.2">
      <c r="A2497" s="2" t="s">
        <v>3387</v>
      </c>
      <c r="B2497" s="2" t="s">
        <v>1093</v>
      </c>
      <c r="C2497" s="2" t="s">
        <v>1094</v>
      </c>
      <c r="D2497" s="2" t="s">
        <v>10</v>
      </c>
      <c r="E2497" s="2" t="s">
        <v>52</v>
      </c>
      <c r="F2497" s="2">
        <v>2</v>
      </c>
      <c r="G2497" s="2" t="s">
        <v>12</v>
      </c>
    </row>
    <row r="2498" spans="1:7" x14ac:dyDescent="0.2">
      <c r="A2498" s="2" t="s">
        <v>3387</v>
      </c>
      <c r="B2498" s="2" t="s">
        <v>1095</v>
      </c>
      <c r="C2498" s="2" t="s">
        <v>1094</v>
      </c>
      <c r="D2498" s="2" t="s">
        <v>10</v>
      </c>
      <c r="E2498" s="2" t="s">
        <v>52</v>
      </c>
      <c r="F2498" s="2">
        <v>2</v>
      </c>
      <c r="G2498" s="2" t="s">
        <v>12</v>
      </c>
    </row>
    <row r="2499" spans="1:7" x14ac:dyDescent="0.2">
      <c r="A2499" s="2" t="s">
        <v>3387</v>
      </c>
      <c r="B2499" s="2" t="s">
        <v>88</v>
      </c>
      <c r="C2499" s="2" t="s">
        <v>593</v>
      </c>
      <c r="D2499" s="2" t="s">
        <v>56</v>
      </c>
      <c r="E2499" s="2" t="s">
        <v>52</v>
      </c>
      <c r="F2499" s="2">
        <v>2</v>
      </c>
      <c r="G2499" s="2" t="s">
        <v>12</v>
      </c>
    </row>
    <row r="2500" spans="1:7" x14ac:dyDescent="0.2">
      <c r="A2500" s="2" t="s">
        <v>3387</v>
      </c>
      <c r="B2500" s="2" t="s">
        <v>3411</v>
      </c>
      <c r="C2500" s="2" t="s">
        <v>1389</v>
      </c>
      <c r="D2500" s="2" t="s">
        <v>10</v>
      </c>
      <c r="E2500" s="2" t="s">
        <v>11</v>
      </c>
      <c r="F2500" s="2">
        <v>1</v>
      </c>
      <c r="G2500" s="2" t="s">
        <v>12</v>
      </c>
    </row>
    <row r="2501" spans="1:7" x14ac:dyDescent="0.2">
      <c r="A2501" s="2" t="s">
        <v>3387</v>
      </c>
      <c r="B2501" s="2" t="s">
        <v>1393</v>
      </c>
      <c r="C2501" s="2" t="s">
        <v>1394</v>
      </c>
      <c r="D2501" s="2" t="s">
        <v>10</v>
      </c>
      <c r="E2501" s="2" t="s">
        <v>11</v>
      </c>
      <c r="F2501" s="2">
        <v>2</v>
      </c>
      <c r="G2501" s="2" t="s">
        <v>12</v>
      </c>
    </row>
    <row r="2502" spans="1:7" x14ac:dyDescent="0.2">
      <c r="A2502" s="2" t="s">
        <v>3387</v>
      </c>
      <c r="B2502" s="2" t="s">
        <v>43</v>
      </c>
      <c r="C2502" s="2" t="s">
        <v>3393</v>
      </c>
      <c r="D2502" s="2" t="s">
        <v>10</v>
      </c>
      <c r="E2502" s="2" t="s">
        <v>16</v>
      </c>
      <c r="F2502" s="2">
        <v>1</v>
      </c>
      <c r="G2502" s="2" t="s">
        <v>17</v>
      </c>
    </row>
    <row r="2503" spans="1:7" x14ac:dyDescent="0.2">
      <c r="A2503" s="2" t="s">
        <v>3387</v>
      </c>
      <c r="B2503" s="2" t="s">
        <v>3412</v>
      </c>
      <c r="C2503" s="2" t="s">
        <v>3413</v>
      </c>
      <c r="D2503" s="2" t="s">
        <v>10</v>
      </c>
      <c r="E2503" s="2" t="s">
        <v>11</v>
      </c>
      <c r="F2503" s="2">
        <v>2</v>
      </c>
      <c r="G2503" s="2" t="s">
        <v>17</v>
      </c>
    </row>
    <row r="2504" spans="1:7" x14ac:dyDescent="0.2">
      <c r="A2504" s="2" t="s">
        <v>3387</v>
      </c>
      <c r="B2504" s="2" t="s">
        <v>3414</v>
      </c>
      <c r="C2504" s="2" t="s">
        <v>3398</v>
      </c>
      <c r="D2504" s="2" t="s">
        <v>10</v>
      </c>
      <c r="E2504" s="2" t="s">
        <v>11</v>
      </c>
      <c r="F2504" s="2">
        <v>1</v>
      </c>
      <c r="G2504" s="2" t="s">
        <v>17</v>
      </c>
    </row>
    <row r="2505" spans="1:7" x14ac:dyDescent="0.2">
      <c r="A2505" s="2" t="s">
        <v>3387</v>
      </c>
      <c r="B2505" s="2" t="s">
        <v>3415</v>
      </c>
      <c r="C2505" s="2" t="s">
        <v>2977</v>
      </c>
      <c r="D2505" s="2" t="s">
        <v>56</v>
      </c>
      <c r="E2505" s="2" t="s">
        <v>52</v>
      </c>
      <c r="F2505" s="2">
        <v>2</v>
      </c>
      <c r="G2505" s="2" t="s">
        <v>17</v>
      </c>
    </row>
    <row r="2506" spans="1:7" x14ac:dyDescent="0.2">
      <c r="A2506" s="2" t="s">
        <v>3387</v>
      </c>
      <c r="B2506" s="2" t="s">
        <v>3416</v>
      </c>
      <c r="C2506" s="2" t="s">
        <v>1389</v>
      </c>
      <c r="D2506" s="2" t="s">
        <v>10</v>
      </c>
      <c r="E2506" s="2" t="s">
        <v>11</v>
      </c>
      <c r="F2506" s="2">
        <v>1</v>
      </c>
      <c r="G2506" s="2" t="s">
        <v>12</v>
      </c>
    </row>
    <row r="2507" spans="1:7" x14ac:dyDescent="0.2">
      <c r="A2507" s="2" t="s">
        <v>3387</v>
      </c>
      <c r="B2507" s="2" t="s">
        <v>3417</v>
      </c>
      <c r="C2507" s="2" t="s">
        <v>3398</v>
      </c>
      <c r="D2507" s="2" t="s">
        <v>10</v>
      </c>
      <c r="E2507" s="2" t="s">
        <v>11</v>
      </c>
      <c r="F2507" s="2">
        <v>1</v>
      </c>
      <c r="G2507" s="2" t="s">
        <v>17</v>
      </c>
    </row>
    <row r="2508" spans="1:7" x14ac:dyDescent="0.2">
      <c r="A2508" s="2" t="s">
        <v>3387</v>
      </c>
      <c r="B2508" s="2" t="s">
        <v>1090</v>
      </c>
      <c r="C2508" s="2" t="s">
        <v>1088</v>
      </c>
      <c r="D2508" s="2" t="s">
        <v>10</v>
      </c>
      <c r="E2508" s="2" t="s">
        <v>52</v>
      </c>
      <c r="F2508" s="2">
        <v>2</v>
      </c>
      <c r="G2508" s="2" t="s">
        <v>12</v>
      </c>
    </row>
    <row r="2509" spans="1:7" x14ac:dyDescent="0.2">
      <c r="A2509" s="2" t="s">
        <v>3387</v>
      </c>
      <c r="B2509" s="2" t="s">
        <v>1096</v>
      </c>
      <c r="C2509" s="2" t="s">
        <v>1094</v>
      </c>
      <c r="D2509" s="2" t="s">
        <v>10</v>
      </c>
      <c r="E2509" s="2" t="s">
        <v>52</v>
      </c>
      <c r="F2509" s="2">
        <v>2</v>
      </c>
      <c r="G2509" s="2" t="s">
        <v>12</v>
      </c>
    </row>
    <row r="2510" spans="1:7" x14ac:dyDescent="0.2">
      <c r="A2510" s="2" t="s">
        <v>3387</v>
      </c>
      <c r="B2510" s="2" t="s">
        <v>3418</v>
      </c>
      <c r="C2510" s="2" t="s">
        <v>3419</v>
      </c>
      <c r="D2510" s="2" t="s">
        <v>10</v>
      </c>
      <c r="E2510" s="2" t="s">
        <v>16</v>
      </c>
      <c r="F2510" s="2">
        <v>1</v>
      </c>
      <c r="G2510" s="2" t="s">
        <v>17</v>
      </c>
    </row>
    <row r="2511" spans="1:7" x14ac:dyDescent="0.2">
      <c r="A2511" s="2" t="s">
        <v>3387</v>
      </c>
      <c r="B2511" s="2" t="s">
        <v>3420</v>
      </c>
      <c r="C2511" s="2" t="s">
        <v>995</v>
      </c>
      <c r="D2511" s="2" t="s">
        <v>10</v>
      </c>
      <c r="E2511" s="2" t="s">
        <v>11</v>
      </c>
      <c r="F2511" s="2">
        <v>2</v>
      </c>
      <c r="G2511" s="2" t="s">
        <v>12</v>
      </c>
    </row>
    <row r="2512" spans="1:7" x14ac:dyDescent="0.2">
      <c r="A2512" s="2" t="s">
        <v>3387</v>
      </c>
      <c r="B2512" s="2" t="s">
        <v>3421</v>
      </c>
      <c r="C2512" s="2" t="s">
        <v>995</v>
      </c>
      <c r="D2512" s="2" t="s">
        <v>10</v>
      </c>
      <c r="E2512" s="2" t="s">
        <v>11</v>
      </c>
      <c r="F2512" s="2">
        <v>2</v>
      </c>
      <c r="G2512" s="2" t="s">
        <v>12</v>
      </c>
    </row>
    <row r="2513" spans="1:7" x14ac:dyDescent="0.2">
      <c r="A2513" s="2" t="s">
        <v>3387</v>
      </c>
      <c r="B2513" s="2" t="s">
        <v>672</v>
      </c>
      <c r="C2513" s="2" t="s">
        <v>593</v>
      </c>
      <c r="D2513" s="2" t="s">
        <v>56</v>
      </c>
      <c r="E2513" s="2" t="s">
        <v>52</v>
      </c>
      <c r="F2513" s="2">
        <v>2</v>
      </c>
      <c r="G2513" s="2" t="s">
        <v>12</v>
      </c>
    </row>
    <row r="2514" spans="1:7" x14ac:dyDescent="0.2">
      <c r="A2514" s="2" t="s">
        <v>3387</v>
      </c>
      <c r="B2514" s="2" t="s">
        <v>3422</v>
      </c>
      <c r="C2514" s="2" t="s">
        <v>3413</v>
      </c>
      <c r="D2514" s="2" t="s">
        <v>10</v>
      </c>
      <c r="E2514" s="2" t="s">
        <v>11</v>
      </c>
      <c r="F2514" s="2">
        <v>2</v>
      </c>
      <c r="G2514" s="2" t="s">
        <v>17</v>
      </c>
    </row>
    <row r="2515" spans="1:7" x14ac:dyDescent="0.2">
      <c r="A2515" s="2" t="s">
        <v>3387</v>
      </c>
      <c r="B2515" s="2" t="s">
        <v>3423</v>
      </c>
      <c r="C2515" s="2" t="s">
        <v>3419</v>
      </c>
      <c r="D2515" s="2" t="s">
        <v>10</v>
      </c>
      <c r="E2515" s="2" t="s">
        <v>16</v>
      </c>
      <c r="F2515" s="2">
        <v>1</v>
      </c>
      <c r="G2515" s="2" t="s">
        <v>17</v>
      </c>
    </row>
    <row r="2516" spans="1:7" x14ac:dyDescent="0.2">
      <c r="A2516" s="2" t="s">
        <v>3387</v>
      </c>
      <c r="B2516" s="2" t="s">
        <v>3424</v>
      </c>
      <c r="C2516" s="2" t="s">
        <v>3398</v>
      </c>
      <c r="D2516" s="2" t="s">
        <v>10</v>
      </c>
      <c r="E2516" s="2" t="s">
        <v>11</v>
      </c>
      <c r="F2516" s="2">
        <v>1</v>
      </c>
      <c r="G2516" s="2" t="s">
        <v>17</v>
      </c>
    </row>
    <row r="2517" spans="1:7" x14ac:dyDescent="0.2">
      <c r="A2517" s="2" t="s">
        <v>3387</v>
      </c>
      <c r="B2517" s="2" t="s">
        <v>3425</v>
      </c>
      <c r="C2517" s="2" t="s">
        <v>3419</v>
      </c>
      <c r="D2517" s="2" t="s">
        <v>10</v>
      </c>
      <c r="E2517" s="2" t="s">
        <v>16</v>
      </c>
      <c r="F2517" s="2">
        <v>1</v>
      </c>
      <c r="G2517" s="2" t="s">
        <v>17</v>
      </c>
    </row>
    <row r="2518" spans="1:7" x14ac:dyDescent="0.2">
      <c r="A2518" s="2" t="s">
        <v>3387</v>
      </c>
      <c r="B2518" s="2" t="s">
        <v>3426</v>
      </c>
      <c r="C2518" s="2" t="s">
        <v>1191</v>
      </c>
      <c r="D2518" s="2" t="s">
        <v>10</v>
      </c>
      <c r="E2518" s="2" t="s">
        <v>52</v>
      </c>
      <c r="F2518" s="2">
        <v>2</v>
      </c>
      <c r="G2518" s="2" t="s">
        <v>12</v>
      </c>
    </row>
    <row r="2519" spans="1:7" x14ac:dyDescent="0.2">
      <c r="A2519" s="2" t="s">
        <v>3387</v>
      </c>
      <c r="B2519" s="2" t="s">
        <v>1398</v>
      </c>
      <c r="C2519" s="2" t="s">
        <v>1394</v>
      </c>
      <c r="D2519" s="2" t="s">
        <v>10</v>
      </c>
      <c r="E2519" s="2" t="s">
        <v>11</v>
      </c>
      <c r="F2519" s="2">
        <v>2</v>
      </c>
      <c r="G2519" s="2" t="s">
        <v>12</v>
      </c>
    </row>
    <row r="2520" spans="1:7" x14ac:dyDescent="0.2">
      <c r="A2520" s="2" t="s">
        <v>3387</v>
      </c>
      <c r="B2520" s="2" t="s">
        <v>1091</v>
      </c>
      <c r="C2520" s="2" t="s">
        <v>1088</v>
      </c>
      <c r="D2520" s="2" t="s">
        <v>10</v>
      </c>
      <c r="E2520" s="2" t="s">
        <v>52</v>
      </c>
      <c r="F2520" s="2">
        <v>2</v>
      </c>
      <c r="G2520" s="2" t="s">
        <v>12</v>
      </c>
    </row>
    <row r="2521" spans="1:7" x14ac:dyDescent="0.2">
      <c r="A2521" s="2" t="s">
        <v>3387</v>
      </c>
      <c r="B2521" s="2" t="s">
        <v>3427</v>
      </c>
      <c r="C2521" s="2" t="s">
        <v>3398</v>
      </c>
      <c r="D2521" s="2" t="s">
        <v>10</v>
      </c>
      <c r="E2521" s="2" t="s">
        <v>11</v>
      </c>
      <c r="F2521" s="2">
        <v>1</v>
      </c>
      <c r="G2521" s="2" t="s">
        <v>17</v>
      </c>
    </row>
    <row r="2522" spans="1:7" x14ac:dyDescent="0.2">
      <c r="A2522" s="2" t="s">
        <v>3387</v>
      </c>
      <c r="B2522" s="2" t="s">
        <v>3428</v>
      </c>
      <c r="C2522" s="2" t="s">
        <v>3419</v>
      </c>
      <c r="D2522" s="2" t="s">
        <v>10</v>
      </c>
      <c r="E2522" s="2" t="s">
        <v>16</v>
      </c>
      <c r="F2522" s="2">
        <v>1</v>
      </c>
      <c r="G2522" s="2" t="s">
        <v>17</v>
      </c>
    </row>
    <row r="2523" spans="1:7" x14ac:dyDescent="0.2">
      <c r="A2523" s="2" t="s">
        <v>3429</v>
      </c>
      <c r="B2523" s="2" t="s">
        <v>1931</v>
      </c>
      <c r="C2523" s="2" t="s">
        <v>3430</v>
      </c>
      <c r="D2523" s="2" t="s">
        <v>10</v>
      </c>
      <c r="E2523" s="2" t="s">
        <v>16</v>
      </c>
      <c r="F2523" s="2">
        <v>1</v>
      </c>
      <c r="G2523" s="2" t="s">
        <v>17</v>
      </c>
    </row>
    <row r="2524" spans="1:7" x14ac:dyDescent="0.2">
      <c r="A2524" s="2" t="s">
        <v>3431</v>
      </c>
      <c r="B2524" s="2" t="s">
        <v>3432</v>
      </c>
      <c r="C2524" s="2" t="s">
        <v>3433</v>
      </c>
      <c r="D2524" s="2" t="s">
        <v>10</v>
      </c>
      <c r="E2524" s="2" t="s">
        <v>16</v>
      </c>
      <c r="F2524" s="2">
        <v>1</v>
      </c>
      <c r="G2524" s="2" t="s">
        <v>17</v>
      </c>
    </row>
    <row r="2525" spans="1:7" x14ac:dyDescent="0.2">
      <c r="A2525" s="2" t="s">
        <v>3431</v>
      </c>
      <c r="B2525" s="2" t="s">
        <v>1764</v>
      </c>
      <c r="C2525" s="2" t="s">
        <v>3433</v>
      </c>
      <c r="D2525" s="2" t="s">
        <v>10</v>
      </c>
      <c r="E2525" s="2" t="s">
        <v>16</v>
      </c>
      <c r="F2525" s="2">
        <v>1</v>
      </c>
      <c r="G2525" s="2" t="s">
        <v>17</v>
      </c>
    </row>
    <row r="2526" spans="1:7" x14ac:dyDescent="0.2">
      <c r="A2526" s="2" t="s">
        <v>3434</v>
      </c>
      <c r="B2526" s="2" t="s">
        <v>3435</v>
      </c>
      <c r="C2526" s="2" t="s">
        <v>3436</v>
      </c>
      <c r="D2526" s="2" t="s">
        <v>10</v>
      </c>
      <c r="E2526" s="2" t="s">
        <v>16</v>
      </c>
      <c r="F2526" s="2">
        <v>1</v>
      </c>
      <c r="G2526" s="2" t="s">
        <v>17</v>
      </c>
    </row>
    <row r="2527" spans="1:7" x14ac:dyDescent="0.2">
      <c r="A2527" s="2" t="s">
        <v>3434</v>
      </c>
      <c r="B2527" s="2" t="s">
        <v>3437</v>
      </c>
      <c r="C2527" s="2" t="s">
        <v>3436</v>
      </c>
      <c r="D2527" s="2" t="s">
        <v>10</v>
      </c>
      <c r="E2527" s="2" t="s">
        <v>16</v>
      </c>
      <c r="F2527" s="2">
        <v>1</v>
      </c>
      <c r="G2527" s="2" t="s">
        <v>17</v>
      </c>
    </row>
    <row r="2528" spans="1:7" x14ac:dyDescent="0.2">
      <c r="A2528" s="2" t="s">
        <v>3434</v>
      </c>
      <c r="B2528" s="2" t="s">
        <v>3438</v>
      </c>
      <c r="C2528" s="2" t="s">
        <v>3436</v>
      </c>
      <c r="D2528" s="2" t="s">
        <v>10</v>
      </c>
      <c r="E2528" s="2" t="s">
        <v>16</v>
      </c>
      <c r="F2528" s="2">
        <v>1</v>
      </c>
      <c r="G2528" s="2" t="s">
        <v>17</v>
      </c>
    </row>
    <row r="2529" spans="1:7" x14ac:dyDescent="0.2">
      <c r="A2529" s="2" t="s">
        <v>3434</v>
      </c>
      <c r="B2529" s="2" t="s">
        <v>3439</v>
      </c>
      <c r="C2529" s="2" t="s">
        <v>3440</v>
      </c>
      <c r="D2529" s="2" t="s">
        <v>10</v>
      </c>
      <c r="E2529" s="2" t="s">
        <v>16</v>
      </c>
      <c r="F2529" s="2">
        <v>1</v>
      </c>
      <c r="G2529" s="2" t="s">
        <v>17</v>
      </c>
    </row>
    <row r="2530" spans="1:7" x14ac:dyDescent="0.2">
      <c r="A2530" s="2" t="s">
        <v>3434</v>
      </c>
      <c r="B2530" s="2" t="s">
        <v>3441</v>
      </c>
      <c r="C2530" s="2" t="s">
        <v>3440</v>
      </c>
      <c r="D2530" s="2" t="s">
        <v>10</v>
      </c>
      <c r="E2530" s="2" t="s">
        <v>16</v>
      </c>
      <c r="F2530" s="2">
        <v>1</v>
      </c>
      <c r="G2530" s="2" t="s">
        <v>17</v>
      </c>
    </row>
    <row r="2531" spans="1:7" x14ac:dyDescent="0.2">
      <c r="A2531" s="2" t="s">
        <v>3434</v>
      </c>
      <c r="B2531" s="2" t="s">
        <v>3442</v>
      </c>
      <c r="C2531" s="2" t="s">
        <v>3443</v>
      </c>
      <c r="D2531" s="2" t="s">
        <v>10</v>
      </c>
      <c r="E2531" s="2" t="s">
        <v>16</v>
      </c>
      <c r="F2531" s="2">
        <v>1</v>
      </c>
      <c r="G2531" s="2" t="s">
        <v>17</v>
      </c>
    </row>
    <row r="2532" spans="1:7" x14ac:dyDescent="0.2">
      <c r="A2532" s="2" t="s">
        <v>3434</v>
      </c>
      <c r="B2532" s="2" t="s">
        <v>3444</v>
      </c>
      <c r="C2532" s="2" t="s">
        <v>3443</v>
      </c>
      <c r="D2532" s="2" t="s">
        <v>10</v>
      </c>
      <c r="E2532" s="2" t="s">
        <v>16</v>
      </c>
      <c r="F2532" s="2">
        <v>1</v>
      </c>
      <c r="G2532" s="2" t="s">
        <v>17</v>
      </c>
    </row>
    <row r="2533" spans="1:7" x14ac:dyDescent="0.2">
      <c r="A2533" s="2" t="s">
        <v>3434</v>
      </c>
      <c r="B2533" s="2" t="s">
        <v>3445</v>
      </c>
      <c r="C2533" s="2" t="s">
        <v>3440</v>
      </c>
      <c r="D2533" s="2" t="s">
        <v>10</v>
      </c>
      <c r="E2533" s="2" t="s">
        <v>16</v>
      </c>
      <c r="F2533" s="2">
        <v>1</v>
      </c>
      <c r="G2533" s="2" t="s">
        <v>17</v>
      </c>
    </row>
    <row r="2534" spans="1:7" x14ac:dyDescent="0.2">
      <c r="A2534" s="2" t="s">
        <v>3434</v>
      </c>
      <c r="B2534" s="2" t="s">
        <v>3446</v>
      </c>
      <c r="C2534" s="2" t="s">
        <v>3436</v>
      </c>
      <c r="D2534" s="2" t="s">
        <v>10</v>
      </c>
      <c r="E2534" s="2" t="s">
        <v>16</v>
      </c>
      <c r="F2534" s="2">
        <v>1</v>
      </c>
      <c r="G2534" s="2" t="s">
        <v>17</v>
      </c>
    </row>
    <row r="2535" spans="1:7" x14ac:dyDescent="0.2">
      <c r="A2535" s="2" t="s">
        <v>3447</v>
      </c>
      <c r="B2535" s="2" t="s">
        <v>3448</v>
      </c>
      <c r="C2535" s="2" t="s">
        <v>3449</v>
      </c>
      <c r="D2535" s="2" t="s">
        <v>10</v>
      </c>
      <c r="E2535" s="2" t="s">
        <v>16</v>
      </c>
      <c r="F2535" s="2">
        <v>1</v>
      </c>
      <c r="G2535" s="2" t="s">
        <v>17</v>
      </c>
    </row>
    <row r="2536" spans="1:7" x14ac:dyDescent="0.2">
      <c r="A2536" s="2" t="s">
        <v>3447</v>
      </c>
      <c r="B2536" s="2" t="s">
        <v>2299</v>
      </c>
      <c r="C2536" s="2" t="s">
        <v>2204</v>
      </c>
      <c r="D2536" s="2" t="s">
        <v>10</v>
      </c>
      <c r="E2536" s="2" t="s">
        <v>16</v>
      </c>
      <c r="F2536" s="2">
        <v>1</v>
      </c>
      <c r="G2536" s="2" t="s">
        <v>17</v>
      </c>
    </row>
    <row r="2537" spans="1:7" x14ac:dyDescent="0.2">
      <c r="A2537" s="2" t="s">
        <v>3447</v>
      </c>
      <c r="B2537" s="2" t="s">
        <v>3450</v>
      </c>
      <c r="C2537" s="2" t="s">
        <v>3451</v>
      </c>
      <c r="D2537" s="2" t="s">
        <v>10</v>
      </c>
      <c r="E2537" s="2" t="s">
        <v>16</v>
      </c>
      <c r="F2537" s="2">
        <v>1</v>
      </c>
      <c r="G2537" s="2" t="s">
        <v>17</v>
      </c>
    </row>
    <row r="2538" spans="1:7" x14ac:dyDescent="0.2">
      <c r="A2538" s="2" t="s">
        <v>3447</v>
      </c>
      <c r="B2538" s="2" t="s">
        <v>3452</v>
      </c>
      <c r="C2538" s="2" t="s">
        <v>3449</v>
      </c>
      <c r="D2538" s="2" t="s">
        <v>10</v>
      </c>
      <c r="E2538" s="2" t="s">
        <v>16</v>
      </c>
      <c r="F2538" s="2">
        <v>1</v>
      </c>
      <c r="G2538" s="2" t="s">
        <v>17</v>
      </c>
    </row>
    <row r="2539" spans="1:7" x14ac:dyDescent="0.2">
      <c r="A2539" s="2" t="s">
        <v>3447</v>
      </c>
      <c r="B2539" s="2" t="s">
        <v>3453</v>
      </c>
      <c r="C2539" s="2" t="s">
        <v>2204</v>
      </c>
      <c r="D2539" s="2" t="s">
        <v>10</v>
      </c>
      <c r="E2539" s="2" t="s">
        <v>16</v>
      </c>
      <c r="F2539" s="2">
        <v>1</v>
      </c>
      <c r="G2539" s="2" t="s">
        <v>17</v>
      </c>
    </row>
    <row r="2540" spans="1:7" x14ac:dyDescent="0.2">
      <c r="A2540" s="2" t="s">
        <v>3454</v>
      </c>
      <c r="B2540" s="2" t="s">
        <v>3455</v>
      </c>
      <c r="C2540" s="2" t="s">
        <v>3456</v>
      </c>
      <c r="D2540" s="2" t="s">
        <v>10</v>
      </c>
      <c r="E2540" s="2" t="s">
        <v>16</v>
      </c>
      <c r="F2540" s="2">
        <v>1</v>
      </c>
      <c r="G2540" s="2" t="s">
        <v>17</v>
      </c>
    </row>
    <row r="2541" spans="1:7" x14ac:dyDescent="0.2">
      <c r="A2541" s="2" t="s">
        <v>3454</v>
      </c>
      <c r="B2541" s="2" t="s">
        <v>3457</v>
      </c>
      <c r="C2541" s="2" t="s">
        <v>3456</v>
      </c>
      <c r="D2541" s="2" t="s">
        <v>10</v>
      </c>
      <c r="E2541" s="2" t="s">
        <v>16</v>
      </c>
      <c r="F2541" s="2">
        <v>1</v>
      </c>
      <c r="G2541" s="2" t="s">
        <v>17</v>
      </c>
    </row>
    <row r="2542" spans="1:7" x14ac:dyDescent="0.2">
      <c r="A2542" s="2" t="s">
        <v>3454</v>
      </c>
      <c r="B2542" s="2" t="s">
        <v>3458</v>
      </c>
      <c r="C2542" s="2" t="s">
        <v>3459</v>
      </c>
      <c r="D2542" s="2" t="s">
        <v>10</v>
      </c>
      <c r="E2542" s="2" t="s">
        <v>16</v>
      </c>
      <c r="F2542" s="2">
        <v>1</v>
      </c>
      <c r="G2542" s="2" t="s">
        <v>17</v>
      </c>
    </row>
    <row r="2543" spans="1:7" x14ac:dyDescent="0.2">
      <c r="A2543" s="2" t="s">
        <v>3454</v>
      </c>
      <c r="B2543" s="2" t="s">
        <v>3460</v>
      </c>
      <c r="C2543" s="2" t="s">
        <v>3459</v>
      </c>
      <c r="D2543" s="2" t="s">
        <v>10</v>
      </c>
      <c r="E2543" s="2" t="s">
        <v>16</v>
      </c>
      <c r="F2543" s="2">
        <v>1</v>
      </c>
      <c r="G2543" s="2" t="s">
        <v>17</v>
      </c>
    </row>
    <row r="2544" spans="1:7" x14ac:dyDescent="0.2">
      <c r="A2544" s="2" t="s">
        <v>3454</v>
      </c>
      <c r="B2544" s="2" t="s">
        <v>3461</v>
      </c>
      <c r="C2544" s="2" t="s">
        <v>3462</v>
      </c>
      <c r="D2544" s="2" t="s">
        <v>10</v>
      </c>
      <c r="E2544" s="2" t="s">
        <v>16</v>
      </c>
      <c r="F2544" s="2">
        <v>1</v>
      </c>
      <c r="G2544" s="2" t="s">
        <v>17</v>
      </c>
    </row>
    <row r="2545" spans="1:7" x14ac:dyDescent="0.2">
      <c r="A2545" s="2" t="s">
        <v>3454</v>
      </c>
      <c r="B2545" s="2" t="s">
        <v>3463</v>
      </c>
      <c r="C2545" s="2" t="s">
        <v>3462</v>
      </c>
      <c r="D2545" s="2" t="s">
        <v>10</v>
      </c>
      <c r="E2545" s="2" t="s">
        <v>16</v>
      </c>
      <c r="F2545" s="2">
        <v>1</v>
      </c>
      <c r="G2545" s="2" t="s">
        <v>17</v>
      </c>
    </row>
    <row r="2546" spans="1:7" x14ac:dyDescent="0.2">
      <c r="A2546" s="2" t="s">
        <v>3454</v>
      </c>
      <c r="B2546" s="2" t="s">
        <v>3464</v>
      </c>
      <c r="C2546" s="2" t="s">
        <v>3462</v>
      </c>
      <c r="D2546" s="2" t="s">
        <v>10</v>
      </c>
      <c r="E2546" s="2" t="s">
        <v>16</v>
      </c>
      <c r="F2546" s="2">
        <v>1</v>
      </c>
      <c r="G2546" s="2" t="s">
        <v>17</v>
      </c>
    </row>
    <row r="2547" spans="1:7" x14ac:dyDescent="0.2">
      <c r="A2547" s="2" t="s">
        <v>3465</v>
      </c>
      <c r="B2547" s="2" t="s">
        <v>3229</v>
      </c>
      <c r="C2547" s="2" t="s">
        <v>3230</v>
      </c>
      <c r="D2547" s="2" t="s">
        <v>10</v>
      </c>
      <c r="E2547" s="2" t="s">
        <v>16</v>
      </c>
      <c r="F2547" s="2">
        <v>1</v>
      </c>
      <c r="G2547" s="2" t="s">
        <v>17</v>
      </c>
    </row>
    <row r="2548" spans="1:7" x14ac:dyDescent="0.2">
      <c r="A2548" s="2" t="s">
        <v>3465</v>
      </c>
      <c r="B2548" s="2" t="s">
        <v>3231</v>
      </c>
      <c r="C2548" s="2" t="s">
        <v>3230</v>
      </c>
      <c r="D2548" s="2" t="s">
        <v>10</v>
      </c>
      <c r="E2548" s="2" t="s">
        <v>16</v>
      </c>
      <c r="F2548" s="2">
        <v>1</v>
      </c>
      <c r="G2548" s="2" t="s">
        <v>17</v>
      </c>
    </row>
    <row r="2549" spans="1:7" x14ac:dyDescent="0.2">
      <c r="A2549" s="2" t="s">
        <v>3466</v>
      </c>
      <c r="B2549" s="2" t="s">
        <v>3467</v>
      </c>
      <c r="C2549" s="2" t="s">
        <v>3468</v>
      </c>
      <c r="D2549" s="2" t="s">
        <v>10</v>
      </c>
      <c r="E2549" s="2" t="s">
        <v>16</v>
      </c>
      <c r="F2549" s="2">
        <v>1</v>
      </c>
      <c r="G2549" s="2" t="s">
        <v>17</v>
      </c>
    </row>
    <row r="2550" spans="1:7" x14ac:dyDescent="0.2">
      <c r="A2550" s="2" t="s">
        <v>3469</v>
      </c>
      <c r="B2550" s="2" t="s">
        <v>62</v>
      </c>
      <c r="C2550" s="2" t="s">
        <v>63</v>
      </c>
      <c r="D2550" s="2" t="s">
        <v>64</v>
      </c>
      <c r="E2550" s="2" t="s">
        <v>16</v>
      </c>
      <c r="F2550" s="2">
        <v>1</v>
      </c>
      <c r="G2550" s="2" t="s">
        <v>17</v>
      </c>
    </row>
    <row r="2551" spans="1:7" x14ac:dyDescent="0.2">
      <c r="A2551" s="2" t="s">
        <v>3470</v>
      </c>
      <c r="B2551" s="2" t="s">
        <v>3471</v>
      </c>
      <c r="C2551" s="2" t="s">
        <v>3472</v>
      </c>
      <c r="D2551" s="2" t="s">
        <v>10</v>
      </c>
      <c r="E2551" s="2" t="s">
        <v>16</v>
      </c>
      <c r="F2551" s="2">
        <v>1</v>
      </c>
      <c r="G2551" s="2" t="s">
        <v>17</v>
      </c>
    </row>
    <row r="2552" spans="1:7" x14ac:dyDescent="0.2">
      <c r="A2552" s="2" t="s">
        <v>3470</v>
      </c>
      <c r="B2552" s="2" t="s">
        <v>3473</v>
      </c>
      <c r="C2552" s="2" t="s">
        <v>3474</v>
      </c>
      <c r="D2552" s="2" t="s">
        <v>10</v>
      </c>
      <c r="E2552" s="2" t="s">
        <v>16</v>
      </c>
      <c r="F2552" s="2">
        <v>1</v>
      </c>
      <c r="G2552" s="2" t="s">
        <v>17</v>
      </c>
    </row>
    <row r="2553" spans="1:7" x14ac:dyDescent="0.2">
      <c r="A2553" s="2" t="s">
        <v>3470</v>
      </c>
      <c r="B2553" s="2" t="s">
        <v>3475</v>
      </c>
      <c r="C2553" s="2" t="s">
        <v>3476</v>
      </c>
      <c r="D2553" s="2" t="s">
        <v>10</v>
      </c>
      <c r="E2553" s="2" t="s">
        <v>16</v>
      </c>
      <c r="F2553" s="2">
        <v>1</v>
      </c>
      <c r="G2553" s="2" t="s">
        <v>17</v>
      </c>
    </row>
    <row r="2554" spans="1:7" x14ac:dyDescent="0.2">
      <c r="A2554" s="2" t="s">
        <v>3470</v>
      </c>
      <c r="B2554" s="2" t="s">
        <v>3477</v>
      </c>
      <c r="C2554" s="2" t="s">
        <v>3478</v>
      </c>
      <c r="D2554" s="2" t="s">
        <v>10</v>
      </c>
      <c r="E2554" s="2" t="s">
        <v>16</v>
      </c>
      <c r="F2554" s="2">
        <v>1</v>
      </c>
      <c r="G2554" s="2" t="s">
        <v>17</v>
      </c>
    </row>
    <row r="2555" spans="1:7" x14ac:dyDescent="0.2">
      <c r="A2555" s="2" t="s">
        <v>3470</v>
      </c>
      <c r="B2555" s="2" t="s">
        <v>630</v>
      </c>
      <c r="C2555" s="2" t="s">
        <v>3472</v>
      </c>
      <c r="D2555" s="2" t="s">
        <v>10</v>
      </c>
      <c r="E2555" s="2" t="s">
        <v>16</v>
      </c>
      <c r="F2555" s="2">
        <v>1</v>
      </c>
      <c r="G2555" s="2" t="s">
        <v>17</v>
      </c>
    </row>
    <row r="2556" spans="1:7" x14ac:dyDescent="0.2">
      <c r="A2556" s="2" t="s">
        <v>3470</v>
      </c>
      <c r="B2556" s="2" t="s">
        <v>3479</v>
      </c>
      <c r="C2556" s="2" t="s">
        <v>3474</v>
      </c>
      <c r="D2556" s="2" t="s">
        <v>10</v>
      </c>
      <c r="E2556" s="2" t="s">
        <v>16</v>
      </c>
      <c r="F2556" s="2">
        <v>1</v>
      </c>
      <c r="G2556" s="2" t="s">
        <v>17</v>
      </c>
    </row>
    <row r="2557" spans="1:7" x14ac:dyDescent="0.2">
      <c r="A2557" s="2" t="s">
        <v>3470</v>
      </c>
      <c r="B2557" s="2" t="s">
        <v>3480</v>
      </c>
      <c r="C2557" s="2" t="s">
        <v>3474</v>
      </c>
      <c r="D2557" s="2" t="s">
        <v>10</v>
      </c>
      <c r="E2557" s="2" t="s">
        <v>16</v>
      </c>
      <c r="F2557" s="2">
        <v>1</v>
      </c>
      <c r="G2557" s="2" t="s">
        <v>17</v>
      </c>
    </row>
    <row r="2558" spans="1:7" x14ac:dyDescent="0.2">
      <c r="A2558" s="2" t="s">
        <v>3470</v>
      </c>
      <c r="B2558" s="2" t="s">
        <v>3481</v>
      </c>
      <c r="C2558" s="2" t="s">
        <v>3476</v>
      </c>
      <c r="D2558" s="2" t="s">
        <v>10</v>
      </c>
      <c r="E2558" s="2" t="s">
        <v>16</v>
      </c>
      <c r="F2558" s="2">
        <v>1</v>
      </c>
      <c r="G2558" s="2" t="s">
        <v>17</v>
      </c>
    </row>
    <row r="2559" spans="1:7" x14ac:dyDescent="0.2">
      <c r="A2559" s="2" t="s">
        <v>3470</v>
      </c>
      <c r="B2559" s="2" t="s">
        <v>3482</v>
      </c>
      <c r="C2559" s="2" t="s">
        <v>3472</v>
      </c>
      <c r="D2559" s="2" t="s">
        <v>10</v>
      </c>
      <c r="E2559" s="2" t="s">
        <v>16</v>
      </c>
      <c r="F2559" s="2">
        <v>1</v>
      </c>
      <c r="G2559" s="2" t="s">
        <v>17</v>
      </c>
    </row>
    <row r="2560" spans="1:7" x14ac:dyDescent="0.2">
      <c r="A2560" s="2" t="s">
        <v>3470</v>
      </c>
      <c r="B2560" s="2" t="s">
        <v>3483</v>
      </c>
      <c r="C2560" s="2" t="s">
        <v>3472</v>
      </c>
      <c r="D2560" s="2" t="s">
        <v>10</v>
      </c>
      <c r="E2560" s="2" t="s">
        <v>16</v>
      </c>
      <c r="F2560" s="2">
        <v>1</v>
      </c>
      <c r="G2560" s="2" t="s">
        <v>17</v>
      </c>
    </row>
    <row r="2561" spans="1:7" x14ac:dyDescent="0.2">
      <c r="A2561" s="2" t="s">
        <v>3470</v>
      </c>
      <c r="B2561" s="2" t="s">
        <v>3484</v>
      </c>
      <c r="C2561" s="2" t="s">
        <v>3476</v>
      </c>
      <c r="D2561" s="2" t="s">
        <v>10</v>
      </c>
      <c r="E2561" s="2" t="s">
        <v>16</v>
      </c>
      <c r="F2561" s="2">
        <v>1</v>
      </c>
      <c r="G2561" s="2" t="s">
        <v>17</v>
      </c>
    </row>
    <row r="2562" spans="1:7" x14ac:dyDescent="0.2">
      <c r="A2562" s="2" t="s">
        <v>3470</v>
      </c>
      <c r="B2562" s="2" t="s">
        <v>3485</v>
      </c>
      <c r="C2562" s="2" t="s">
        <v>3486</v>
      </c>
      <c r="D2562" s="2" t="s">
        <v>10</v>
      </c>
      <c r="E2562" s="2" t="s">
        <v>16</v>
      </c>
      <c r="F2562" s="2">
        <v>1</v>
      </c>
      <c r="G2562" s="2" t="s">
        <v>17</v>
      </c>
    </row>
    <row r="2563" spans="1:7" x14ac:dyDescent="0.2">
      <c r="A2563" s="2" t="s">
        <v>3470</v>
      </c>
      <c r="B2563" s="2" t="s">
        <v>3487</v>
      </c>
      <c r="C2563" s="2" t="s">
        <v>3478</v>
      </c>
      <c r="D2563" s="2" t="s">
        <v>10</v>
      </c>
      <c r="E2563" s="2" t="s">
        <v>16</v>
      </c>
      <c r="F2563" s="2">
        <v>1</v>
      </c>
      <c r="G2563" s="2" t="s">
        <v>17</v>
      </c>
    </row>
    <row r="2564" spans="1:7" x14ac:dyDescent="0.2">
      <c r="A2564" s="2" t="s">
        <v>3470</v>
      </c>
      <c r="B2564" s="2" t="s">
        <v>3488</v>
      </c>
      <c r="C2564" s="2" t="s">
        <v>3478</v>
      </c>
      <c r="D2564" s="2" t="s">
        <v>10</v>
      </c>
      <c r="E2564" s="2" t="s">
        <v>16</v>
      </c>
      <c r="F2564" s="2">
        <v>1</v>
      </c>
      <c r="G2564" s="2" t="s">
        <v>17</v>
      </c>
    </row>
    <row r="2565" spans="1:7" x14ac:dyDescent="0.2">
      <c r="A2565" s="2" t="s">
        <v>3470</v>
      </c>
      <c r="B2565" s="2" t="s">
        <v>3489</v>
      </c>
      <c r="C2565" s="2" t="s">
        <v>3478</v>
      </c>
      <c r="D2565" s="2" t="s">
        <v>10</v>
      </c>
      <c r="E2565" s="2" t="s">
        <v>16</v>
      </c>
      <c r="F2565" s="2">
        <v>1</v>
      </c>
      <c r="G2565" s="2" t="s">
        <v>17</v>
      </c>
    </row>
    <row r="2566" spans="1:7" x14ac:dyDescent="0.2">
      <c r="A2566" s="2" t="s">
        <v>3470</v>
      </c>
      <c r="B2566" s="2" t="s">
        <v>3490</v>
      </c>
      <c r="C2566" s="2" t="s">
        <v>3478</v>
      </c>
      <c r="D2566" s="2" t="s">
        <v>10</v>
      </c>
      <c r="E2566" s="2" t="s">
        <v>16</v>
      </c>
      <c r="F2566" s="2">
        <v>1</v>
      </c>
      <c r="G2566" s="2" t="s">
        <v>17</v>
      </c>
    </row>
    <row r="2567" spans="1:7" x14ac:dyDescent="0.2">
      <c r="A2567" s="2" t="s">
        <v>3470</v>
      </c>
      <c r="B2567" s="2" t="s">
        <v>3491</v>
      </c>
      <c r="C2567" s="2" t="s">
        <v>3474</v>
      </c>
      <c r="D2567" s="2" t="s">
        <v>10</v>
      </c>
      <c r="E2567" s="2" t="s">
        <v>16</v>
      </c>
      <c r="F2567" s="2">
        <v>1</v>
      </c>
      <c r="G2567" s="2" t="s">
        <v>17</v>
      </c>
    </row>
    <row r="2568" spans="1:7" x14ac:dyDescent="0.2">
      <c r="A2568" s="2" t="s">
        <v>3470</v>
      </c>
      <c r="B2568" s="2" t="s">
        <v>3492</v>
      </c>
      <c r="C2568" s="2" t="s">
        <v>3474</v>
      </c>
      <c r="D2568" s="2" t="s">
        <v>10</v>
      </c>
      <c r="E2568" s="2" t="s">
        <v>16</v>
      </c>
      <c r="F2568" s="2">
        <v>1</v>
      </c>
      <c r="G2568" s="2" t="s">
        <v>17</v>
      </c>
    </row>
    <row r="2569" spans="1:7" x14ac:dyDescent="0.2">
      <c r="A2569" s="2" t="s">
        <v>3470</v>
      </c>
      <c r="B2569" s="2" t="s">
        <v>3493</v>
      </c>
      <c r="C2569" s="2" t="s">
        <v>3474</v>
      </c>
      <c r="D2569" s="2" t="s">
        <v>10</v>
      </c>
      <c r="E2569" s="2" t="s">
        <v>16</v>
      </c>
      <c r="F2569" s="2">
        <v>1</v>
      </c>
      <c r="G2569" s="2" t="s">
        <v>17</v>
      </c>
    </row>
    <row r="2570" spans="1:7" x14ac:dyDescent="0.2">
      <c r="A2570" s="2" t="s">
        <v>3470</v>
      </c>
      <c r="B2570" s="2" t="s">
        <v>3494</v>
      </c>
      <c r="C2570" s="2" t="s">
        <v>3474</v>
      </c>
      <c r="D2570" s="2" t="s">
        <v>10</v>
      </c>
      <c r="E2570" s="2" t="s">
        <v>16</v>
      </c>
      <c r="F2570" s="2">
        <v>1</v>
      </c>
      <c r="G2570" s="2" t="s">
        <v>17</v>
      </c>
    </row>
    <row r="2571" spans="1:7" x14ac:dyDescent="0.2">
      <c r="A2571" s="2" t="s">
        <v>3470</v>
      </c>
      <c r="B2571" s="2" t="s">
        <v>3495</v>
      </c>
      <c r="C2571" s="2" t="s">
        <v>3474</v>
      </c>
      <c r="D2571" s="2" t="s">
        <v>10</v>
      </c>
      <c r="E2571" s="2" t="s">
        <v>16</v>
      </c>
      <c r="F2571" s="2">
        <v>1</v>
      </c>
      <c r="G2571" s="2" t="s">
        <v>17</v>
      </c>
    </row>
    <row r="2572" spans="1:7" x14ac:dyDescent="0.2">
      <c r="A2572" s="2" t="s">
        <v>3470</v>
      </c>
      <c r="B2572" s="2" t="s">
        <v>3496</v>
      </c>
      <c r="C2572" s="2" t="s">
        <v>3474</v>
      </c>
      <c r="D2572" s="2" t="s">
        <v>10</v>
      </c>
      <c r="E2572" s="2" t="s">
        <v>16</v>
      </c>
      <c r="F2572" s="2">
        <v>1</v>
      </c>
      <c r="G2572" s="2" t="s">
        <v>17</v>
      </c>
    </row>
    <row r="2573" spans="1:7" x14ac:dyDescent="0.2">
      <c r="A2573" s="2" t="s">
        <v>3470</v>
      </c>
      <c r="B2573" s="2" t="s">
        <v>3497</v>
      </c>
      <c r="C2573" s="2" t="s">
        <v>3478</v>
      </c>
      <c r="D2573" s="2" t="s">
        <v>10</v>
      </c>
      <c r="E2573" s="2" t="s">
        <v>16</v>
      </c>
      <c r="F2573" s="2">
        <v>1</v>
      </c>
      <c r="G2573" s="2" t="s">
        <v>17</v>
      </c>
    </row>
    <row r="2574" spans="1:7" x14ac:dyDescent="0.2">
      <c r="A2574" s="2" t="s">
        <v>3470</v>
      </c>
      <c r="B2574" s="2" t="s">
        <v>3498</v>
      </c>
      <c r="C2574" s="2" t="s">
        <v>3478</v>
      </c>
      <c r="D2574" s="2" t="s">
        <v>10</v>
      </c>
      <c r="E2574" s="2" t="s">
        <v>16</v>
      </c>
      <c r="F2574" s="2">
        <v>1</v>
      </c>
      <c r="G2574" s="2" t="s">
        <v>17</v>
      </c>
    </row>
    <row r="2575" spans="1:7" x14ac:dyDescent="0.2">
      <c r="A2575" s="2" t="s">
        <v>3470</v>
      </c>
      <c r="B2575" s="2" t="s">
        <v>3499</v>
      </c>
      <c r="C2575" s="2" t="s">
        <v>3478</v>
      </c>
      <c r="D2575" s="2" t="s">
        <v>10</v>
      </c>
      <c r="E2575" s="2" t="s">
        <v>16</v>
      </c>
      <c r="F2575" s="2">
        <v>1</v>
      </c>
      <c r="G2575" s="2" t="s">
        <v>17</v>
      </c>
    </row>
    <row r="2576" spans="1:7" x14ac:dyDescent="0.2">
      <c r="A2576" s="2" t="s">
        <v>3470</v>
      </c>
      <c r="B2576" s="2" t="s">
        <v>3500</v>
      </c>
      <c r="C2576" s="2" t="s">
        <v>3486</v>
      </c>
      <c r="D2576" s="2" t="s">
        <v>10</v>
      </c>
      <c r="E2576" s="2" t="s">
        <v>16</v>
      </c>
      <c r="F2576" s="2">
        <v>1</v>
      </c>
      <c r="G2576" s="2" t="s">
        <v>17</v>
      </c>
    </row>
    <row r="2577" spans="1:7" x14ac:dyDescent="0.2">
      <c r="A2577" s="2" t="s">
        <v>3470</v>
      </c>
      <c r="B2577" s="2" t="s">
        <v>3501</v>
      </c>
      <c r="C2577" s="2" t="s">
        <v>3474</v>
      </c>
      <c r="D2577" s="2" t="s">
        <v>10</v>
      </c>
      <c r="E2577" s="2" t="s">
        <v>16</v>
      </c>
      <c r="F2577" s="2">
        <v>1</v>
      </c>
      <c r="G2577" s="2" t="s">
        <v>17</v>
      </c>
    </row>
    <row r="2578" spans="1:7" x14ac:dyDescent="0.2">
      <c r="A2578" s="2" t="s">
        <v>3470</v>
      </c>
      <c r="B2578" s="2" t="s">
        <v>3502</v>
      </c>
      <c r="C2578" s="2" t="s">
        <v>3474</v>
      </c>
      <c r="D2578" s="2" t="s">
        <v>10</v>
      </c>
      <c r="E2578" s="2" t="s">
        <v>16</v>
      </c>
      <c r="F2578" s="2">
        <v>1</v>
      </c>
      <c r="G2578" s="2" t="s">
        <v>17</v>
      </c>
    </row>
    <row r="2579" spans="1:7" x14ac:dyDescent="0.2">
      <c r="A2579" s="2" t="s">
        <v>3503</v>
      </c>
      <c r="B2579" s="2" t="s">
        <v>3504</v>
      </c>
      <c r="C2579" s="2" t="s">
        <v>3505</v>
      </c>
      <c r="D2579" s="2" t="s">
        <v>10</v>
      </c>
      <c r="E2579" s="2" t="s">
        <v>52</v>
      </c>
      <c r="F2579" s="2">
        <v>2</v>
      </c>
      <c r="G2579" s="2" t="s">
        <v>17</v>
      </c>
    </row>
    <row r="2580" spans="1:7" x14ac:dyDescent="0.2">
      <c r="A2580" s="2" t="s">
        <v>3506</v>
      </c>
      <c r="B2580" s="2" t="s">
        <v>3507</v>
      </c>
      <c r="C2580" s="2" t="s">
        <v>3508</v>
      </c>
      <c r="D2580" s="2" t="s">
        <v>10</v>
      </c>
      <c r="E2580" s="2" t="s">
        <v>16</v>
      </c>
      <c r="F2580" s="2">
        <v>1</v>
      </c>
      <c r="G2580" s="2" t="s">
        <v>17</v>
      </c>
    </row>
    <row r="2581" spans="1:7" x14ac:dyDescent="0.2">
      <c r="A2581" s="2" t="s">
        <v>3506</v>
      </c>
      <c r="B2581" s="2" t="s">
        <v>309</v>
      </c>
      <c r="C2581" s="2" t="s">
        <v>3508</v>
      </c>
      <c r="D2581" s="2" t="s">
        <v>10</v>
      </c>
      <c r="E2581" s="2" t="s">
        <v>16</v>
      </c>
      <c r="F2581" s="2">
        <v>1</v>
      </c>
      <c r="G2581" s="2" t="s">
        <v>17</v>
      </c>
    </row>
    <row r="2582" spans="1:7" x14ac:dyDescent="0.2">
      <c r="A2582" s="2" t="s">
        <v>3509</v>
      </c>
      <c r="B2582" s="2">
        <v>120</v>
      </c>
      <c r="C2582" s="2" t="s">
        <v>3510</v>
      </c>
      <c r="D2582" s="2" t="s">
        <v>10</v>
      </c>
      <c r="E2582" s="2" t="s">
        <v>16</v>
      </c>
      <c r="F2582" s="2">
        <v>1</v>
      </c>
      <c r="G2582" s="2" t="s">
        <v>17</v>
      </c>
    </row>
    <row r="2583" spans="1:7" x14ac:dyDescent="0.2">
      <c r="A2583" s="2" t="s">
        <v>3509</v>
      </c>
      <c r="B2583" s="2">
        <v>140</v>
      </c>
      <c r="C2583" s="2" t="s">
        <v>3511</v>
      </c>
      <c r="D2583" s="2" t="s">
        <v>10</v>
      </c>
      <c r="E2583" s="2" t="s">
        <v>16</v>
      </c>
      <c r="F2583" s="2">
        <v>1</v>
      </c>
      <c r="G2583" s="2" t="s">
        <v>17</v>
      </c>
    </row>
    <row r="2584" spans="1:7" x14ac:dyDescent="0.2">
      <c r="A2584" s="2" t="s">
        <v>3509</v>
      </c>
      <c r="B2584" s="2">
        <v>150</v>
      </c>
      <c r="C2584" s="2" t="s">
        <v>1983</v>
      </c>
      <c r="D2584" s="2" t="s">
        <v>10</v>
      </c>
      <c r="E2584" s="2" t="s">
        <v>16</v>
      </c>
      <c r="F2584" s="2">
        <v>1</v>
      </c>
      <c r="G2584" s="2" t="s">
        <v>17</v>
      </c>
    </row>
    <row r="2585" spans="1:7" x14ac:dyDescent="0.2">
      <c r="A2585" s="2" t="s">
        <v>3509</v>
      </c>
      <c r="B2585" s="2" t="s">
        <v>3512</v>
      </c>
      <c r="C2585" s="2" t="s">
        <v>1983</v>
      </c>
      <c r="D2585" s="2" t="s">
        <v>10</v>
      </c>
      <c r="E2585" s="2" t="s">
        <v>16</v>
      </c>
      <c r="F2585" s="2">
        <v>1</v>
      </c>
      <c r="G2585" s="2" t="s">
        <v>17</v>
      </c>
    </row>
    <row r="2586" spans="1:7" x14ac:dyDescent="0.2">
      <c r="A2586" s="2" t="s">
        <v>3509</v>
      </c>
      <c r="B2586" s="2">
        <v>152</v>
      </c>
      <c r="C2586" s="2" t="s">
        <v>1984</v>
      </c>
      <c r="D2586" s="2" t="s">
        <v>10</v>
      </c>
      <c r="E2586" s="2" t="s">
        <v>16</v>
      </c>
      <c r="F2586" s="2">
        <v>1</v>
      </c>
      <c r="G2586" s="2" t="s">
        <v>17</v>
      </c>
    </row>
    <row r="2587" spans="1:7" x14ac:dyDescent="0.2">
      <c r="A2587" s="2" t="s">
        <v>3509</v>
      </c>
      <c r="B2587" s="2">
        <v>170</v>
      </c>
      <c r="C2587" s="2" t="s">
        <v>3513</v>
      </c>
      <c r="D2587" s="2" t="s">
        <v>10</v>
      </c>
      <c r="E2587" s="2" t="s">
        <v>16</v>
      </c>
      <c r="F2587" s="2">
        <v>1</v>
      </c>
      <c r="G2587" s="2" t="s">
        <v>17</v>
      </c>
    </row>
    <row r="2588" spans="1:7" x14ac:dyDescent="0.2">
      <c r="A2588" s="2" t="s">
        <v>3509</v>
      </c>
      <c r="B2588" s="2">
        <v>172</v>
      </c>
      <c r="C2588" s="2" t="s">
        <v>1985</v>
      </c>
      <c r="D2588" s="2" t="s">
        <v>10</v>
      </c>
      <c r="E2588" s="2" t="s">
        <v>16</v>
      </c>
      <c r="F2588" s="2">
        <v>1</v>
      </c>
      <c r="G2588" s="2" t="s">
        <v>17</v>
      </c>
    </row>
    <row r="2589" spans="1:7" x14ac:dyDescent="0.2">
      <c r="A2589" s="2" t="s">
        <v>3509</v>
      </c>
      <c r="B2589" s="2" t="s">
        <v>3514</v>
      </c>
      <c r="C2589" s="2" t="s">
        <v>1985</v>
      </c>
      <c r="D2589" s="2" t="s">
        <v>10</v>
      </c>
      <c r="E2589" s="2" t="s">
        <v>16</v>
      </c>
      <c r="F2589" s="2">
        <v>1</v>
      </c>
      <c r="G2589" s="2" t="s">
        <v>17</v>
      </c>
    </row>
    <row r="2590" spans="1:7" x14ac:dyDescent="0.2">
      <c r="A2590" s="2" t="s">
        <v>3509</v>
      </c>
      <c r="B2590" s="2" t="s">
        <v>3515</v>
      </c>
      <c r="C2590" s="2" t="s">
        <v>1985</v>
      </c>
      <c r="D2590" s="2" t="s">
        <v>10</v>
      </c>
      <c r="E2590" s="2" t="s">
        <v>16</v>
      </c>
      <c r="F2590" s="2">
        <v>1</v>
      </c>
      <c r="G2590" s="2" t="s">
        <v>17</v>
      </c>
    </row>
    <row r="2591" spans="1:7" x14ac:dyDescent="0.2">
      <c r="A2591" s="2" t="s">
        <v>3509</v>
      </c>
      <c r="B2591" s="2" t="s">
        <v>3516</v>
      </c>
      <c r="C2591" s="2" t="s">
        <v>1987</v>
      </c>
      <c r="D2591" s="2" t="s">
        <v>10</v>
      </c>
      <c r="E2591" s="2" t="s">
        <v>16</v>
      </c>
      <c r="F2591" s="2">
        <v>1</v>
      </c>
      <c r="G2591" s="2" t="s">
        <v>17</v>
      </c>
    </row>
    <row r="2592" spans="1:7" x14ac:dyDescent="0.2">
      <c r="A2592" s="2" t="s">
        <v>3509</v>
      </c>
      <c r="B2592" s="2">
        <v>175</v>
      </c>
      <c r="C2592" s="2" t="s">
        <v>3517</v>
      </c>
      <c r="D2592" s="2" t="s">
        <v>10</v>
      </c>
      <c r="E2592" s="2" t="s">
        <v>16</v>
      </c>
      <c r="F2592" s="2">
        <v>1</v>
      </c>
      <c r="G2592" s="2" t="s">
        <v>17</v>
      </c>
    </row>
    <row r="2593" spans="1:7" x14ac:dyDescent="0.2">
      <c r="A2593" s="2" t="s">
        <v>3509</v>
      </c>
      <c r="B2593" s="2" t="s">
        <v>3518</v>
      </c>
      <c r="C2593" s="2" t="s">
        <v>3517</v>
      </c>
      <c r="D2593" s="2" t="s">
        <v>10</v>
      </c>
      <c r="E2593" s="2" t="s">
        <v>16</v>
      </c>
      <c r="F2593" s="2">
        <v>1</v>
      </c>
      <c r="G2593" s="2" t="s">
        <v>17</v>
      </c>
    </row>
    <row r="2594" spans="1:7" x14ac:dyDescent="0.2">
      <c r="A2594" s="2" t="s">
        <v>3509</v>
      </c>
      <c r="B2594" s="2">
        <v>177</v>
      </c>
      <c r="C2594" s="2" t="s">
        <v>3519</v>
      </c>
      <c r="D2594" s="2" t="s">
        <v>10</v>
      </c>
      <c r="E2594" s="2" t="s">
        <v>16</v>
      </c>
      <c r="F2594" s="2">
        <v>1</v>
      </c>
      <c r="G2594" s="2" t="s">
        <v>17</v>
      </c>
    </row>
    <row r="2595" spans="1:7" x14ac:dyDescent="0.2">
      <c r="A2595" s="2" t="s">
        <v>3509</v>
      </c>
      <c r="B2595" s="2" t="s">
        <v>3520</v>
      </c>
      <c r="C2595" s="2" t="s">
        <v>3519</v>
      </c>
      <c r="D2595" s="2" t="s">
        <v>10</v>
      </c>
      <c r="E2595" s="2" t="s">
        <v>16</v>
      </c>
      <c r="F2595" s="2">
        <v>1</v>
      </c>
      <c r="G2595" s="2" t="s">
        <v>17</v>
      </c>
    </row>
    <row r="2596" spans="1:7" x14ac:dyDescent="0.2">
      <c r="A2596" s="2" t="s">
        <v>3509</v>
      </c>
      <c r="B2596" s="2" t="s">
        <v>3521</v>
      </c>
      <c r="C2596" s="2" t="s">
        <v>1989</v>
      </c>
      <c r="D2596" s="2" t="s">
        <v>10</v>
      </c>
      <c r="E2596" s="2" t="s">
        <v>16</v>
      </c>
      <c r="F2596" s="2">
        <v>1</v>
      </c>
      <c r="G2596" s="2" t="s">
        <v>17</v>
      </c>
    </row>
    <row r="2597" spans="1:7" x14ac:dyDescent="0.2">
      <c r="A2597" s="2" t="s">
        <v>3509</v>
      </c>
      <c r="B2597" s="2">
        <v>180</v>
      </c>
      <c r="C2597" s="2" t="s">
        <v>3522</v>
      </c>
      <c r="D2597" s="2" t="s">
        <v>10</v>
      </c>
      <c r="E2597" s="2" t="s">
        <v>16</v>
      </c>
      <c r="F2597" s="2">
        <v>1</v>
      </c>
      <c r="G2597" s="2" t="s">
        <v>17</v>
      </c>
    </row>
    <row r="2598" spans="1:7" x14ac:dyDescent="0.2">
      <c r="A2598" s="2" t="s">
        <v>3509</v>
      </c>
      <c r="B2598" s="2" t="s">
        <v>3523</v>
      </c>
      <c r="C2598" s="2" t="s">
        <v>3524</v>
      </c>
      <c r="D2598" s="2" t="s">
        <v>10</v>
      </c>
      <c r="E2598" s="2" t="s">
        <v>16</v>
      </c>
      <c r="F2598" s="2">
        <v>1</v>
      </c>
      <c r="G2598" s="2" t="s">
        <v>17</v>
      </c>
    </row>
    <row r="2599" spans="1:7" x14ac:dyDescent="0.2">
      <c r="A2599" s="2" t="s">
        <v>3509</v>
      </c>
      <c r="B2599" s="2" t="s">
        <v>3525</v>
      </c>
      <c r="C2599" s="2" t="s">
        <v>3522</v>
      </c>
      <c r="D2599" s="2" t="s">
        <v>10</v>
      </c>
      <c r="E2599" s="2" t="s">
        <v>16</v>
      </c>
      <c r="F2599" s="2">
        <v>1</v>
      </c>
      <c r="G2599" s="2" t="s">
        <v>17</v>
      </c>
    </row>
    <row r="2600" spans="1:7" x14ac:dyDescent="0.2">
      <c r="A2600" s="2" t="s">
        <v>3509</v>
      </c>
      <c r="B2600" s="2">
        <v>182</v>
      </c>
      <c r="C2600" s="2" t="s">
        <v>1990</v>
      </c>
      <c r="D2600" s="2" t="s">
        <v>10</v>
      </c>
      <c r="E2600" s="2" t="s">
        <v>16</v>
      </c>
      <c r="F2600" s="2">
        <v>1</v>
      </c>
      <c r="G2600" s="2" t="s">
        <v>17</v>
      </c>
    </row>
    <row r="2601" spans="1:7" x14ac:dyDescent="0.2">
      <c r="A2601" s="2" t="s">
        <v>3509</v>
      </c>
      <c r="B2601" s="2" t="s">
        <v>3526</v>
      </c>
      <c r="C2601" s="2" t="s">
        <v>1990</v>
      </c>
      <c r="D2601" s="2" t="s">
        <v>10</v>
      </c>
      <c r="E2601" s="2" t="s">
        <v>16</v>
      </c>
      <c r="F2601" s="2">
        <v>1</v>
      </c>
      <c r="G2601" s="2" t="s">
        <v>17</v>
      </c>
    </row>
    <row r="2602" spans="1:7" x14ac:dyDescent="0.2">
      <c r="A2602" s="2" t="s">
        <v>3509</v>
      </c>
      <c r="B2602" s="2" t="s">
        <v>3527</v>
      </c>
      <c r="C2602" s="2" t="s">
        <v>1935</v>
      </c>
      <c r="D2602" s="2" t="s">
        <v>10</v>
      </c>
      <c r="E2602" s="2" t="s">
        <v>16</v>
      </c>
      <c r="F2602" s="2">
        <v>1</v>
      </c>
      <c r="G2602" s="2" t="s">
        <v>17</v>
      </c>
    </row>
    <row r="2603" spans="1:7" x14ac:dyDescent="0.2">
      <c r="A2603" s="2" t="s">
        <v>3509</v>
      </c>
      <c r="B2603" s="2" t="s">
        <v>3528</v>
      </c>
      <c r="C2603" s="2" t="s">
        <v>1991</v>
      </c>
      <c r="D2603" s="2" t="s">
        <v>10</v>
      </c>
      <c r="E2603" s="2" t="s">
        <v>16</v>
      </c>
      <c r="F2603" s="2">
        <v>1</v>
      </c>
      <c r="G2603" s="2" t="s">
        <v>17</v>
      </c>
    </row>
    <row r="2604" spans="1:7" x14ac:dyDescent="0.2">
      <c r="A2604" s="2" t="s">
        <v>3509</v>
      </c>
      <c r="B2604" s="2" t="s">
        <v>3529</v>
      </c>
      <c r="C2604" s="2" t="s">
        <v>1991</v>
      </c>
      <c r="D2604" s="2" t="s">
        <v>10</v>
      </c>
      <c r="E2604" s="2" t="s">
        <v>16</v>
      </c>
      <c r="F2604" s="2">
        <v>1</v>
      </c>
      <c r="G2604" s="2" t="s">
        <v>17</v>
      </c>
    </row>
    <row r="2605" spans="1:7" x14ac:dyDescent="0.2">
      <c r="A2605" s="2" t="s">
        <v>3509</v>
      </c>
      <c r="B2605" s="2">
        <v>190</v>
      </c>
      <c r="C2605" s="2" t="s">
        <v>3530</v>
      </c>
      <c r="D2605" s="2" t="s">
        <v>10</v>
      </c>
      <c r="E2605" s="2" t="s">
        <v>16</v>
      </c>
      <c r="F2605" s="2">
        <v>1</v>
      </c>
      <c r="G2605" s="2" t="s">
        <v>17</v>
      </c>
    </row>
    <row r="2606" spans="1:7" x14ac:dyDescent="0.2">
      <c r="A2606" s="2" t="s">
        <v>3509</v>
      </c>
      <c r="B2606" s="2">
        <v>195</v>
      </c>
      <c r="C2606" s="2" t="s">
        <v>3531</v>
      </c>
      <c r="D2606" s="2" t="s">
        <v>10</v>
      </c>
      <c r="E2606" s="2" t="s">
        <v>16</v>
      </c>
      <c r="F2606" s="2">
        <v>1</v>
      </c>
      <c r="G2606" s="2" t="s">
        <v>17</v>
      </c>
    </row>
    <row r="2607" spans="1:7" x14ac:dyDescent="0.2">
      <c r="A2607" s="2" t="s">
        <v>3509</v>
      </c>
      <c r="B2607" s="2">
        <v>205</v>
      </c>
      <c r="C2607" s="2" t="s">
        <v>3532</v>
      </c>
      <c r="D2607" s="2" t="s">
        <v>10</v>
      </c>
      <c r="E2607" s="2" t="s">
        <v>16</v>
      </c>
      <c r="F2607" s="2">
        <v>1</v>
      </c>
      <c r="G2607" s="2" t="s">
        <v>17</v>
      </c>
    </row>
    <row r="2608" spans="1:7" x14ac:dyDescent="0.2">
      <c r="A2608" s="2" t="s">
        <v>3509</v>
      </c>
      <c r="B2608" s="2" t="s">
        <v>3533</v>
      </c>
      <c r="C2608" s="2" t="s">
        <v>3534</v>
      </c>
      <c r="D2608" s="2" t="s">
        <v>10</v>
      </c>
      <c r="E2608" s="2" t="s">
        <v>52</v>
      </c>
      <c r="F2608" s="2">
        <v>1</v>
      </c>
      <c r="G2608" s="2" t="s">
        <v>17</v>
      </c>
    </row>
    <row r="2609" spans="1:7" x14ac:dyDescent="0.2">
      <c r="A2609" s="2" t="s">
        <v>3509</v>
      </c>
      <c r="B2609" s="2" t="s">
        <v>3535</v>
      </c>
      <c r="C2609" s="2" t="s">
        <v>1992</v>
      </c>
      <c r="D2609" s="2" t="s">
        <v>10</v>
      </c>
      <c r="E2609" s="2" t="s">
        <v>16</v>
      </c>
      <c r="F2609" s="2">
        <v>1</v>
      </c>
      <c r="G2609" s="2" t="s">
        <v>17</v>
      </c>
    </row>
    <row r="2610" spans="1:7" x14ac:dyDescent="0.2">
      <c r="A2610" s="2" t="s">
        <v>3509</v>
      </c>
      <c r="B2610" s="2" t="s">
        <v>3536</v>
      </c>
      <c r="C2610" s="2" t="s">
        <v>1992</v>
      </c>
      <c r="D2610" s="2" t="s">
        <v>10</v>
      </c>
      <c r="E2610" s="2" t="s">
        <v>16</v>
      </c>
      <c r="F2610" s="2">
        <v>1</v>
      </c>
      <c r="G2610" s="2" t="s">
        <v>17</v>
      </c>
    </row>
    <row r="2611" spans="1:7" x14ac:dyDescent="0.2">
      <c r="A2611" s="2" t="s">
        <v>3509</v>
      </c>
      <c r="B2611" s="2" t="s">
        <v>3537</v>
      </c>
      <c r="C2611" s="2" t="s">
        <v>3538</v>
      </c>
      <c r="D2611" s="2" t="s">
        <v>10</v>
      </c>
      <c r="E2611" s="2" t="s">
        <v>52</v>
      </c>
      <c r="F2611" s="2">
        <v>1</v>
      </c>
      <c r="G2611" s="2" t="s">
        <v>17</v>
      </c>
    </row>
    <row r="2612" spans="1:7" x14ac:dyDescent="0.2">
      <c r="A2612" s="2" t="s">
        <v>3509</v>
      </c>
      <c r="B2612" s="2" t="s">
        <v>3539</v>
      </c>
      <c r="C2612" s="2" t="s">
        <v>3540</v>
      </c>
      <c r="D2612" s="2" t="s">
        <v>10</v>
      </c>
      <c r="E2612" s="2" t="s">
        <v>16</v>
      </c>
      <c r="F2612" s="2">
        <v>1</v>
      </c>
      <c r="G2612" s="2" t="s">
        <v>17</v>
      </c>
    </row>
    <row r="2613" spans="1:7" x14ac:dyDescent="0.2">
      <c r="A2613" s="2" t="s">
        <v>3509</v>
      </c>
      <c r="B2613" s="2" t="s">
        <v>3541</v>
      </c>
      <c r="C2613" s="2" t="s">
        <v>3540</v>
      </c>
      <c r="D2613" s="2" t="s">
        <v>10</v>
      </c>
      <c r="E2613" s="2" t="s">
        <v>16</v>
      </c>
      <c r="F2613" s="2">
        <v>1</v>
      </c>
      <c r="G2613" s="2" t="s">
        <v>17</v>
      </c>
    </row>
    <row r="2614" spans="1:7" x14ac:dyDescent="0.2">
      <c r="A2614" s="2" t="s">
        <v>3509</v>
      </c>
      <c r="B2614" s="2" t="s">
        <v>3542</v>
      </c>
      <c r="C2614" s="2" t="s">
        <v>3540</v>
      </c>
      <c r="D2614" s="2" t="s">
        <v>10</v>
      </c>
      <c r="E2614" s="2" t="s">
        <v>16</v>
      </c>
      <c r="F2614" s="2">
        <v>1</v>
      </c>
      <c r="G2614" s="2" t="s">
        <v>17</v>
      </c>
    </row>
    <row r="2615" spans="1:7" x14ac:dyDescent="0.2">
      <c r="A2615" s="2" t="s">
        <v>3509</v>
      </c>
      <c r="B2615" s="2" t="s">
        <v>3543</v>
      </c>
      <c r="C2615" s="2" t="s">
        <v>3544</v>
      </c>
      <c r="D2615" s="2" t="s">
        <v>10</v>
      </c>
      <c r="E2615" s="2" t="s">
        <v>52</v>
      </c>
      <c r="F2615" s="2">
        <v>1</v>
      </c>
      <c r="G2615" s="2" t="s">
        <v>17</v>
      </c>
    </row>
    <row r="2616" spans="1:7" x14ac:dyDescent="0.2">
      <c r="A2616" s="2" t="s">
        <v>3509</v>
      </c>
      <c r="B2616" s="2" t="s">
        <v>3545</v>
      </c>
      <c r="C2616" s="2" t="s">
        <v>3544</v>
      </c>
      <c r="D2616" s="2" t="s">
        <v>10</v>
      </c>
      <c r="E2616" s="2" t="s">
        <v>52</v>
      </c>
      <c r="F2616" s="2">
        <v>1</v>
      </c>
      <c r="G2616" s="2" t="s">
        <v>17</v>
      </c>
    </row>
    <row r="2617" spans="1:7" x14ac:dyDescent="0.2">
      <c r="A2617" s="2" t="s">
        <v>3509</v>
      </c>
      <c r="B2617" s="2" t="s">
        <v>3546</v>
      </c>
      <c r="C2617" s="2" t="s">
        <v>3544</v>
      </c>
      <c r="D2617" s="2" t="s">
        <v>10</v>
      </c>
      <c r="E2617" s="2" t="s">
        <v>52</v>
      </c>
      <c r="F2617" s="2">
        <v>1</v>
      </c>
      <c r="G2617" s="2" t="s">
        <v>17</v>
      </c>
    </row>
    <row r="2618" spans="1:7" x14ac:dyDescent="0.2">
      <c r="A2618" s="2" t="s">
        <v>3509</v>
      </c>
      <c r="B2618" s="2" t="s">
        <v>3547</v>
      </c>
      <c r="C2618" s="2" t="s">
        <v>3544</v>
      </c>
      <c r="D2618" s="2" t="s">
        <v>10</v>
      </c>
      <c r="E2618" s="2" t="s">
        <v>52</v>
      </c>
      <c r="F2618" s="2">
        <v>1</v>
      </c>
      <c r="G2618" s="2" t="s">
        <v>17</v>
      </c>
    </row>
    <row r="2619" spans="1:7" x14ac:dyDescent="0.2">
      <c r="A2619" s="2" t="s">
        <v>3509</v>
      </c>
      <c r="B2619" s="2">
        <v>210</v>
      </c>
      <c r="C2619" s="2" t="s">
        <v>1993</v>
      </c>
      <c r="D2619" s="2" t="s">
        <v>10</v>
      </c>
      <c r="E2619" s="2" t="s">
        <v>16</v>
      </c>
      <c r="F2619" s="2">
        <v>1</v>
      </c>
      <c r="G2619" s="2" t="s">
        <v>17</v>
      </c>
    </row>
    <row r="2620" spans="1:7" x14ac:dyDescent="0.2">
      <c r="A2620" s="2" t="s">
        <v>3509</v>
      </c>
      <c r="B2620" s="2" t="s">
        <v>3548</v>
      </c>
      <c r="C2620" s="2" t="s">
        <v>1993</v>
      </c>
      <c r="D2620" s="2" t="s">
        <v>10</v>
      </c>
      <c r="E2620" s="2" t="s">
        <v>16</v>
      </c>
      <c r="F2620" s="2">
        <v>1</v>
      </c>
      <c r="G2620" s="2" t="s">
        <v>17</v>
      </c>
    </row>
    <row r="2621" spans="1:7" x14ac:dyDescent="0.2">
      <c r="A2621" s="2" t="s">
        <v>3509</v>
      </c>
      <c r="B2621" s="2" t="s">
        <v>3549</v>
      </c>
      <c r="C2621" s="2" t="s">
        <v>3550</v>
      </c>
      <c r="D2621" s="2" t="s">
        <v>10</v>
      </c>
      <c r="E2621" s="2" t="s">
        <v>16</v>
      </c>
      <c r="F2621" s="2">
        <v>1</v>
      </c>
      <c r="G2621" s="2" t="s">
        <v>17</v>
      </c>
    </row>
    <row r="2622" spans="1:7" x14ac:dyDescent="0.2">
      <c r="A2622" s="2" t="s">
        <v>3509</v>
      </c>
      <c r="B2622" s="2">
        <v>310</v>
      </c>
      <c r="C2622" s="2" t="s">
        <v>1994</v>
      </c>
      <c r="D2622" s="2" t="s">
        <v>10</v>
      </c>
      <c r="E2622" s="2" t="s">
        <v>16</v>
      </c>
      <c r="F2622" s="2">
        <v>2</v>
      </c>
      <c r="G2622" s="2" t="s">
        <v>17</v>
      </c>
    </row>
    <row r="2623" spans="1:7" x14ac:dyDescent="0.2">
      <c r="A2623" s="2" t="s">
        <v>3509</v>
      </c>
      <c r="B2623" s="2" t="s">
        <v>3551</v>
      </c>
      <c r="C2623" s="2" t="s">
        <v>3552</v>
      </c>
      <c r="D2623" s="2" t="s">
        <v>10</v>
      </c>
      <c r="E2623" s="2" t="s">
        <v>11</v>
      </c>
      <c r="F2623" s="2">
        <v>2</v>
      </c>
      <c r="G2623" s="2" t="s">
        <v>17</v>
      </c>
    </row>
    <row r="2624" spans="1:7" x14ac:dyDescent="0.2">
      <c r="A2624" s="2" t="s">
        <v>3509</v>
      </c>
      <c r="B2624" s="2" t="s">
        <v>3553</v>
      </c>
      <c r="C2624" s="2" t="s">
        <v>3552</v>
      </c>
      <c r="D2624" s="2" t="s">
        <v>10</v>
      </c>
      <c r="E2624" s="2" t="s">
        <v>11</v>
      </c>
      <c r="F2624" s="2">
        <v>2</v>
      </c>
      <c r="G2624" s="2" t="s">
        <v>17</v>
      </c>
    </row>
    <row r="2625" spans="1:7" x14ac:dyDescent="0.2">
      <c r="A2625" s="2" t="s">
        <v>3509</v>
      </c>
      <c r="B2625" s="2" t="s">
        <v>3554</v>
      </c>
      <c r="C2625" s="2" t="s">
        <v>3552</v>
      </c>
      <c r="D2625" s="2" t="s">
        <v>10</v>
      </c>
      <c r="E2625" s="2" t="s">
        <v>11</v>
      </c>
      <c r="F2625" s="2">
        <v>2</v>
      </c>
      <c r="G2625" s="2" t="s">
        <v>17</v>
      </c>
    </row>
    <row r="2626" spans="1:7" x14ac:dyDescent="0.2">
      <c r="A2626" s="2" t="s">
        <v>3509</v>
      </c>
      <c r="B2626" s="2" t="s">
        <v>3555</v>
      </c>
      <c r="C2626" s="2" t="s">
        <v>3556</v>
      </c>
      <c r="D2626" s="2" t="s">
        <v>10</v>
      </c>
      <c r="E2626" s="2" t="s">
        <v>11</v>
      </c>
      <c r="F2626" s="2">
        <v>2</v>
      </c>
      <c r="G2626" s="2" t="s">
        <v>17</v>
      </c>
    </row>
    <row r="2627" spans="1:7" x14ac:dyDescent="0.2">
      <c r="A2627" s="2" t="s">
        <v>3509</v>
      </c>
      <c r="B2627" s="2" t="s">
        <v>3557</v>
      </c>
      <c r="C2627" s="2" t="s">
        <v>3556</v>
      </c>
      <c r="D2627" s="2" t="s">
        <v>10</v>
      </c>
      <c r="E2627" s="2" t="s">
        <v>11</v>
      </c>
      <c r="F2627" s="2">
        <v>2</v>
      </c>
      <c r="G2627" s="2" t="s">
        <v>17</v>
      </c>
    </row>
    <row r="2628" spans="1:7" x14ac:dyDescent="0.2">
      <c r="A2628" s="2" t="s">
        <v>3509</v>
      </c>
      <c r="B2628" s="2" t="s">
        <v>3558</v>
      </c>
      <c r="C2628" s="2" t="s">
        <v>3559</v>
      </c>
      <c r="D2628" s="2" t="s">
        <v>10</v>
      </c>
      <c r="E2628" s="2" t="s">
        <v>16</v>
      </c>
      <c r="F2628" s="2">
        <v>2</v>
      </c>
      <c r="G2628" s="2" t="s">
        <v>17</v>
      </c>
    </row>
    <row r="2629" spans="1:7" x14ac:dyDescent="0.2">
      <c r="A2629" s="2" t="s">
        <v>3509</v>
      </c>
      <c r="B2629" s="2" t="s">
        <v>3560</v>
      </c>
      <c r="C2629" s="2" t="s">
        <v>3559</v>
      </c>
      <c r="D2629" s="2" t="s">
        <v>10</v>
      </c>
      <c r="E2629" s="2" t="s">
        <v>16</v>
      </c>
      <c r="F2629" s="2">
        <v>2</v>
      </c>
      <c r="G2629" s="2" t="s">
        <v>17</v>
      </c>
    </row>
    <row r="2630" spans="1:7" x14ac:dyDescent="0.2">
      <c r="A2630" s="2" t="s">
        <v>3509</v>
      </c>
      <c r="B2630" s="2" t="s">
        <v>3561</v>
      </c>
      <c r="C2630" s="2" t="s">
        <v>3550</v>
      </c>
      <c r="D2630" s="2" t="s">
        <v>10</v>
      </c>
      <c r="E2630" s="2" t="s">
        <v>16</v>
      </c>
      <c r="F2630" s="2">
        <v>1</v>
      </c>
      <c r="G2630" s="2" t="s">
        <v>17</v>
      </c>
    </row>
    <row r="2631" spans="1:7" x14ac:dyDescent="0.2">
      <c r="A2631" s="2" t="s">
        <v>3509</v>
      </c>
      <c r="B2631" s="2">
        <v>335</v>
      </c>
      <c r="C2631" s="2" t="s">
        <v>3562</v>
      </c>
      <c r="D2631" s="2" t="s">
        <v>10</v>
      </c>
      <c r="E2631" s="2" t="s">
        <v>16</v>
      </c>
      <c r="F2631" s="2">
        <v>2</v>
      </c>
      <c r="G2631" s="2" t="s">
        <v>17</v>
      </c>
    </row>
    <row r="2632" spans="1:7" x14ac:dyDescent="0.2">
      <c r="A2632" s="2" t="s">
        <v>3509</v>
      </c>
      <c r="B2632" s="2" t="s">
        <v>3563</v>
      </c>
      <c r="C2632" s="2" t="s">
        <v>3564</v>
      </c>
      <c r="D2632" s="2" t="s">
        <v>10</v>
      </c>
      <c r="E2632" s="2" t="s">
        <v>16</v>
      </c>
      <c r="F2632" s="2">
        <v>2</v>
      </c>
      <c r="G2632" s="2" t="s">
        <v>17</v>
      </c>
    </row>
    <row r="2633" spans="1:7" x14ac:dyDescent="0.2">
      <c r="A2633" s="2" t="s">
        <v>3509</v>
      </c>
      <c r="B2633" s="2" t="s">
        <v>3565</v>
      </c>
      <c r="C2633" s="2" t="s">
        <v>1995</v>
      </c>
      <c r="D2633" s="2" t="s">
        <v>10</v>
      </c>
      <c r="E2633" s="2" t="s">
        <v>16</v>
      </c>
      <c r="F2633" s="2">
        <v>2</v>
      </c>
      <c r="G2633" s="2" t="s">
        <v>17</v>
      </c>
    </row>
    <row r="2634" spans="1:7" x14ac:dyDescent="0.2">
      <c r="A2634" s="2" t="s">
        <v>3509</v>
      </c>
      <c r="B2634" s="2">
        <v>340</v>
      </c>
      <c r="C2634" s="2" t="s">
        <v>1996</v>
      </c>
      <c r="D2634" s="2" t="s">
        <v>10</v>
      </c>
      <c r="E2634" s="2" t="s">
        <v>16</v>
      </c>
      <c r="F2634" s="2">
        <v>2</v>
      </c>
      <c r="G2634" s="2" t="s">
        <v>17</v>
      </c>
    </row>
    <row r="2635" spans="1:7" x14ac:dyDescent="0.2">
      <c r="A2635" s="2" t="s">
        <v>3509</v>
      </c>
      <c r="B2635" s="2">
        <v>401</v>
      </c>
      <c r="C2635" s="2" t="s">
        <v>1997</v>
      </c>
      <c r="D2635" s="2" t="s">
        <v>10</v>
      </c>
      <c r="E2635" s="2" t="s">
        <v>16</v>
      </c>
      <c r="F2635" s="2">
        <v>2</v>
      </c>
      <c r="G2635" s="2" t="s">
        <v>17</v>
      </c>
    </row>
    <row r="2636" spans="1:7" x14ac:dyDescent="0.2">
      <c r="A2636" s="2" t="s">
        <v>3509</v>
      </c>
      <c r="B2636" s="2">
        <v>402</v>
      </c>
      <c r="C2636" s="2" t="s">
        <v>1997</v>
      </c>
      <c r="D2636" s="2" t="s">
        <v>10</v>
      </c>
      <c r="E2636" s="2" t="s">
        <v>16</v>
      </c>
      <c r="F2636" s="2">
        <v>2</v>
      </c>
      <c r="G2636" s="2" t="s">
        <v>17</v>
      </c>
    </row>
    <row r="2637" spans="1:7" x14ac:dyDescent="0.2">
      <c r="A2637" s="2" t="s">
        <v>3509</v>
      </c>
      <c r="B2637" s="2" t="s">
        <v>3566</v>
      </c>
      <c r="C2637" s="2" t="s">
        <v>1349</v>
      </c>
      <c r="D2637" s="2" t="s">
        <v>10</v>
      </c>
      <c r="E2637" s="2" t="s">
        <v>52</v>
      </c>
      <c r="F2637" s="2">
        <v>2</v>
      </c>
      <c r="G2637" s="2" t="s">
        <v>17</v>
      </c>
    </row>
    <row r="2638" spans="1:7" x14ac:dyDescent="0.2">
      <c r="A2638" s="2" t="s">
        <v>3509</v>
      </c>
      <c r="B2638" s="2" t="s">
        <v>3567</v>
      </c>
      <c r="C2638" s="2" t="s">
        <v>1997</v>
      </c>
      <c r="D2638" s="2" t="s">
        <v>10</v>
      </c>
      <c r="E2638" s="2" t="s">
        <v>16</v>
      </c>
      <c r="F2638" s="2">
        <v>2</v>
      </c>
      <c r="G2638" s="2" t="s">
        <v>17</v>
      </c>
    </row>
    <row r="2639" spans="1:7" x14ac:dyDescent="0.2">
      <c r="A2639" s="2" t="s">
        <v>3509</v>
      </c>
      <c r="B2639" s="2" t="s">
        <v>3568</v>
      </c>
      <c r="C2639" s="2" t="s">
        <v>1997</v>
      </c>
      <c r="D2639" s="2" t="s">
        <v>10</v>
      </c>
      <c r="E2639" s="2" t="s">
        <v>16</v>
      </c>
      <c r="F2639" s="2">
        <v>2</v>
      </c>
      <c r="G2639" s="2" t="s">
        <v>17</v>
      </c>
    </row>
    <row r="2640" spans="1:7" x14ac:dyDescent="0.2">
      <c r="A2640" s="2" t="s">
        <v>3509</v>
      </c>
      <c r="B2640" s="2" t="s">
        <v>3569</v>
      </c>
      <c r="C2640" s="2" t="s">
        <v>3570</v>
      </c>
      <c r="D2640" s="2" t="s">
        <v>10</v>
      </c>
      <c r="E2640" s="2" t="s">
        <v>52</v>
      </c>
      <c r="F2640" s="2">
        <v>2</v>
      </c>
      <c r="G2640" s="2" t="s">
        <v>17</v>
      </c>
    </row>
    <row r="2641" spans="1:7" x14ac:dyDescent="0.2">
      <c r="A2641" s="2" t="s">
        <v>3509</v>
      </c>
      <c r="B2641" s="2" t="s">
        <v>3571</v>
      </c>
      <c r="C2641" s="2" t="s">
        <v>3572</v>
      </c>
      <c r="D2641" s="2" t="s">
        <v>10</v>
      </c>
      <c r="E2641" s="2" t="s">
        <v>16</v>
      </c>
      <c r="F2641" s="2">
        <v>2</v>
      </c>
      <c r="G2641" s="2" t="s">
        <v>17</v>
      </c>
    </row>
    <row r="2642" spans="1:7" x14ac:dyDescent="0.2">
      <c r="A2642" s="2" t="s">
        <v>3509</v>
      </c>
      <c r="B2642" s="2">
        <v>411</v>
      </c>
      <c r="C2642" s="2" t="s">
        <v>3573</v>
      </c>
      <c r="D2642" s="2" t="s">
        <v>10</v>
      </c>
      <c r="E2642" s="2" t="s">
        <v>16</v>
      </c>
      <c r="F2642" s="2">
        <v>2</v>
      </c>
      <c r="G2642" s="2" t="s">
        <v>17</v>
      </c>
    </row>
    <row r="2643" spans="1:7" x14ac:dyDescent="0.2">
      <c r="A2643" s="2" t="s">
        <v>3509</v>
      </c>
      <c r="B2643" s="2">
        <v>414</v>
      </c>
      <c r="C2643" s="2" t="s">
        <v>1998</v>
      </c>
      <c r="D2643" s="2" t="s">
        <v>10</v>
      </c>
      <c r="E2643" s="2" t="s">
        <v>16</v>
      </c>
      <c r="F2643" s="2">
        <v>2</v>
      </c>
      <c r="G2643" s="2" t="s">
        <v>17</v>
      </c>
    </row>
    <row r="2644" spans="1:7" x14ac:dyDescent="0.2">
      <c r="A2644" s="2" t="s">
        <v>3509</v>
      </c>
      <c r="B2644" s="2" t="s">
        <v>3574</v>
      </c>
      <c r="C2644" s="2" t="s">
        <v>1351</v>
      </c>
      <c r="D2644" s="2" t="s">
        <v>10</v>
      </c>
      <c r="E2644" s="2" t="s">
        <v>52</v>
      </c>
      <c r="F2644" s="2">
        <v>2</v>
      </c>
      <c r="G2644" s="2" t="s">
        <v>17</v>
      </c>
    </row>
    <row r="2645" spans="1:7" x14ac:dyDescent="0.2">
      <c r="A2645" s="2" t="s">
        <v>3509</v>
      </c>
      <c r="B2645" s="2" t="s">
        <v>3575</v>
      </c>
      <c r="C2645" s="2" t="s">
        <v>1998</v>
      </c>
      <c r="D2645" s="2" t="s">
        <v>10</v>
      </c>
      <c r="E2645" s="2" t="s">
        <v>16</v>
      </c>
      <c r="F2645" s="2">
        <v>2</v>
      </c>
      <c r="G2645" s="2" t="s">
        <v>17</v>
      </c>
    </row>
    <row r="2646" spans="1:7" x14ac:dyDescent="0.2">
      <c r="A2646" s="2" t="s">
        <v>3509</v>
      </c>
      <c r="B2646" s="2">
        <v>421</v>
      </c>
      <c r="C2646" s="2" t="s">
        <v>3576</v>
      </c>
      <c r="D2646" s="2" t="s">
        <v>10</v>
      </c>
      <c r="E2646" s="2" t="s">
        <v>16</v>
      </c>
      <c r="F2646" s="2">
        <v>2</v>
      </c>
      <c r="G2646" s="2" t="s">
        <v>17</v>
      </c>
    </row>
    <row r="2647" spans="1:7" x14ac:dyDescent="0.2">
      <c r="A2647" s="2" t="s">
        <v>3509</v>
      </c>
      <c r="B2647" s="2" t="s">
        <v>3577</v>
      </c>
      <c r="C2647" s="2" t="s">
        <v>122</v>
      </c>
      <c r="D2647" s="2" t="s">
        <v>10</v>
      </c>
      <c r="E2647" s="2" t="s">
        <v>52</v>
      </c>
      <c r="F2647" s="2">
        <v>2</v>
      </c>
      <c r="G2647" s="2" t="s">
        <v>17</v>
      </c>
    </row>
    <row r="2648" spans="1:7" x14ac:dyDescent="0.2">
      <c r="A2648" s="2" t="s">
        <v>3509</v>
      </c>
      <c r="B2648" s="2" t="s">
        <v>3578</v>
      </c>
      <c r="C2648" s="2" t="s">
        <v>3576</v>
      </c>
      <c r="D2648" s="2" t="s">
        <v>10</v>
      </c>
      <c r="E2648" s="2" t="s">
        <v>16</v>
      </c>
      <c r="F2648" s="2">
        <v>2</v>
      </c>
      <c r="G2648" s="2" t="s">
        <v>17</v>
      </c>
    </row>
    <row r="2649" spans="1:7" x14ac:dyDescent="0.2">
      <c r="A2649" s="2" t="s">
        <v>3509</v>
      </c>
      <c r="B2649" s="2" t="s">
        <v>3579</v>
      </c>
      <c r="C2649" s="2" t="s">
        <v>3576</v>
      </c>
      <c r="D2649" s="2" t="s">
        <v>10</v>
      </c>
      <c r="E2649" s="2" t="s">
        <v>16</v>
      </c>
      <c r="F2649" s="2">
        <v>2</v>
      </c>
      <c r="G2649" s="2" t="s">
        <v>17</v>
      </c>
    </row>
    <row r="2650" spans="1:7" x14ac:dyDescent="0.2">
      <c r="A2650" s="2" t="s">
        <v>3509</v>
      </c>
      <c r="B2650" s="2" t="s">
        <v>3580</v>
      </c>
      <c r="C2650" s="2" t="s">
        <v>3581</v>
      </c>
      <c r="D2650" s="2" t="s">
        <v>10</v>
      </c>
      <c r="E2650" s="2" t="s">
        <v>52</v>
      </c>
      <c r="F2650" s="2">
        <v>2</v>
      </c>
      <c r="G2650" s="2" t="s">
        <v>17</v>
      </c>
    </row>
    <row r="2651" spans="1:7" x14ac:dyDescent="0.2">
      <c r="A2651" s="2" t="s">
        <v>3509</v>
      </c>
      <c r="B2651" s="2" t="s">
        <v>3582</v>
      </c>
      <c r="C2651" s="2" t="s">
        <v>3581</v>
      </c>
      <c r="D2651" s="2" t="s">
        <v>10</v>
      </c>
      <c r="E2651" s="2" t="s">
        <v>52</v>
      </c>
      <c r="F2651" s="2">
        <v>2</v>
      </c>
      <c r="G2651" s="2" t="s">
        <v>17</v>
      </c>
    </row>
    <row r="2652" spans="1:7" x14ac:dyDescent="0.2">
      <c r="A2652" s="2" t="s">
        <v>3509</v>
      </c>
      <c r="B2652" s="2" t="s">
        <v>3583</v>
      </c>
      <c r="C2652" s="2" t="s">
        <v>3584</v>
      </c>
      <c r="D2652" s="2" t="s">
        <v>10</v>
      </c>
      <c r="E2652" s="2" t="s">
        <v>52</v>
      </c>
      <c r="F2652" s="2">
        <v>2</v>
      </c>
      <c r="G2652" s="2" t="s">
        <v>17</v>
      </c>
    </row>
    <row r="2653" spans="1:7" x14ac:dyDescent="0.2">
      <c r="A2653" s="2" t="s">
        <v>3509</v>
      </c>
      <c r="B2653" s="2" t="s">
        <v>3585</v>
      </c>
      <c r="C2653" s="2" t="s">
        <v>3584</v>
      </c>
      <c r="D2653" s="2" t="s">
        <v>10</v>
      </c>
      <c r="E2653" s="2" t="s">
        <v>52</v>
      </c>
      <c r="F2653" s="2">
        <v>2</v>
      </c>
      <c r="G2653" s="2" t="s">
        <v>17</v>
      </c>
    </row>
    <row r="2654" spans="1:7" x14ac:dyDescent="0.2">
      <c r="A2654" s="2" t="s">
        <v>3509</v>
      </c>
      <c r="B2654" s="2" t="s">
        <v>3586</v>
      </c>
      <c r="C2654" s="2" t="s">
        <v>3587</v>
      </c>
      <c r="D2654" s="2" t="s">
        <v>10</v>
      </c>
      <c r="E2654" s="2" t="s">
        <v>11</v>
      </c>
      <c r="F2654" s="2">
        <v>2</v>
      </c>
      <c r="G2654" s="2" t="s">
        <v>17</v>
      </c>
    </row>
    <row r="2655" spans="1:7" x14ac:dyDescent="0.2">
      <c r="A2655" s="2" t="s">
        <v>3509</v>
      </c>
      <c r="B2655" s="2" t="s">
        <v>3588</v>
      </c>
      <c r="C2655" s="2" t="s">
        <v>3587</v>
      </c>
      <c r="D2655" s="2" t="s">
        <v>10</v>
      </c>
      <c r="E2655" s="2" t="s">
        <v>11</v>
      </c>
      <c r="F2655" s="2">
        <v>2</v>
      </c>
      <c r="G2655" s="2" t="s">
        <v>17</v>
      </c>
    </row>
    <row r="2656" spans="1:7" x14ac:dyDescent="0.2">
      <c r="A2656" s="2" t="s">
        <v>3509</v>
      </c>
      <c r="B2656" s="2" t="s">
        <v>3589</v>
      </c>
      <c r="C2656" s="2" t="s">
        <v>3590</v>
      </c>
      <c r="D2656" s="2" t="s">
        <v>10</v>
      </c>
      <c r="E2656" s="2" t="s">
        <v>11</v>
      </c>
      <c r="F2656" s="2">
        <v>2</v>
      </c>
      <c r="G2656" s="2" t="s">
        <v>17</v>
      </c>
    </row>
    <row r="2657" spans="1:7" x14ac:dyDescent="0.2">
      <c r="A2657" s="2" t="s">
        <v>3509</v>
      </c>
      <c r="B2657" s="2" t="s">
        <v>3591</v>
      </c>
      <c r="C2657" s="2" t="s">
        <v>3592</v>
      </c>
      <c r="D2657" s="2" t="s">
        <v>10</v>
      </c>
      <c r="E2657" s="2" t="s">
        <v>11</v>
      </c>
      <c r="F2657" s="2">
        <v>2</v>
      </c>
      <c r="G2657" s="2" t="s">
        <v>17</v>
      </c>
    </row>
    <row r="2658" spans="1:7" x14ac:dyDescent="0.2">
      <c r="A2658" s="2" t="s">
        <v>3509</v>
      </c>
      <c r="B2658" s="2" t="s">
        <v>3593</v>
      </c>
      <c r="C2658" s="2" t="s">
        <v>3594</v>
      </c>
      <c r="D2658" s="2" t="s">
        <v>10</v>
      </c>
      <c r="E2658" s="2" t="s">
        <v>11</v>
      </c>
      <c r="F2658" s="2">
        <v>2</v>
      </c>
      <c r="G2658" s="2" t="s">
        <v>17</v>
      </c>
    </row>
    <row r="2659" spans="1:7" x14ac:dyDescent="0.2">
      <c r="A2659" s="2" t="s">
        <v>3509</v>
      </c>
      <c r="B2659" s="2" t="s">
        <v>3595</v>
      </c>
      <c r="C2659" s="2" t="s">
        <v>3594</v>
      </c>
      <c r="D2659" s="2" t="s">
        <v>10</v>
      </c>
      <c r="E2659" s="2" t="s">
        <v>11</v>
      </c>
      <c r="F2659" s="2">
        <v>2</v>
      </c>
      <c r="G2659" s="2" t="s">
        <v>17</v>
      </c>
    </row>
    <row r="2660" spans="1:7" x14ac:dyDescent="0.2">
      <c r="A2660" s="2" t="s">
        <v>3509</v>
      </c>
      <c r="B2660" s="2" t="s">
        <v>3596</v>
      </c>
      <c r="C2660" s="2" t="s">
        <v>3597</v>
      </c>
      <c r="D2660" s="2" t="s">
        <v>10</v>
      </c>
      <c r="E2660" s="2" t="s">
        <v>11</v>
      </c>
      <c r="F2660" s="2">
        <v>2</v>
      </c>
      <c r="G2660" s="2" t="s">
        <v>17</v>
      </c>
    </row>
    <row r="2661" spans="1:7" x14ac:dyDescent="0.2">
      <c r="A2661" s="2" t="s">
        <v>3509</v>
      </c>
      <c r="B2661" s="2" t="s">
        <v>3598</v>
      </c>
      <c r="C2661" s="2" t="s">
        <v>3599</v>
      </c>
      <c r="D2661" s="2" t="s">
        <v>10</v>
      </c>
      <c r="E2661" s="2" t="s">
        <v>11</v>
      </c>
      <c r="F2661" s="2">
        <v>2</v>
      </c>
      <c r="G2661" s="2" t="s">
        <v>17</v>
      </c>
    </row>
    <row r="2662" spans="1:7" x14ac:dyDescent="0.2">
      <c r="A2662" s="2" t="s">
        <v>3509</v>
      </c>
      <c r="B2662" s="2" t="s">
        <v>3600</v>
      </c>
      <c r="C2662" s="2" t="s">
        <v>3601</v>
      </c>
      <c r="D2662" s="2" t="s">
        <v>10</v>
      </c>
      <c r="E2662" s="2" t="s">
        <v>11</v>
      </c>
      <c r="F2662" s="2">
        <v>2</v>
      </c>
      <c r="G2662" s="2" t="s">
        <v>12</v>
      </c>
    </row>
    <row r="2663" spans="1:7" x14ac:dyDescent="0.2">
      <c r="A2663" s="2" t="s">
        <v>3509</v>
      </c>
      <c r="B2663" s="2" t="s">
        <v>3602</v>
      </c>
      <c r="C2663" s="2" t="s">
        <v>3603</v>
      </c>
      <c r="D2663" s="2" t="s">
        <v>10</v>
      </c>
      <c r="E2663" s="2" t="s">
        <v>11</v>
      </c>
      <c r="F2663" s="2">
        <v>2</v>
      </c>
      <c r="G2663" s="2" t="s">
        <v>17</v>
      </c>
    </row>
    <row r="2664" spans="1:7" x14ac:dyDescent="0.2">
      <c r="A2664" s="2" t="s">
        <v>3509</v>
      </c>
      <c r="B2664" s="2" t="s">
        <v>3604</v>
      </c>
      <c r="C2664" s="2" t="s">
        <v>3605</v>
      </c>
      <c r="D2664" s="2" t="s">
        <v>10</v>
      </c>
      <c r="E2664" s="2" t="s">
        <v>11</v>
      </c>
      <c r="F2664" s="2">
        <v>2</v>
      </c>
      <c r="G2664" s="2" t="s">
        <v>17</v>
      </c>
    </row>
    <row r="2665" spans="1:7" x14ac:dyDescent="0.2">
      <c r="A2665" s="2" t="s">
        <v>3509</v>
      </c>
      <c r="B2665" s="2" t="s">
        <v>3606</v>
      </c>
      <c r="C2665" s="2" t="s">
        <v>3607</v>
      </c>
      <c r="D2665" s="2" t="s">
        <v>10</v>
      </c>
      <c r="E2665" s="2" t="s">
        <v>11</v>
      </c>
      <c r="F2665" s="2">
        <v>2</v>
      </c>
      <c r="G2665" s="2" t="s">
        <v>17</v>
      </c>
    </row>
    <row r="2666" spans="1:7" x14ac:dyDescent="0.2">
      <c r="A2666" s="2" t="s">
        <v>3509</v>
      </c>
      <c r="B2666" s="2" t="s">
        <v>3608</v>
      </c>
      <c r="C2666" s="2" t="s">
        <v>3609</v>
      </c>
      <c r="D2666" s="2" t="s">
        <v>10</v>
      </c>
      <c r="E2666" s="2" t="s">
        <v>11</v>
      </c>
      <c r="F2666" s="2">
        <v>2</v>
      </c>
      <c r="G2666" s="2" t="s">
        <v>12</v>
      </c>
    </row>
    <row r="2667" spans="1:7" x14ac:dyDescent="0.2">
      <c r="A2667" s="2" t="s">
        <v>3509</v>
      </c>
      <c r="B2667" s="2" t="s">
        <v>3610</v>
      </c>
      <c r="C2667" s="2" t="s">
        <v>3609</v>
      </c>
      <c r="D2667" s="2" t="s">
        <v>10</v>
      </c>
      <c r="E2667" s="2" t="s">
        <v>11</v>
      </c>
      <c r="F2667" s="2">
        <v>2</v>
      </c>
      <c r="G2667" s="2" t="s">
        <v>12</v>
      </c>
    </row>
    <row r="2668" spans="1:7" x14ac:dyDescent="0.2">
      <c r="A2668" s="2" t="s">
        <v>3509</v>
      </c>
      <c r="B2668" s="2" t="s">
        <v>3611</v>
      </c>
      <c r="C2668" s="2" t="s">
        <v>3612</v>
      </c>
      <c r="D2668" s="2" t="s">
        <v>10</v>
      </c>
      <c r="E2668" s="2" t="s">
        <v>11</v>
      </c>
      <c r="F2668" s="2">
        <v>2</v>
      </c>
      <c r="G2668" s="2" t="s">
        <v>17</v>
      </c>
    </row>
    <row r="2669" spans="1:7" x14ac:dyDescent="0.2">
      <c r="A2669" s="2" t="s">
        <v>3509</v>
      </c>
      <c r="B2669" s="2" t="s">
        <v>3613</v>
      </c>
      <c r="C2669" s="2" t="s">
        <v>3612</v>
      </c>
      <c r="D2669" s="2" t="s">
        <v>10</v>
      </c>
      <c r="E2669" s="2" t="s">
        <v>11</v>
      </c>
      <c r="F2669" s="2">
        <v>2</v>
      </c>
      <c r="G2669" s="2" t="s">
        <v>17</v>
      </c>
    </row>
    <row r="2670" spans="1:7" x14ac:dyDescent="0.2">
      <c r="A2670" s="2" t="s">
        <v>3509</v>
      </c>
      <c r="B2670" s="2" t="s">
        <v>3614</v>
      </c>
      <c r="C2670" s="2" t="s">
        <v>3609</v>
      </c>
      <c r="D2670" s="2" t="s">
        <v>10</v>
      </c>
      <c r="E2670" s="2" t="s">
        <v>11</v>
      </c>
      <c r="F2670" s="2">
        <v>2</v>
      </c>
      <c r="G2670" s="2" t="s">
        <v>12</v>
      </c>
    </row>
    <row r="2671" spans="1:7" x14ac:dyDescent="0.2">
      <c r="A2671" s="2" t="s">
        <v>3509</v>
      </c>
      <c r="B2671" s="2" t="s">
        <v>3615</v>
      </c>
      <c r="C2671" s="2" t="s">
        <v>3616</v>
      </c>
      <c r="D2671" s="2" t="s">
        <v>10</v>
      </c>
      <c r="E2671" s="2" t="s">
        <v>11</v>
      </c>
      <c r="F2671" s="2">
        <v>2</v>
      </c>
      <c r="G2671" s="2" t="s">
        <v>12</v>
      </c>
    </row>
    <row r="2672" spans="1:7" x14ac:dyDescent="0.2">
      <c r="A2672" s="2" t="s">
        <v>3509</v>
      </c>
      <c r="B2672" s="2" t="s">
        <v>3617</v>
      </c>
      <c r="C2672" s="2" t="s">
        <v>3616</v>
      </c>
      <c r="D2672" s="2" t="s">
        <v>10</v>
      </c>
      <c r="E2672" s="2" t="s">
        <v>11</v>
      </c>
      <c r="F2672" s="2">
        <v>2</v>
      </c>
      <c r="G2672" s="2" t="s">
        <v>12</v>
      </c>
    </row>
    <row r="2673" spans="1:7" x14ac:dyDescent="0.2">
      <c r="A2673" s="2" t="s">
        <v>3509</v>
      </c>
      <c r="B2673" s="2" t="s">
        <v>3618</v>
      </c>
      <c r="C2673" s="2" t="s">
        <v>3619</v>
      </c>
      <c r="D2673" s="2" t="s">
        <v>10</v>
      </c>
      <c r="E2673" s="2" t="s">
        <v>11</v>
      </c>
      <c r="F2673" s="2">
        <v>2</v>
      </c>
      <c r="G2673" s="2" t="s">
        <v>12</v>
      </c>
    </row>
    <row r="2674" spans="1:7" x14ac:dyDescent="0.2">
      <c r="A2674" s="2" t="s">
        <v>3509</v>
      </c>
      <c r="B2674" s="2" t="s">
        <v>3620</v>
      </c>
      <c r="C2674" s="2" t="s">
        <v>3619</v>
      </c>
      <c r="D2674" s="2" t="s">
        <v>10</v>
      </c>
      <c r="E2674" s="2" t="s">
        <v>11</v>
      </c>
      <c r="F2674" s="2">
        <v>2</v>
      </c>
      <c r="G2674" s="2" t="s">
        <v>12</v>
      </c>
    </row>
    <row r="2675" spans="1:7" x14ac:dyDescent="0.2">
      <c r="A2675" s="2" t="s">
        <v>3509</v>
      </c>
      <c r="B2675" s="2" t="s">
        <v>3621</v>
      </c>
      <c r="C2675" s="2" t="s">
        <v>3619</v>
      </c>
      <c r="D2675" s="2" t="s">
        <v>10</v>
      </c>
      <c r="E2675" s="2" t="s">
        <v>11</v>
      </c>
      <c r="F2675" s="2">
        <v>2</v>
      </c>
      <c r="G2675" s="2" t="s">
        <v>12</v>
      </c>
    </row>
    <row r="2676" spans="1:7" x14ac:dyDescent="0.2">
      <c r="A2676" s="2" t="s">
        <v>3509</v>
      </c>
      <c r="B2676" s="2" t="s">
        <v>3622</v>
      </c>
      <c r="C2676" s="2" t="s">
        <v>3623</v>
      </c>
      <c r="D2676" s="2" t="s">
        <v>10</v>
      </c>
      <c r="E2676" s="2" t="s">
        <v>11</v>
      </c>
      <c r="F2676" s="2">
        <v>2</v>
      </c>
      <c r="G2676" s="2" t="s">
        <v>12</v>
      </c>
    </row>
    <row r="2677" spans="1:7" x14ac:dyDescent="0.2">
      <c r="A2677" s="2" t="s">
        <v>3509</v>
      </c>
      <c r="B2677" s="2" t="s">
        <v>3624</v>
      </c>
      <c r="C2677" s="2" t="s">
        <v>3625</v>
      </c>
      <c r="D2677" s="2" t="s">
        <v>10</v>
      </c>
      <c r="E2677" s="2" t="s">
        <v>11</v>
      </c>
      <c r="F2677" s="2">
        <v>2</v>
      </c>
      <c r="G2677" s="2" t="s">
        <v>12</v>
      </c>
    </row>
    <row r="2678" spans="1:7" x14ac:dyDescent="0.2">
      <c r="A2678" s="2" t="s">
        <v>3509</v>
      </c>
      <c r="B2678" s="2" t="s">
        <v>3626</v>
      </c>
      <c r="C2678" s="2" t="s">
        <v>3556</v>
      </c>
      <c r="D2678" s="2" t="s">
        <v>10</v>
      </c>
      <c r="E2678" s="2" t="s">
        <v>11</v>
      </c>
      <c r="F2678" s="2">
        <v>2</v>
      </c>
      <c r="G2678" s="2" t="s">
        <v>17</v>
      </c>
    </row>
    <row r="2679" spans="1:7" x14ac:dyDescent="0.2">
      <c r="A2679" s="2" t="s">
        <v>3509</v>
      </c>
      <c r="B2679" s="2" t="s">
        <v>3627</v>
      </c>
      <c r="C2679" s="2" t="s">
        <v>1983</v>
      </c>
      <c r="D2679" s="2" t="s">
        <v>10</v>
      </c>
      <c r="E2679" s="2" t="s">
        <v>16</v>
      </c>
      <c r="F2679" s="2">
        <v>1</v>
      </c>
      <c r="G2679" s="2" t="s">
        <v>17</v>
      </c>
    </row>
    <row r="2680" spans="1:7" x14ac:dyDescent="0.2">
      <c r="A2680" s="2" t="s">
        <v>3509</v>
      </c>
      <c r="B2680" s="2" t="s">
        <v>3628</v>
      </c>
      <c r="C2680" s="2" t="s">
        <v>1984</v>
      </c>
      <c r="D2680" s="2" t="s">
        <v>10</v>
      </c>
      <c r="E2680" s="2" t="s">
        <v>16</v>
      </c>
      <c r="F2680" s="2">
        <v>1</v>
      </c>
      <c r="G2680" s="2" t="s">
        <v>17</v>
      </c>
    </row>
    <row r="2681" spans="1:7" x14ac:dyDescent="0.2">
      <c r="A2681" s="2" t="s">
        <v>3509</v>
      </c>
      <c r="B2681" s="2" t="s">
        <v>3629</v>
      </c>
      <c r="C2681" s="2" t="s">
        <v>1935</v>
      </c>
      <c r="D2681" s="2" t="s">
        <v>10</v>
      </c>
      <c r="E2681" s="2" t="s">
        <v>16</v>
      </c>
      <c r="F2681" s="2">
        <v>1</v>
      </c>
      <c r="G2681" s="2" t="s">
        <v>17</v>
      </c>
    </row>
    <row r="2682" spans="1:7" x14ac:dyDescent="0.2">
      <c r="A2682" s="2" t="s">
        <v>3509</v>
      </c>
      <c r="B2682" s="2" t="s">
        <v>3630</v>
      </c>
      <c r="C2682" s="2" t="s">
        <v>1935</v>
      </c>
      <c r="D2682" s="2" t="s">
        <v>10</v>
      </c>
      <c r="E2682" s="2" t="s">
        <v>16</v>
      </c>
      <c r="F2682" s="2">
        <v>1</v>
      </c>
      <c r="G2682" s="2" t="s">
        <v>17</v>
      </c>
    </row>
    <row r="2683" spans="1:7" x14ac:dyDescent="0.2">
      <c r="A2683" s="2" t="s">
        <v>3509</v>
      </c>
      <c r="B2683" s="2" t="s">
        <v>3631</v>
      </c>
      <c r="C2683" s="2" t="s">
        <v>1991</v>
      </c>
      <c r="D2683" s="2" t="s">
        <v>10</v>
      </c>
      <c r="E2683" s="2" t="s">
        <v>16</v>
      </c>
      <c r="F2683" s="2">
        <v>1</v>
      </c>
      <c r="G2683" s="2" t="s">
        <v>17</v>
      </c>
    </row>
    <row r="2684" spans="1:7" x14ac:dyDescent="0.2">
      <c r="A2684" s="2" t="s">
        <v>3509</v>
      </c>
      <c r="B2684" s="2" t="s">
        <v>3632</v>
      </c>
      <c r="C2684" s="2" t="s">
        <v>1991</v>
      </c>
      <c r="D2684" s="2" t="s">
        <v>10</v>
      </c>
      <c r="E2684" s="2" t="s">
        <v>16</v>
      </c>
      <c r="F2684" s="2">
        <v>1</v>
      </c>
      <c r="G2684" s="2" t="s">
        <v>17</v>
      </c>
    </row>
    <row r="2685" spans="1:7" x14ac:dyDescent="0.2">
      <c r="A2685" s="2" t="s">
        <v>3509</v>
      </c>
      <c r="B2685" s="2" t="s">
        <v>3633</v>
      </c>
      <c r="C2685" s="2" t="s">
        <v>1983</v>
      </c>
      <c r="D2685" s="2" t="s">
        <v>10</v>
      </c>
      <c r="E2685" s="2" t="s">
        <v>16</v>
      </c>
      <c r="F2685" s="2">
        <v>1</v>
      </c>
      <c r="G2685" s="2" t="s">
        <v>17</v>
      </c>
    </row>
    <row r="2686" spans="1:7" x14ac:dyDescent="0.2">
      <c r="A2686" s="2" t="s">
        <v>3509</v>
      </c>
      <c r="B2686" s="2" t="s">
        <v>3634</v>
      </c>
      <c r="C2686" s="2" t="s">
        <v>1984</v>
      </c>
      <c r="D2686" s="2" t="s">
        <v>10</v>
      </c>
      <c r="E2686" s="2" t="s">
        <v>16</v>
      </c>
      <c r="F2686" s="2">
        <v>1</v>
      </c>
      <c r="G2686" s="2" t="s">
        <v>17</v>
      </c>
    </row>
    <row r="2687" spans="1:7" x14ac:dyDescent="0.2">
      <c r="A2687" s="2" t="s">
        <v>3509</v>
      </c>
      <c r="B2687" s="2" t="s">
        <v>3635</v>
      </c>
      <c r="C2687" s="2" t="s">
        <v>1935</v>
      </c>
      <c r="D2687" s="2" t="s">
        <v>10</v>
      </c>
      <c r="E2687" s="2" t="s">
        <v>16</v>
      </c>
      <c r="F2687" s="2">
        <v>1</v>
      </c>
      <c r="G2687" s="2" t="s">
        <v>17</v>
      </c>
    </row>
    <row r="2688" spans="1:7" x14ac:dyDescent="0.2">
      <c r="A2688" s="2" t="s">
        <v>3509</v>
      </c>
      <c r="B2688" s="2" t="s">
        <v>3636</v>
      </c>
      <c r="C2688" s="2" t="s">
        <v>1991</v>
      </c>
      <c r="D2688" s="2" t="s">
        <v>10</v>
      </c>
      <c r="E2688" s="2" t="s">
        <v>16</v>
      </c>
      <c r="F2688" s="2">
        <v>1</v>
      </c>
      <c r="G2688" s="2" t="s">
        <v>17</v>
      </c>
    </row>
    <row r="2689" spans="1:7" x14ac:dyDescent="0.2">
      <c r="A2689" s="2" t="s">
        <v>3509</v>
      </c>
      <c r="B2689" s="2" t="s">
        <v>3637</v>
      </c>
      <c r="C2689" s="2" t="s">
        <v>1991</v>
      </c>
      <c r="D2689" s="2" t="s">
        <v>10</v>
      </c>
      <c r="E2689" s="2" t="s">
        <v>16</v>
      </c>
      <c r="F2689" s="2">
        <v>1</v>
      </c>
      <c r="G2689" s="2" t="s">
        <v>17</v>
      </c>
    </row>
    <row r="2690" spans="1:7" x14ac:dyDescent="0.2">
      <c r="A2690" s="2" t="s">
        <v>3509</v>
      </c>
      <c r="B2690" s="2" t="s">
        <v>3638</v>
      </c>
      <c r="C2690" s="2" t="s">
        <v>1991</v>
      </c>
      <c r="D2690" s="2" t="s">
        <v>10</v>
      </c>
      <c r="E2690" s="2" t="s">
        <v>16</v>
      </c>
      <c r="F2690" s="2">
        <v>1</v>
      </c>
      <c r="G2690" s="2" t="s">
        <v>17</v>
      </c>
    </row>
    <row r="2691" spans="1:7" x14ac:dyDescent="0.2">
      <c r="A2691" s="2" t="s">
        <v>3509</v>
      </c>
      <c r="B2691" s="2" t="s">
        <v>3639</v>
      </c>
      <c r="C2691" s="2" t="s">
        <v>1991</v>
      </c>
      <c r="D2691" s="2" t="s">
        <v>10</v>
      </c>
      <c r="E2691" s="2" t="s">
        <v>16</v>
      </c>
      <c r="F2691" s="2">
        <v>1</v>
      </c>
      <c r="G2691" s="2" t="s">
        <v>17</v>
      </c>
    </row>
    <row r="2692" spans="1:7" x14ac:dyDescent="0.2">
      <c r="A2692" s="2" t="s">
        <v>3509</v>
      </c>
      <c r="B2692" s="2" t="s">
        <v>3640</v>
      </c>
      <c r="C2692" s="2" t="s">
        <v>3641</v>
      </c>
      <c r="D2692" s="2" t="s">
        <v>10</v>
      </c>
      <c r="E2692" s="2" t="s">
        <v>16</v>
      </c>
      <c r="F2692" s="2">
        <v>1</v>
      </c>
      <c r="G2692" s="2" t="s">
        <v>17</v>
      </c>
    </row>
    <row r="2693" spans="1:7" x14ac:dyDescent="0.2">
      <c r="A2693" s="2" t="s">
        <v>3509</v>
      </c>
      <c r="B2693" s="2" t="s">
        <v>3642</v>
      </c>
      <c r="C2693" s="2" t="s">
        <v>3643</v>
      </c>
      <c r="D2693" s="2" t="s">
        <v>10</v>
      </c>
      <c r="E2693" s="2" t="s">
        <v>16</v>
      </c>
      <c r="F2693" s="2">
        <v>2</v>
      </c>
      <c r="G2693" s="2" t="s">
        <v>17</v>
      </c>
    </row>
    <row r="2694" spans="1:7" x14ac:dyDescent="0.2">
      <c r="A2694" s="2" t="s">
        <v>3509</v>
      </c>
      <c r="B2694" s="2" t="s">
        <v>3644</v>
      </c>
      <c r="C2694" s="2" t="s">
        <v>3643</v>
      </c>
      <c r="D2694" s="2" t="s">
        <v>10</v>
      </c>
      <c r="E2694" s="2" t="s">
        <v>16</v>
      </c>
      <c r="F2694" s="2">
        <v>2</v>
      </c>
      <c r="G2694" s="2" t="s">
        <v>17</v>
      </c>
    </row>
    <row r="2695" spans="1:7" x14ac:dyDescent="0.2">
      <c r="A2695" s="2" t="s">
        <v>3509</v>
      </c>
      <c r="B2695" s="2" t="s">
        <v>3645</v>
      </c>
      <c r="C2695" s="2" t="s">
        <v>3646</v>
      </c>
      <c r="D2695" s="2" t="s">
        <v>10</v>
      </c>
      <c r="E2695" s="2" t="s">
        <v>16</v>
      </c>
      <c r="F2695" s="2">
        <v>1</v>
      </c>
      <c r="G2695" s="2" t="s">
        <v>17</v>
      </c>
    </row>
    <row r="2696" spans="1:7" x14ac:dyDescent="0.2">
      <c r="A2696" s="2" t="s">
        <v>3509</v>
      </c>
      <c r="B2696" s="2" t="s">
        <v>3647</v>
      </c>
      <c r="C2696" s="2" t="s">
        <v>3550</v>
      </c>
      <c r="D2696" s="2" t="s">
        <v>10</v>
      </c>
      <c r="E2696" s="2" t="s">
        <v>16</v>
      </c>
      <c r="F2696" s="2">
        <v>1</v>
      </c>
      <c r="G2696" s="2" t="s">
        <v>17</v>
      </c>
    </row>
    <row r="2697" spans="1:7" x14ac:dyDescent="0.2">
      <c r="A2697" s="2" t="s">
        <v>3509</v>
      </c>
      <c r="B2697" s="2" t="s">
        <v>3648</v>
      </c>
      <c r="C2697" s="2" t="s">
        <v>3643</v>
      </c>
      <c r="D2697" s="2" t="s">
        <v>10</v>
      </c>
      <c r="E2697" s="2" t="s">
        <v>16</v>
      </c>
      <c r="F2697" s="2">
        <v>2</v>
      </c>
      <c r="G2697" s="2" t="s">
        <v>17</v>
      </c>
    </row>
    <row r="2698" spans="1:7" x14ac:dyDescent="0.2">
      <c r="A2698" s="2" t="s">
        <v>3509</v>
      </c>
      <c r="B2698" s="2" t="s">
        <v>3649</v>
      </c>
      <c r="C2698" s="2" t="s">
        <v>1997</v>
      </c>
      <c r="D2698" s="2" t="s">
        <v>10</v>
      </c>
      <c r="E2698" s="2" t="s">
        <v>16</v>
      </c>
      <c r="F2698" s="2">
        <v>2</v>
      </c>
      <c r="G2698" s="2" t="s">
        <v>17</v>
      </c>
    </row>
    <row r="2699" spans="1:7" x14ac:dyDescent="0.2">
      <c r="A2699" s="2" t="s">
        <v>3509</v>
      </c>
      <c r="B2699" s="2" t="s">
        <v>3650</v>
      </c>
      <c r="C2699" s="2" t="s">
        <v>3641</v>
      </c>
      <c r="D2699" s="2" t="s">
        <v>10</v>
      </c>
      <c r="E2699" s="2" t="s">
        <v>16</v>
      </c>
      <c r="F2699" s="2">
        <v>1</v>
      </c>
      <c r="G2699" s="2" t="s">
        <v>17</v>
      </c>
    </row>
    <row r="2700" spans="1:7" x14ac:dyDescent="0.2">
      <c r="A2700" s="2" t="s">
        <v>3509</v>
      </c>
      <c r="B2700" s="2" t="s">
        <v>3651</v>
      </c>
      <c r="C2700" s="2" t="s">
        <v>3641</v>
      </c>
      <c r="D2700" s="2" t="s">
        <v>10</v>
      </c>
      <c r="E2700" s="2" t="s">
        <v>16</v>
      </c>
      <c r="F2700" s="2">
        <v>1</v>
      </c>
      <c r="G2700" s="2" t="s">
        <v>17</v>
      </c>
    </row>
    <row r="2701" spans="1:7" x14ac:dyDescent="0.2">
      <c r="A2701" s="2" t="s">
        <v>3509</v>
      </c>
      <c r="B2701" s="2" t="s">
        <v>3652</v>
      </c>
      <c r="C2701" s="2" t="s">
        <v>3641</v>
      </c>
      <c r="D2701" s="2" t="s">
        <v>10</v>
      </c>
      <c r="E2701" s="2" t="s">
        <v>16</v>
      </c>
      <c r="F2701" s="2">
        <v>1</v>
      </c>
      <c r="G2701" s="2" t="s">
        <v>17</v>
      </c>
    </row>
    <row r="2702" spans="1:7" x14ac:dyDescent="0.2">
      <c r="A2702" s="2" t="s">
        <v>3509</v>
      </c>
      <c r="B2702" s="2" t="s">
        <v>3653</v>
      </c>
      <c r="C2702" s="2" t="s">
        <v>3544</v>
      </c>
      <c r="D2702" s="2" t="s">
        <v>10</v>
      </c>
      <c r="E2702" s="2" t="s">
        <v>52</v>
      </c>
      <c r="F2702" s="2">
        <v>1</v>
      </c>
      <c r="G2702" s="2" t="s">
        <v>17</v>
      </c>
    </row>
    <row r="2703" spans="1:7" x14ac:dyDescent="0.2">
      <c r="A2703" s="2" t="s">
        <v>3509</v>
      </c>
      <c r="B2703" s="2" t="s">
        <v>3654</v>
      </c>
      <c r="C2703" s="2" t="s">
        <v>3641</v>
      </c>
      <c r="D2703" s="2" t="s">
        <v>10</v>
      </c>
      <c r="E2703" s="2" t="s">
        <v>16</v>
      </c>
      <c r="F2703" s="2">
        <v>1</v>
      </c>
      <c r="G2703" s="2" t="s">
        <v>17</v>
      </c>
    </row>
    <row r="2704" spans="1:7" x14ac:dyDescent="0.2">
      <c r="A2704" s="2" t="s">
        <v>3509</v>
      </c>
      <c r="B2704" s="2" t="s">
        <v>3655</v>
      </c>
      <c r="C2704" s="2" t="s">
        <v>3641</v>
      </c>
      <c r="D2704" s="2" t="s">
        <v>10</v>
      </c>
      <c r="E2704" s="2" t="s">
        <v>16</v>
      </c>
      <c r="F2704" s="2">
        <v>1</v>
      </c>
      <c r="G2704" s="2" t="s">
        <v>17</v>
      </c>
    </row>
    <row r="2705" spans="1:7" x14ac:dyDescent="0.2">
      <c r="A2705" s="2" t="s">
        <v>3509</v>
      </c>
      <c r="B2705" s="2" t="s">
        <v>3656</v>
      </c>
      <c r="C2705" s="2" t="s">
        <v>3544</v>
      </c>
      <c r="D2705" s="2" t="s">
        <v>10</v>
      </c>
      <c r="E2705" s="2" t="s">
        <v>52</v>
      </c>
      <c r="F2705" s="2">
        <v>1</v>
      </c>
      <c r="G2705" s="2" t="s">
        <v>17</v>
      </c>
    </row>
    <row r="2706" spans="1:7" x14ac:dyDescent="0.2">
      <c r="A2706" s="2" t="s">
        <v>3509</v>
      </c>
      <c r="B2706" s="2" t="s">
        <v>3657</v>
      </c>
      <c r="C2706" s="2" t="s">
        <v>3658</v>
      </c>
      <c r="D2706" s="2" t="s">
        <v>10</v>
      </c>
      <c r="E2706" s="2" t="s">
        <v>52</v>
      </c>
      <c r="F2706" s="2">
        <v>2</v>
      </c>
      <c r="G2706" s="2" t="s">
        <v>17</v>
      </c>
    </row>
    <row r="2707" spans="1:7" x14ac:dyDescent="0.2">
      <c r="A2707" s="2" t="s">
        <v>3509</v>
      </c>
      <c r="B2707" s="2" t="s">
        <v>3659</v>
      </c>
      <c r="C2707" s="2" t="s">
        <v>3519</v>
      </c>
      <c r="D2707" s="2" t="s">
        <v>10</v>
      </c>
      <c r="E2707" s="2" t="s">
        <v>16</v>
      </c>
      <c r="F2707" s="2">
        <v>1</v>
      </c>
      <c r="G2707" s="2" t="s">
        <v>17</v>
      </c>
    </row>
    <row r="2708" spans="1:7" x14ac:dyDescent="0.2">
      <c r="A2708" s="2" t="s">
        <v>3509</v>
      </c>
      <c r="B2708" s="2" t="s">
        <v>3660</v>
      </c>
      <c r="C2708" s="2" t="s">
        <v>1989</v>
      </c>
      <c r="D2708" s="2" t="s">
        <v>10</v>
      </c>
      <c r="E2708" s="2" t="s">
        <v>16</v>
      </c>
      <c r="F2708" s="2">
        <v>1</v>
      </c>
      <c r="G2708" s="2" t="s">
        <v>17</v>
      </c>
    </row>
    <row r="2709" spans="1:7" x14ac:dyDescent="0.2">
      <c r="A2709" s="2" t="s">
        <v>3509</v>
      </c>
      <c r="B2709" s="2" t="s">
        <v>3661</v>
      </c>
      <c r="C2709" s="2" t="s">
        <v>3544</v>
      </c>
      <c r="D2709" s="2" t="s">
        <v>10</v>
      </c>
      <c r="E2709" s="2" t="s">
        <v>52</v>
      </c>
      <c r="F2709" s="2">
        <v>1</v>
      </c>
      <c r="G2709" s="2" t="s">
        <v>17</v>
      </c>
    </row>
    <row r="2710" spans="1:7" x14ac:dyDescent="0.2">
      <c r="A2710" s="2" t="s">
        <v>3509</v>
      </c>
      <c r="B2710" s="2" t="s">
        <v>3662</v>
      </c>
      <c r="C2710" s="2" t="s">
        <v>1993</v>
      </c>
      <c r="D2710" s="2" t="s">
        <v>10</v>
      </c>
      <c r="E2710" s="2" t="s">
        <v>16</v>
      </c>
      <c r="F2710" s="2">
        <v>1</v>
      </c>
      <c r="G2710" s="2" t="s">
        <v>17</v>
      </c>
    </row>
    <row r="2711" spans="1:7" x14ac:dyDescent="0.2">
      <c r="A2711" s="2" t="s">
        <v>3509</v>
      </c>
      <c r="B2711" s="2" t="s">
        <v>3663</v>
      </c>
      <c r="C2711" s="2" t="s">
        <v>1998</v>
      </c>
      <c r="D2711" s="2" t="s">
        <v>10</v>
      </c>
      <c r="E2711" s="2" t="s">
        <v>16</v>
      </c>
      <c r="F2711" s="2">
        <v>2</v>
      </c>
      <c r="G2711" s="2" t="s">
        <v>17</v>
      </c>
    </row>
    <row r="2712" spans="1:7" x14ac:dyDescent="0.2">
      <c r="A2712" s="2" t="s">
        <v>3509</v>
      </c>
      <c r="B2712" s="2" t="s">
        <v>3664</v>
      </c>
      <c r="C2712" s="2" t="s">
        <v>3587</v>
      </c>
      <c r="D2712" s="2" t="s">
        <v>10</v>
      </c>
      <c r="E2712" s="2" t="s">
        <v>11</v>
      </c>
      <c r="F2712" s="2">
        <v>2</v>
      </c>
      <c r="G2712" s="2" t="s">
        <v>17</v>
      </c>
    </row>
    <row r="2713" spans="1:7" x14ac:dyDescent="0.2">
      <c r="A2713" s="2" t="s">
        <v>3509</v>
      </c>
      <c r="B2713" s="2" t="s">
        <v>3665</v>
      </c>
      <c r="C2713" s="2" t="s">
        <v>3587</v>
      </c>
      <c r="D2713" s="2" t="s">
        <v>10</v>
      </c>
      <c r="E2713" s="2" t="s">
        <v>11</v>
      </c>
      <c r="F2713" s="2">
        <v>2</v>
      </c>
      <c r="G2713" s="2" t="s">
        <v>17</v>
      </c>
    </row>
    <row r="2714" spans="1:7" x14ac:dyDescent="0.2">
      <c r="A2714" s="2" t="s">
        <v>3509</v>
      </c>
      <c r="B2714" s="2" t="s">
        <v>3666</v>
      </c>
      <c r="C2714" s="2" t="s">
        <v>3590</v>
      </c>
      <c r="D2714" s="2" t="s">
        <v>10</v>
      </c>
      <c r="E2714" s="2" t="s">
        <v>11</v>
      </c>
      <c r="F2714" s="2">
        <v>2</v>
      </c>
      <c r="G2714" s="2" t="s">
        <v>17</v>
      </c>
    </row>
    <row r="2715" spans="1:7" x14ac:dyDescent="0.2">
      <c r="A2715" s="2" t="s">
        <v>3509</v>
      </c>
      <c r="B2715" s="2" t="s">
        <v>3667</v>
      </c>
      <c r="C2715" s="2" t="s">
        <v>3605</v>
      </c>
      <c r="D2715" s="2" t="s">
        <v>10</v>
      </c>
      <c r="E2715" s="2" t="s">
        <v>11</v>
      </c>
      <c r="F2715" s="2">
        <v>2</v>
      </c>
      <c r="G2715" s="2" t="s">
        <v>17</v>
      </c>
    </row>
    <row r="2716" spans="1:7" x14ac:dyDescent="0.2">
      <c r="A2716" s="2" t="s">
        <v>3509</v>
      </c>
      <c r="B2716" s="2" t="s">
        <v>3668</v>
      </c>
      <c r="C2716" s="2" t="s">
        <v>3607</v>
      </c>
      <c r="D2716" s="2" t="s">
        <v>10</v>
      </c>
      <c r="E2716" s="2" t="s">
        <v>11</v>
      </c>
      <c r="F2716" s="2">
        <v>2</v>
      </c>
      <c r="G2716" s="2" t="s">
        <v>17</v>
      </c>
    </row>
    <row r="2717" spans="1:7" x14ac:dyDescent="0.2">
      <c r="A2717" s="2" t="s">
        <v>3509</v>
      </c>
      <c r="B2717" s="2" t="s">
        <v>3669</v>
      </c>
      <c r="C2717" s="2" t="s">
        <v>3619</v>
      </c>
      <c r="D2717" s="2" t="s">
        <v>10</v>
      </c>
      <c r="E2717" s="2" t="s">
        <v>11</v>
      </c>
      <c r="F2717" s="2">
        <v>2</v>
      </c>
      <c r="G2717" s="2" t="s">
        <v>12</v>
      </c>
    </row>
    <row r="2718" spans="1:7" x14ac:dyDescent="0.2">
      <c r="A2718" s="2" t="s">
        <v>3509</v>
      </c>
      <c r="B2718" s="2" t="s">
        <v>3670</v>
      </c>
      <c r="C2718" s="2" t="s">
        <v>3609</v>
      </c>
      <c r="D2718" s="2" t="s">
        <v>10</v>
      </c>
      <c r="E2718" s="2" t="s">
        <v>11</v>
      </c>
      <c r="F2718" s="2">
        <v>2</v>
      </c>
      <c r="G2718" s="2" t="s">
        <v>12</v>
      </c>
    </row>
    <row r="2719" spans="1:7" x14ac:dyDescent="0.2">
      <c r="A2719" s="2" t="s">
        <v>3509</v>
      </c>
      <c r="B2719" s="2" t="s">
        <v>3671</v>
      </c>
      <c r="C2719" s="2" t="s">
        <v>3619</v>
      </c>
      <c r="D2719" s="2" t="s">
        <v>10</v>
      </c>
      <c r="E2719" s="2" t="s">
        <v>11</v>
      </c>
      <c r="F2719" s="2">
        <v>2</v>
      </c>
      <c r="G2719" s="2" t="s">
        <v>12</v>
      </c>
    </row>
    <row r="2720" spans="1:7" x14ac:dyDescent="0.2">
      <c r="A2720" s="2" t="s">
        <v>3509</v>
      </c>
      <c r="B2720" s="2" t="s">
        <v>3672</v>
      </c>
      <c r="C2720" s="2" t="s">
        <v>3619</v>
      </c>
      <c r="D2720" s="2" t="s">
        <v>10</v>
      </c>
      <c r="E2720" s="2" t="s">
        <v>11</v>
      </c>
      <c r="F2720" s="2">
        <v>2</v>
      </c>
      <c r="G2720" s="2" t="s">
        <v>12</v>
      </c>
    </row>
    <row r="2721" spans="1:7" x14ac:dyDescent="0.2">
      <c r="A2721" s="2" t="s">
        <v>3509</v>
      </c>
      <c r="B2721" s="2" t="s">
        <v>3673</v>
      </c>
      <c r="C2721" s="2" t="s">
        <v>3625</v>
      </c>
      <c r="D2721" s="2" t="s">
        <v>10</v>
      </c>
      <c r="E2721" s="2" t="s">
        <v>11</v>
      </c>
      <c r="F2721" s="2">
        <v>2</v>
      </c>
      <c r="G2721" s="2" t="s">
        <v>12</v>
      </c>
    </row>
    <row r="2722" spans="1:7" x14ac:dyDescent="0.2">
      <c r="A2722" s="2" t="s">
        <v>3509</v>
      </c>
      <c r="B2722" s="2" t="s">
        <v>3674</v>
      </c>
      <c r="C2722" s="2" t="s">
        <v>3594</v>
      </c>
      <c r="D2722" s="2" t="s">
        <v>10</v>
      </c>
      <c r="E2722" s="2" t="s">
        <v>11</v>
      </c>
      <c r="F2722" s="2">
        <v>2</v>
      </c>
      <c r="G2722" s="2" t="s">
        <v>17</v>
      </c>
    </row>
    <row r="2723" spans="1:7" x14ac:dyDescent="0.2">
      <c r="A2723" s="2" t="s">
        <v>3509</v>
      </c>
      <c r="B2723" s="2" t="s">
        <v>3675</v>
      </c>
      <c r="C2723" s="2" t="s">
        <v>3597</v>
      </c>
      <c r="D2723" s="2" t="s">
        <v>10</v>
      </c>
      <c r="E2723" s="2" t="s">
        <v>11</v>
      </c>
      <c r="F2723" s="2">
        <v>2</v>
      </c>
      <c r="G2723" s="2" t="s">
        <v>17</v>
      </c>
    </row>
    <row r="2724" spans="1:7" x14ac:dyDescent="0.2">
      <c r="A2724" s="2" t="s">
        <v>3509</v>
      </c>
      <c r="B2724" s="2" t="s">
        <v>3676</v>
      </c>
      <c r="C2724" s="2" t="s">
        <v>3599</v>
      </c>
      <c r="D2724" s="2" t="s">
        <v>10</v>
      </c>
      <c r="E2724" s="2" t="s">
        <v>11</v>
      </c>
      <c r="F2724" s="2">
        <v>2</v>
      </c>
      <c r="G2724" s="2" t="s">
        <v>17</v>
      </c>
    </row>
    <row r="2725" spans="1:7" x14ac:dyDescent="0.2">
      <c r="A2725" s="2" t="s">
        <v>3509</v>
      </c>
      <c r="B2725" s="2" t="s">
        <v>3677</v>
      </c>
      <c r="C2725" s="2" t="s">
        <v>3601</v>
      </c>
      <c r="D2725" s="2" t="s">
        <v>10</v>
      </c>
      <c r="E2725" s="2" t="s">
        <v>11</v>
      </c>
      <c r="F2725" s="2">
        <v>2</v>
      </c>
      <c r="G2725" s="2" t="s">
        <v>12</v>
      </c>
    </row>
    <row r="2726" spans="1:7" x14ac:dyDescent="0.2">
      <c r="A2726" s="2" t="s">
        <v>3509</v>
      </c>
      <c r="B2726" s="2" t="s">
        <v>3678</v>
      </c>
      <c r="C2726" s="2" t="s">
        <v>3609</v>
      </c>
      <c r="D2726" s="2" t="s">
        <v>10</v>
      </c>
      <c r="E2726" s="2" t="s">
        <v>11</v>
      </c>
      <c r="F2726" s="2">
        <v>2</v>
      </c>
      <c r="G2726" s="2" t="s">
        <v>12</v>
      </c>
    </row>
    <row r="2727" spans="1:7" x14ac:dyDescent="0.2">
      <c r="A2727" s="2" t="s">
        <v>3509</v>
      </c>
      <c r="B2727" s="2" t="s">
        <v>3679</v>
      </c>
      <c r="C2727" s="2" t="s">
        <v>3616</v>
      </c>
      <c r="D2727" s="2" t="s">
        <v>10</v>
      </c>
      <c r="E2727" s="2" t="s">
        <v>11</v>
      </c>
      <c r="F2727" s="2">
        <v>2</v>
      </c>
      <c r="G2727" s="2" t="s">
        <v>12</v>
      </c>
    </row>
    <row r="2728" spans="1:7" x14ac:dyDescent="0.2">
      <c r="A2728" s="2" t="s">
        <v>3509</v>
      </c>
      <c r="B2728" s="2" t="s">
        <v>3680</v>
      </c>
      <c r="C2728" s="2" t="s">
        <v>3592</v>
      </c>
      <c r="D2728" s="2" t="s">
        <v>10</v>
      </c>
      <c r="E2728" s="2" t="s">
        <v>11</v>
      </c>
      <c r="F2728" s="2">
        <v>2</v>
      </c>
      <c r="G2728" s="2" t="s">
        <v>17</v>
      </c>
    </row>
    <row r="2729" spans="1:7" x14ac:dyDescent="0.2">
      <c r="A2729" s="2" t="s">
        <v>3509</v>
      </c>
      <c r="B2729" s="2" t="s">
        <v>3681</v>
      </c>
      <c r="C2729" s="2" t="s">
        <v>3605</v>
      </c>
      <c r="D2729" s="2" t="s">
        <v>10</v>
      </c>
      <c r="E2729" s="2" t="s">
        <v>11</v>
      </c>
      <c r="F2729" s="2">
        <v>2</v>
      </c>
      <c r="G2729" s="2" t="s">
        <v>17</v>
      </c>
    </row>
    <row r="2730" spans="1:7" x14ac:dyDescent="0.2">
      <c r="A2730" s="2" t="s">
        <v>3509</v>
      </c>
      <c r="B2730" s="2" t="s">
        <v>3682</v>
      </c>
      <c r="C2730" s="2" t="s">
        <v>3623</v>
      </c>
      <c r="D2730" s="2" t="s">
        <v>10</v>
      </c>
      <c r="E2730" s="2" t="s">
        <v>11</v>
      </c>
      <c r="F2730" s="2">
        <v>2</v>
      </c>
      <c r="G2730" s="2" t="s">
        <v>12</v>
      </c>
    </row>
    <row r="2731" spans="1:7" x14ac:dyDescent="0.2">
      <c r="A2731" s="2" t="s">
        <v>3509</v>
      </c>
      <c r="B2731" s="2" t="s">
        <v>3683</v>
      </c>
      <c r="C2731" s="2" t="s">
        <v>3609</v>
      </c>
      <c r="D2731" s="2" t="s">
        <v>10</v>
      </c>
      <c r="E2731" s="2" t="s">
        <v>11</v>
      </c>
      <c r="F2731" s="2">
        <v>2</v>
      </c>
      <c r="G2731" s="2" t="s">
        <v>12</v>
      </c>
    </row>
    <row r="2732" spans="1:7" x14ac:dyDescent="0.2">
      <c r="A2732" s="2" t="s">
        <v>3509</v>
      </c>
      <c r="B2732" s="2" t="s">
        <v>3684</v>
      </c>
      <c r="C2732" s="2" t="s">
        <v>3616</v>
      </c>
      <c r="D2732" s="2" t="s">
        <v>10</v>
      </c>
      <c r="E2732" s="2" t="s">
        <v>11</v>
      </c>
      <c r="F2732" s="2">
        <v>2</v>
      </c>
      <c r="G2732" s="2" t="s">
        <v>12</v>
      </c>
    </row>
    <row r="2733" spans="1:7" x14ac:dyDescent="0.2">
      <c r="A2733" s="2" t="s">
        <v>3509</v>
      </c>
      <c r="B2733" s="2" t="s">
        <v>3685</v>
      </c>
      <c r="C2733" s="2" t="s">
        <v>3594</v>
      </c>
      <c r="D2733" s="2" t="s">
        <v>10</v>
      </c>
      <c r="E2733" s="2" t="s">
        <v>11</v>
      </c>
      <c r="F2733" s="2">
        <v>2</v>
      </c>
      <c r="G2733" s="2" t="s">
        <v>17</v>
      </c>
    </row>
    <row r="2734" spans="1:7" x14ac:dyDescent="0.2">
      <c r="A2734" s="2" t="s">
        <v>3509</v>
      </c>
      <c r="B2734" s="2" t="s">
        <v>3686</v>
      </c>
      <c r="C2734" s="2" t="s">
        <v>3603</v>
      </c>
      <c r="D2734" s="2" t="s">
        <v>10</v>
      </c>
      <c r="E2734" s="2" t="s">
        <v>11</v>
      </c>
      <c r="F2734" s="2">
        <v>2</v>
      </c>
      <c r="G2734" s="2" t="s">
        <v>17</v>
      </c>
    </row>
    <row r="2735" spans="1:7" x14ac:dyDescent="0.2">
      <c r="A2735" s="2" t="s">
        <v>3509</v>
      </c>
      <c r="B2735" s="2" t="s">
        <v>2283</v>
      </c>
      <c r="C2735" s="2" t="s">
        <v>1983</v>
      </c>
      <c r="D2735" s="2" t="s">
        <v>10</v>
      </c>
      <c r="E2735" s="2" t="s">
        <v>16</v>
      </c>
      <c r="F2735" s="2">
        <v>1</v>
      </c>
      <c r="G2735" s="2" t="s">
        <v>17</v>
      </c>
    </row>
    <row r="2736" spans="1:7" x14ac:dyDescent="0.2">
      <c r="A2736" s="2" t="s">
        <v>3509</v>
      </c>
      <c r="B2736" s="2" t="s">
        <v>3687</v>
      </c>
      <c r="C2736" s="2" t="s">
        <v>3584</v>
      </c>
      <c r="D2736" s="2" t="s">
        <v>10</v>
      </c>
      <c r="E2736" s="2" t="s">
        <v>52</v>
      </c>
      <c r="F2736" s="2">
        <v>2</v>
      </c>
      <c r="G2736" s="2" t="s">
        <v>17</v>
      </c>
    </row>
    <row r="2737" spans="1:7" x14ac:dyDescent="0.2">
      <c r="A2737" s="2" t="s">
        <v>3509</v>
      </c>
      <c r="B2737" s="2" t="s">
        <v>3688</v>
      </c>
      <c r="C2737" s="2" t="s">
        <v>3581</v>
      </c>
      <c r="D2737" s="2" t="s">
        <v>10</v>
      </c>
      <c r="E2737" s="2" t="s">
        <v>52</v>
      </c>
      <c r="F2737" s="2">
        <v>2</v>
      </c>
      <c r="G2737" s="2" t="s">
        <v>17</v>
      </c>
    </row>
    <row r="2738" spans="1:7" x14ac:dyDescent="0.2">
      <c r="A2738" s="2" t="s">
        <v>3509</v>
      </c>
      <c r="B2738" s="2" t="s">
        <v>3689</v>
      </c>
      <c r="C2738" s="2" t="s">
        <v>3584</v>
      </c>
      <c r="D2738" s="2" t="s">
        <v>10</v>
      </c>
      <c r="E2738" s="2" t="s">
        <v>52</v>
      </c>
      <c r="F2738" s="2">
        <v>2</v>
      </c>
      <c r="G2738" s="2" t="s">
        <v>17</v>
      </c>
    </row>
    <row r="2739" spans="1:7" x14ac:dyDescent="0.2">
      <c r="A2739" s="2" t="s">
        <v>3509</v>
      </c>
      <c r="B2739" s="2" t="s">
        <v>3690</v>
      </c>
      <c r="C2739" s="2" t="s">
        <v>1935</v>
      </c>
      <c r="D2739" s="2" t="s">
        <v>10</v>
      </c>
      <c r="E2739" s="2" t="s">
        <v>16</v>
      </c>
      <c r="F2739" s="2">
        <v>1</v>
      </c>
      <c r="G2739" s="2" t="s">
        <v>17</v>
      </c>
    </row>
    <row r="2740" spans="1:7" x14ac:dyDescent="0.2">
      <c r="A2740" s="2" t="s">
        <v>3509</v>
      </c>
      <c r="B2740" s="2" t="s">
        <v>3691</v>
      </c>
      <c r="C2740" s="2" t="s">
        <v>3522</v>
      </c>
      <c r="D2740" s="2" t="s">
        <v>10</v>
      </c>
      <c r="E2740" s="2" t="s">
        <v>16</v>
      </c>
      <c r="F2740" s="2">
        <v>1</v>
      </c>
      <c r="G2740" s="2" t="s">
        <v>17</v>
      </c>
    </row>
    <row r="2741" spans="1:7" x14ac:dyDescent="0.2">
      <c r="A2741" s="2" t="s">
        <v>3509</v>
      </c>
      <c r="B2741" s="2" t="s">
        <v>3692</v>
      </c>
      <c r="C2741" s="2" t="s">
        <v>1935</v>
      </c>
      <c r="D2741" s="2" t="s">
        <v>10</v>
      </c>
      <c r="E2741" s="2" t="s">
        <v>16</v>
      </c>
      <c r="F2741" s="2">
        <v>1</v>
      </c>
      <c r="G2741" s="2" t="s">
        <v>17</v>
      </c>
    </row>
    <row r="2742" spans="1:7" x14ac:dyDescent="0.2">
      <c r="A2742" s="2" t="s">
        <v>3509</v>
      </c>
      <c r="B2742" s="2" t="s">
        <v>3693</v>
      </c>
      <c r="C2742" s="2" t="s">
        <v>1992</v>
      </c>
      <c r="D2742" s="2" t="s">
        <v>10</v>
      </c>
      <c r="E2742" s="2" t="s">
        <v>16</v>
      </c>
      <c r="F2742" s="2">
        <v>1</v>
      </c>
      <c r="G2742" s="2" t="s">
        <v>17</v>
      </c>
    </row>
    <row r="2743" spans="1:7" x14ac:dyDescent="0.2">
      <c r="A2743" s="2" t="s">
        <v>3509</v>
      </c>
      <c r="B2743" s="2" t="s">
        <v>3694</v>
      </c>
      <c r="C2743" s="2" t="s">
        <v>3540</v>
      </c>
      <c r="D2743" s="2" t="s">
        <v>10</v>
      </c>
      <c r="E2743" s="2" t="s">
        <v>16</v>
      </c>
      <c r="F2743" s="2">
        <v>1</v>
      </c>
      <c r="G2743" s="2" t="s">
        <v>17</v>
      </c>
    </row>
    <row r="2744" spans="1:7" x14ac:dyDescent="0.2">
      <c r="A2744" s="2" t="s">
        <v>3509</v>
      </c>
      <c r="B2744" s="2" t="s">
        <v>3695</v>
      </c>
      <c r="C2744" s="2" t="s">
        <v>1992</v>
      </c>
      <c r="D2744" s="2" t="s">
        <v>10</v>
      </c>
      <c r="E2744" s="2" t="s">
        <v>16</v>
      </c>
      <c r="F2744" s="2">
        <v>1</v>
      </c>
      <c r="G2744" s="2" t="s">
        <v>17</v>
      </c>
    </row>
    <row r="2745" spans="1:7" x14ac:dyDescent="0.2">
      <c r="A2745" s="2" t="s">
        <v>3509</v>
      </c>
      <c r="B2745" s="2" t="s">
        <v>3696</v>
      </c>
      <c r="C2745" s="2" t="s">
        <v>1992</v>
      </c>
      <c r="D2745" s="2" t="s">
        <v>10</v>
      </c>
      <c r="E2745" s="2" t="s">
        <v>16</v>
      </c>
      <c r="F2745" s="2">
        <v>1</v>
      </c>
      <c r="G2745" s="2" t="s">
        <v>17</v>
      </c>
    </row>
    <row r="2746" spans="1:7" x14ac:dyDescent="0.2">
      <c r="A2746" s="2" t="s">
        <v>3509</v>
      </c>
      <c r="B2746" s="2" t="s">
        <v>3697</v>
      </c>
      <c r="C2746" s="2" t="s">
        <v>3540</v>
      </c>
      <c r="D2746" s="2" t="s">
        <v>10</v>
      </c>
      <c r="E2746" s="2" t="s">
        <v>16</v>
      </c>
      <c r="F2746" s="2">
        <v>1</v>
      </c>
      <c r="G2746" s="2" t="s">
        <v>17</v>
      </c>
    </row>
    <row r="2747" spans="1:7" x14ac:dyDescent="0.2">
      <c r="A2747" s="2" t="s">
        <v>3509</v>
      </c>
      <c r="B2747" s="2" t="s">
        <v>3698</v>
      </c>
      <c r="C2747" s="2" t="s">
        <v>3540</v>
      </c>
      <c r="D2747" s="2" t="s">
        <v>10</v>
      </c>
      <c r="E2747" s="2" t="s">
        <v>16</v>
      </c>
      <c r="F2747" s="2">
        <v>1</v>
      </c>
      <c r="G2747" s="2" t="s">
        <v>17</v>
      </c>
    </row>
    <row r="2748" spans="1:7" x14ac:dyDescent="0.2">
      <c r="A2748" s="2" t="s">
        <v>3509</v>
      </c>
      <c r="B2748" s="2" t="s">
        <v>3699</v>
      </c>
      <c r="C2748" s="2" t="s">
        <v>3544</v>
      </c>
      <c r="D2748" s="2" t="s">
        <v>10</v>
      </c>
      <c r="E2748" s="2" t="s">
        <v>52</v>
      </c>
      <c r="F2748" s="2">
        <v>1</v>
      </c>
      <c r="G2748" s="2" t="s">
        <v>17</v>
      </c>
    </row>
    <row r="2749" spans="1:7" x14ac:dyDescent="0.2">
      <c r="A2749" s="2" t="s">
        <v>3509</v>
      </c>
      <c r="B2749" s="2" t="s">
        <v>3700</v>
      </c>
      <c r="C2749" s="2" t="s">
        <v>1992</v>
      </c>
      <c r="D2749" s="2" t="s">
        <v>10</v>
      </c>
      <c r="E2749" s="2" t="s">
        <v>16</v>
      </c>
      <c r="F2749" s="2">
        <v>1</v>
      </c>
      <c r="G2749" s="2" t="s">
        <v>17</v>
      </c>
    </row>
    <row r="2750" spans="1:7" x14ac:dyDescent="0.2">
      <c r="A2750" s="2" t="s">
        <v>3509</v>
      </c>
      <c r="B2750" s="2" t="s">
        <v>3701</v>
      </c>
      <c r="C2750" s="2" t="s">
        <v>1995</v>
      </c>
      <c r="D2750" s="2" t="s">
        <v>10</v>
      </c>
      <c r="E2750" s="2" t="s">
        <v>16</v>
      </c>
      <c r="F2750" s="2">
        <v>2</v>
      </c>
      <c r="G2750" s="2" t="s">
        <v>17</v>
      </c>
    </row>
    <row r="2751" spans="1:7" x14ac:dyDescent="0.2">
      <c r="A2751" s="2" t="s">
        <v>3509</v>
      </c>
      <c r="B2751" s="2" t="s">
        <v>3702</v>
      </c>
      <c r="C2751" s="2" t="s">
        <v>1992</v>
      </c>
      <c r="D2751" s="2" t="s">
        <v>10</v>
      </c>
      <c r="E2751" s="2" t="s">
        <v>16</v>
      </c>
      <c r="F2751" s="2">
        <v>1</v>
      </c>
      <c r="G2751" s="2" t="s">
        <v>17</v>
      </c>
    </row>
    <row r="2752" spans="1:7" x14ac:dyDescent="0.2">
      <c r="A2752" s="2" t="s">
        <v>3509</v>
      </c>
      <c r="B2752" s="2" t="s">
        <v>3703</v>
      </c>
      <c r="C2752" s="2" t="s">
        <v>3552</v>
      </c>
      <c r="D2752" s="2" t="s">
        <v>10</v>
      </c>
      <c r="E2752" s="2" t="s">
        <v>11</v>
      </c>
      <c r="F2752" s="2">
        <v>2</v>
      </c>
      <c r="G2752" s="2" t="s">
        <v>17</v>
      </c>
    </row>
    <row r="2753" spans="1:7" x14ac:dyDescent="0.2">
      <c r="A2753" s="2" t="s">
        <v>3509</v>
      </c>
      <c r="B2753" s="2" t="s">
        <v>3704</v>
      </c>
      <c r="C2753" s="2" t="s">
        <v>1985</v>
      </c>
      <c r="D2753" s="2" t="s">
        <v>10</v>
      </c>
      <c r="E2753" s="2" t="s">
        <v>16</v>
      </c>
      <c r="F2753" s="2">
        <v>1</v>
      </c>
      <c r="G2753" s="2" t="s">
        <v>17</v>
      </c>
    </row>
    <row r="2754" spans="1:7" x14ac:dyDescent="0.2">
      <c r="A2754" s="2" t="s">
        <v>3509</v>
      </c>
      <c r="B2754" s="2" t="s">
        <v>3705</v>
      </c>
      <c r="C2754" s="2" t="s">
        <v>3643</v>
      </c>
      <c r="D2754" s="2" t="s">
        <v>10</v>
      </c>
      <c r="E2754" s="2" t="s">
        <v>16</v>
      </c>
      <c r="F2754" s="2">
        <v>2</v>
      </c>
      <c r="G2754" s="2" t="s">
        <v>17</v>
      </c>
    </row>
    <row r="2755" spans="1:7" x14ac:dyDescent="0.2">
      <c r="A2755" s="2" t="s">
        <v>3509</v>
      </c>
      <c r="B2755" s="2" t="s">
        <v>3706</v>
      </c>
      <c r="C2755" s="2" t="s">
        <v>1991</v>
      </c>
      <c r="D2755" s="2" t="s">
        <v>10</v>
      </c>
      <c r="E2755" s="2" t="s">
        <v>16</v>
      </c>
      <c r="F2755" s="2">
        <v>1</v>
      </c>
      <c r="G2755" s="2" t="s">
        <v>17</v>
      </c>
    </row>
    <row r="2756" spans="1:7" x14ac:dyDescent="0.2">
      <c r="A2756" s="2" t="s">
        <v>3509</v>
      </c>
      <c r="B2756" s="2" t="s">
        <v>3707</v>
      </c>
      <c r="C2756" s="2" t="s">
        <v>3540</v>
      </c>
      <c r="D2756" s="2" t="s">
        <v>10</v>
      </c>
      <c r="E2756" s="2" t="s">
        <v>16</v>
      </c>
      <c r="F2756" s="2">
        <v>1</v>
      </c>
      <c r="G2756" s="2" t="s">
        <v>17</v>
      </c>
    </row>
    <row r="2757" spans="1:7" x14ac:dyDescent="0.2">
      <c r="A2757" s="2" t="s">
        <v>3509</v>
      </c>
      <c r="B2757" s="2" t="s">
        <v>3708</v>
      </c>
      <c r="C2757" s="2" t="s">
        <v>3540</v>
      </c>
      <c r="D2757" s="2" t="s">
        <v>10</v>
      </c>
      <c r="E2757" s="2" t="s">
        <v>16</v>
      </c>
      <c r="F2757" s="2">
        <v>1</v>
      </c>
      <c r="G2757" s="2" t="s">
        <v>17</v>
      </c>
    </row>
    <row r="2758" spans="1:7" x14ac:dyDescent="0.2">
      <c r="A2758" s="2" t="s">
        <v>3509</v>
      </c>
      <c r="B2758" s="2" t="s">
        <v>3709</v>
      </c>
      <c r="C2758" s="2" t="s">
        <v>3710</v>
      </c>
      <c r="D2758" s="2" t="s">
        <v>10</v>
      </c>
      <c r="E2758" s="2" t="s">
        <v>16</v>
      </c>
      <c r="F2758" s="2">
        <v>1</v>
      </c>
      <c r="G2758" s="2" t="s">
        <v>17</v>
      </c>
    </row>
    <row r="2759" spans="1:7" x14ac:dyDescent="0.2">
      <c r="A2759" s="2" t="s">
        <v>3509</v>
      </c>
      <c r="B2759" s="2" t="s">
        <v>3711</v>
      </c>
      <c r="C2759" s="2" t="s">
        <v>3710</v>
      </c>
      <c r="D2759" s="2" t="s">
        <v>10</v>
      </c>
      <c r="E2759" s="2" t="s">
        <v>16</v>
      </c>
      <c r="F2759" s="2">
        <v>1</v>
      </c>
      <c r="G2759" s="2" t="s">
        <v>17</v>
      </c>
    </row>
    <row r="2760" spans="1:7" x14ac:dyDescent="0.2">
      <c r="A2760" s="2" t="s">
        <v>3509</v>
      </c>
      <c r="B2760" s="2" t="s">
        <v>3712</v>
      </c>
      <c r="C2760" s="2" t="s">
        <v>3710</v>
      </c>
      <c r="D2760" s="2" t="s">
        <v>10</v>
      </c>
      <c r="E2760" s="2" t="s">
        <v>16</v>
      </c>
      <c r="F2760" s="2">
        <v>1</v>
      </c>
      <c r="G2760" s="2" t="s">
        <v>17</v>
      </c>
    </row>
    <row r="2761" spans="1:7" x14ac:dyDescent="0.2">
      <c r="A2761" s="2" t="s">
        <v>3509</v>
      </c>
      <c r="B2761" s="2" t="s">
        <v>3713</v>
      </c>
      <c r="C2761" s="2" t="s">
        <v>3710</v>
      </c>
      <c r="D2761" s="2" t="s">
        <v>10</v>
      </c>
      <c r="E2761" s="2" t="s">
        <v>16</v>
      </c>
      <c r="F2761" s="2">
        <v>1</v>
      </c>
      <c r="G2761" s="2" t="s">
        <v>17</v>
      </c>
    </row>
    <row r="2762" spans="1:7" x14ac:dyDescent="0.2">
      <c r="A2762" s="2" t="s">
        <v>3509</v>
      </c>
      <c r="B2762" s="2" t="s">
        <v>3714</v>
      </c>
      <c r="C2762" s="2" t="s">
        <v>3710</v>
      </c>
      <c r="D2762" s="2" t="s">
        <v>10</v>
      </c>
      <c r="E2762" s="2" t="s">
        <v>16</v>
      </c>
      <c r="F2762" s="2">
        <v>1</v>
      </c>
      <c r="G2762" s="2" t="s">
        <v>17</v>
      </c>
    </row>
    <row r="2763" spans="1:7" x14ac:dyDescent="0.2">
      <c r="A2763" s="2" t="s">
        <v>3509</v>
      </c>
      <c r="B2763" s="2" t="s">
        <v>3715</v>
      </c>
      <c r="C2763" s="2" t="s">
        <v>3716</v>
      </c>
      <c r="D2763" s="2" t="s">
        <v>10</v>
      </c>
      <c r="E2763" s="2" t="s">
        <v>16</v>
      </c>
      <c r="F2763" s="2">
        <v>1</v>
      </c>
      <c r="G2763" s="2" t="s">
        <v>17</v>
      </c>
    </row>
    <row r="2764" spans="1:7" x14ac:dyDescent="0.2">
      <c r="A2764" s="2" t="s">
        <v>3509</v>
      </c>
      <c r="B2764" s="2" t="s">
        <v>3717</v>
      </c>
      <c r="C2764" s="2" t="s">
        <v>3716</v>
      </c>
      <c r="D2764" s="2" t="s">
        <v>10</v>
      </c>
      <c r="E2764" s="2" t="s">
        <v>16</v>
      </c>
      <c r="F2764" s="2">
        <v>1</v>
      </c>
      <c r="G2764" s="2" t="s">
        <v>17</v>
      </c>
    </row>
    <row r="2765" spans="1:7" x14ac:dyDescent="0.2">
      <c r="A2765" s="2" t="s">
        <v>3509</v>
      </c>
      <c r="B2765" s="2" t="s">
        <v>3718</v>
      </c>
      <c r="C2765" s="2" t="s">
        <v>3719</v>
      </c>
      <c r="D2765" s="2" t="s">
        <v>10</v>
      </c>
      <c r="E2765" s="2" t="s">
        <v>16</v>
      </c>
      <c r="F2765" s="2">
        <v>1</v>
      </c>
      <c r="G2765" s="2" t="s">
        <v>17</v>
      </c>
    </row>
    <row r="2766" spans="1:7" x14ac:dyDescent="0.2">
      <c r="A2766" s="2" t="s">
        <v>3509</v>
      </c>
      <c r="B2766" s="2" t="s">
        <v>3720</v>
      </c>
      <c r="C2766" s="2" t="s">
        <v>3719</v>
      </c>
      <c r="D2766" s="2" t="s">
        <v>10</v>
      </c>
      <c r="E2766" s="2" t="s">
        <v>16</v>
      </c>
      <c r="F2766" s="2">
        <v>1</v>
      </c>
      <c r="G2766" s="2" t="s">
        <v>17</v>
      </c>
    </row>
    <row r="2767" spans="1:7" x14ac:dyDescent="0.2">
      <c r="A2767" s="2" t="s">
        <v>3509</v>
      </c>
      <c r="B2767" s="2" t="s">
        <v>3721</v>
      </c>
      <c r="C2767" s="2" t="s">
        <v>3710</v>
      </c>
      <c r="D2767" s="2" t="s">
        <v>10</v>
      </c>
      <c r="E2767" s="2" t="s">
        <v>16</v>
      </c>
      <c r="F2767" s="2">
        <v>1</v>
      </c>
      <c r="G2767" s="2" t="s">
        <v>17</v>
      </c>
    </row>
    <row r="2768" spans="1:7" x14ac:dyDescent="0.2">
      <c r="A2768" s="2" t="s">
        <v>3509</v>
      </c>
      <c r="B2768" s="2" t="s">
        <v>3722</v>
      </c>
      <c r="C2768" s="2" t="s">
        <v>3710</v>
      </c>
      <c r="D2768" s="2" t="s">
        <v>10</v>
      </c>
      <c r="E2768" s="2" t="s">
        <v>16</v>
      </c>
      <c r="F2768" s="2">
        <v>1</v>
      </c>
      <c r="G2768" s="2" t="s">
        <v>17</v>
      </c>
    </row>
    <row r="2769" spans="1:7" x14ac:dyDescent="0.2">
      <c r="A2769" s="2" t="s">
        <v>3509</v>
      </c>
      <c r="B2769" s="2" t="s">
        <v>3723</v>
      </c>
      <c r="C2769" s="2" t="s">
        <v>3724</v>
      </c>
      <c r="D2769" s="2" t="s">
        <v>10</v>
      </c>
      <c r="E2769" s="2" t="s">
        <v>16</v>
      </c>
      <c r="F2769" s="2">
        <v>1</v>
      </c>
      <c r="G2769" s="2" t="s">
        <v>17</v>
      </c>
    </row>
    <row r="2770" spans="1:7" x14ac:dyDescent="0.2">
      <c r="A2770" s="2" t="s">
        <v>3509</v>
      </c>
      <c r="B2770" s="2" t="s">
        <v>3725</v>
      </c>
      <c r="C2770" s="2" t="s">
        <v>3540</v>
      </c>
      <c r="D2770" s="2" t="s">
        <v>10</v>
      </c>
      <c r="E2770" s="2" t="s">
        <v>16</v>
      </c>
      <c r="F2770" s="2">
        <v>1</v>
      </c>
      <c r="G2770" s="2" t="s">
        <v>17</v>
      </c>
    </row>
    <row r="2771" spans="1:7" x14ac:dyDescent="0.2">
      <c r="A2771" s="2" t="s">
        <v>3509</v>
      </c>
      <c r="B2771" s="2" t="s">
        <v>3726</v>
      </c>
      <c r="C2771" s="2" t="s">
        <v>2006</v>
      </c>
      <c r="D2771" s="2" t="s">
        <v>10</v>
      </c>
      <c r="E2771" s="2" t="s">
        <v>16</v>
      </c>
      <c r="F2771" s="2">
        <v>2</v>
      </c>
      <c r="G2771" s="2" t="s">
        <v>17</v>
      </c>
    </row>
    <row r="2772" spans="1:7" x14ac:dyDescent="0.2">
      <c r="A2772" s="2" t="s">
        <v>3509</v>
      </c>
      <c r="B2772" s="2" t="s">
        <v>3727</v>
      </c>
      <c r="C2772" s="2" t="s">
        <v>1994</v>
      </c>
      <c r="D2772" s="2" t="s">
        <v>10</v>
      </c>
      <c r="E2772" s="2" t="s">
        <v>16</v>
      </c>
      <c r="F2772" s="2">
        <v>2</v>
      </c>
      <c r="G2772" s="2" t="s">
        <v>17</v>
      </c>
    </row>
    <row r="2773" spans="1:7" x14ac:dyDescent="0.2">
      <c r="A2773" s="2" t="s">
        <v>3509</v>
      </c>
      <c r="B2773" s="2" t="s">
        <v>3728</v>
      </c>
      <c r="C2773" s="2" t="s">
        <v>1995</v>
      </c>
      <c r="D2773" s="2" t="s">
        <v>10</v>
      </c>
      <c r="E2773" s="2" t="s">
        <v>16</v>
      </c>
      <c r="F2773" s="2">
        <v>2</v>
      </c>
      <c r="G2773" s="2" t="s">
        <v>17</v>
      </c>
    </row>
    <row r="2774" spans="1:7" x14ac:dyDescent="0.2">
      <c r="A2774" s="2" t="s">
        <v>3509</v>
      </c>
      <c r="B2774" s="2" t="s">
        <v>3729</v>
      </c>
      <c r="C2774" s="2" t="s">
        <v>1995</v>
      </c>
      <c r="D2774" s="2" t="s">
        <v>10</v>
      </c>
      <c r="E2774" s="2" t="s">
        <v>16</v>
      </c>
      <c r="F2774" s="2">
        <v>2</v>
      </c>
      <c r="G2774" s="2" t="s">
        <v>17</v>
      </c>
    </row>
    <row r="2775" spans="1:7" x14ac:dyDescent="0.2">
      <c r="A2775" s="2" t="s">
        <v>3509</v>
      </c>
      <c r="B2775" s="2" t="s">
        <v>3730</v>
      </c>
      <c r="C2775" s="2" t="s">
        <v>1995</v>
      </c>
      <c r="D2775" s="2" t="s">
        <v>10</v>
      </c>
      <c r="E2775" s="2" t="s">
        <v>16</v>
      </c>
      <c r="F2775" s="2">
        <v>2</v>
      </c>
      <c r="G2775" s="2" t="s">
        <v>17</v>
      </c>
    </row>
    <row r="2776" spans="1:7" x14ac:dyDescent="0.2">
      <c r="A2776" s="2" t="s">
        <v>3509</v>
      </c>
      <c r="B2776" s="2" t="s">
        <v>3731</v>
      </c>
      <c r="C2776" s="2" t="s">
        <v>1995</v>
      </c>
      <c r="D2776" s="2" t="s">
        <v>10</v>
      </c>
      <c r="E2776" s="2" t="s">
        <v>16</v>
      </c>
      <c r="F2776" s="2">
        <v>2</v>
      </c>
      <c r="G2776" s="2" t="s">
        <v>17</v>
      </c>
    </row>
    <row r="2777" spans="1:7" x14ac:dyDescent="0.2">
      <c r="A2777" s="2" t="s">
        <v>3509</v>
      </c>
      <c r="B2777" s="2" t="s">
        <v>3732</v>
      </c>
      <c r="C2777" s="2" t="s">
        <v>1995</v>
      </c>
      <c r="D2777" s="2" t="s">
        <v>10</v>
      </c>
      <c r="E2777" s="2" t="s">
        <v>16</v>
      </c>
      <c r="F2777" s="2">
        <v>2</v>
      </c>
      <c r="G2777" s="2" t="s">
        <v>17</v>
      </c>
    </row>
    <row r="2778" spans="1:7" x14ac:dyDescent="0.2">
      <c r="A2778" s="2" t="s">
        <v>3509</v>
      </c>
      <c r="B2778" s="2" t="s">
        <v>3733</v>
      </c>
      <c r="C2778" s="2" t="s">
        <v>3734</v>
      </c>
      <c r="D2778" s="2" t="s">
        <v>10</v>
      </c>
      <c r="E2778" s="2" t="s">
        <v>16</v>
      </c>
      <c r="F2778" s="2">
        <v>2</v>
      </c>
      <c r="G2778" s="2" t="s">
        <v>17</v>
      </c>
    </row>
    <row r="2779" spans="1:7" x14ac:dyDescent="0.2">
      <c r="A2779" s="2" t="s">
        <v>3509</v>
      </c>
      <c r="B2779" s="2" t="s">
        <v>3735</v>
      </c>
      <c r="C2779" s="2" t="s">
        <v>1995</v>
      </c>
      <c r="D2779" s="2" t="s">
        <v>10</v>
      </c>
      <c r="E2779" s="2" t="s">
        <v>16</v>
      </c>
      <c r="F2779" s="2">
        <v>2</v>
      </c>
      <c r="G2779" s="2" t="s">
        <v>17</v>
      </c>
    </row>
    <row r="2780" spans="1:7" x14ac:dyDescent="0.2">
      <c r="A2780" s="2" t="s">
        <v>3509</v>
      </c>
      <c r="B2780" s="2" t="s">
        <v>3736</v>
      </c>
      <c r="C2780" s="2" t="s">
        <v>3572</v>
      </c>
      <c r="D2780" s="2" t="s">
        <v>10</v>
      </c>
      <c r="E2780" s="2" t="s">
        <v>16</v>
      </c>
      <c r="F2780" s="2">
        <v>2</v>
      </c>
      <c r="G2780" s="2" t="s">
        <v>17</v>
      </c>
    </row>
    <row r="2781" spans="1:7" x14ac:dyDescent="0.2">
      <c r="A2781" s="2" t="s">
        <v>3509</v>
      </c>
      <c r="B2781" s="2" t="s">
        <v>3737</v>
      </c>
      <c r="C2781" s="2" t="s">
        <v>3550</v>
      </c>
      <c r="D2781" s="2" t="s">
        <v>10</v>
      </c>
      <c r="E2781" s="2" t="s">
        <v>16</v>
      </c>
      <c r="F2781" s="2">
        <v>1</v>
      </c>
      <c r="G2781" s="2" t="s">
        <v>17</v>
      </c>
    </row>
    <row r="2782" spans="1:7" x14ac:dyDescent="0.2">
      <c r="A2782" s="2" t="s">
        <v>3509</v>
      </c>
      <c r="B2782" s="2" t="s">
        <v>3738</v>
      </c>
      <c r="C2782" s="2" t="s">
        <v>3550</v>
      </c>
      <c r="D2782" s="2" t="s">
        <v>10</v>
      </c>
      <c r="E2782" s="2" t="s">
        <v>16</v>
      </c>
      <c r="F2782" s="2">
        <v>1</v>
      </c>
      <c r="G2782" s="2" t="s">
        <v>17</v>
      </c>
    </row>
    <row r="2783" spans="1:7" x14ac:dyDescent="0.2">
      <c r="A2783" s="2" t="s">
        <v>3509</v>
      </c>
      <c r="B2783" s="2" t="s">
        <v>3739</v>
      </c>
      <c r="C2783" s="2" t="s">
        <v>3581</v>
      </c>
      <c r="D2783" s="2" t="s">
        <v>10</v>
      </c>
      <c r="E2783" s="2" t="s">
        <v>52</v>
      </c>
      <c r="F2783" s="2">
        <v>2</v>
      </c>
      <c r="G2783" s="2" t="s">
        <v>17</v>
      </c>
    </row>
    <row r="2784" spans="1:7" x14ac:dyDescent="0.2">
      <c r="A2784" s="2" t="s">
        <v>3509</v>
      </c>
      <c r="B2784" s="2" t="s">
        <v>3740</v>
      </c>
      <c r="C2784" s="2" t="s">
        <v>3643</v>
      </c>
      <c r="D2784" s="2" t="s">
        <v>10</v>
      </c>
      <c r="E2784" s="2" t="s">
        <v>16</v>
      </c>
      <c r="F2784" s="2">
        <v>2</v>
      </c>
      <c r="G2784" s="2" t="s">
        <v>17</v>
      </c>
    </row>
    <row r="2785" spans="1:7" x14ac:dyDescent="0.2">
      <c r="A2785" s="2" t="s">
        <v>3509</v>
      </c>
      <c r="B2785" s="2" t="s">
        <v>3741</v>
      </c>
      <c r="C2785" s="2" t="s">
        <v>2006</v>
      </c>
      <c r="D2785" s="2" t="s">
        <v>10</v>
      </c>
      <c r="E2785" s="2" t="s">
        <v>16</v>
      </c>
      <c r="F2785" s="2">
        <v>2</v>
      </c>
      <c r="G2785" s="2" t="s">
        <v>17</v>
      </c>
    </row>
    <row r="2786" spans="1:7" x14ac:dyDescent="0.2">
      <c r="A2786" s="2" t="s">
        <v>3509</v>
      </c>
      <c r="B2786" s="2" t="s">
        <v>3742</v>
      </c>
      <c r="C2786" s="2" t="s">
        <v>1985</v>
      </c>
      <c r="D2786" s="2" t="s">
        <v>10</v>
      </c>
      <c r="E2786" s="2" t="s">
        <v>16</v>
      </c>
      <c r="F2786" s="2">
        <v>1</v>
      </c>
      <c r="G2786" s="2" t="s">
        <v>17</v>
      </c>
    </row>
    <row r="2787" spans="1:7" x14ac:dyDescent="0.2">
      <c r="A2787" s="2" t="s">
        <v>3509</v>
      </c>
      <c r="B2787" s="2" t="s">
        <v>3743</v>
      </c>
      <c r="C2787" s="2" t="s">
        <v>1987</v>
      </c>
      <c r="D2787" s="2" t="s">
        <v>10</v>
      </c>
      <c r="E2787" s="2" t="s">
        <v>16</v>
      </c>
      <c r="F2787" s="2">
        <v>1</v>
      </c>
      <c r="G2787" s="2" t="s">
        <v>17</v>
      </c>
    </row>
    <row r="2788" spans="1:7" x14ac:dyDescent="0.2">
      <c r="A2788" s="2" t="s">
        <v>3509</v>
      </c>
      <c r="B2788" s="2" t="s">
        <v>3744</v>
      </c>
      <c r="C2788" s="2" t="s">
        <v>3745</v>
      </c>
      <c r="D2788" s="2" t="s">
        <v>10</v>
      </c>
      <c r="E2788" s="2" t="s">
        <v>16</v>
      </c>
      <c r="F2788" s="2">
        <v>1</v>
      </c>
      <c r="G2788" s="2" t="s">
        <v>17</v>
      </c>
    </row>
    <row r="2789" spans="1:7" x14ac:dyDescent="0.2">
      <c r="A2789" s="2" t="s">
        <v>3509</v>
      </c>
      <c r="B2789" s="2" t="s">
        <v>3746</v>
      </c>
      <c r="C2789" s="2" t="s">
        <v>3556</v>
      </c>
      <c r="D2789" s="2" t="s">
        <v>10</v>
      </c>
      <c r="E2789" s="2" t="s">
        <v>11</v>
      </c>
      <c r="F2789" s="2">
        <v>2</v>
      </c>
      <c r="G2789" s="2" t="s">
        <v>17</v>
      </c>
    </row>
    <row r="2790" spans="1:7" x14ac:dyDescent="0.2">
      <c r="A2790" s="2" t="s">
        <v>3509</v>
      </c>
      <c r="B2790" s="2" t="s">
        <v>3747</v>
      </c>
      <c r="C2790" s="2" t="s">
        <v>3576</v>
      </c>
      <c r="D2790" s="2" t="s">
        <v>10</v>
      </c>
      <c r="E2790" s="2" t="s">
        <v>16</v>
      </c>
      <c r="F2790" s="2">
        <v>2</v>
      </c>
      <c r="G2790" s="2" t="s">
        <v>17</v>
      </c>
    </row>
    <row r="2791" spans="1:7" x14ac:dyDescent="0.2">
      <c r="A2791" s="2" t="s">
        <v>3509</v>
      </c>
      <c r="B2791" s="2" t="s">
        <v>3748</v>
      </c>
      <c r="C2791" s="2" t="s">
        <v>3559</v>
      </c>
      <c r="D2791" s="2" t="s">
        <v>10</v>
      </c>
      <c r="E2791" s="2" t="s">
        <v>16</v>
      </c>
      <c r="F2791" s="2">
        <v>2</v>
      </c>
      <c r="G2791" s="2" t="s">
        <v>17</v>
      </c>
    </row>
    <row r="2792" spans="1:7" x14ac:dyDescent="0.2">
      <c r="A2792" s="2" t="s">
        <v>3509</v>
      </c>
      <c r="B2792" s="2" t="s">
        <v>3749</v>
      </c>
      <c r="C2792" s="2" t="s">
        <v>3658</v>
      </c>
      <c r="D2792" s="2" t="s">
        <v>10</v>
      </c>
      <c r="E2792" s="2" t="s">
        <v>52</v>
      </c>
      <c r="F2792" s="2">
        <v>2</v>
      </c>
      <c r="G2792" s="2" t="s">
        <v>17</v>
      </c>
    </row>
    <row r="2793" spans="1:7" x14ac:dyDescent="0.2">
      <c r="A2793" s="2" t="s">
        <v>3509</v>
      </c>
      <c r="B2793" s="2" t="s">
        <v>3750</v>
      </c>
      <c r="C2793" s="2" t="s">
        <v>3658</v>
      </c>
      <c r="D2793" s="2" t="s">
        <v>10</v>
      </c>
      <c r="E2793" s="2" t="s">
        <v>52</v>
      </c>
      <c r="F2793" s="2">
        <v>2</v>
      </c>
      <c r="G2793" s="2" t="s">
        <v>17</v>
      </c>
    </row>
    <row r="2794" spans="1:7" x14ac:dyDescent="0.2">
      <c r="A2794" s="2" t="s">
        <v>3509</v>
      </c>
      <c r="B2794" s="2" t="s">
        <v>3751</v>
      </c>
      <c r="C2794" s="2" t="s">
        <v>3576</v>
      </c>
      <c r="D2794" s="2" t="s">
        <v>10</v>
      </c>
      <c r="E2794" s="2" t="s">
        <v>16</v>
      </c>
      <c r="F2794" s="2">
        <v>2</v>
      </c>
      <c r="G2794" s="2" t="s">
        <v>17</v>
      </c>
    </row>
    <row r="2795" spans="1:7" x14ac:dyDescent="0.2">
      <c r="A2795" s="2" t="s">
        <v>3509</v>
      </c>
      <c r="B2795" s="2" t="s">
        <v>3752</v>
      </c>
      <c r="C2795" s="2" t="s">
        <v>3544</v>
      </c>
      <c r="D2795" s="2" t="s">
        <v>10</v>
      </c>
      <c r="E2795" s="2" t="s">
        <v>52</v>
      </c>
      <c r="F2795" s="2">
        <v>1</v>
      </c>
      <c r="G2795" s="2" t="s">
        <v>17</v>
      </c>
    </row>
    <row r="2796" spans="1:7" x14ac:dyDescent="0.2">
      <c r="A2796" s="2" t="s">
        <v>3509</v>
      </c>
      <c r="B2796" s="2" t="s">
        <v>3753</v>
      </c>
      <c r="C2796" s="2" t="s">
        <v>1985</v>
      </c>
      <c r="D2796" s="2" t="s">
        <v>10</v>
      </c>
      <c r="E2796" s="2" t="s">
        <v>16</v>
      </c>
      <c r="F2796" s="2">
        <v>1</v>
      </c>
      <c r="G2796" s="2" t="s">
        <v>17</v>
      </c>
    </row>
    <row r="2797" spans="1:7" x14ac:dyDescent="0.2">
      <c r="A2797" s="2" t="s">
        <v>3509</v>
      </c>
      <c r="B2797" s="2" t="s">
        <v>3754</v>
      </c>
      <c r="C2797" s="2" t="s">
        <v>3550</v>
      </c>
      <c r="D2797" s="2" t="s">
        <v>10</v>
      </c>
      <c r="E2797" s="2" t="s">
        <v>16</v>
      </c>
      <c r="F2797" s="2">
        <v>1</v>
      </c>
      <c r="G2797" s="2" t="s">
        <v>17</v>
      </c>
    </row>
    <row r="2798" spans="1:7" x14ac:dyDescent="0.2">
      <c r="A2798" s="2" t="s">
        <v>3509</v>
      </c>
      <c r="B2798" s="2" t="s">
        <v>3755</v>
      </c>
      <c r="C2798" s="2" t="s">
        <v>1994</v>
      </c>
      <c r="D2798" s="2" t="s">
        <v>10</v>
      </c>
      <c r="E2798" s="2" t="s">
        <v>16</v>
      </c>
      <c r="F2798" s="2">
        <v>2</v>
      </c>
      <c r="G2798" s="2" t="s">
        <v>17</v>
      </c>
    </row>
    <row r="2799" spans="1:7" x14ac:dyDescent="0.2">
      <c r="A2799" s="2" t="s">
        <v>3509</v>
      </c>
      <c r="B2799" s="2" t="s">
        <v>3756</v>
      </c>
      <c r="C2799" s="2" t="s">
        <v>3531</v>
      </c>
      <c r="D2799" s="2" t="s">
        <v>10</v>
      </c>
      <c r="E2799" s="2" t="s">
        <v>16</v>
      </c>
      <c r="F2799" s="2">
        <v>1</v>
      </c>
      <c r="G2799" s="2" t="s">
        <v>17</v>
      </c>
    </row>
    <row r="2800" spans="1:7" x14ac:dyDescent="0.2">
      <c r="A2800" s="2" t="s">
        <v>3509</v>
      </c>
      <c r="B2800" s="2" t="s">
        <v>3757</v>
      </c>
      <c r="C2800" s="2" t="s">
        <v>1995</v>
      </c>
      <c r="D2800" s="2" t="s">
        <v>10</v>
      </c>
      <c r="E2800" s="2" t="s">
        <v>16</v>
      </c>
      <c r="F2800" s="2">
        <v>2</v>
      </c>
      <c r="G2800" s="2" t="s">
        <v>17</v>
      </c>
    </row>
    <row r="2801" spans="1:7" x14ac:dyDescent="0.2">
      <c r="A2801" s="2" t="s">
        <v>3509</v>
      </c>
      <c r="B2801" s="2" t="s">
        <v>3758</v>
      </c>
      <c r="C2801" s="2" t="s">
        <v>1995</v>
      </c>
      <c r="D2801" s="2" t="s">
        <v>10</v>
      </c>
      <c r="E2801" s="2" t="s">
        <v>16</v>
      </c>
      <c r="F2801" s="2">
        <v>2</v>
      </c>
      <c r="G2801" s="2" t="s">
        <v>17</v>
      </c>
    </row>
    <row r="2802" spans="1:7" x14ac:dyDescent="0.2">
      <c r="A2802" s="2" t="s">
        <v>3509</v>
      </c>
      <c r="B2802" s="2" t="s">
        <v>3759</v>
      </c>
      <c r="C2802" s="2" t="s">
        <v>1985</v>
      </c>
      <c r="D2802" s="2" t="s">
        <v>10</v>
      </c>
      <c r="E2802" s="2" t="s">
        <v>16</v>
      </c>
      <c r="F2802" s="2">
        <v>1</v>
      </c>
      <c r="G2802" s="2" t="s">
        <v>17</v>
      </c>
    </row>
    <row r="2803" spans="1:7" x14ac:dyDescent="0.2">
      <c r="A2803" s="2" t="s">
        <v>3509</v>
      </c>
      <c r="B2803" s="2" t="s">
        <v>3760</v>
      </c>
      <c r="C2803" s="2" t="s">
        <v>3761</v>
      </c>
      <c r="D2803" s="2" t="s">
        <v>10</v>
      </c>
      <c r="E2803" s="2" t="s">
        <v>16</v>
      </c>
      <c r="F2803" s="2">
        <v>1</v>
      </c>
      <c r="G2803" s="2" t="s">
        <v>17</v>
      </c>
    </row>
    <row r="2804" spans="1:7" x14ac:dyDescent="0.2">
      <c r="A2804" s="2" t="s">
        <v>3509</v>
      </c>
      <c r="B2804" s="2" t="s">
        <v>3762</v>
      </c>
      <c r="C2804" s="2" t="s">
        <v>3550</v>
      </c>
      <c r="D2804" s="2" t="s">
        <v>10</v>
      </c>
      <c r="E2804" s="2" t="s">
        <v>16</v>
      </c>
      <c r="F2804" s="2">
        <v>1</v>
      </c>
      <c r="G2804" s="2" t="s">
        <v>17</v>
      </c>
    </row>
    <row r="2805" spans="1:7" x14ac:dyDescent="0.2">
      <c r="A2805" s="2" t="s">
        <v>3509</v>
      </c>
      <c r="B2805" s="2" t="s">
        <v>3763</v>
      </c>
      <c r="C2805" s="2" t="s">
        <v>1995</v>
      </c>
      <c r="D2805" s="2" t="s">
        <v>10</v>
      </c>
      <c r="E2805" s="2" t="s">
        <v>16</v>
      </c>
      <c r="F2805" s="2">
        <v>2</v>
      </c>
      <c r="G2805" s="2" t="s">
        <v>17</v>
      </c>
    </row>
    <row r="2806" spans="1:7" x14ac:dyDescent="0.2">
      <c r="A2806" s="2" t="s">
        <v>3509</v>
      </c>
      <c r="B2806" s="2" t="s">
        <v>3764</v>
      </c>
      <c r="C2806" s="2" t="s">
        <v>3524</v>
      </c>
      <c r="D2806" s="2" t="s">
        <v>10</v>
      </c>
      <c r="E2806" s="2" t="s">
        <v>16</v>
      </c>
      <c r="F2806" s="2">
        <v>1</v>
      </c>
      <c r="G2806" s="2" t="s">
        <v>17</v>
      </c>
    </row>
    <row r="2807" spans="1:7" x14ac:dyDescent="0.2">
      <c r="A2807" s="2" t="s">
        <v>3509</v>
      </c>
      <c r="B2807" s="2" t="s">
        <v>3765</v>
      </c>
      <c r="C2807" s="2" t="s">
        <v>3556</v>
      </c>
      <c r="D2807" s="2" t="s">
        <v>10</v>
      </c>
      <c r="E2807" s="2" t="s">
        <v>11</v>
      </c>
      <c r="F2807" s="2">
        <v>2</v>
      </c>
      <c r="G2807" s="2" t="s">
        <v>17</v>
      </c>
    </row>
    <row r="2808" spans="1:7" x14ac:dyDescent="0.2">
      <c r="A2808" s="2" t="s">
        <v>3509</v>
      </c>
      <c r="B2808" s="2" t="s">
        <v>3766</v>
      </c>
      <c r="C2808" s="2" t="s">
        <v>3550</v>
      </c>
      <c r="D2808" s="2" t="s">
        <v>10</v>
      </c>
      <c r="E2808" s="2" t="s">
        <v>16</v>
      </c>
      <c r="F2808" s="2">
        <v>1</v>
      </c>
      <c r="G2808" s="2" t="s">
        <v>17</v>
      </c>
    </row>
    <row r="2809" spans="1:7" x14ac:dyDescent="0.2">
      <c r="A2809" s="2" t="s">
        <v>3509</v>
      </c>
      <c r="B2809" s="2" t="s">
        <v>3767</v>
      </c>
      <c r="C2809" s="2" t="s">
        <v>3609</v>
      </c>
      <c r="D2809" s="2" t="s">
        <v>10</v>
      </c>
      <c r="E2809" s="2" t="s">
        <v>11</v>
      </c>
      <c r="F2809" s="2">
        <v>2</v>
      </c>
      <c r="G2809" s="2" t="s">
        <v>12</v>
      </c>
    </row>
    <row r="2810" spans="1:7" x14ac:dyDescent="0.2">
      <c r="A2810" s="2" t="s">
        <v>3509</v>
      </c>
      <c r="B2810" s="2" t="s">
        <v>3768</v>
      </c>
      <c r="C2810" s="2" t="s">
        <v>1985</v>
      </c>
      <c r="D2810" s="2" t="s">
        <v>10</v>
      </c>
      <c r="E2810" s="2" t="s">
        <v>16</v>
      </c>
      <c r="F2810" s="2">
        <v>1</v>
      </c>
      <c r="G2810" s="2" t="s">
        <v>17</v>
      </c>
    </row>
    <row r="2811" spans="1:7" x14ac:dyDescent="0.2">
      <c r="A2811" s="2" t="s">
        <v>3509</v>
      </c>
      <c r="B2811" s="2" t="s">
        <v>3769</v>
      </c>
      <c r="C2811" s="2" t="s">
        <v>1992</v>
      </c>
      <c r="D2811" s="2" t="s">
        <v>10</v>
      </c>
      <c r="E2811" s="2" t="s">
        <v>16</v>
      </c>
      <c r="F2811" s="2">
        <v>1</v>
      </c>
      <c r="G2811" s="2" t="s">
        <v>17</v>
      </c>
    </row>
    <row r="2812" spans="1:7" x14ac:dyDescent="0.2">
      <c r="A2812" s="2" t="s">
        <v>3509</v>
      </c>
      <c r="B2812" s="2" t="s">
        <v>3770</v>
      </c>
      <c r="C2812" s="2" t="s">
        <v>124</v>
      </c>
      <c r="D2812" s="2" t="s">
        <v>10</v>
      </c>
      <c r="E2812" s="2" t="s">
        <v>52</v>
      </c>
      <c r="F2812" s="2">
        <v>1</v>
      </c>
      <c r="G2812" s="2" t="s">
        <v>17</v>
      </c>
    </row>
    <row r="2813" spans="1:7" x14ac:dyDescent="0.2">
      <c r="A2813" s="2" t="s">
        <v>3509</v>
      </c>
      <c r="B2813" s="2" t="s">
        <v>3771</v>
      </c>
      <c r="C2813" s="2" t="s">
        <v>2001</v>
      </c>
      <c r="D2813" s="2" t="s">
        <v>10</v>
      </c>
      <c r="E2813" s="2" t="s">
        <v>16</v>
      </c>
      <c r="F2813" s="2">
        <v>1</v>
      </c>
      <c r="G2813" s="2" t="s">
        <v>17</v>
      </c>
    </row>
    <row r="2814" spans="1:7" x14ac:dyDescent="0.2">
      <c r="A2814" s="2" t="s">
        <v>3509</v>
      </c>
      <c r="B2814" s="2" t="s">
        <v>3772</v>
      </c>
      <c r="C2814" s="2" t="s">
        <v>3734</v>
      </c>
      <c r="D2814" s="2" t="s">
        <v>10</v>
      </c>
      <c r="E2814" s="2" t="s">
        <v>16</v>
      </c>
      <c r="F2814" s="2">
        <v>2</v>
      </c>
      <c r="G2814" s="2" t="s">
        <v>17</v>
      </c>
    </row>
    <row r="2815" spans="1:7" x14ac:dyDescent="0.2">
      <c r="A2815" s="2" t="s">
        <v>3509</v>
      </c>
      <c r="B2815" s="2" t="s">
        <v>3773</v>
      </c>
      <c r="C2815" s="2" t="s">
        <v>2001</v>
      </c>
      <c r="D2815" s="2" t="s">
        <v>10</v>
      </c>
      <c r="E2815" s="2" t="s">
        <v>16</v>
      </c>
      <c r="F2815" s="2">
        <v>1</v>
      </c>
      <c r="G2815" s="2" t="s">
        <v>17</v>
      </c>
    </row>
    <row r="2816" spans="1:7" x14ac:dyDescent="0.2">
      <c r="A2816" s="2" t="s">
        <v>3509</v>
      </c>
      <c r="B2816" s="2" t="s">
        <v>3774</v>
      </c>
      <c r="C2816" s="2" t="s">
        <v>3734</v>
      </c>
      <c r="D2816" s="2" t="s">
        <v>10</v>
      </c>
      <c r="E2816" s="2" t="s">
        <v>16</v>
      </c>
      <c r="F2816" s="2">
        <v>2</v>
      </c>
      <c r="G2816" s="2" t="s">
        <v>17</v>
      </c>
    </row>
    <row r="2817" spans="1:7" x14ac:dyDescent="0.2">
      <c r="A2817" s="2" t="s">
        <v>3509</v>
      </c>
      <c r="B2817" s="2" t="s">
        <v>3775</v>
      </c>
      <c r="C2817" s="2" t="s">
        <v>1985</v>
      </c>
      <c r="D2817" s="2" t="s">
        <v>10</v>
      </c>
      <c r="E2817" s="2" t="s">
        <v>16</v>
      </c>
      <c r="F2817" s="2">
        <v>1</v>
      </c>
      <c r="G2817" s="2" t="s">
        <v>17</v>
      </c>
    </row>
    <row r="2818" spans="1:7" x14ac:dyDescent="0.2">
      <c r="A2818" s="2" t="s">
        <v>3509</v>
      </c>
      <c r="B2818" s="2" t="s">
        <v>3776</v>
      </c>
      <c r="C2818" s="2" t="s">
        <v>1985</v>
      </c>
      <c r="D2818" s="2" t="s">
        <v>10</v>
      </c>
      <c r="E2818" s="2" t="s">
        <v>16</v>
      </c>
      <c r="F2818" s="2">
        <v>1</v>
      </c>
      <c r="G2818" s="2" t="s">
        <v>17</v>
      </c>
    </row>
    <row r="2819" spans="1:7" x14ac:dyDescent="0.2">
      <c r="A2819" s="2" t="s">
        <v>3509</v>
      </c>
      <c r="B2819" s="2" t="s">
        <v>3777</v>
      </c>
      <c r="C2819" s="2" t="s">
        <v>2004</v>
      </c>
      <c r="D2819" s="2" t="s">
        <v>10</v>
      </c>
      <c r="E2819" s="2" t="s">
        <v>16</v>
      </c>
      <c r="F2819" s="2">
        <v>1</v>
      </c>
      <c r="G2819" s="2" t="s">
        <v>17</v>
      </c>
    </row>
    <row r="2820" spans="1:7" x14ac:dyDescent="0.2">
      <c r="A2820" s="2" t="s">
        <v>3509</v>
      </c>
      <c r="B2820" s="2" t="s">
        <v>3778</v>
      </c>
      <c r="C2820" s="2" t="s">
        <v>3605</v>
      </c>
      <c r="D2820" s="2" t="s">
        <v>10</v>
      </c>
      <c r="E2820" s="2" t="s">
        <v>11</v>
      </c>
      <c r="F2820" s="2">
        <v>2</v>
      </c>
      <c r="G2820" s="2" t="s">
        <v>17</v>
      </c>
    </row>
    <row r="2821" spans="1:7" x14ac:dyDescent="0.2">
      <c r="A2821" s="2" t="s">
        <v>3509</v>
      </c>
      <c r="B2821" s="2" t="s">
        <v>3779</v>
      </c>
      <c r="C2821" s="2" t="s">
        <v>1985</v>
      </c>
      <c r="D2821" s="2" t="s">
        <v>10</v>
      </c>
      <c r="E2821" s="2" t="s">
        <v>16</v>
      </c>
      <c r="F2821" s="2">
        <v>1</v>
      </c>
      <c r="G2821" s="2" t="s">
        <v>17</v>
      </c>
    </row>
    <row r="2822" spans="1:7" x14ac:dyDescent="0.2">
      <c r="A2822" s="2" t="s">
        <v>3509</v>
      </c>
      <c r="B2822" s="2" t="s">
        <v>3780</v>
      </c>
      <c r="C2822" s="2" t="s">
        <v>1985</v>
      </c>
      <c r="D2822" s="2" t="s">
        <v>10</v>
      </c>
      <c r="E2822" s="2" t="s">
        <v>16</v>
      </c>
      <c r="F2822" s="2">
        <v>1</v>
      </c>
      <c r="G2822" s="2" t="s">
        <v>17</v>
      </c>
    </row>
    <row r="2823" spans="1:7" x14ac:dyDescent="0.2">
      <c r="A2823" s="2" t="s">
        <v>3509</v>
      </c>
      <c r="B2823" s="2" t="s">
        <v>3781</v>
      </c>
      <c r="C2823" s="2" t="s">
        <v>3559</v>
      </c>
      <c r="D2823" s="2" t="s">
        <v>10</v>
      </c>
      <c r="E2823" s="2" t="s">
        <v>16</v>
      </c>
      <c r="F2823" s="2">
        <v>2</v>
      </c>
      <c r="G2823" s="2" t="s">
        <v>17</v>
      </c>
    </row>
    <row r="2824" spans="1:7" x14ac:dyDescent="0.2">
      <c r="A2824" s="2" t="s">
        <v>3509</v>
      </c>
      <c r="B2824" s="2" t="s">
        <v>1304</v>
      </c>
      <c r="C2824" s="2" t="s">
        <v>1990</v>
      </c>
      <c r="D2824" s="2" t="s">
        <v>10</v>
      </c>
      <c r="E2824" s="2" t="s">
        <v>16</v>
      </c>
      <c r="F2824" s="2">
        <v>1</v>
      </c>
      <c r="G2824" s="2" t="s">
        <v>17</v>
      </c>
    </row>
    <row r="2825" spans="1:7" x14ac:dyDescent="0.2">
      <c r="A2825" s="2" t="s">
        <v>3509</v>
      </c>
      <c r="B2825" s="2" t="s">
        <v>3782</v>
      </c>
      <c r="C2825" s="2" t="s">
        <v>2004</v>
      </c>
      <c r="D2825" s="2" t="s">
        <v>10</v>
      </c>
      <c r="E2825" s="2" t="s">
        <v>16</v>
      </c>
      <c r="F2825" s="2">
        <v>1</v>
      </c>
      <c r="G2825" s="2" t="s">
        <v>17</v>
      </c>
    </row>
    <row r="2826" spans="1:7" x14ac:dyDescent="0.2">
      <c r="A2826" s="2" t="s">
        <v>3509</v>
      </c>
      <c r="B2826" s="2" t="s">
        <v>3783</v>
      </c>
      <c r="C2826" s="2" t="s">
        <v>3517</v>
      </c>
      <c r="D2826" s="2" t="s">
        <v>10</v>
      </c>
      <c r="E2826" s="2" t="s">
        <v>16</v>
      </c>
      <c r="F2826" s="2">
        <v>1</v>
      </c>
      <c r="G2826" s="2" t="s">
        <v>17</v>
      </c>
    </row>
    <row r="2827" spans="1:7" x14ac:dyDescent="0.2">
      <c r="A2827" s="2" t="s">
        <v>3509</v>
      </c>
      <c r="B2827" s="2" t="s">
        <v>3784</v>
      </c>
      <c r="C2827" s="2" t="s">
        <v>3564</v>
      </c>
      <c r="D2827" s="2" t="s">
        <v>10</v>
      </c>
      <c r="E2827" s="2" t="s">
        <v>16</v>
      </c>
      <c r="F2827" s="2">
        <v>2</v>
      </c>
      <c r="G2827" s="2" t="s">
        <v>17</v>
      </c>
    </row>
    <row r="2828" spans="1:7" x14ac:dyDescent="0.2">
      <c r="A2828" s="2" t="s">
        <v>3509</v>
      </c>
      <c r="B2828" s="2" t="s">
        <v>3785</v>
      </c>
      <c r="C2828" s="2" t="s">
        <v>3710</v>
      </c>
      <c r="D2828" s="2" t="s">
        <v>10</v>
      </c>
      <c r="E2828" s="2" t="s">
        <v>16</v>
      </c>
      <c r="F2828" s="2">
        <v>1</v>
      </c>
      <c r="G2828" s="2" t="s">
        <v>17</v>
      </c>
    </row>
    <row r="2829" spans="1:7" x14ac:dyDescent="0.2">
      <c r="A2829" s="2" t="s">
        <v>3509</v>
      </c>
      <c r="B2829" s="2" t="s">
        <v>3786</v>
      </c>
      <c r="C2829" s="2" t="s">
        <v>3710</v>
      </c>
      <c r="D2829" s="2" t="s">
        <v>10</v>
      </c>
      <c r="E2829" s="2" t="s">
        <v>16</v>
      </c>
      <c r="F2829" s="2">
        <v>1</v>
      </c>
      <c r="G2829" s="2" t="s">
        <v>17</v>
      </c>
    </row>
    <row r="2830" spans="1:7" x14ac:dyDescent="0.2">
      <c r="A2830" s="2" t="s">
        <v>3509</v>
      </c>
      <c r="B2830" s="2" t="s">
        <v>3787</v>
      </c>
      <c r="C2830" s="2" t="s">
        <v>3710</v>
      </c>
      <c r="D2830" s="2" t="s">
        <v>10</v>
      </c>
      <c r="E2830" s="2" t="s">
        <v>16</v>
      </c>
      <c r="F2830" s="2">
        <v>1</v>
      </c>
      <c r="G2830" s="2" t="s">
        <v>17</v>
      </c>
    </row>
    <row r="2831" spans="1:7" x14ac:dyDescent="0.2">
      <c r="A2831" s="2" t="s">
        <v>3509</v>
      </c>
      <c r="B2831" s="2" t="s">
        <v>3788</v>
      </c>
      <c r="C2831" s="2" t="s">
        <v>3710</v>
      </c>
      <c r="D2831" s="2" t="s">
        <v>10</v>
      </c>
      <c r="E2831" s="2" t="s">
        <v>16</v>
      </c>
      <c r="F2831" s="2">
        <v>1</v>
      </c>
      <c r="G2831" s="2" t="s">
        <v>17</v>
      </c>
    </row>
    <row r="2832" spans="1:7" x14ac:dyDescent="0.2">
      <c r="A2832" s="2" t="s">
        <v>3509</v>
      </c>
      <c r="B2832" s="2" t="s">
        <v>3789</v>
      </c>
      <c r="C2832" s="2" t="s">
        <v>3790</v>
      </c>
      <c r="D2832" s="2" t="s">
        <v>10</v>
      </c>
      <c r="E2832" s="2" t="s">
        <v>16</v>
      </c>
      <c r="F2832" s="2">
        <v>1</v>
      </c>
      <c r="G2832" s="2" t="s">
        <v>17</v>
      </c>
    </row>
    <row r="2833" spans="1:7" x14ac:dyDescent="0.2">
      <c r="A2833" s="2" t="s">
        <v>3509</v>
      </c>
      <c r="B2833" s="2" t="s">
        <v>3791</v>
      </c>
      <c r="C2833" s="2" t="s">
        <v>3643</v>
      </c>
      <c r="D2833" s="2" t="s">
        <v>10</v>
      </c>
      <c r="E2833" s="2" t="s">
        <v>16</v>
      </c>
      <c r="F2833" s="2">
        <v>2</v>
      </c>
      <c r="G2833" s="2" t="s">
        <v>17</v>
      </c>
    </row>
    <row r="2834" spans="1:7" x14ac:dyDescent="0.2">
      <c r="A2834" s="2" t="s">
        <v>3509</v>
      </c>
      <c r="B2834" s="2" t="s">
        <v>3792</v>
      </c>
      <c r="C2834" s="2" t="s">
        <v>1997</v>
      </c>
      <c r="D2834" s="2" t="s">
        <v>10</v>
      </c>
      <c r="E2834" s="2" t="s">
        <v>16</v>
      </c>
      <c r="F2834" s="2">
        <v>2</v>
      </c>
      <c r="G2834" s="2" t="s">
        <v>17</v>
      </c>
    </row>
    <row r="2835" spans="1:7" x14ac:dyDescent="0.2">
      <c r="A2835" s="2" t="s">
        <v>3509</v>
      </c>
      <c r="B2835" s="2" t="s">
        <v>3793</v>
      </c>
      <c r="C2835" s="2" t="s">
        <v>3658</v>
      </c>
      <c r="D2835" s="2" t="s">
        <v>10</v>
      </c>
      <c r="E2835" s="2" t="s">
        <v>52</v>
      </c>
      <c r="F2835" s="2">
        <v>2</v>
      </c>
      <c r="G2835" s="2" t="s">
        <v>17</v>
      </c>
    </row>
    <row r="2836" spans="1:7" x14ac:dyDescent="0.2">
      <c r="A2836" s="2" t="s">
        <v>3509</v>
      </c>
      <c r="B2836" s="2" t="s">
        <v>3794</v>
      </c>
      <c r="C2836" s="2" t="s">
        <v>3795</v>
      </c>
      <c r="D2836" s="2" t="s">
        <v>10</v>
      </c>
      <c r="E2836" s="2" t="s">
        <v>11</v>
      </c>
      <c r="F2836" s="2">
        <v>2</v>
      </c>
      <c r="G2836" s="2" t="s">
        <v>12</v>
      </c>
    </row>
    <row r="2837" spans="1:7" x14ac:dyDescent="0.2">
      <c r="A2837" s="2" t="s">
        <v>3509</v>
      </c>
      <c r="B2837" s="2">
        <v>400</v>
      </c>
      <c r="C2837" s="2" t="s">
        <v>3719</v>
      </c>
      <c r="D2837" s="2" t="s">
        <v>10</v>
      </c>
      <c r="E2837" s="2" t="s">
        <v>16</v>
      </c>
      <c r="F2837" s="2">
        <v>1</v>
      </c>
      <c r="G2837" s="2" t="s">
        <v>17</v>
      </c>
    </row>
    <row r="2838" spans="1:7" x14ac:dyDescent="0.2">
      <c r="A2838" s="2" t="s">
        <v>3509</v>
      </c>
      <c r="B2838" s="2" t="s">
        <v>3796</v>
      </c>
      <c r="C2838" s="2" t="s">
        <v>3797</v>
      </c>
      <c r="D2838" s="2" t="s">
        <v>10</v>
      </c>
      <c r="E2838" s="2" t="s">
        <v>16</v>
      </c>
      <c r="F2838" s="2">
        <v>1</v>
      </c>
      <c r="G2838" s="2" t="s">
        <v>17</v>
      </c>
    </row>
    <row r="2839" spans="1:7" x14ac:dyDescent="0.2">
      <c r="A2839" s="2" t="s">
        <v>3509</v>
      </c>
      <c r="B2839" s="2" t="s">
        <v>3798</v>
      </c>
      <c r="C2839" s="2" t="s">
        <v>3797</v>
      </c>
      <c r="D2839" s="2" t="s">
        <v>10</v>
      </c>
      <c r="E2839" s="2" t="s">
        <v>16</v>
      </c>
      <c r="F2839" s="2">
        <v>1</v>
      </c>
      <c r="G2839" s="2" t="s">
        <v>17</v>
      </c>
    </row>
    <row r="2840" spans="1:7" x14ac:dyDescent="0.2">
      <c r="A2840" s="2" t="s">
        <v>3509</v>
      </c>
      <c r="B2840" s="2" t="s">
        <v>3799</v>
      </c>
      <c r="C2840" s="2" t="s">
        <v>3719</v>
      </c>
      <c r="D2840" s="2" t="s">
        <v>10</v>
      </c>
      <c r="E2840" s="2" t="s">
        <v>16</v>
      </c>
      <c r="F2840" s="2">
        <v>1</v>
      </c>
      <c r="G2840" s="2" t="s">
        <v>17</v>
      </c>
    </row>
    <row r="2841" spans="1:7" x14ac:dyDescent="0.2">
      <c r="A2841" s="2" t="s">
        <v>3509</v>
      </c>
      <c r="B2841" s="2" t="s">
        <v>3800</v>
      </c>
      <c r="C2841" s="2" t="s">
        <v>3797</v>
      </c>
      <c r="D2841" s="2" t="s">
        <v>10</v>
      </c>
      <c r="E2841" s="2" t="s">
        <v>16</v>
      </c>
      <c r="F2841" s="2">
        <v>1</v>
      </c>
      <c r="G2841" s="2" t="s">
        <v>17</v>
      </c>
    </row>
    <row r="2842" spans="1:7" x14ac:dyDescent="0.2">
      <c r="A2842" s="2" t="s">
        <v>3509</v>
      </c>
      <c r="B2842" s="2" t="s">
        <v>3801</v>
      </c>
      <c r="C2842" s="2" t="s">
        <v>3802</v>
      </c>
      <c r="D2842" s="2" t="s">
        <v>10</v>
      </c>
      <c r="E2842" s="2" t="s">
        <v>11</v>
      </c>
      <c r="F2842" s="2">
        <v>2</v>
      </c>
      <c r="G2842" s="2" t="s">
        <v>17</v>
      </c>
    </row>
    <row r="2843" spans="1:7" x14ac:dyDescent="0.2">
      <c r="A2843" s="2" t="s">
        <v>3509</v>
      </c>
      <c r="B2843" s="2" t="s">
        <v>3803</v>
      </c>
      <c r="C2843" s="2" t="s">
        <v>3802</v>
      </c>
      <c r="D2843" s="2" t="s">
        <v>10</v>
      </c>
      <c r="E2843" s="2" t="s">
        <v>11</v>
      </c>
      <c r="F2843" s="2">
        <v>2</v>
      </c>
      <c r="G2843" s="2" t="s">
        <v>17</v>
      </c>
    </row>
    <row r="2844" spans="1:7" x14ac:dyDescent="0.2">
      <c r="A2844" s="2" t="s">
        <v>3509</v>
      </c>
      <c r="B2844" s="2">
        <v>350</v>
      </c>
      <c r="C2844" s="2" t="s">
        <v>3797</v>
      </c>
      <c r="D2844" s="2" t="s">
        <v>10</v>
      </c>
      <c r="E2844" s="2" t="s">
        <v>16</v>
      </c>
      <c r="F2844" s="2">
        <v>1</v>
      </c>
      <c r="G2844" s="2" t="s">
        <v>17</v>
      </c>
    </row>
    <row r="2845" spans="1:7" x14ac:dyDescent="0.2">
      <c r="A2845" s="2" t="s">
        <v>3509</v>
      </c>
      <c r="B2845" s="2" t="s">
        <v>3804</v>
      </c>
      <c r="C2845" s="2" t="s">
        <v>3797</v>
      </c>
      <c r="D2845" s="2" t="s">
        <v>10</v>
      </c>
      <c r="E2845" s="2" t="s">
        <v>16</v>
      </c>
      <c r="F2845" s="2">
        <v>1</v>
      </c>
      <c r="G2845" s="2" t="s">
        <v>17</v>
      </c>
    </row>
    <row r="2846" spans="1:7" x14ac:dyDescent="0.2">
      <c r="A2846" s="2" t="s">
        <v>3509</v>
      </c>
      <c r="B2846" s="2" t="s">
        <v>3805</v>
      </c>
      <c r="C2846" s="2" t="s">
        <v>3719</v>
      </c>
      <c r="D2846" s="2" t="s">
        <v>10</v>
      </c>
      <c r="E2846" s="2" t="s">
        <v>16</v>
      </c>
      <c r="F2846" s="2">
        <v>1</v>
      </c>
      <c r="G2846" s="2" t="s">
        <v>17</v>
      </c>
    </row>
    <row r="2847" spans="1:7" x14ac:dyDescent="0.2">
      <c r="A2847" s="2" t="s">
        <v>3509</v>
      </c>
      <c r="B2847" s="2" t="s">
        <v>3806</v>
      </c>
      <c r="C2847" s="2" t="s">
        <v>3724</v>
      </c>
      <c r="D2847" s="2" t="s">
        <v>10</v>
      </c>
      <c r="E2847" s="2" t="s">
        <v>16</v>
      </c>
      <c r="F2847" s="2">
        <v>1</v>
      </c>
      <c r="G2847" s="2" t="s">
        <v>17</v>
      </c>
    </row>
    <row r="2848" spans="1:7" x14ac:dyDescent="0.2">
      <c r="A2848" s="2" t="s">
        <v>3509</v>
      </c>
      <c r="B2848" s="2" t="s">
        <v>3807</v>
      </c>
      <c r="C2848" s="2" t="s">
        <v>3540</v>
      </c>
      <c r="D2848" s="2" t="s">
        <v>10</v>
      </c>
      <c r="E2848" s="2" t="s">
        <v>16</v>
      </c>
      <c r="F2848" s="2">
        <v>1</v>
      </c>
      <c r="G2848" s="2" t="s">
        <v>17</v>
      </c>
    </row>
    <row r="2849" spans="1:7" x14ac:dyDescent="0.2">
      <c r="A2849" s="2" t="s">
        <v>3509</v>
      </c>
      <c r="B2849" s="2" t="s">
        <v>3808</v>
      </c>
      <c r="C2849" s="2" t="s">
        <v>3540</v>
      </c>
      <c r="D2849" s="2" t="s">
        <v>10</v>
      </c>
      <c r="E2849" s="2" t="s">
        <v>16</v>
      </c>
      <c r="F2849" s="2">
        <v>1</v>
      </c>
      <c r="G2849" s="2" t="s">
        <v>17</v>
      </c>
    </row>
    <row r="2850" spans="1:7" x14ac:dyDescent="0.2">
      <c r="A2850" s="2" t="s">
        <v>3509</v>
      </c>
      <c r="B2850" s="2" t="s">
        <v>3809</v>
      </c>
      <c r="C2850" s="2" t="s">
        <v>3540</v>
      </c>
      <c r="D2850" s="2" t="s">
        <v>10</v>
      </c>
      <c r="E2850" s="2" t="s">
        <v>16</v>
      </c>
      <c r="F2850" s="2">
        <v>1</v>
      </c>
      <c r="G2850" s="2" t="s">
        <v>17</v>
      </c>
    </row>
    <row r="2851" spans="1:7" x14ac:dyDescent="0.2">
      <c r="A2851" s="2" t="s">
        <v>3509</v>
      </c>
      <c r="B2851" s="2" t="s">
        <v>3810</v>
      </c>
      <c r="C2851" s="2" t="s">
        <v>1995</v>
      </c>
      <c r="D2851" s="2" t="s">
        <v>10</v>
      </c>
      <c r="E2851" s="2" t="s">
        <v>16</v>
      </c>
      <c r="F2851" s="2">
        <v>2</v>
      </c>
      <c r="G2851" s="2" t="s">
        <v>17</v>
      </c>
    </row>
    <row r="2852" spans="1:7" x14ac:dyDescent="0.2">
      <c r="A2852" s="2" t="s">
        <v>3509</v>
      </c>
      <c r="B2852" s="2" t="s">
        <v>3811</v>
      </c>
      <c r="C2852" s="2" t="s">
        <v>1994</v>
      </c>
      <c r="D2852" s="2" t="s">
        <v>10</v>
      </c>
      <c r="E2852" s="2" t="s">
        <v>16</v>
      </c>
      <c r="F2852" s="2">
        <v>2</v>
      </c>
      <c r="G2852" s="2" t="s">
        <v>17</v>
      </c>
    </row>
    <row r="2853" spans="1:7" x14ac:dyDescent="0.2">
      <c r="A2853" s="2" t="s">
        <v>3509</v>
      </c>
      <c r="B2853" s="2" t="s">
        <v>3812</v>
      </c>
      <c r="C2853" s="2" t="s">
        <v>1935</v>
      </c>
      <c r="D2853" s="2" t="s">
        <v>10</v>
      </c>
      <c r="E2853" s="2" t="s">
        <v>16</v>
      </c>
      <c r="F2853" s="2">
        <v>1</v>
      </c>
      <c r="G2853" s="2" t="s">
        <v>17</v>
      </c>
    </row>
    <row r="2854" spans="1:7" x14ac:dyDescent="0.2">
      <c r="A2854" s="2" t="s">
        <v>3509</v>
      </c>
      <c r="B2854" s="2" t="s">
        <v>3813</v>
      </c>
      <c r="C2854" s="2" t="s">
        <v>1935</v>
      </c>
      <c r="D2854" s="2" t="s">
        <v>10</v>
      </c>
      <c r="E2854" s="2" t="s">
        <v>16</v>
      </c>
      <c r="F2854" s="2">
        <v>1</v>
      </c>
      <c r="G2854" s="2" t="s">
        <v>17</v>
      </c>
    </row>
    <row r="2855" spans="1:7" x14ac:dyDescent="0.2">
      <c r="A2855" s="2" t="s">
        <v>3509</v>
      </c>
      <c r="B2855" s="2" t="s">
        <v>3814</v>
      </c>
      <c r="C2855" s="2" t="s">
        <v>3522</v>
      </c>
      <c r="D2855" s="2" t="s">
        <v>10</v>
      </c>
      <c r="E2855" s="2" t="s">
        <v>16</v>
      </c>
      <c r="F2855" s="2">
        <v>1</v>
      </c>
      <c r="G2855" s="2" t="s">
        <v>17</v>
      </c>
    </row>
    <row r="2856" spans="1:7" x14ac:dyDescent="0.2">
      <c r="A2856" s="2" t="s">
        <v>3509</v>
      </c>
      <c r="B2856" s="2" t="s">
        <v>3815</v>
      </c>
      <c r="C2856" s="2" t="s">
        <v>3544</v>
      </c>
      <c r="D2856" s="2" t="s">
        <v>10</v>
      </c>
      <c r="E2856" s="2" t="s">
        <v>52</v>
      </c>
      <c r="F2856" s="2">
        <v>1</v>
      </c>
      <c r="G2856" s="2" t="s">
        <v>17</v>
      </c>
    </row>
    <row r="2857" spans="1:7" x14ac:dyDescent="0.2">
      <c r="A2857" s="2" t="s">
        <v>3509</v>
      </c>
      <c r="B2857" s="2" t="s">
        <v>3816</v>
      </c>
      <c r="C2857" s="2" t="s">
        <v>1992</v>
      </c>
      <c r="D2857" s="2" t="s">
        <v>10</v>
      </c>
      <c r="E2857" s="2" t="s">
        <v>16</v>
      </c>
      <c r="F2857" s="2">
        <v>1</v>
      </c>
      <c r="G2857" s="2" t="s">
        <v>17</v>
      </c>
    </row>
    <row r="2858" spans="1:7" x14ac:dyDescent="0.2">
      <c r="A2858" s="2" t="s">
        <v>3509</v>
      </c>
      <c r="B2858" s="2" t="s">
        <v>3817</v>
      </c>
      <c r="C2858" s="2" t="s">
        <v>1992</v>
      </c>
      <c r="D2858" s="2" t="s">
        <v>10</v>
      </c>
      <c r="E2858" s="2" t="s">
        <v>16</v>
      </c>
      <c r="F2858" s="2">
        <v>1</v>
      </c>
      <c r="G2858" s="2" t="s">
        <v>17</v>
      </c>
    </row>
    <row r="2859" spans="1:7" x14ac:dyDescent="0.2">
      <c r="A2859" s="2" t="s">
        <v>3509</v>
      </c>
      <c r="B2859" s="2" t="s">
        <v>3818</v>
      </c>
      <c r="C2859" s="2" t="s">
        <v>1992</v>
      </c>
      <c r="D2859" s="2" t="s">
        <v>10</v>
      </c>
      <c r="E2859" s="2" t="s">
        <v>16</v>
      </c>
      <c r="F2859" s="2">
        <v>1</v>
      </c>
      <c r="G2859" s="2" t="s">
        <v>17</v>
      </c>
    </row>
    <row r="2860" spans="1:7" x14ac:dyDescent="0.2">
      <c r="A2860" s="2" t="s">
        <v>3509</v>
      </c>
      <c r="B2860" s="2" t="s">
        <v>3819</v>
      </c>
      <c r="C2860" s="2" t="s">
        <v>1992</v>
      </c>
      <c r="D2860" s="2" t="s">
        <v>10</v>
      </c>
      <c r="E2860" s="2" t="s">
        <v>16</v>
      </c>
      <c r="F2860" s="2">
        <v>1</v>
      </c>
      <c r="G2860" s="2" t="s">
        <v>17</v>
      </c>
    </row>
    <row r="2861" spans="1:7" x14ac:dyDescent="0.2">
      <c r="A2861" s="2" t="s">
        <v>3509</v>
      </c>
      <c r="B2861" s="2" t="s">
        <v>3820</v>
      </c>
      <c r="C2861" s="2" t="s">
        <v>3609</v>
      </c>
      <c r="D2861" s="2" t="s">
        <v>10</v>
      </c>
      <c r="E2861" s="2" t="s">
        <v>11</v>
      </c>
      <c r="F2861" s="2">
        <v>2</v>
      </c>
      <c r="G2861" s="2" t="s">
        <v>12</v>
      </c>
    </row>
    <row r="2862" spans="1:7" x14ac:dyDescent="0.2">
      <c r="A2862" s="2" t="s">
        <v>3509</v>
      </c>
      <c r="B2862" s="2" t="s">
        <v>3821</v>
      </c>
      <c r="C2862" s="2" t="s">
        <v>3609</v>
      </c>
      <c r="D2862" s="2" t="s">
        <v>10</v>
      </c>
      <c r="E2862" s="2" t="s">
        <v>11</v>
      </c>
      <c r="F2862" s="2">
        <v>2</v>
      </c>
      <c r="G2862" s="2" t="s">
        <v>12</v>
      </c>
    </row>
    <row r="2863" spans="1:7" x14ac:dyDescent="0.2">
      <c r="A2863" s="2" t="s">
        <v>3509</v>
      </c>
      <c r="B2863" s="2" t="s">
        <v>3822</v>
      </c>
      <c r="C2863" s="2" t="s">
        <v>3544</v>
      </c>
      <c r="D2863" s="2" t="s">
        <v>10</v>
      </c>
      <c r="E2863" s="2" t="s">
        <v>52</v>
      </c>
      <c r="F2863" s="2">
        <v>1</v>
      </c>
      <c r="G2863" s="2" t="s">
        <v>17</v>
      </c>
    </row>
    <row r="2864" spans="1:7" x14ac:dyDescent="0.2">
      <c r="A2864" s="2" t="s">
        <v>3509</v>
      </c>
      <c r="B2864" s="2" t="s">
        <v>3823</v>
      </c>
      <c r="C2864" s="2" t="s">
        <v>3824</v>
      </c>
      <c r="D2864" s="2" t="s">
        <v>10</v>
      </c>
      <c r="E2864" s="2" t="s">
        <v>16</v>
      </c>
      <c r="F2864" s="2">
        <v>1</v>
      </c>
      <c r="G2864" s="2" t="s">
        <v>17</v>
      </c>
    </row>
    <row r="2865" spans="1:7" x14ac:dyDescent="0.2">
      <c r="A2865" s="2" t="s">
        <v>3509</v>
      </c>
      <c r="B2865" s="2" t="s">
        <v>3825</v>
      </c>
      <c r="C2865" s="2" t="s">
        <v>3824</v>
      </c>
      <c r="D2865" s="2" t="s">
        <v>10</v>
      </c>
      <c r="E2865" s="2" t="s">
        <v>16</v>
      </c>
      <c r="F2865" s="2">
        <v>1</v>
      </c>
      <c r="G2865" s="2" t="s">
        <v>17</v>
      </c>
    </row>
    <row r="2866" spans="1:7" x14ac:dyDescent="0.2">
      <c r="A2866" s="2" t="s">
        <v>3509</v>
      </c>
      <c r="B2866" s="2" t="s">
        <v>3826</v>
      </c>
      <c r="C2866" s="2" t="s">
        <v>3824</v>
      </c>
      <c r="D2866" s="2" t="s">
        <v>10</v>
      </c>
      <c r="E2866" s="2" t="s">
        <v>16</v>
      </c>
      <c r="F2866" s="2">
        <v>1</v>
      </c>
      <c r="G2866" s="2" t="s">
        <v>17</v>
      </c>
    </row>
    <row r="2867" spans="1:7" x14ac:dyDescent="0.2">
      <c r="A2867" s="2" t="s">
        <v>3509</v>
      </c>
      <c r="B2867" s="2" t="s">
        <v>3827</v>
      </c>
      <c r="C2867" s="2" t="s">
        <v>3824</v>
      </c>
      <c r="D2867" s="2" t="s">
        <v>10</v>
      </c>
      <c r="E2867" s="2" t="s">
        <v>16</v>
      </c>
      <c r="F2867" s="2">
        <v>1</v>
      </c>
      <c r="G2867" s="2" t="s">
        <v>17</v>
      </c>
    </row>
    <row r="2868" spans="1:7" x14ac:dyDescent="0.2">
      <c r="A2868" s="2" t="s">
        <v>3509</v>
      </c>
      <c r="B2868" s="2" t="s">
        <v>3828</v>
      </c>
      <c r="C2868" s="2" t="s">
        <v>3790</v>
      </c>
      <c r="D2868" s="2" t="s">
        <v>10</v>
      </c>
      <c r="E2868" s="2" t="s">
        <v>16</v>
      </c>
      <c r="F2868" s="2">
        <v>1</v>
      </c>
      <c r="G2868" s="2" t="s">
        <v>17</v>
      </c>
    </row>
    <row r="2869" spans="1:7" x14ac:dyDescent="0.2">
      <c r="A2869" s="2" t="s">
        <v>3509</v>
      </c>
      <c r="B2869" s="2" t="s">
        <v>3829</v>
      </c>
      <c r="C2869" s="2" t="s">
        <v>3710</v>
      </c>
      <c r="D2869" s="2" t="s">
        <v>10</v>
      </c>
      <c r="E2869" s="2" t="s">
        <v>16</v>
      </c>
      <c r="F2869" s="2">
        <v>1</v>
      </c>
      <c r="G2869" s="2" t="s">
        <v>17</v>
      </c>
    </row>
    <row r="2870" spans="1:7" x14ac:dyDescent="0.2">
      <c r="A2870" s="2" t="s">
        <v>3509</v>
      </c>
      <c r="B2870" s="2" t="s">
        <v>3830</v>
      </c>
      <c r="C2870" s="2" t="s">
        <v>3710</v>
      </c>
      <c r="D2870" s="2" t="s">
        <v>10</v>
      </c>
      <c r="E2870" s="2" t="s">
        <v>16</v>
      </c>
      <c r="F2870" s="2">
        <v>1</v>
      </c>
      <c r="G2870" s="2" t="s">
        <v>17</v>
      </c>
    </row>
    <row r="2871" spans="1:7" x14ac:dyDescent="0.2">
      <c r="A2871" s="2" t="s">
        <v>3509</v>
      </c>
      <c r="B2871" s="2" t="s">
        <v>3831</v>
      </c>
      <c r="C2871" s="2" t="s">
        <v>3544</v>
      </c>
      <c r="D2871" s="2" t="s">
        <v>10</v>
      </c>
      <c r="E2871" s="2" t="s">
        <v>52</v>
      </c>
      <c r="F2871" s="2">
        <v>1</v>
      </c>
      <c r="G2871" s="2" t="s">
        <v>17</v>
      </c>
    </row>
    <row r="2872" spans="1:7" x14ac:dyDescent="0.2">
      <c r="A2872" s="2" t="s">
        <v>3509</v>
      </c>
      <c r="B2872" s="2" t="s">
        <v>3832</v>
      </c>
      <c r="C2872" s="2" t="s">
        <v>3544</v>
      </c>
      <c r="D2872" s="2" t="s">
        <v>10</v>
      </c>
      <c r="E2872" s="2" t="s">
        <v>52</v>
      </c>
      <c r="F2872" s="2">
        <v>1</v>
      </c>
      <c r="G2872" s="2" t="s">
        <v>17</v>
      </c>
    </row>
    <row r="2873" spans="1:7" x14ac:dyDescent="0.2">
      <c r="A2873" s="2" t="s">
        <v>3509</v>
      </c>
      <c r="B2873" s="2" t="s">
        <v>3833</v>
      </c>
      <c r="C2873" s="2" t="s">
        <v>3544</v>
      </c>
      <c r="D2873" s="2" t="s">
        <v>10</v>
      </c>
      <c r="E2873" s="2" t="s">
        <v>52</v>
      </c>
      <c r="F2873" s="2">
        <v>1</v>
      </c>
      <c r="G2873" s="2" t="s">
        <v>17</v>
      </c>
    </row>
    <row r="2874" spans="1:7" x14ac:dyDescent="0.2">
      <c r="A2874" s="2" t="s">
        <v>3509</v>
      </c>
      <c r="B2874" s="2" t="s">
        <v>3834</v>
      </c>
      <c r="C2874" s="2" t="s">
        <v>3795</v>
      </c>
      <c r="D2874" s="2" t="s">
        <v>10</v>
      </c>
      <c r="E2874" s="2" t="s">
        <v>11</v>
      </c>
      <c r="F2874" s="2">
        <v>2</v>
      </c>
      <c r="G2874" s="2" t="s">
        <v>12</v>
      </c>
    </row>
    <row r="2875" spans="1:7" x14ac:dyDescent="0.2">
      <c r="A2875" s="2" t="s">
        <v>3509</v>
      </c>
      <c r="B2875" s="2" t="s">
        <v>3835</v>
      </c>
      <c r="C2875" s="2" t="s">
        <v>3836</v>
      </c>
      <c r="D2875" s="2" t="s">
        <v>10</v>
      </c>
      <c r="E2875" s="2" t="s">
        <v>11</v>
      </c>
      <c r="F2875" s="2">
        <v>2</v>
      </c>
      <c r="G2875" s="2" t="s">
        <v>12</v>
      </c>
    </row>
    <row r="2876" spans="1:7" x14ac:dyDescent="0.2">
      <c r="A2876" s="2" t="s">
        <v>3509</v>
      </c>
      <c r="B2876" s="2" t="s">
        <v>3837</v>
      </c>
      <c r="C2876" s="2" t="s">
        <v>3836</v>
      </c>
      <c r="D2876" s="2" t="s">
        <v>10</v>
      </c>
      <c r="E2876" s="2" t="s">
        <v>11</v>
      </c>
      <c r="F2876" s="2">
        <v>2</v>
      </c>
      <c r="G2876" s="2" t="s">
        <v>12</v>
      </c>
    </row>
    <row r="2877" spans="1:7" x14ac:dyDescent="0.2">
      <c r="A2877" s="2" t="s">
        <v>3509</v>
      </c>
      <c r="B2877" s="2" t="s">
        <v>3838</v>
      </c>
      <c r="C2877" s="2" t="s">
        <v>3838</v>
      </c>
      <c r="D2877" s="2" t="s">
        <v>10</v>
      </c>
      <c r="E2877" s="2" t="s">
        <v>52</v>
      </c>
      <c r="F2877" s="2">
        <v>1</v>
      </c>
      <c r="G2877" s="2" t="s">
        <v>17</v>
      </c>
    </row>
    <row r="2878" spans="1:7" x14ac:dyDescent="0.2">
      <c r="A2878" s="2" t="s">
        <v>3509</v>
      </c>
      <c r="B2878" s="2" t="s">
        <v>3839</v>
      </c>
      <c r="C2878" s="2" t="s">
        <v>3840</v>
      </c>
      <c r="D2878" s="2" t="s">
        <v>10</v>
      </c>
      <c r="E2878" s="2" t="s">
        <v>11</v>
      </c>
      <c r="F2878" s="2">
        <v>2</v>
      </c>
      <c r="G2878" s="2" t="s">
        <v>12</v>
      </c>
    </row>
    <row r="2879" spans="1:7" x14ac:dyDescent="0.2">
      <c r="A2879" s="2" t="s">
        <v>3509</v>
      </c>
      <c r="B2879" s="2" t="s">
        <v>3841</v>
      </c>
      <c r="C2879" s="2" t="s">
        <v>3840</v>
      </c>
      <c r="D2879" s="2" t="s">
        <v>10</v>
      </c>
      <c r="E2879" s="2" t="s">
        <v>11</v>
      </c>
      <c r="F2879" s="2">
        <v>2</v>
      </c>
      <c r="G2879" s="2" t="s">
        <v>12</v>
      </c>
    </row>
    <row r="2880" spans="1:7" x14ac:dyDescent="0.2">
      <c r="A2880" s="2" t="s">
        <v>3509</v>
      </c>
      <c r="B2880" s="2" t="s">
        <v>3842</v>
      </c>
      <c r="C2880" s="2" t="s">
        <v>1983</v>
      </c>
      <c r="D2880" s="2" t="s">
        <v>10</v>
      </c>
      <c r="E2880" s="2" t="s">
        <v>16</v>
      </c>
      <c r="F2880" s="2">
        <v>1</v>
      </c>
      <c r="G2880" s="2" t="s">
        <v>17</v>
      </c>
    </row>
    <row r="2881" spans="1:7" x14ac:dyDescent="0.2">
      <c r="A2881" s="2" t="s">
        <v>3509</v>
      </c>
      <c r="B2881" s="2" t="s">
        <v>3843</v>
      </c>
      <c r="C2881" s="2" t="s">
        <v>3844</v>
      </c>
      <c r="D2881" s="2" t="s">
        <v>10</v>
      </c>
      <c r="E2881" s="2" t="s">
        <v>52</v>
      </c>
      <c r="F2881" s="2">
        <v>2</v>
      </c>
      <c r="G2881" s="2" t="s">
        <v>12</v>
      </c>
    </row>
    <row r="2882" spans="1:7" x14ac:dyDescent="0.2">
      <c r="A2882" s="2" t="s">
        <v>3509</v>
      </c>
      <c r="B2882" s="2" t="s">
        <v>3845</v>
      </c>
      <c r="C2882" s="2" t="s">
        <v>3844</v>
      </c>
      <c r="D2882" s="2" t="s">
        <v>10</v>
      </c>
      <c r="E2882" s="2" t="s">
        <v>52</v>
      </c>
      <c r="F2882" s="2">
        <v>2</v>
      </c>
      <c r="G2882" s="2" t="s">
        <v>12</v>
      </c>
    </row>
    <row r="2883" spans="1:7" x14ac:dyDescent="0.2">
      <c r="A2883" s="2" t="s">
        <v>3846</v>
      </c>
      <c r="B2883" s="2" t="s">
        <v>3847</v>
      </c>
      <c r="C2883" s="2" t="s">
        <v>3848</v>
      </c>
      <c r="D2883" s="2" t="s">
        <v>10</v>
      </c>
      <c r="E2883" s="2" t="s">
        <v>52</v>
      </c>
      <c r="F2883" s="2">
        <v>1</v>
      </c>
      <c r="G2883" s="2" t="s">
        <v>17</v>
      </c>
    </row>
    <row r="2884" spans="1:7" x14ac:dyDescent="0.2">
      <c r="A2884" s="2" t="s">
        <v>3849</v>
      </c>
      <c r="B2884" s="2" t="s">
        <v>3850</v>
      </c>
      <c r="C2884" s="2" t="s">
        <v>3851</v>
      </c>
      <c r="D2884" s="2" t="s">
        <v>10</v>
      </c>
      <c r="E2884" s="2" t="s">
        <v>16</v>
      </c>
      <c r="F2884" s="2">
        <v>1</v>
      </c>
      <c r="G2884" s="2" t="s">
        <v>17</v>
      </c>
    </row>
    <row r="2885" spans="1:7" x14ac:dyDescent="0.2">
      <c r="A2885" s="2" t="s">
        <v>3849</v>
      </c>
      <c r="B2885" s="2" t="s">
        <v>3852</v>
      </c>
      <c r="C2885" s="2" t="s">
        <v>3851</v>
      </c>
      <c r="D2885" s="2" t="s">
        <v>10</v>
      </c>
      <c r="E2885" s="2" t="s">
        <v>16</v>
      </c>
      <c r="F2885" s="2">
        <v>1</v>
      </c>
      <c r="G2885" s="2" t="s">
        <v>17</v>
      </c>
    </row>
    <row r="2886" spans="1:7" x14ac:dyDescent="0.2">
      <c r="A2886" s="2" t="s">
        <v>3853</v>
      </c>
      <c r="B2886" s="2" t="s">
        <v>3854</v>
      </c>
      <c r="C2886" s="2" t="s">
        <v>3855</v>
      </c>
      <c r="D2886" s="2" t="s">
        <v>29</v>
      </c>
      <c r="E2886" s="2" t="s">
        <v>16</v>
      </c>
      <c r="F2886" s="2">
        <v>2</v>
      </c>
      <c r="G2886" s="2" t="s">
        <v>17</v>
      </c>
    </row>
    <row r="2887" spans="1:7" x14ac:dyDescent="0.2">
      <c r="A2887" s="2" t="s">
        <v>3853</v>
      </c>
      <c r="B2887" s="2" t="s">
        <v>3856</v>
      </c>
      <c r="C2887" s="2" t="s">
        <v>3855</v>
      </c>
      <c r="D2887" s="2" t="s">
        <v>29</v>
      </c>
      <c r="E2887" s="2" t="s">
        <v>16</v>
      </c>
      <c r="F2887" s="2">
        <v>2</v>
      </c>
      <c r="G2887" s="2" t="s">
        <v>17</v>
      </c>
    </row>
    <row r="2888" spans="1:7" x14ac:dyDescent="0.2">
      <c r="A2888" s="2" t="s">
        <v>3853</v>
      </c>
      <c r="B2888" s="2" t="s">
        <v>3857</v>
      </c>
      <c r="C2888" s="2" t="s">
        <v>3855</v>
      </c>
      <c r="D2888" s="2" t="s">
        <v>29</v>
      </c>
      <c r="E2888" s="2" t="s">
        <v>16</v>
      </c>
      <c r="F2888" s="2">
        <v>2</v>
      </c>
      <c r="G2888" s="2" t="s">
        <v>17</v>
      </c>
    </row>
    <row r="2889" spans="1:7" x14ac:dyDescent="0.2">
      <c r="A2889" s="2" t="s">
        <v>3858</v>
      </c>
      <c r="B2889" s="2" t="s">
        <v>3859</v>
      </c>
      <c r="C2889" s="2" t="s">
        <v>3860</v>
      </c>
      <c r="D2889" s="2" t="s">
        <v>10</v>
      </c>
      <c r="E2889" s="2" t="s">
        <v>16</v>
      </c>
      <c r="F2889" s="2">
        <v>1</v>
      </c>
      <c r="G2889" s="2" t="s">
        <v>17</v>
      </c>
    </row>
    <row r="2890" spans="1:7" x14ac:dyDescent="0.2">
      <c r="A2890" s="2" t="s">
        <v>3858</v>
      </c>
      <c r="B2890" s="2" t="s">
        <v>3861</v>
      </c>
      <c r="C2890" s="2" t="s">
        <v>3860</v>
      </c>
      <c r="D2890" s="2" t="s">
        <v>10</v>
      </c>
      <c r="E2890" s="2" t="s">
        <v>16</v>
      </c>
      <c r="F2890" s="2">
        <v>1</v>
      </c>
      <c r="G2890" s="2" t="s">
        <v>17</v>
      </c>
    </row>
    <row r="2891" spans="1:7" x14ac:dyDescent="0.2">
      <c r="A2891" s="2" t="s">
        <v>3862</v>
      </c>
      <c r="B2891" s="2" t="s">
        <v>457</v>
      </c>
      <c r="C2891" s="2" t="s">
        <v>452</v>
      </c>
      <c r="D2891" s="2" t="s">
        <v>10</v>
      </c>
      <c r="E2891" s="2" t="s">
        <v>16</v>
      </c>
      <c r="F2891" s="2">
        <v>1</v>
      </c>
      <c r="G2891" s="2" t="s">
        <v>17</v>
      </c>
    </row>
    <row r="2892" spans="1:7" x14ac:dyDescent="0.2">
      <c r="A2892" s="2" t="s">
        <v>3862</v>
      </c>
      <c r="B2892" s="2" t="s">
        <v>2547</v>
      </c>
      <c r="C2892" s="2" t="s">
        <v>452</v>
      </c>
      <c r="D2892" s="2" t="s">
        <v>10</v>
      </c>
      <c r="E2892" s="2" t="s">
        <v>16</v>
      </c>
      <c r="F2892" s="2">
        <v>1</v>
      </c>
      <c r="G2892" s="2" t="s">
        <v>17</v>
      </c>
    </row>
    <row r="2893" spans="1:7" x14ac:dyDescent="0.2">
      <c r="A2893" s="2" t="s">
        <v>3862</v>
      </c>
      <c r="B2893" s="2" t="s">
        <v>3863</v>
      </c>
      <c r="C2893" s="2" t="s">
        <v>452</v>
      </c>
      <c r="D2893" s="2" t="s">
        <v>10</v>
      </c>
      <c r="E2893" s="2" t="s">
        <v>16</v>
      </c>
      <c r="F2893" s="2">
        <v>1</v>
      </c>
      <c r="G2893" s="2" t="s">
        <v>17</v>
      </c>
    </row>
    <row r="2894" spans="1:7" x14ac:dyDescent="0.2">
      <c r="A2894" s="2" t="s">
        <v>3862</v>
      </c>
      <c r="B2894" s="2" t="s">
        <v>3864</v>
      </c>
      <c r="C2894" s="2" t="s">
        <v>1535</v>
      </c>
      <c r="D2894" s="2" t="s">
        <v>10</v>
      </c>
      <c r="E2894" s="2" t="s">
        <v>16</v>
      </c>
      <c r="F2894" s="2">
        <v>1</v>
      </c>
      <c r="G2894" s="2" t="s">
        <v>17</v>
      </c>
    </row>
    <row r="2895" spans="1:7" x14ac:dyDescent="0.2">
      <c r="A2895" s="2" t="s">
        <v>3862</v>
      </c>
      <c r="B2895" s="2" t="s">
        <v>3865</v>
      </c>
      <c r="C2895" s="2" t="s">
        <v>1535</v>
      </c>
      <c r="D2895" s="2" t="s">
        <v>10</v>
      </c>
      <c r="E2895" s="2" t="s">
        <v>16</v>
      </c>
      <c r="F2895" s="2">
        <v>1</v>
      </c>
      <c r="G2895" s="2" t="s">
        <v>17</v>
      </c>
    </row>
    <row r="2896" spans="1:7" x14ac:dyDescent="0.2">
      <c r="A2896" s="2" t="s">
        <v>3862</v>
      </c>
      <c r="B2896" s="2" t="s">
        <v>3866</v>
      </c>
      <c r="C2896" s="2" t="s">
        <v>1535</v>
      </c>
      <c r="D2896" s="2" t="s">
        <v>10</v>
      </c>
      <c r="E2896" s="2" t="s">
        <v>16</v>
      </c>
      <c r="F2896" s="2">
        <v>1</v>
      </c>
      <c r="G2896" s="2" t="s">
        <v>17</v>
      </c>
    </row>
    <row r="2897" spans="1:7" x14ac:dyDescent="0.2">
      <c r="A2897" s="2" t="s">
        <v>3862</v>
      </c>
      <c r="B2897" s="2" t="s">
        <v>3867</v>
      </c>
      <c r="C2897" s="2" t="s">
        <v>1535</v>
      </c>
      <c r="D2897" s="2" t="s">
        <v>10</v>
      </c>
      <c r="E2897" s="2" t="s">
        <v>16</v>
      </c>
      <c r="F2897" s="2">
        <v>1</v>
      </c>
      <c r="G2897" s="2" t="s">
        <v>17</v>
      </c>
    </row>
    <row r="2898" spans="1:7" x14ac:dyDescent="0.2">
      <c r="A2898" s="2" t="s">
        <v>3862</v>
      </c>
      <c r="B2898" s="2" t="s">
        <v>3868</v>
      </c>
      <c r="C2898" s="2" t="s">
        <v>1535</v>
      </c>
      <c r="D2898" s="2" t="s">
        <v>10</v>
      </c>
      <c r="E2898" s="2" t="s">
        <v>16</v>
      </c>
      <c r="F2898" s="2">
        <v>1</v>
      </c>
      <c r="G2898" s="2" t="s">
        <v>17</v>
      </c>
    </row>
    <row r="2899" spans="1:7" x14ac:dyDescent="0.2">
      <c r="A2899" s="2" t="s">
        <v>3862</v>
      </c>
      <c r="B2899" s="2" t="s">
        <v>2548</v>
      </c>
      <c r="C2899" s="2" t="s">
        <v>1535</v>
      </c>
      <c r="D2899" s="2" t="s">
        <v>10</v>
      </c>
      <c r="E2899" s="2" t="s">
        <v>16</v>
      </c>
      <c r="F2899" s="2">
        <v>1</v>
      </c>
      <c r="G2899" s="2" t="s">
        <v>17</v>
      </c>
    </row>
    <row r="2900" spans="1:7" x14ac:dyDescent="0.2">
      <c r="A2900" s="2" t="s">
        <v>3862</v>
      </c>
      <c r="B2900" s="2" t="s">
        <v>3869</v>
      </c>
      <c r="C2900" s="2" t="s">
        <v>1535</v>
      </c>
      <c r="D2900" s="2" t="s">
        <v>10</v>
      </c>
      <c r="E2900" s="2" t="s">
        <v>16</v>
      </c>
      <c r="F2900" s="2">
        <v>1</v>
      </c>
      <c r="G2900" s="2" t="s">
        <v>17</v>
      </c>
    </row>
    <row r="2901" spans="1:7" x14ac:dyDescent="0.2">
      <c r="A2901" s="2" t="s">
        <v>3862</v>
      </c>
      <c r="B2901" s="2" t="s">
        <v>3870</v>
      </c>
      <c r="C2901" s="2" t="s">
        <v>452</v>
      </c>
      <c r="D2901" s="2" t="s">
        <v>10</v>
      </c>
      <c r="E2901" s="2" t="s">
        <v>16</v>
      </c>
      <c r="F2901" s="2">
        <v>1</v>
      </c>
      <c r="G2901" s="2" t="s">
        <v>17</v>
      </c>
    </row>
    <row r="2902" spans="1:7" x14ac:dyDescent="0.2">
      <c r="A2902" s="2" t="s">
        <v>3862</v>
      </c>
      <c r="B2902" s="2" t="s">
        <v>3871</v>
      </c>
      <c r="C2902" s="2" t="s">
        <v>1535</v>
      </c>
      <c r="D2902" s="2" t="s">
        <v>10</v>
      </c>
      <c r="E2902" s="2" t="s">
        <v>16</v>
      </c>
      <c r="F2902" s="2">
        <v>1</v>
      </c>
      <c r="G2902" s="2" t="s">
        <v>17</v>
      </c>
    </row>
    <row r="2903" spans="1:7" x14ac:dyDescent="0.2">
      <c r="A2903" s="2" t="s">
        <v>3862</v>
      </c>
      <c r="B2903" s="2" t="s">
        <v>2549</v>
      </c>
      <c r="C2903" s="2" t="s">
        <v>1535</v>
      </c>
      <c r="D2903" s="2" t="s">
        <v>10</v>
      </c>
      <c r="E2903" s="2" t="s">
        <v>16</v>
      </c>
      <c r="F2903" s="2">
        <v>1</v>
      </c>
      <c r="G2903" s="2" t="s">
        <v>17</v>
      </c>
    </row>
    <row r="2904" spans="1:7" x14ac:dyDescent="0.2">
      <c r="A2904" s="2" t="s">
        <v>3862</v>
      </c>
      <c r="B2904" s="2" t="s">
        <v>2550</v>
      </c>
      <c r="C2904" s="2" t="s">
        <v>1544</v>
      </c>
      <c r="D2904" s="2" t="s">
        <v>10</v>
      </c>
      <c r="E2904" s="2" t="s">
        <v>16</v>
      </c>
      <c r="F2904" s="2">
        <v>1</v>
      </c>
      <c r="G2904" s="2" t="s">
        <v>17</v>
      </c>
    </row>
    <row r="2905" spans="1:7" x14ac:dyDescent="0.2">
      <c r="A2905" s="2" t="s">
        <v>3862</v>
      </c>
      <c r="B2905" s="2" t="s">
        <v>3872</v>
      </c>
      <c r="C2905" s="2" t="s">
        <v>3873</v>
      </c>
      <c r="D2905" s="2" t="s">
        <v>10</v>
      </c>
      <c r="E2905" s="2" t="s">
        <v>16</v>
      </c>
      <c r="F2905" s="2">
        <v>2</v>
      </c>
      <c r="G2905" s="2" t="s">
        <v>17</v>
      </c>
    </row>
    <row r="2906" spans="1:7" x14ac:dyDescent="0.2">
      <c r="A2906" s="2" t="s">
        <v>3862</v>
      </c>
      <c r="B2906" s="2" t="s">
        <v>3874</v>
      </c>
      <c r="C2906" s="2" t="s">
        <v>1535</v>
      </c>
      <c r="D2906" s="2" t="s">
        <v>10</v>
      </c>
      <c r="E2906" s="2" t="s">
        <v>16</v>
      </c>
      <c r="F2906" s="2">
        <v>1</v>
      </c>
      <c r="G2906" s="2" t="s">
        <v>17</v>
      </c>
    </row>
    <row r="2907" spans="1:7" x14ac:dyDescent="0.2">
      <c r="A2907" s="2" t="s">
        <v>3862</v>
      </c>
      <c r="B2907" s="2" t="s">
        <v>2566</v>
      </c>
      <c r="C2907" s="2" t="s">
        <v>452</v>
      </c>
      <c r="D2907" s="2" t="s">
        <v>10</v>
      </c>
      <c r="E2907" s="2" t="s">
        <v>16</v>
      </c>
      <c r="F2907" s="2">
        <v>1</v>
      </c>
      <c r="G2907" s="2" t="s">
        <v>17</v>
      </c>
    </row>
    <row r="2908" spans="1:7" x14ac:dyDescent="0.2">
      <c r="A2908" s="2" t="s">
        <v>3862</v>
      </c>
      <c r="B2908" s="2" t="s">
        <v>2567</v>
      </c>
      <c r="C2908" s="2" t="s">
        <v>1535</v>
      </c>
      <c r="D2908" s="2" t="s">
        <v>10</v>
      </c>
      <c r="E2908" s="2" t="s">
        <v>16</v>
      </c>
      <c r="F2908" s="2">
        <v>1</v>
      </c>
      <c r="G2908" s="2" t="s">
        <v>17</v>
      </c>
    </row>
    <row r="2909" spans="1:7" x14ac:dyDescent="0.2">
      <c r="A2909" s="2" t="s">
        <v>3862</v>
      </c>
      <c r="B2909" s="2" t="s">
        <v>2571</v>
      </c>
      <c r="C2909" s="2" t="s">
        <v>1544</v>
      </c>
      <c r="D2909" s="2" t="s">
        <v>10</v>
      </c>
      <c r="E2909" s="2" t="s">
        <v>16</v>
      </c>
      <c r="F2909" s="2">
        <v>1</v>
      </c>
      <c r="G2909" s="2" t="s">
        <v>17</v>
      </c>
    </row>
    <row r="2910" spans="1:7" x14ac:dyDescent="0.2">
      <c r="A2910" s="2" t="s">
        <v>3862</v>
      </c>
      <c r="B2910" s="2" t="s">
        <v>3875</v>
      </c>
      <c r="C2910" s="2" t="s">
        <v>1535</v>
      </c>
      <c r="D2910" s="2" t="s">
        <v>10</v>
      </c>
      <c r="E2910" s="2" t="s">
        <v>16</v>
      </c>
      <c r="F2910" s="2">
        <v>1</v>
      </c>
      <c r="G2910" s="2" t="s">
        <v>17</v>
      </c>
    </row>
    <row r="2911" spans="1:7" x14ac:dyDescent="0.2">
      <c r="A2911" s="2" t="s">
        <v>3862</v>
      </c>
      <c r="B2911" s="2" t="s">
        <v>702</v>
      </c>
      <c r="C2911" s="2" t="s">
        <v>3873</v>
      </c>
      <c r="D2911" s="2" t="s">
        <v>10</v>
      </c>
      <c r="E2911" s="2" t="s">
        <v>16</v>
      </c>
      <c r="F2911" s="2">
        <v>2</v>
      </c>
      <c r="G2911" s="2" t="s">
        <v>17</v>
      </c>
    </row>
    <row r="2912" spans="1:7" x14ac:dyDescent="0.2">
      <c r="A2912" s="2" t="s">
        <v>3862</v>
      </c>
      <c r="B2912" s="2" t="s">
        <v>3876</v>
      </c>
      <c r="C2912" s="2" t="s">
        <v>1535</v>
      </c>
      <c r="D2912" s="2" t="s">
        <v>10</v>
      </c>
      <c r="E2912" s="2" t="s">
        <v>16</v>
      </c>
      <c r="F2912" s="2">
        <v>1</v>
      </c>
      <c r="G2912" s="2" t="s">
        <v>17</v>
      </c>
    </row>
    <row r="2913" spans="1:7" x14ac:dyDescent="0.2">
      <c r="A2913" s="2" t="s">
        <v>3862</v>
      </c>
      <c r="B2913" s="2" t="s">
        <v>3877</v>
      </c>
      <c r="C2913" s="2" t="s">
        <v>1535</v>
      </c>
      <c r="D2913" s="2" t="s">
        <v>10</v>
      </c>
      <c r="E2913" s="2" t="s">
        <v>16</v>
      </c>
      <c r="F2913" s="2">
        <v>1</v>
      </c>
      <c r="G2913" s="2" t="s">
        <v>17</v>
      </c>
    </row>
    <row r="2914" spans="1:7" x14ac:dyDescent="0.2">
      <c r="A2914" s="2" t="s">
        <v>3862</v>
      </c>
      <c r="B2914" s="2" t="s">
        <v>465</v>
      </c>
      <c r="C2914" s="2" t="s">
        <v>452</v>
      </c>
      <c r="D2914" s="2" t="s">
        <v>10</v>
      </c>
      <c r="E2914" s="2" t="s">
        <v>16</v>
      </c>
      <c r="F2914" s="2">
        <v>1</v>
      </c>
      <c r="G2914" s="2" t="s">
        <v>17</v>
      </c>
    </row>
    <row r="2915" spans="1:7" x14ac:dyDescent="0.2">
      <c r="A2915" s="2" t="s">
        <v>3862</v>
      </c>
      <c r="B2915" s="2" t="s">
        <v>3878</v>
      </c>
      <c r="C2915" s="2" t="s">
        <v>452</v>
      </c>
      <c r="D2915" s="2" t="s">
        <v>10</v>
      </c>
      <c r="E2915" s="2" t="s">
        <v>16</v>
      </c>
      <c r="F2915" s="2">
        <v>1</v>
      </c>
      <c r="G2915" s="2" t="s">
        <v>17</v>
      </c>
    </row>
    <row r="2916" spans="1:7" x14ac:dyDescent="0.2">
      <c r="A2916" s="2" t="s">
        <v>3862</v>
      </c>
      <c r="B2916" s="2" t="s">
        <v>3879</v>
      </c>
      <c r="C2916" s="2" t="s">
        <v>452</v>
      </c>
      <c r="D2916" s="2" t="s">
        <v>10</v>
      </c>
      <c r="E2916" s="2" t="s">
        <v>16</v>
      </c>
      <c r="F2916" s="2">
        <v>1</v>
      </c>
      <c r="G2916" s="2" t="s">
        <v>17</v>
      </c>
    </row>
    <row r="2917" spans="1:7" x14ac:dyDescent="0.2">
      <c r="A2917" s="2" t="s">
        <v>3880</v>
      </c>
      <c r="B2917" s="2" t="s">
        <v>3881</v>
      </c>
      <c r="C2917" s="2" t="s">
        <v>3882</v>
      </c>
      <c r="D2917" s="2" t="s">
        <v>10</v>
      </c>
      <c r="E2917" s="2" t="s">
        <v>16</v>
      </c>
      <c r="F2917" s="2">
        <v>1</v>
      </c>
      <c r="G2917" s="2" t="s">
        <v>12</v>
      </c>
    </row>
    <row r="2918" spans="1:7" x14ac:dyDescent="0.2">
      <c r="A2918" s="2" t="s">
        <v>3880</v>
      </c>
      <c r="B2918" s="2" t="s">
        <v>3739</v>
      </c>
      <c r="C2918" s="2" t="s">
        <v>3882</v>
      </c>
      <c r="D2918" s="2" t="s">
        <v>10</v>
      </c>
      <c r="E2918" s="2" t="s">
        <v>16</v>
      </c>
      <c r="F2918" s="2">
        <v>1</v>
      </c>
      <c r="G2918" s="2" t="s">
        <v>12</v>
      </c>
    </row>
    <row r="2919" spans="1:7" x14ac:dyDescent="0.2">
      <c r="A2919" s="2" t="s">
        <v>3880</v>
      </c>
      <c r="B2919" s="2" t="s">
        <v>3741</v>
      </c>
      <c r="C2919" s="2" t="s">
        <v>3883</v>
      </c>
      <c r="D2919" s="2" t="s">
        <v>10</v>
      </c>
      <c r="E2919" s="2" t="s">
        <v>11</v>
      </c>
      <c r="F2919" s="2">
        <v>1</v>
      </c>
      <c r="G2919" s="2" t="s">
        <v>12</v>
      </c>
    </row>
    <row r="2920" spans="1:7" x14ac:dyDescent="0.2">
      <c r="A2920" s="2" t="s">
        <v>3880</v>
      </c>
      <c r="B2920" s="2" t="s">
        <v>3884</v>
      </c>
      <c r="C2920" s="2" t="s">
        <v>3882</v>
      </c>
      <c r="D2920" s="2" t="s">
        <v>10</v>
      </c>
      <c r="E2920" s="2" t="s">
        <v>16</v>
      </c>
      <c r="F2920" s="2">
        <v>1</v>
      </c>
      <c r="G2920" s="2" t="s">
        <v>12</v>
      </c>
    </row>
    <row r="2921" spans="1:7" x14ac:dyDescent="0.2">
      <c r="A2921" s="2" t="s">
        <v>3880</v>
      </c>
      <c r="B2921" s="2" t="s">
        <v>3885</v>
      </c>
      <c r="C2921" s="2" t="s">
        <v>3883</v>
      </c>
      <c r="D2921" s="2" t="s">
        <v>10</v>
      </c>
      <c r="E2921" s="2" t="s">
        <v>11</v>
      </c>
      <c r="F2921" s="2">
        <v>1</v>
      </c>
      <c r="G2921" s="2" t="s">
        <v>12</v>
      </c>
    </row>
    <row r="2922" spans="1:7" x14ac:dyDescent="0.2">
      <c r="A2922" s="2" t="s">
        <v>3880</v>
      </c>
      <c r="B2922" s="2" t="s">
        <v>3886</v>
      </c>
      <c r="C2922" s="2" t="s">
        <v>3883</v>
      </c>
      <c r="D2922" s="2" t="s">
        <v>10</v>
      </c>
      <c r="E2922" s="2" t="s">
        <v>11</v>
      </c>
      <c r="F2922" s="2">
        <v>1</v>
      </c>
      <c r="G2922" s="2" t="s">
        <v>12</v>
      </c>
    </row>
    <row r="2923" spans="1:7" x14ac:dyDescent="0.2">
      <c r="A2923" s="2" t="s">
        <v>3880</v>
      </c>
      <c r="B2923" s="2" t="s">
        <v>3887</v>
      </c>
      <c r="C2923" s="2" t="s">
        <v>3883</v>
      </c>
      <c r="D2923" s="2" t="s">
        <v>10</v>
      </c>
      <c r="E2923" s="2" t="s">
        <v>11</v>
      </c>
      <c r="F2923" s="2">
        <v>1</v>
      </c>
      <c r="G2923" s="2" t="s">
        <v>12</v>
      </c>
    </row>
    <row r="2924" spans="1:7" x14ac:dyDescent="0.2">
      <c r="A2924" s="2" t="s">
        <v>3880</v>
      </c>
      <c r="B2924" s="2" t="s">
        <v>3888</v>
      </c>
      <c r="C2924" s="2" t="s">
        <v>3882</v>
      </c>
      <c r="D2924" s="2" t="s">
        <v>10</v>
      </c>
      <c r="E2924" s="2" t="s">
        <v>16</v>
      </c>
      <c r="F2924" s="2">
        <v>1</v>
      </c>
      <c r="G2924" s="2" t="s">
        <v>12</v>
      </c>
    </row>
    <row r="2925" spans="1:7" x14ac:dyDescent="0.2">
      <c r="A2925" s="2" t="s">
        <v>3889</v>
      </c>
      <c r="B2925" s="2" t="s">
        <v>3890</v>
      </c>
      <c r="C2925" s="2" t="s">
        <v>659</v>
      </c>
      <c r="D2925" s="2" t="s">
        <v>56</v>
      </c>
      <c r="E2925" s="2" t="s">
        <v>52</v>
      </c>
      <c r="F2925" s="2">
        <v>3</v>
      </c>
      <c r="G2925" s="2" t="s">
        <v>12</v>
      </c>
    </row>
    <row r="2926" spans="1:7" x14ac:dyDescent="0.2">
      <c r="A2926" s="2" t="s">
        <v>3889</v>
      </c>
      <c r="B2926" s="2" t="s">
        <v>3891</v>
      </c>
      <c r="C2926" s="2" t="s">
        <v>605</v>
      </c>
      <c r="D2926" s="2" t="s">
        <v>56</v>
      </c>
      <c r="E2926" s="2" t="s">
        <v>52</v>
      </c>
      <c r="F2926" s="2">
        <v>1</v>
      </c>
      <c r="G2926" s="2" t="s">
        <v>17</v>
      </c>
    </row>
    <row r="2927" spans="1:7" x14ac:dyDescent="0.2">
      <c r="A2927" s="2" t="s">
        <v>3889</v>
      </c>
      <c r="B2927" s="2" t="s">
        <v>3892</v>
      </c>
      <c r="C2927" s="2" t="s">
        <v>3893</v>
      </c>
      <c r="D2927" s="2" t="s">
        <v>56</v>
      </c>
      <c r="E2927" s="2" t="s">
        <v>52</v>
      </c>
      <c r="F2927" s="2">
        <v>2</v>
      </c>
      <c r="G2927" s="2" t="s">
        <v>17</v>
      </c>
    </row>
    <row r="2928" spans="1:7" x14ac:dyDescent="0.2">
      <c r="A2928" s="2" t="s">
        <v>3894</v>
      </c>
      <c r="B2928" s="2" t="s">
        <v>3895</v>
      </c>
      <c r="C2928" s="2" t="s">
        <v>3896</v>
      </c>
      <c r="D2928" s="2" t="s">
        <v>10</v>
      </c>
      <c r="E2928" s="2" t="s">
        <v>16</v>
      </c>
      <c r="F2928" s="2">
        <v>1</v>
      </c>
      <c r="G2928" s="2" t="s">
        <v>17</v>
      </c>
    </row>
    <row r="2929" spans="1:7" x14ac:dyDescent="0.2">
      <c r="A2929" s="2" t="s">
        <v>3894</v>
      </c>
      <c r="B2929" s="2" t="s">
        <v>3897</v>
      </c>
      <c r="C2929" s="2" t="s">
        <v>3896</v>
      </c>
      <c r="D2929" s="2" t="s">
        <v>10</v>
      </c>
      <c r="E2929" s="2" t="s">
        <v>16</v>
      </c>
      <c r="F2929" s="2">
        <v>1</v>
      </c>
      <c r="G2929" s="2" t="s">
        <v>17</v>
      </c>
    </row>
    <row r="2930" spans="1:7" x14ac:dyDescent="0.2">
      <c r="A2930" s="2" t="s">
        <v>3894</v>
      </c>
      <c r="B2930" s="2" t="s">
        <v>3898</v>
      </c>
      <c r="C2930" s="2" t="s">
        <v>3896</v>
      </c>
      <c r="D2930" s="2" t="s">
        <v>10</v>
      </c>
      <c r="E2930" s="2" t="s">
        <v>16</v>
      </c>
      <c r="F2930" s="2">
        <v>1</v>
      </c>
      <c r="G2930" s="2" t="s">
        <v>17</v>
      </c>
    </row>
    <row r="2931" spans="1:7" x14ac:dyDescent="0.2">
      <c r="A2931" s="2" t="s">
        <v>3894</v>
      </c>
      <c r="B2931" s="2" t="s">
        <v>3899</v>
      </c>
      <c r="C2931" s="2" t="s">
        <v>3896</v>
      </c>
      <c r="D2931" s="2" t="s">
        <v>10</v>
      </c>
      <c r="E2931" s="2" t="s">
        <v>16</v>
      </c>
      <c r="F2931" s="2">
        <v>1</v>
      </c>
      <c r="G2931" s="2" t="s">
        <v>17</v>
      </c>
    </row>
    <row r="2932" spans="1:7" x14ac:dyDescent="0.2">
      <c r="A2932" s="2" t="s">
        <v>3894</v>
      </c>
      <c r="B2932" s="2" t="s">
        <v>3900</v>
      </c>
      <c r="C2932" s="2" t="s">
        <v>3896</v>
      </c>
      <c r="D2932" s="2" t="s">
        <v>10</v>
      </c>
      <c r="E2932" s="2" t="s">
        <v>16</v>
      </c>
      <c r="F2932" s="2">
        <v>1</v>
      </c>
      <c r="G2932" s="2" t="s">
        <v>17</v>
      </c>
    </row>
    <row r="2933" spans="1:7" x14ac:dyDescent="0.2">
      <c r="A2933" s="2" t="s">
        <v>3901</v>
      </c>
      <c r="B2933" s="2" t="s">
        <v>3093</v>
      </c>
      <c r="C2933" s="2" t="s">
        <v>3902</v>
      </c>
      <c r="D2933" s="2" t="s">
        <v>64</v>
      </c>
      <c r="E2933" s="2" t="s">
        <v>16</v>
      </c>
      <c r="F2933" s="2">
        <v>1</v>
      </c>
      <c r="G2933" s="2" t="s">
        <v>17</v>
      </c>
    </row>
    <row r="2934" spans="1:7" x14ac:dyDescent="0.2">
      <c r="A2934" s="2" t="s">
        <v>3903</v>
      </c>
      <c r="B2934" s="2" t="s">
        <v>3904</v>
      </c>
      <c r="C2934" s="2" t="s">
        <v>703</v>
      </c>
      <c r="D2934" s="2" t="s">
        <v>10</v>
      </c>
      <c r="E2934" s="2" t="s">
        <v>11</v>
      </c>
      <c r="F2934" s="2">
        <v>1</v>
      </c>
      <c r="G2934" s="2" t="s">
        <v>12</v>
      </c>
    </row>
    <row r="2935" spans="1:7" x14ac:dyDescent="0.2">
      <c r="A2935" s="2" t="s">
        <v>3903</v>
      </c>
      <c r="B2935" s="2" t="s">
        <v>3905</v>
      </c>
      <c r="C2935" s="2" t="s">
        <v>703</v>
      </c>
      <c r="D2935" s="2" t="s">
        <v>10</v>
      </c>
      <c r="E2935" s="2" t="s">
        <v>11</v>
      </c>
      <c r="F2935" s="2">
        <v>1</v>
      </c>
      <c r="G2935" s="2" t="s">
        <v>12</v>
      </c>
    </row>
    <row r="2936" spans="1:7" x14ac:dyDescent="0.2">
      <c r="A2936" s="2" t="s">
        <v>3903</v>
      </c>
      <c r="B2936" s="2" t="s">
        <v>3906</v>
      </c>
      <c r="C2936" s="2" t="s">
        <v>703</v>
      </c>
      <c r="D2936" s="2" t="s">
        <v>10</v>
      </c>
      <c r="E2936" s="2" t="s">
        <v>11</v>
      </c>
      <c r="F2936" s="2">
        <v>1</v>
      </c>
      <c r="G2936" s="2" t="s">
        <v>12</v>
      </c>
    </row>
    <row r="2937" spans="1:7" x14ac:dyDescent="0.2">
      <c r="A2937" s="2" t="s">
        <v>3903</v>
      </c>
      <c r="B2937" s="2" t="s">
        <v>3907</v>
      </c>
      <c r="C2937" s="2" t="s">
        <v>703</v>
      </c>
      <c r="D2937" s="2" t="s">
        <v>10</v>
      </c>
      <c r="E2937" s="2" t="s">
        <v>11</v>
      </c>
      <c r="F2937" s="2">
        <v>1</v>
      </c>
      <c r="G2937" s="2" t="s">
        <v>12</v>
      </c>
    </row>
    <row r="2938" spans="1:7" x14ac:dyDescent="0.2">
      <c r="A2938" s="2" t="s">
        <v>3903</v>
      </c>
      <c r="B2938" s="2" t="s">
        <v>3908</v>
      </c>
      <c r="C2938" s="2" t="s">
        <v>3909</v>
      </c>
      <c r="D2938" s="2" t="s">
        <v>10</v>
      </c>
      <c r="E2938" s="2" t="s">
        <v>11</v>
      </c>
      <c r="F2938" s="2">
        <v>1</v>
      </c>
      <c r="G2938" s="2" t="s">
        <v>12</v>
      </c>
    </row>
    <row r="2939" spans="1:7" x14ac:dyDescent="0.2">
      <c r="A2939" s="2" t="s">
        <v>3903</v>
      </c>
      <c r="B2939" s="2" t="s">
        <v>3910</v>
      </c>
      <c r="C2939" s="2" t="s">
        <v>3911</v>
      </c>
      <c r="D2939" s="2" t="s">
        <v>10</v>
      </c>
      <c r="E2939" s="2" t="s">
        <v>11</v>
      </c>
      <c r="F2939" s="2">
        <v>1</v>
      </c>
      <c r="G2939" s="2" t="s">
        <v>12</v>
      </c>
    </row>
    <row r="2940" spans="1:7" x14ac:dyDescent="0.2">
      <c r="A2940" s="2" t="s">
        <v>3903</v>
      </c>
      <c r="B2940" s="2" t="s">
        <v>3912</v>
      </c>
      <c r="C2940" s="2" t="s">
        <v>3911</v>
      </c>
      <c r="D2940" s="2" t="s">
        <v>10</v>
      </c>
      <c r="E2940" s="2" t="s">
        <v>11</v>
      </c>
      <c r="F2940" s="2">
        <v>1</v>
      </c>
      <c r="G2940" s="2" t="s">
        <v>12</v>
      </c>
    </row>
    <row r="2941" spans="1:7" x14ac:dyDescent="0.2">
      <c r="A2941" s="2" t="s">
        <v>3903</v>
      </c>
      <c r="B2941" s="2" t="s">
        <v>3913</v>
      </c>
      <c r="C2941" s="2" t="s">
        <v>3914</v>
      </c>
      <c r="D2941" s="2" t="s">
        <v>10</v>
      </c>
      <c r="E2941" s="2" t="s">
        <v>11</v>
      </c>
      <c r="F2941" s="2">
        <v>1</v>
      </c>
      <c r="G2941" s="2" t="s">
        <v>17</v>
      </c>
    </row>
    <row r="2942" spans="1:7" x14ac:dyDescent="0.2">
      <c r="A2942" s="2" t="s">
        <v>3903</v>
      </c>
      <c r="B2942" s="2" t="s">
        <v>3915</v>
      </c>
      <c r="C2942" s="2" t="s">
        <v>703</v>
      </c>
      <c r="D2942" s="2" t="s">
        <v>10</v>
      </c>
      <c r="E2942" s="2" t="s">
        <v>11</v>
      </c>
      <c r="F2942" s="2">
        <v>1</v>
      </c>
      <c r="G2942" s="2" t="s">
        <v>12</v>
      </c>
    </row>
    <row r="2943" spans="1:7" x14ac:dyDescent="0.2">
      <c r="A2943" s="2" t="s">
        <v>3903</v>
      </c>
      <c r="B2943" s="2" t="s">
        <v>3916</v>
      </c>
      <c r="C2943" s="2" t="s">
        <v>3909</v>
      </c>
      <c r="D2943" s="2" t="s">
        <v>10</v>
      </c>
      <c r="E2943" s="2" t="s">
        <v>11</v>
      </c>
      <c r="F2943" s="2">
        <v>1</v>
      </c>
      <c r="G2943" s="2" t="s">
        <v>12</v>
      </c>
    </row>
    <row r="2944" spans="1:7" x14ac:dyDescent="0.2">
      <c r="A2944" s="2" t="s">
        <v>3903</v>
      </c>
      <c r="B2944" s="2" t="s">
        <v>3917</v>
      </c>
      <c r="C2944" s="2" t="s">
        <v>3911</v>
      </c>
      <c r="D2944" s="2" t="s">
        <v>10</v>
      </c>
      <c r="E2944" s="2" t="s">
        <v>11</v>
      </c>
      <c r="F2944" s="2">
        <v>1</v>
      </c>
      <c r="G2944" s="2" t="s">
        <v>12</v>
      </c>
    </row>
    <row r="2945" spans="1:7" x14ac:dyDescent="0.2">
      <c r="A2945" s="2" t="s">
        <v>3903</v>
      </c>
      <c r="B2945" s="2" t="s">
        <v>3918</v>
      </c>
      <c r="C2945" s="2" t="s">
        <v>3914</v>
      </c>
      <c r="D2945" s="2" t="s">
        <v>10</v>
      </c>
      <c r="E2945" s="2" t="s">
        <v>11</v>
      </c>
      <c r="F2945" s="2">
        <v>1</v>
      </c>
      <c r="G2945" s="2" t="s">
        <v>17</v>
      </c>
    </row>
    <row r="2946" spans="1:7" x14ac:dyDescent="0.2">
      <c r="A2946" s="2" t="s">
        <v>3903</v>
      </c>
      <c r="B2946" s="2" t="s">
        <v>3919</v>
      </c>
      <c r="C2946" s="2" t="s">
        <v>703</v>
      </c>
      <c r="D2946" s="2" t="s">
        <v>10</v>
      </c>
      <c r="E2946" s="2" t="s">
        <v>11</v>
      </c>
      <c r="F2946" s="2">
        <v>1</v>
      </c>
      <c r="G2946" s="2" t="s">
        <v>12</v>
      </c>
    </row>
    <row r="2947" spans="1:7" x14ac:dyDescent="0.2">
      <c r="A2947" s="2" t="s">
        <v>3903</v>
      </c>
      <c r="B2947" s="2" t="s">
        <v>3920</v>
      </c>
      <c r="C2947" s="2" t="s">
        <v>3911</v>
      </c>
      <c r="D2947" s="2" t="s">
        <v>10</v>
      </c>
      <c r="E2947" s="2" t="s">
        <v>11</v>
      </c>
      <c r="F2947" s="2">
        <v>1</v>
      </c>
      <c r="G2947" s="2" t="s">
        <v>12</v>
      </c>
    </row>
    <row r="2948" spans="1:7" x14ac:dyDescent="0.2">
      <c r="A2948" s="2" t="s">
        <v>3903</v>
      </c>
      <c r="B2948" s="2" t="s">
        <v>3921</v>
      </c>
      <c r="C2948" s="2" t="s">
        <v>3911</v>
      </c>
      <c r="D2948" s="2" t="s">
        <v>10</v>
      </c>
      <c r="E2948" s="2" t="s">
        <v>11</v>
      </c>
      <c r="F2948" s="2">
        <v>1</v>
      </c>
      <c r="G2948" s="2" t="s">
        <v>12</v>
      </c>
    </row>
    <row r="2949" spans="1:7" x14ac:dyDescent="0.2">
      <c r="A2949" s="2" t="s">
        <v>3903</v>
      </c>
      <c r="B2949" s="2" t="s">
        <v>3922</v>
      </c>
      <c r="C2949" s="2" t="s">
        <v>3911</v>
      </c>
      <c r="D2949" s="2" t="s">
        <v>10</v>
      </c>
      <c r="E2949" s="2" t="s">
        <v>11</v>
      </c>
      <c r="F2949" s="2">
        <v>1</v>
      </c>
      <c r="G2949" s="2" t="s">
        <v>12</v>
      </c>
    </row>
    <row r="2950" spans="1:7" x14ac:dyDescent="0.2">
      <c r="A2950" s="2" t="s">
        <v>3903</v>
      </c>
      <c r="B2950" s="2" t="s">
        <v>3923</v>
      </c>
      <c r="C2950" s="2" t="s">
        <v>3924</v>
      </c>
      <c r="D2950" s="2" t="s">
        <v>10</v>
      </c>
      <c r="E2950" s="2" t="s">
        <v>11</v>
      </c>
      <c r="F2950" s="2">
        <v>2</v>
      </c>
      <c r="G2950" s="2" t="s">
        <v>12</v>
      </c>
    </row>
    <row r="2951" spans="1:7" x14ac:dyDescent="0.2">
      <c r="A2951" s="2" t="s">
        <v>3925</v>
      </c>
      <c r="B2951" s="2" t="s">
        <v>3926</v>
      </c>
      <c r="C2951" s="2" t="s">
        <v>3927</v>
      </c>
      <c r="D2951" s="2" t="s">
        <v>3928</v>
      </c>
      <c r="E2951" s="2" t="s">
        <v>16</v>
      </c>
      <c r="F2951" s="2">
        <v>1</v>
      </c>
      <c r="G2951" s="2" t="s">
        <v>17</v>
      </c>
    </row>
    <row r="2952" spans="1:7" x14ac:dyDescent="0.2">
      <c r="A2952" s="2" t="s">
        <v>3925</v>
      </c>
      <c r="B2952" s="2" t="s">
        <v>3929</v>
      </c>
      <c r="C2952" s="2" t="s">
        <v>28</v>
      </c>
      <c r="D2952" s="2" t="s">
        <v>29</v>
      </c>
      <c r="E2952" s="2" t="s">
        <v>16</v>
      </c>
      <c r="F2952" s="2">
        <v>2</v>
      </c>
      <c r="G2952" s="2" t="s">
        <v>17</v>
      </c>
    </row>
    <row r="2953" spans="1:7" x14ac:dyDescent="0.2">
      <c r="A2953" s="2" t="s">
        <v>3925</v>
      </c>
      <c r="B2953" s="2" t="s">
        <v>3930</v>
      </c>
      <c r="C2953" s="2" t="s">
        <v>3931</v>
      </c>
      <c r="D2953" s="2" t="s">
        <v>29</v>
      </c>
      <c r="E2953" s="2" t="s">
        <v>16</v>
      </c>
      <c r="F2953" s="2">
        <v>1</v>
      </c>
      <c r="G2953" s="2" t="s">
        <v>17</v>
      </c>
    </row>
    <row r="2954" spans="1:7" x14ac:dyDescent="0.2">
      <c r="A2954" s="2" t="s">
        <v>3925</v>
      </c>
      <c r="B2954" s="2" t="s">
        <v>3932</v>
      </c>
      <c r="C2954" s="2" t="s">
        <v>3933</v>
      </c>
      <c r="D2954" s="2" t="s">
        <v>29</v>
      </c>
      <c r="E2954" s="2" t="s">
        <v>16</v>
      </c>
      <c r="F2954" s="2">
        <v>2</v>
      </c>
      <c r="G2954" s="2" t="s">
        <v>17</v>
      </c>
    </row>
    <row r="2955" spans="1:7" x14ac:dyDescent="0.2">
      <c r="A2955" s="2" t="s">
        <v>3925</v>
      </c>
      <c r="B2955" s="2" t="s">
        <v>3934</v>
      </c>
      <c r="C2955" s="2" t="s">
        <v>3935</v>
      </c>
      <c r="D2955" s="2" t="s">
        <v>29</v>
      </c>
      <c r="E2955" s="2" t="s">
        <v>16</v>
      </c>
      <c r="F2955" s="2">
        <v>2</v>
      </c>
      <c r="G2955" s="2" t="s">
        <v>17</v>
      </c>
    </row>
    <row r="2956" spans="1:7" x14ac:dyDescent="0.2">
      <c r="A2956" s="2" t="s">
        <v>3925</v>
      </c>
      <c r="B2956" s="2" t="s">
        <v>627</v>
      </c>
      <c r="C2956" s="2" t="s">
        <v>28</v>
      </c>
      <c r="D2956" s="2" t="s">
        <v>29</v>
      </c>
      <c r="E2956" s="2" t="s">
        <v>16</v>
      </c>
      <c r="F2956" s="2">
        <v>2</v>
      </c>
      <c r="G2956" s="2" t="s">
        <v>17</v>
      </c>
    </row>
    <row r="2957" spans="1:7" x14ac:dyDescent="0.2">
      <c r="A2957" s="2" t="s">
        <v>3936</v>
      </c>
      <c r="B2957" s="2" t="s">
        <v>3937</v>
      </c>
      <c r="C2957" s="2" t="s">
        <v>3938</v>
      </c>
      <c r="D2957" s="2" t="s">
        <v>10</v>
      </c>
      <c r="E2957" s="2" t="s">
        <v>11</v>
      </c>
      <c r="F2957" s="2">
        <v>2</v>
      </c>
      <c r="G2957" s="2" t="s">
        <v>17</v>
      </c>
    </row>
    <row r="2958" spans="1:7" x14ac:dyDescent="0.2">
      <c r="A2958" s="2" t="s">
        <v>3939</v>
      </c>
      <c r="B2958" s="2" t="s">
        <v>3940</v>
      </c>
      <c r="C2958" s="2" t="s">
        <v>3941</v>
      </c>
      <c r="D2958" s="2" t="s">
        <v>10</v>
      </c>
      <c r="E2958" s="2" t="s">
        <v>16</v>
      </c>
      <c r="F2958" s="2">
        <v>1</v>
      </c>
      <c r="G2958" s="2" t="s">
        <v>17</v>
      </c>
    </row>
    <row r="2959" spans="1:7" x14ac:dyDescent="0.2">
      <c r="A2959" s="2" t="s">
        <v>3942</v>
      </c>
      <c r="B2959" s="2" t="s">
        <v>899</v>
      </c>
      <c r="C2959" s="2" t="s">
        <v>900</v>
      </c>
      <c r="D2959" s="2" t="s">
        <v>10</v>
      </c>
      <c r="E2959" s="2" t="s">
        <v>16</v>
      </c>
      <c r="F2959" s="2">
        <v>1</v>
      </c>
      <c r="G2959" s="2" t="s">
        <v>17</v>
      </c>
    </row>
    <row r="2960" spans="1:7" x14ac:dyDescent="0.2">
      <c r="A2960" s="2" t="s">
        <v>3942</v>
      </c>
      <c r="B2960" s="2" t="s">
        <v>3943</v>
      </c>
      <c r="C2960" s="2" t="s">
        <v>907</v>
      </c>
      <c r="D2960" s="2" t="s">
        <v>10</v>
      </c>
      <c r="E2960" s="2" t="s">
        <v>16</v>
      </c>
      <c r="F2960" s="2">
        <v>1</v>
      </c>
      <c r="G2960" s="2" t="s">
        <v>17</v>
      </c>
    </row>
    <row r="2961" spans="1:7" x14ac:dyDescent="0.2">
      <c r="A2961" s="2" t="s">
        <v>3942</v>
      </c>
      <c r="B2961" s="2" t="s">
        <v>3944</v>
      </c>
      <c r="C2961" s="2" t="s">
        <v>3945</v>
      </c>
      <c r="D2961" s="2" t="s">
        <v>10</v>
      </c>
      <c r="E2961" s="2" t="s">
        <v>16</v>
      </c>
      <c r="F2961" s="2">
        <v>1</v>
      </c>
      <c r="G2961" s="2" t="s">
        <v>17</v>
      </c>
    </row>
    <row r="2962" spans="1:7" x14ac:dyDescent="0.2">
      <c r="A2962" s="2" t="s">
        <v>3942</v>
      </c>
      <c r="B2962" s="2" t="s">
        <v>3946</v>
      </c>
      <c r="C2962" s="2" t="s">
        <v>3947</v>
      </c>
      <c r="D2962" s="2" t="s">
        <v>10</v>
      </c>
      <c r="E2962" s="2" t="s">
        <v>16</v>
      </c>
      <c r="F2962" s="2">
        <v>2</v>
      </c>
      <c r="G2962" s="2" t="s">
        <v>17</v>
      </c>
    </row>
    <row r="2963" spans="1:7" x14ac:dyDescent="0.2">
      <c r="A2963" s="2" t="s">
        <v>3942</v>
      </c>
      <c r="B2963" s="2" t="s">
        <v>904</v>
      </c>
      <c r="C2963" s="2" t="s">
        <v>900</v>
      </c>
      <c r="D2963" s="2" t="s">
        <v>10</v>
      </c>
      <c r="E2963" s="2" t="s">
        <v>16</v>
      </c>
      <c r="F2963" s="2">
        <v>1</v>
      </c>
      <c r="G2963" s="2" t="s">
        <v>17</v>
      </c>
    </row>
    <row r="2964" spans="1:7" x14ac:dyDescent="0.2">
      <c r="A2964" s="2" t="s">
        <v>3942</v>
      </c>
      <c r="B2964" s="2" t="s">
        <v>905</v>
      </c>
      <c r="C2964" s="2" t="s">
        <v>900</v>
      </c>
      <c r="D2964" s="2" t="s">
        <v>10</v>
      </c>
      <c r="E2964" s="2" t="s">
        <v>16</v>
      </c>
      <c r="F2964" s="2">
        <v>1</v>
      </c>
      <c r="G2964" s="2" t="s">
        <v>17</v>
      </c>
    </row>
    <row r="2965" spans="1:7" x14ac:dyDescent="0.2">
      <c r="A2965" s="2" t="s">
        <v>3942</v>
      </c>
      <c r="B2965" s="2" t="s">
        <v>908</v>
      </c>
      <c r="C2965" s="2" t="s">
        <v>907</v>
      </c>
      <c r="D2965" s="2" t="s">
        <v>10</v>
      </c>
      <c r="E2965" s="2" t="s">
        <v>16</v>
      </c>
      <c r="F2965" s="2">
        <v>1</v>
      </c>
      <c r="G2965" s="2" t="s">
        <v>17</v>
      </c>
    </row>
    <row r="2966" spans="1:7" x14ac:dyDescent="0.2">
      <c r="A2966" s="2" t="s">
        <v>3942</v>
      </c>
      <c r="B2966" s="2" t="s">
        <v>3948</v>
      </c>
      <c r="C2966" s="2" t="s">
        <v>907</v>
      </c>
      <c r="D2966" s="2" t="s">
        <v>10</v>
      </c>
      <c r="E2966" s="2" t="s">
        <v>16</v>
      </c>
      <c r="F2966" s="2">
        <v>1</v>
      </c>
      <c r="G2966" s="2" t="s">
        <v>17</v>
      </c>
    </row>
    <row r="2967" spans="1:7" x14ac:dyDescent="0.2">
      <c r="A2967" s="2" t="s">
        <v>3942</v>
      </c>
      <c r="B2967" s="2" t="s">
        <v>3949</v>
      </c>
      <c r="C2967" s="2" t="s">
        <v>900</v>
      </c>
      <c r="D2967" s="2" t="s">
        <v>10</v>
      </c>
      <c r="E2967" s="2" t="s">
        <v>16</v>
      </c>
      <c r="F2967" s="2">
        <v>1</v>
      </c>
      <c r="G2967" s="2" t="s">
        <v>17</v>
      </c>
    </row>
    <row r="2968" spans="1:7" x14ac:dyDescent="0.2">
      <c r="A2968" s="2" t="s">
        <v>3942</v>
      </c>
      <c r="B2968" s="2" t="s">
        <v>909</v>
      </c>
      <c r="C2968" s="2" t="s">
        <v>903</v>
      </c>
      <c r="D2968" s="2" t="s">
        <v>10</v>
      </c>
      <c r="E2968" s="2" t="s">
        <v>16</v>
      </c>
      <c r="F2968" s="2">
        <v>1</v>
      </c>
      <c r="G2968" s="2" t="s">
        <v>17</v>
      </c>
    </row>
    <row r="2969" spans="1:7" x14ac:dyDescent="0.2">
      <c r="A2969" s="2" t="s">
        <v>3942</v>
      </c>
      <c r="B2969" s="2" t="s">
        <v>910</v>
      </c>
      <c r="C2969" s="2" t="s">
        <v>900</v>
      </c>
      <c r="D2969" s="2" t="s">
        <v>10</v>
      </c>
      <c r="E2969" s="2" t="s">
        <v>16</v>
      </c>
      <c r="F2969" s="2">
        <v>1</v>
      </c>
      <c r="G2969" s="2" t="s">
        <v>17</v>
      </c>
    </row>
    <row r="2970" spans="1:7" x14ac:dyDescent="0.2">
      <c r="A2970" s="2" t="s">
        <v>3942</v>
      </c>
      <c r="B2970" s="2" t="s">
        <v>3950</v>
      </c>
      <c r="C2970" s="2" t="s">
        <v>924</v>
      </c>
      <c r="D2970" s="2" t="s">
        <v>10</v>
      </c>
      <c r="E2970" s="2" t="s">
        <v>16</v>
      </c>
      <c r="F2970" s="2">
        <v>1</v>
      </c>
      <c r="G2970" s="2" t="s">
        <v>17</v>
      </c>
    </row>
    <row r="2971" spans="1:7" x14ac:dyDescent="0.2">
      <c r="A2971" s="2" t="s">
        <v>3942</v>
      </c>
      <c r="B2971" s="2" t="s">
        <v>911</v>
      </c>
      <c r="C2971" s="2" t="s">
        <v>903</v>
      </c>
      <c r="D2971" s="2" t="s">
        <v>10</v>
      </c>
      <c r="E2971" s="2" t="s">
        <v>16</v>
      </c>
      <c r="F2971" s="2">
        <v>1</v>
      </c>
      <c r="G2971" s="2" t="s">
        <v>17</v>
      </c>
    </row>
    <row r="2972" spans="1:7" x14ac:dyDescent="0.2">
      <c r="A2972" s="2" t="s">
        <v>3942</v>
      </c>
      <c r="B2972" s="2" t="s">
        <v>912</v>
      </c>
      <c r="C2972" s="2" t="s">
        <v>913</v>
      </c>
      <c r="D2972" s="2" t="s">
        <v>10</v>
      </c>
      <c r="E2972" s="2" t="s">
        <v>16</v>
      </c>
      <c r="F2972" s="2">
        <v>1</v>
      </c>
      <c r="G2972" s="2" t="s">
        <v>17</v>
      </c>
    </row>
    <row r="2973" spans="1:7" x14ac:dyDescent="0.2">
      <c r="A2973" s="2" t="s">
        <v>3942</v>
      </c>
      <c r="B2973" s="2" t="s">
        <v>3951</v>
      </c>
      <c r="C2973" s="2" t="s">
        <v>3952</v>
      </c>
      <c r="D2973" s="2" t="s">
        <v>10</v>
      </c>
      <c r="E2973" s="2" t="s">
        <v>52</v>
      </c>
      <c r="F2973" s="2">
        <v>2</v>
      </c>
      <c r="G2973" s="2" t="s">
        <v>17</v>
      </c>
    </row>
    <row r="2974" spans="1:7" x14ac:dyDescent="0.2">
      <c r="A2974" s="2" t="s">
        <v>3942</v>
      </c>
      <c r="B2974" s="2" t="s">
        <v>915</v>
      </c>
      <c r="C2974" s="2" t="s">
        <v>916</v>
      </c>
      <c r="D2974" s="2" t="s">
        <v>10</v>
      </c>
      <c r="E2974" s="2" t="s">
        <v>52</v>
      </c>
      <c r="F2974" s="2">
        <v>2</v>
      </c>
      <c r="G2974" s="2" t="s">
        <v>17</v>
      </c>
    </row>
    <row r="2975" spans="1:7" x14ac:dyDescent="0.2">
      <c r="A2975" s="2" t="s">
        <v>3942</v>
      </c>
      <c r="B2975" s="2" t="s">
        <v>920</v>
      </c>
      <c r="C2975" s="2" t="s">
        <v>921</v>
      </c>
      <c r="D2975" s="2" t="s">
        <v>10</v>
      </c>
      <c r="E2975" s="2" t="s">
        <v>16</v>
      </c>
      <c r="F2975" s="2">
        <v>2</v>
      </c>
      <c r="G2975" s="2" t="s">
        <v>17</v>
      </c>
    </row>
    <row r="2976" spans="1:7" x14ac:dyDescent="0.2">
      <c r="A2976" s="2" t="s">
        <v>3942</v>
      </c>
      <c r="B2976" s="2" t="s">
        <v>922</v>
      </c>
      <c r="C2976" s="2" t="s">
        <v>903</v>
      </c>
      <c r="D2976" s="2" t="s">
        <v>10</v>
      </c>
      <c r="E2976" s="2" t="s">
        <v>16</v>
      </c>
      <c r="F2976" s="2">
        <v>1</v>
      </c>
      <c r="G2976" s="2" t="s">
        <v>17</v>
      </c>
    </row>
    <row r="2977" spans="1:7" x14ac:dyDescent="0.2">
      <c r="A2977" s="2" t="s">
        <v>3942</v>
      </c>
      <c r="B2977" s="2" t="s">
        <v>923</v>
      </c>
      <c r="C2977" s="2" t="s">
        <v>924</v>
      </c>
      <c r="D2977" s="2" t="s">
        <v>10</v>
      </c>
      <c r="E2977" s="2" t="s">
        <v>16</v>
      </c>
      <c r="F2977" s="2">
        <v>1</v>
      </c>
      <c r="G2977" s="2" t="s">
        <v>17</v>
      </c>
    </row>
    <row r="2978" spans="1:7" x14ac:dyDescent="0.2">
      <c r="A2978" s="2" t="s">
        <v>3942</v>
      </c>
      <c r="B2978" s="2" t="s">
        <v>3953</v>
      </c>
      <c r="C2978" s="2" t="s">
        <v>958</v>
      </c>
      <c r="D2978" s="2" t="s">
        <v>10</v>
      </c>
      <c r="E2978" s="2" t="s">
        <v>16</v>
      </c>
      <c r="F2978" s="2">
        <v>1</v>
      </c>
      <c r="G2978" s="2" t="s">
        <v>17</v>
      </c>
    </row>
    <row r="2979" spans="1:7" x14ac:dyDescent="0.2">
      <c r="A2979" s="2" t="s">
        <v>3942</v>
      </c>
      <c r="B2979" s="2" t="s">
        <v>925</v>
      </c>
      <c r="C2979" s="2" t="s">
        <v>921</v>
      </c>
      <c r="D2979" s="2" t="s">
        <v>10</v>
      </c>
      <c r="E2979" s="2" t="s">
        <v>16</v>
      </c>
      <c r="F2979" s="2">
        <v>2</v>
      </c>
      <c r="G2979" s="2" t="s">
        <v>17</v>
      </c>
    </row>
    <row r="2980" spans="1:7" x14ac:dyDescent="0.2">
      <c r="A2980" s="2" t="s">
        <v>3942</v>
      </c>
      <c r="B2980" s="2" t="s">
        <v>926</v>
      </c>
      <c r="C2980" s="2" t="s">
        <v>921</v>
      </c>
      <c r="D2980" s="2" t="s">
        <v>10</v>
      </c>
      <c r="E2980" s="2" t="s">
        <v>16</v>
      </c>
      <c r="F2980" s="2">
        <v>2</v>
      </c>
      <c r="G2980" s="2" t="s">
        <v>17</v>
      </c>
    </row>
    <row r="2981" spans="1:7" x14ac:dyDescent="0.2">
      <c r="A2981" s="2" t="s">
        <v>3942</v>
      </c>
      <c r="B2981" s="2" t="s">
        <v>927</v>
      </c>
      <c r="C2981" s="2" t="s">
        <v>921</v>
      </c>
      <c r="D2981" s="2" t="s">
        <v>10</v>
      </c>
      <c r="E2981" s="2" t="s">
        <v>16</v>
      </c>
      <c r="F2981" s="2">
        <v>2</v>
      </c>
      <c r="G2981" s="2" t="s">
        <v>17</v>
      </c>
    </row>
    <row r="2982" spans="1:7" x14ac:dyDescent="0.2">
      <c r="A2982" s="2" t="s">
        <v>3942</v>
      </c>
      <c r="B2982" s="2" t="s">
        <v>3954</v>
      </c>
      <c r="C2982" s="2" t="s">
        <v>3947</v>
      </c>
      <c r="D2982" s="2" t="s">
        <v>10</v>
      </c>
      <c r="E2982" s="2" t="s">
        <v>16</v>
      </c>
      <c r="F2982" s="2">
        <v>2</v>
      </c>
      <c r="G2982" s="2" t="s">
        <v>17</v>
      </c>
    </row>
    <row r="2983" spans="1:7" x14ac:dyDescent="0.2">
      <c r="A2983" s="2" t="s">
        <v>3942</v>
      </c>
      <c r="B2983" s="2" t="s">
        <v>3955</v>
      </c>
      <c r="C2983" s="2" t="s">
        <v>3956</v>
      </c>
      <c r="D2983" s="2" t="s">
        <v>10</v>
      </c>
      <c r="E2983" s="2" t="s">
        <v>16</v>
      </c>
      <c r="F2983" s="2">
        <v>1</v>
      </c>
      <c r="G2983" s="2" t="s">
        <v>17</v>
      </c>
    </row>
    <row r="2984" spans="1:7" x14ac:dyDescent="0.2">
      <c r="A2984" s="2" t="s">
        <v>3942</v>
      </c>
      <c r="B2984" s="2" t="s">
        <v>3957</v>
      </c>
      <c r="C2984" s="2" t="s">
        <v>900</v>
      </c>
      <c r="D2984" s="2" t="s">
        <v>10</v>
      </c>
      <c r="E2984" s="2" t="s">
        <v>16</v>
      </c>
      <c r="F2984" s="2">
        <v>1</v>
      </c>
      <c r="G2984" s="2" t="s">
        <v>17</v>
      </c>
    </row>
    <row r="2985" spans="1:7" x14ac:dyDescent="0.2">
      <c r="A2985" s="2" t="s">
        <v>3942</v>
      </c>
      <c r="B2985" s="2" t="s">
        <v>3958</v>
      </c>
      <c r="C2985" s="2" t="s">
        <v>900</v>
      </c>
      <c r="D2985" s="2" t="s">
        <v>10</v>
      </c>
      <c r="E2985" s="2" t="s">
        <v>16</v>
      </c>
      <c r="F2985" s="2">
        <v>1</v>
      </c>
      <c r="G2985" s="2" t="s">
        <v>17</v>
      </c>
    </row>
    <row r="2986" spans="1:7" x14ac:dyDescent="0.2">
      <c r="A2986" s="2" t="s">
        <v>3942</v>
      </c>
      <c r="B2986" s="2" t="s">
        <v>3959</v>
      </c>
      <c r="C2986" s="2" t="s">
        <v>900</v>
      </c>
      <c r="D2986" s="2" t="s">
        <v>10</v>
      </c>
      <c r="E2986" s="2" t="s">
        <v>16</v>
      </c>
      <c r="F2986" s="2">
        <v>1</v>
      </c>
      <c r="G2986" s="2" t="s">
        <v>17</v>
      </c>
    </row>
    <row r="2987" spans="1:7" x14ac:dyDescent="0.2">
      <c r="A2987" s="2" t="s">
        <v>3942</v>
      </c>
      <c r="B2987" s="2" t="s">
        <v>3960</v>
      </c>
      <c r="C2987" s="2" t="s">
        <v>900</v>
      </c>
      <c r="D2987" s="2" t="s">
        <v>10</v>
      </c>
      <c r="E2987" s="2" t="s">
        <v>16</v>
      </c>
      <c r="F2987" s="2">
        <v>1</v>
      </c>
      <c r="G2987" s="2" t="s">
        <v>17</v>
      </c>
    </row>
    <row r="2988" spans="1:7" x14ac:dyDescent="0.2">
      <c r="A2988" s="2" t="s">
        <v>3942</v>
      </c>
      <c r="B2988" s="2" t="s">
        <v>3961</v>
      </c>
      <c r="C2988" s="2" t="s">
        <v>900</v>
      </c>
      <c r="D2988" s="2" t="s">
        <v>10</v>
      </c>
      <c r="E2988" s="2" t="s">
        <v>16</v>
      </c>
      <c r="F2988" s="2">
        <v>1</v>
      </c>
      <c r="G2988" s="2" t="s">
        <v>17</v>
      </c>
    </row>
    <row r="2989" spans="1:7" x14ac:dyDescent="0.2">
      <c r="A2989" s="2" t="s">
        <v>3942</v>
      </c>
      <c r="B2989" s="2" t="s">
        <v>3962</v>
      </c>
      <c r="C2989" s="2" t="s">
        <v>900</v>
      </c>
      <c r="D2989" s="2" t="s">
        <v>10</v>
      </c>
      <c r="E2989" s="2" t="s">
        <v>16</v>
      </c>
      <c r="F2989" s="2">
        <v>1</v>
      </c>
      <c r="G2989" s="2" t="s">
        <v>17</v>
      </c>
    </row>
    <row r="2990" spans="1:7" x14ac:dyDescent="0.2">
      <c r="A2990" s="2" t="s">
        <v>3942</v>
      </c>
      <c r="B2990" s="2" t="s">
        <v>3963</v>
      </c>
      <c r="C2990" s="2" t="s">
        <v>903</v>
      </c>
      <c r="D2990" s="2" t="s">
        <v>10</v>
      </c>
      <c r="E2990" s="2" t="s">
        <v>16</v>
      </c>
      <c r="F2990" s="2">
        <v>1</v>
      </c>
      <c r="G2990" s="2" t="s">
        <v>17</v>
      </c>
    </row>
    <row r="2991" spans="1:7" x14ac:dyDescent="0.2">
      <c r="A2991" s="2" t="s">
        <v>3942</v>
      </c>
      <c r="B2991" s="2" t="s">
        <v>3964</v>
      </c>
      <c r="C2991" s="2" t="s">
        <v>903</v>
      </c>
      <c r="D2991" s="2" t="s">
        <v>10</v>
      </c>
      <c r="E2991" s="2" t="s">
        <v>16</v>
      </c>
      <c r="F2991" s="2">
        <v>1</v>
      </c>
      <c r="G2991" s="2" t="s">
        <v>17</v>
      </c>
    </row>
    <row r="2992" spans="1:7" x14ac:dyDescent="0.2">
      <c r="A2992" s="2" t="s">
        <v>3942</v>
      </c>
      <c r="B2992" s="2" t="s">
        <v>3965</v>
      </c>
      <c r="C2992" s="2" t="s">
        <v>903</v>
      </c>
      <c r="D2992" s="2" t="s">
        <v>10</v>
      </c>
      <c r="E2992" s="2" t="s">
        <v>16</v>
      </c>
      <c r="F2992" s="2">
        <v>1</v>
      </c>
      <c r="G2992" s="2" t="s">
        <v>17</v>
      </c>
    </row>
    <row r="2993" spans="1:7" x14ac:dyDescent="0.2">
      <c r="A2993" s="2" t="s">
        <v>3942</v>
      </c>
      <c r="B2993" s="2" t="s">
        <v>3966</v>
      </c>
      <c r="C2993" s="2" t="s">
        <v>907</v>
      </c>
      <c r="D2993" s="2" t="s">
        <v>10</v>
      </c>
      <c r="E2993" s="2" t="s">
        <v>16</v>
      </c>
      <c r="F2993" s="2">
        <v>1</v>
      </c>
      <c r="G2993" s="2" t="s">
        <v>17</v>
      </c>
    </row>
    <row r="2994" spans="1:7" x14ac:dyDescent="0.2">
      <c r="A2994" s="2" t="s">
        <v>3942</v>
      </c>
      <c r="B2994" s="2" t="s">
        <v>3967</v>
      </c>
      <c r="C2994" s="2" t="s">
        <v>907</v>
      </c>
      <c r="D2994" s="2" t="s">
        <v>10</v>
      </c>
      <c r="E2994" s="2" t="s">
        <v>16</v>
      </c>
      <c r="F2994" s="2">
        <v>1</v>
      </c>
      <c r="G2994" s="2" t="s">
        <v>17</v>
      </c>
    </row>
    <row r="2995" spans="1:7" x14ac:dyDescent="0.2">
      <c r="A2995" s="2" t="s">
        <v>3942</v>
      </c>
      <c r="B2995" s="2" t="s">
        <v>3968</v>
      </c>
      <c r="C2995" s="2" t="s">
        <v>907</v>
      </c>
      <c r="D2995" s="2" t="s">
        <v>10</v>
      </c>
      <c r="E2995" s="2" t="s">
        <v>16</v>
      </c>
      <c r="F2995" s="2">
        <v>1</v>
      </c>
      <c r="G2995" s="2" t="s">
        <v>17</v>
      </c>
    </row>
    <row r="2996" spans="1:7" x14ac:dyDescent="0.2">
      <c r="A2996" s="2" t="s">
        <v>3942</v>
      </c>
      <c r="B2996" s="2" t="s">
        <v>3969</v>
      </c>
      <c r="C2996" s="2" t="s">
        <v>3945</v>
      </c>
      <c r="D2996" s="2" t="s">
        <v>10</v>
      </c>
      <c r="E2996" s="2" t="s">
        <v>16</v>
      </c>
      <c r="F2996" s="2">
        <v>1</v>
      </c>
      <c r="G2996" s="2" t="s">
        <v>17</v>
      </c>
    </row>
    <row r="2997" spans="1:7" x14ac:dyDescent="0.2">
      <c r="A2997" s="2" t="s">
        <v>3942</v>
      </c>
      <c r="B2997" s="2" t="s">
        <v>3970</v>
      </c>
      <c r="C2997" s="2" t="s">
        <v>921</v>
      </c>
      <c r="D2997" s="2" t="s">
        <v>10</v>
      </c>
      <c r="E2997" s="2" t="s">
        <v>16</v>
      </c>
      <c r="F2997" s="2">
        <v>2</v>
      </c>
      <c r="G2997" s="2" t="s">
        <v>17</v>
      </c>
    </row>
    <row r="2998" spans="1:7" x14ac:dyDescent="0.2">
      <c r="A2998" s="2" t="s">
        <v>3942</v>
      </c>
      <c r="B2998" s="2" t="s">
        <v>3971</v>
      </c>
      <c r="C2998" s="2" t="s">
        <v>921</v>
      </c>
      <c r="D2998" s="2" t="s">
        <v>10</v>
      </c>
      <c r="E2998" s="2" t="s">
        <v>16</v>
      </c>
      <c r="F2998" s="2">
        <v>2</v>
      </c>
      <c r="G2998" s="2" t="s">
        <v>17</v>
      </c>
    </row>
    <row r="2999" spans="1:7" x14ac:dyDescent="0.2">
      <c r="A2999" s="2" t="s">
        <v>3942</v>
      </c>
      <c r="B2999" s="2" t="s">
        <v>3972</v>
      </c>
      <c r="C2999" s="2" t="s">
        <v>921</v>
      </c>
      <c r="D2999" s="2" t="s">
        <v>10</v>
      </c>
      <c r="E2999" s="2" t="s">
        <v>16</v>
      </c>
      <c r="F2999" s="2">
        <v>2</v>
      </c>
      <c r="G2999" s="2" t="s">
        <v>17</v>
      </c>
    </row>
    <row r="3000" spans="1:7" x14ac:dyDescent="0.2">
      <c r="A3000" s="2" t="s">
        <v>3942</v>
      </c>
      <c r="B3000" s="2" t="s">
        <v>3973</v>
      </c>
      <c r="C3000" s="2" t="s">
        <v>921</v>
      </c>
      <c r="D3000" s="2" t="s">
        <v>10</v>
      </c>
      <c r="E3000" s="2" t="s">
        <v>16</v>
      </c>
      <c r="F3000" s="2">
        <v>2</v>
      </c>
      <c r="G3000" s="2" t="s">
        <v>17</v>
      </c>
    </row>
    <row r="3001" spans="1:7" x14ac:dyDescent="0.2">
      <c r="A3001" s="2" t="s">
        <v>3942</v>
      </c>
      <c r="B3001" s="2" t="s">
        <v>3974</v>
      </c>
      <c r="C3001" s="2" t="s">
        <v>921</v>
      </c>
      <c r="D3001" s="2" t="s">
        <v>10</v>
      </c>
      <c r="E3001" s="2" t="s">
        <v>16</v>
      </c>
      <c r="F3001" s="2">
        <v>2</v>
      </c>
      <c r="G3001" s="2" t="s">
        <v>17</v>
      </c>
    </row>
    <row r="3002" spans="1:7" x14ac:dyDescent="0.2">
      <c r="A3002" s="2" t="s">
        <v>3942</v>
      </c>
      <c r="B3002" s="2" t="s">
        <v>3975</v>
      </c>
      <c r="C3002" s="2" t="s">
        <v>3952</v>
      </c>
      <c r="D3002" s="2" t="s">
        <v>10</v>
      </c>
      <c r="E3002" s="2" t="s">
        <v>52</v>
      </c>
      <c r="F3002" s="2">
        <v>2</v>
      </c>
      <c r="G3002" s="2" t="s">
        <v>17</v>
      </c>
    </row>
    <row r="3003" spans="1:7" x14ac:dyDescent="0.2">
      <c r="A3003" s="2" t="s">
        <v>3942</v>
      </c>
      <c r="B3003" s="2" t="s">
        <v>3976</v>
      </c>
      <c r="C3003" s="2" t="s">
        <v>916</v>
      </c>
      <c r="D3003" s="2" t="s">
        <v>10</v>
      </c>
      <c r="E3003" s="2" t="s">
        <v>52</v>
      </c>
      <c r="F3003" s="2">
        <v>2</v>
      </c>
      <c r="G3003" s="2" t="s">
        <v>17</v>
      </c>
    </row>
    <row r="3004" spans="1:7" x14ac:dyDescent="0.2">
      <c r="A3004" s="2" t="s">
        <v>3942</v>
      </c>
      <c r="B3004" s="2" t="s">
        <v>3977</v>
      </c>
      <c r="C3004" s="2" t="s">
        <v>913</v>
      </c>
      <c r="D3004" s="2" t="s">
        <v>10</v>
      </c>
      <c r="E3004" s="2" t="s">
        <v>16</v>
      </c>
      <c r="F3004" s="2">
        <v>1</v>
      </c>
      <c r="G3004" s="2" t="s">
        <v>17</v>
      </c>
    </row>
    <row r="3005" spans="1:7" x14ac:dyDescent="0.2">
      <c r="A3005" s="2" t="s">
        <v>3942</v>
      </c>
      <c r="B3005" s="2" t="s">
        <v>3978</v>
      </c>
      <c r="C3005" s="2" t="s">
        <v>924</v>
      </c>
      <c r="D3005" s="2" t="s">
        <v>10</v>
      </c>
      <c r="E3005" s="2" t="s">
        <v>16</v>
      </c>
      <c r="F3005" s="2">
        <v>1</v>
      </c>
      <c r="G3005" s="2" t="s">
        <v>17</v>
      </c>
    </row>
    <row r="3006" spans="1:7" x14ac:dyDescent="0.2">
      <c r="A3006" s="2" t="s">
        <v>3942</v>
      </c>
      <c r="B3006" s="2" t="s">
        <v>3979</v>
      </c>
      <c r="C3006" s="2" t="s">
        <v>924</v>
      </c>
      <c r="D3006" s="2" t="s">
        <v>10</v>
      </c>
      <c r="E3006" s="2" t="s">
        <v>16</v>
      </c>
      <c r="F3006" s="2">
        <v>1</v>
      </c>
      <c r="G3006" s="2" t="s">
        <v>17</v>
      </c>
    </row>
    <row r="3007" spans="1:7" x14ac:dyDescent="0.2">
      <c r="A3007" s="2" t="s">
        <v>3942</v>
      </c>
      <c r="B3007" s="2" t="s">
        <v>3980</v>
      </c>
      <c r="C3007" s="2" t="s">
        <v>958</v>
      </c>
      <c r="D3007" s="2" t="s">
        <v>10</v>
      </c>
      <c r="E3007" s="2" t="s">
        <v>16</v>
      </c>
      <c r="F3007" s="2">
        <v>1</v>
      </c>
      <c r="G3007" s="2" t="s">
        <v>17</v>
      </c>
    </row>
    <row r="3008" spans="1:7" x14ac:dyDescent="0.2">
      <c r="A3008" s="2" t="s">
        <v>3942</v>
      </c>
      <c r="B3008" s="2" t="s">
        <v>3981</v>
      </c>
      <c r="C3008" s="2" t="s">
        <v>958</v>
      </c>
      <c r="D3008" s="2" t="s">
        <v>10</v>
      </c>
      <c r="E3008" s="2" t="s">
        <v>16</v>
      </c>
      <c r="F3008" s="2">
        <v>1</v>
      </c>
      <c r="G3008" s="2" t="s">
        <v>17</v>
      </c>
    </row>
    <row r="3009" spans="1:7" x14ac:dyDescent="0.2">
      <c r="A3009" s="2" t="s">
        <v>3942</v>
      </c>
      <c r="B3009" s="2" t="s">
        <v>3982</v>
      </c>
      <c r="C3009" s="2" t="s">
        <v>960</v>
      </c>
      <c r="D3009" s="2" t="s">
        <v>10</v>
      </c>
      <c r="E3009" s="2" t="s">
        <v>16</v>
      </c>
      <c r="F3009" s="2">
        <v>2</v>
      </c>
      <c r="G3009" s="2" t="s">
        <v>17</v>
      </c>
    </row>
    <row r="3010" spans="1:7" x14ac:dyDescent="0.2">
      <c r="A3010" s="2" t="s">
        <v>3942</v>
      </c>
      <c r="B3010" s="2" t="s">
        <v>3983</v>
      </c>
      <c r="C3010" s="2" t="s">
        <v>962</v>
      </c>
      <c r="D3010" s="2" t="s">
        <v>10</v>
      </c>
      <c r="E3010" s="2" t="s">
        <v>16</v>
      </c>
      <c r="F3010" s="2">
        <v>1</v>
      </c>
      <c r="G3010" s="2" t="s">
        <v>17</v>
      </c>
    </row>
    <row r="3011" spans="1:7" x14ac:dyDescent="0.2">
      <c r="A3011" s="2" t="s">
        <v>3942</v>
      </c>
      <c r="B3011" s="2" t="s">
        <v>3984</v>
      </c>
      <c r="C3011" s="2" t="s">
        <v>964</v>
      </c>
      <c r="D3011" s="2" t="s">
        <v>10</v>
      </c>
      <c r="E3011" s="2" t="s">
        <v>16</v>
      </c>
      <c r="F3011" s="2">
        <v>1</v>
      </c>
      <c r="G3011" s="2" t="s">
        <v>17</v>
      </c>
    </row>
    <row r="3012" spans="1:7" x14ac:dyDescent="0.2">
      <c r="A3012" s="2" t="s">
        <v>3942</v>
      </c>
      <c r="B3012" s="2" t="s">
        <v>3985</v>
      </c>
      <c r="C3012" s="2" t="s">
        <v>3956</v>
      </c>
      <c r="D3012" s="2" t="s">
        <v>10</v>
      </c>
      <c r="E3012" s="2" t="s">
        <v>16</v>
      </c>
      <c r="F3012" s="2">
        <v>1</v>
      </c>
      <c r="G3012" s="2" t="s">
        <v>17</v>
      </c>
    </row>
    <row r="3013" spans="1:7" x14ac:dyDescent="0.2">
      <c r="A3013" s="2" t="s">
        <v>3942</v>
      </c>
      <c r="B3013" s="2" t="s">
        <v>968</v>
      </c>
      <c r="C3013" s="2" t="s">
        <v>962</v>
      </c>
      <c r="D3013" s="2" t="s">
        <v>10</v>
      </c>
      <c r="E3013" s="2" t="s">
        <v>16</v>
      </c>
      <c r="F3013" s="2">
        <v>1</v>
      </c>
      <c r="G3013" s="2" t="s">
        <v>17</v>
      </c>
    </row>
    <row r="3014" spans="1:7" x14ac:dyDescent="0.2">
      <c r="A3014" s="2" t="s">
        <v>3942</v>
      </c>
      <c r="B3014" s="2" t="s">
        <v>3986</v>
      </c>
      <c r="C3014" s="2" t="s">
        <v>921</v>
      </c>
      <c r="D3014" s="2" t="s">
        <v>10</v>
      </c>
      <c r="E3014" s="2" t="s">
        <v>16</v>
      </c>
      <c r="F3014" s="2">
        <v>2</v>
      </c>
      <c r="G3014" s="2" t="s">
        <v>17</v>
      </c>
    </row>
    <row r="3015" spans="1:7" x14ac:dyDescent="0.2">
      <c r="A3015" s="2" t="s">
        <v>3942</v>
      </c>
      <c r="B3015" s="2" t="s">
        <v>971</v>
      </c>
      <c r="C3015" s="2" t="s">
        <v>960</v>
      </c>
      <c r="D3015" s="2" t="s">
        <v>10</v>
      </c>
      <c r="E3015" s="2" t="s">
        <v>16</v>
      </c>
      <c r="F3015" s="2">
        <v>2</v>
      </c>
      <c r="G3015" s="2" t="s">
        <v>17</v>
      </c>
    </row>
    <row r="3016" spans="1:7" x14ac:dyDescent="0.2">
      <c r="A3016" s="2" t="s">
        <v>3942</v>
      </c>
      <c r="B3016" s="2" t="s">
        <v>973</v>
      </c>
      <c r="C3016" s="2" t="s">
        <v>964</v>
      </c>
      <c r="D3016" s="2" t="s">
        <v>10</v>
      </c>
      <c r="E3016" s="2" t="s">
        <v>16</v>
      </c>
      <c r="F3016" s="2">
        <v>1</v>
      </c>
      <c r="G3016" s="2" t="s">
        <v>17</v>
      </c>
    </row>
    <row r="3017" spans="1:7" x14ac:dyDescent="0.2">
      <c r="A3017" s="2" t="s">
        <v>3942</v>
      </c>
      <c r="B3017" s="2" t="s">
        <v>3987</v>
      </c>
      <c r="C3017" s="2" t="s">
        <v>958</v>
      </c>
      <c r="D3017" s="2" t="s">
        <v>10</v>
      </c>
      <c r="E3017" s="2" t="s">
        <v>16</v>
      </c>
      <c r="F3017" s="2">
        <v>1</v>
      </c>
      <c r="G3017" s="2" t="s">
        <v>17</v>
      </c>
    </row>
    <row r="3018" spans="1:7" x14ac:dyDescent="0.2">
      <c r="A3018" s="2" t="s">
        <v>3942</v>
      </c>
      <c r="B3018" s="2" t="s">
        <v>978</v>
      </c>
      <c r="C3018" s="2" t="s">
        <v>900</v>
      </c>
      <c r="D3018" s="2" t="s">
        <v>10</v>
      </c>
      <c r="E3018" s="2" t="s">
        <v>16</v>
      </c>
      <c r="F3018" s="2">
        <v>1</v>
      </c>
      <c r="G3018" s="2" t="s">
        <v>17</v>
      </c>
    </row>
    <row r="3019" spans="1:7" x14ac:dyDescent="0.2">
      <c r="A3019" s="2" t="s">
        <v>3942</v>
      </c>
      <c r="B3019" s="2" t="s">
        <v>984</v>
      </c>
      <c r="C3019" s="2" t="s">
        <v>980</v>
      </c>
      <c r="D3019" s="2" t="s">
        <v>10</v>
      </c>
      <c r="E3019" s="2" t="s">
        <v>16</v>
      </c>
      <c r="F3019" s="2">
        <v>1</v>
      </c>
      <c r="G3019" s="2" t="s">
        <v>17</v>
      </c>
    </row>
    <row r="3020" spans="1:7" x14ac:dyDescent="0.2">
      <c r="A3020" s="2" t="s">
        <v>3942</v>
      </c>
      <c r="B3020" s="2" t="s">
        <v>985</v>
      </c>
      <c r="C3020" s="2" t="s">
        <v>980</v>
      </c>
      <c r="D3020" s="2" t="s">
        <v>10</v>
      </c>
      <c r="E3020" s="2" t="s">
        <v>16</v>
      </c>
      <c r="F3020" s="2">
        <v>1</v>
      </c>
      <c r="G3020" s="2" t="s">
        <v>17</v>
      </c>
    </row>
    <row r="3021" spans="1:7" x14ac:dyDescent="0.2">
      <c r="A3021" s="2" t="s">
        <v>3942</v>
      </c>
      <c r="B3021" s="2" t="s">
        <v>3988</v>
      </c>
      <c r="C3021" s="2" t="s">
        <v>982</v>
      </c>
      <c r="D3021" s="2" t="s">
        <v>10</v>
      </c>
      <c r="E3021" s="2" t="s">
        <v>16</v>
      </c>
      <c r="F3021" s="2">
        <v>1</v>
      </c>
      <c r="G3021" s="2" t="s">
        <v>17</v>
      </c>
    </row>
    <row r="3022" spans="1:7" x14ac:dyDescent="0.2">
      <c r="A3022" s="2" t="s">
        <v>3942</v>
      </c>
      <c r="B3022" s="2" t="s">
        <v>981</v>
      </c>
      <c r="C3022" s="2" t="s">
        <v>982</v>
      </c>
      <c r="D3022" s="2" t="s">
        <v>10</v>
      </c>
      <c r="E3022" s="2" t="s">
        <v>16</v>
      </c>
      <c r="F3022" s="2">
        <v>1</v>
      </c>
      <c r="G3022" s="2" t="s">
        <v>17</v>
      </c>
    </row>
    <row r="3023" spans="1:7" x14ac:dyDescent="0.2">
      <c r="A3023" s="2" t="s">
        <v>3942</v>
      </c>
      <c r="B3023" s="2" t="s">
        <v>3989</v>
      </c>
      <c r="C3023" s="2" t="s">
        <v>980</v>
      </c>
      <c r="D3023" s="2" t="s">
        <v>10</v>
      </c>
      <c r="E3023" s="2" t="s">
        <v>16</v>
      </c>
      <c r="F3023" s="2">
        <v>1</v>
      </c>
      <c r="G3023" s="2" t="s">
        <v>17</v>
      </c>
    </row>
    <row r="3024" spans="1:7" x14ac:dyDescent="0.2">
      <c r="A3024" s="2" t="s">
        <v>3942</v>
      </c>
      <c r="B3024" s="2" t="s">
        <v>3990</v>
      </c>
      <c r="C3024" s="2" t="s">
        <v>980</v>
      </c>
      <c r="D3024" s="2" t="s">
        <v>10</v>
      </c>
      <c r="E3024" s="2" t="s">
        <v>16</v>
      </c>
      <c r="F3024" s="2">
        <v>1</v>
      </c>
      <c r="G3024" s="2" t="s">
        <v>17</v>
      </c>
    </row>
    <row r="3025" spans="1:7" x14ac:dyDescent="0.2">
      <c r="A3025" s="2" t="s">
        <v>3991</v>
      </c>
      <c r="B3025" s="2" t="s">
        <v>3992</v>
      </c>
      <c r="C3025" s="2" t="s">
        <v>3993</v>
      </c>
      <c r="D3025" s="2" t="s">
        <v>10</v>
      </c>
      <c r="E3025" s="2" t="s">
        <v>16</v>
      </c>
      <c r="F3025" s="2">
        <v>1</v>
      </c>
      <c r="G3025" s="2" t="s">
        <v>17</v>
      </c>
    </row>
    <row r="3026" spans="1:7" x14ac:dyDescent="0.2">
      <c r="A3026" s="2" t="s">
        <v>3994</v>
      </c>
      <c r="B3026" s="2" t="s">
        <v>3995</v>
      </c>
      <c r="C3026" s="2" t="s">
        <v>3996</v>
      </c>
      <c r="D3026" s="2" t="s">
        <v>10</v>
      </c>
      <c r="E3026" s="2" t="s">
        <v>16</v>
      </c>
      <c r="F3026" s="2">
        <v>1</v>
      </c>
      <c r="G3026" s="2" t="s">
        <v>17</v>
      </c>
    </row>
    <row r="3027" spans="1:7" x14ac:dyDescent="0.2">
      <c r="A3027" s="2" t="s">
        <v>3994</v>
      </c>
      <c r="B3027" s="2" t="s">
        <v>3997</v>
      </c>
      <c r="C3027" s="2" t="s">
        <v>3996</v>
      </c>
      <c r="D3027" s="2" t="s">
        <v>10</v>
      </c>
      <c r="E3027" s="2" t="s">
        <v>16</v>
      </c>
      <c r="F3027" s="2">
        <v>1</v>
      </c>
      <c r="G3027" s="2" t="s">
        <v>17</v>
      </c>
    </row>
    <row r="3028" spans="1:7" x14ac:dyDescent="0.2">
      <c r="A3028" s="2" t="s">
        <v>3994</v>
      </c>
      <c r="B3028" s="2" t="s">
        <v>72</v>
      </c>
      <c r="C3028" s="2" t="s">
        <v>3996</v>
      </c>
      <c r="D3028" s="2" t="s">
        <v>10</v>
      </c>
      <c r="E3028" s="2" t="s">
        <v>16</v>
      </c>
      <c r="F3028" s="2">
        <v>1</v>
      </c>
      <c r="G3028" s="2" t="s">
        <v>17</v>
      </c>
    </row>
    <row r="3029" spans="1:7" x14ac:dyDescent="0.2">
      <c r="A3029" s="2" t="s">
        <v>3994</v>
      </c>
      <c r="B3029" s="2" t="s">
        <v>3998</v>
      </c>
      <c r="C3029" s="2" t="s">
        <v>3996</v>
      </c>
      <c r="D3029" s="2" t="s">
        <v>10</v>
      </c>
      <c r="E3029" s="2" t="s">
        <v>16</v>
      </c>
      <c r="F3029" s="2">
        <v>1</v>
      </c>
      <c r="G3029" s="2" t="s">
        <v>17</v>
      </c>
    </row>
    <row r="3030" spans="1:7" x14ac:dyDescent="0.2">
      <c r="A3030" s="2" t="s">
        <v>3999</v>
      </c>
      <c r="B3030" s="2" t="s">
        <v>1922</v>
      </c>
      <c r="C3030" s="2" t="s">
        <v>1923</v>
      </c>
      <c r="D3030" s="2" t="s">
        <v>10</v>
      </c>
      <c r="E3030" s="2" t="s">
        <v>16</v>
      </c>
      <c r="F3030" s="2">
        <v>1</v>
      </c>
      <c r="G3030" s="2" t="s">
        <v>17</v>
      </c>
    </row>
    <row r="3031" spans="1:7" x14ac:dyDescent="0.2">
      <c r="A3031" s="2" t="s">
        <v>3999</v>
      </c>
      <c r="B3031" s="2" t="s">
        <v>1925</v>
      </c>
      <c r="C3031" s="2" t="s">
        <v>1926</v>
      </c>
      <c r="D3031" s="2" t="s">
        <v>10</v>
      </c>
      <c r="E3031" s="2" t="s">
        <v>16</v>
      </c>
      <c r="F3031" s="2">
        <v>1</v>
      </c>
      <c r="G3031" s="2" t="s">
        <v>17</v>
      </c>
    </row>
    <row r="3032" spans="1:7" x14ac:dyDescent="0.2">
      <c r="A3032" s="2" t="s">
        <v>3999</v>
      </c>
      <c r="B3032" s="2" t="s">
        <v>1927</v>
      </c>
      <c r="C3032" s="2" t="s">
        <v>1923</v>
      </c>
      <c r="D3032" s="2" t="s">
        <v>10</v>
      </c>
      <c r="E3032" s="2" t="s">
        <v>16</v>
      </c>
      <c r="F3032" s="2">
        <v>1</v>
      </c>
      <c r="G3032" s="2" t="s">
        <v>17</v>
      </c>
    </row>
    <row r="3033" spans="1:7" x14ac:dyDescent="0.2">
      <c r="A3033" s="2" t="s">
        <v>3999</v>
      </c>
      <c r="B3033" s="2" t="s">
        <v>742</v>
      </c>
      <c r="C3033" s="2" t="s">
        <v>743</v>
      </c>
      <c r="D3033" s="2" t="s">
        <v>10</v>
      </c>
      <c r="E3033" s="2" t="s">
        <v>16</v>
      </c>
      <c r="F3033" s="2">
        <v>1</v>
      </c>
      <c r="G3033" s="2" t="s">
        <v>17</v>
      </c>
    </row>
    <row r="3034" spans="1:7" x14ac:dyDescent="0.2">
      <c r="A3034" s="2" t="s">
        <v>3999</v>
      </c>
      <c r="B3034" s="2" t="s">
        <v>744</v>
      </c>
      <c r="C3034" s="2" t="s">
        <v>745</v>
      </c>
      <c r="D3034" s="2" t="s">
        <v>10</v>
      </c>
      <c r="E3034" s="2" t="s">
        <v>16</v>
      </c>
      <c r="F3034" s="2">
        <v>1</v>
      </c>
      <c r="G3034" s="2" t="s">
        <v>17</v>
      </c>
    </row>
    <row r="3035" spans="1:7" x14ac:dyDescent="0.2">
      <c r="A3035" s="2" t="s">
        <v>4000</v>
      </c>
      <c r="B3035" s="2" t="s">
        <v>4001</v>
      </c>
      <c r="C3035" s="2" t="s">
        <v>4002</v>
      </c>
      <c r="D3035" s="2" t="s">
        <v>10</v>
      </c>
      <c r="E3035" s="2" t="s">
        <v>16</v>
      </c>
      <c r="F3035" s="2">
        <v>1</v>
      </c>
      <c r="G3035" s="2" t="s">
        <v>17</v>
      </c>
    </row>
    <row r="3036" spans="1:7" x14ac:dyDescent="0.2">
      <c r="A3036" s="2" t="s">
        <v>4000</v>
      </c>
      <c r="B3036" s="2" t="s">
        <v>4003</v>
      </c>
      <c r="C3036" s="2" t="s">
        <v>4002</v>
      </c>
      <c r="D3036" s="2" t="s">
        <v>10</v>
      </c>
      <c r="E3036" s="2" t="s">
        <v>16</v>
      </c>
      <c r="F3036" s="2">
        <v>1</v>
      </c>
      <c r="G3036" s="2" t="s">
        <v>17</v>
      </c>
    </row>
    <row r="3037" spans="1:7" x14ac:dyDescent="0.2">
      <c r="A3037" s="2" t="s">
        <v>4000</v>
      </c>
      <c r="B3037" s="2" t="s">
        <v>4004</v>
      </c>
      <c r="C3037" s="2" t="s">
        <v>4002</v>
      </c>
      <c r="D3037" s="2" t="s">
        <v>10</v>
      </c>
      <c r="E3037" s="2" t="s">
        <v>16</v>
      </c>
      <c r="F3037" s="2">
        <v>1</v>
      </c>
      <c r="G3037" s="2" t="s">
        <v>17</v>
      </c>
    </row>
    <row r="3038" spans="1:7" x14ac:dyDescent="0.2">
      <c r="A3038" s="2" t="s">
        <v>4005</v>
      </c>
      <c r="B3038" s="2" t="s">
        <v>4006</v>
      </c>
      <c r="C3038" s="2" t="s">
        <v>4007</v>
      </c>
      <c r="D3038" s="2" t="s">
        <v>56</v>
      </c>
      <c r="E3038" s="2" t="s">
        <v>16</v>
      </c>
      <c r="F3038" s="2">
        <v>1</v>
      </c>
      <c r="G3038" s="2" t="s">
        <v>17</v>
      </c>
    </row>
    <row r="3039" spans="1:7" x14ac:dyDescent="0.2">
      <c r="A3039" s="2" t="s">
        <v>4005</v>
      </c>
      <c r="B3039" s="2" t="s">
        <v>4008</v>
      </c>
      <c r="C3039" s="2" t="s">
        <v>4009</v>
      </c>
      <c r="D3039" s="2" t="s">
        <v>56</v>
      </c>
      <c r="E3039" s="2" t="s">
        <v>52</v>
      </c>
      <c r="F3039" s="2">
        <v>1</v>
      </c>
      <c r="G3039" s="2" t="s">
        <v>17</v>
      </c>
    </row>
    <row r="3040" spans="1:7" x14ac:dyDescent="0.2">
      <c r="A3040" s="2" t="s">
        <v>4005</v>
      </c>
      <c r="B3040" s="2" t="s">
        <v>4010</v>
      </c>
      <c r="C3040" s="2" t="s">
        <v>4009</v>
      </c>
      <c r="D3040" s="2" t="s">
        <v>56</v>
      </c>
      <c r="E3040" s="2" t="s">
        <v>52</v>
      </c>
      <c r="F3040" s="2">
        <v>1</v>
      </c>
      <c r="G3040" s="2" t="s">
        <v>17</v>
      </c>
    </row>
    <row r="3041" spans="1:7" x14ac:dyDescent="0.2">
      <c r="A3041" s="2" t="s">
        <v>4011</v>
      </c>
      <c r="B3041" s="2" t="s">
        <v>4012</v>
      </c>
      <c r="C3041" s="2" t="s">
        <v>4013</v>
      </c>
      <c r="D3041" s="2" t="s">
        <v>10</v>
      </c>
      <c r="E3041" s="2" t="s">
        <v>16</v>
      </c>
      <c r="F3041" s="2">
        <v>1</v>
      </c>
      <c r="G3041" s="2" t="s">
        <v>17</v>
      </c>
    </row>
    <row r="3042" spans="1:7" x14ac:dyDescent="0.2">
      <c r="A3042" s="2" t="s">
        <v>4014</v>
      </c>
      <c r="B3042" s="2" t="s">
        <v>4015</v>
      </c>
      <c r="C3042" s="2" t="s">
        <v>4016</v>
      </c>
      <c r="D3042" s="2" t="s">
        <v>10</v>
      </c>
      <c r="E3042" s="2" t="s">
        <v>16</v>
      </c>
      <c r="F3042" s="2">
        <v>1</v>
      </c>
      <c r="G3042" s="2" t="s">
        <v>17</v>
      </c>
    </row>
    <row r="3043" spans="1:7" x14ac:dyDescent="0.2">
      <c r="A3043" s="2" t="s">
        <v>4014</v>
      </c>
      <c r="B3043" s="2" t="s">
        <v>4017</v>
      </c>
      <c r="C3043" s="2" t="s">
        <v>4016</v>
      </c>
      <c r="D3043" s="2" t="s">
        <v>10</v>
      </c>
      <c r="E3043" s="2" t="s">
        <v>16</v>
      </c>
      <c r="F3043" s="2">
        <v>1</v>
      </c>
      <c r="G3043" s="2" t="s">
        <v>17</v>
      </c>
    </row>
    <row r="3044" spans="1:7" x14ac:dyDescent="0.2">
      <c r="A3044" s="2" t="s">
        <v>4014</v>
      </c>
      <c r="B3044" s="2" t="s">
        <v>4018</v>
      </c>
      <c r="C3044" s="2" t="s">
        <v>4019</v>
      </c>
      <c r="D3044" s="2" t="s">
        <v>10</v>
      </c>
      <c r="E3044" s="2" t="s">
        <v>16</v>
      </c>
      <c r="F3044" s="2">
        <v>1</v>
      </c>
      <c r="G3044" s="2" t="s">
        <v>17</v>
      </c>
    </row>
    <row r="3045" spans="1:7" x14ac:dyDescent="0.2">
      <c r="A3045" s="2" t="s">
        <v>4014</v>
      </c>
      <c r="B3045" s="2" t="s">
        <v>4020</v>
      </c>
      <c r="C3045" s="2" t="s">
        <v>4016</v>
      </c>
      <c r="D3045" s="2" t="s">
        <v>10</v>
      </c>
      <c r="E3045" s="2" t="s">
        <v>16</v>
      </c>
      <c r="F3045" s="2">
        <v>1</v>
      </c>
      <c r="G3045" s="2" t="s">
        <v>17</v>
      </c>
    </row>
    <row r="3046" spans="1:7" x14ac:dyDescent="0.2">
      <c r="A3046" s="2" t="s">
        <v>4014</v>
      </c>
      <c r="B3046" s="2" t="s">
        <v>4021</v>
      </c>
      <c r="C3046" s="2" t="s">
        <v>4022</v>
      </c>
      <c r="D3046" s="2" t="s">
        <v>10</v>
      </c>
      <c r="E3046" s="2" t="s">
        <v>16</v>
      </c>
      <c r="F3046" s="2">
        <v>1</v>
      </c>
      <c r="G3046" s="2" t="s">
        <v>17</v>
      </c>
    </row>
    <row r="3047" spans="1:7" x14ac:dyDescent="0.2">
      <c r="A3047" s="2" t="s">
        <v>4014</v>
      </c>
      <c r="B3047" s="2" t="s">
        <v>4023</v>
      </c>
      <c r="C3047" s="2" t="s">
        <v>4016</v>
      </c>
      <c r="D3047" s="2" t="s">
        <v>10</v>
      </c>
      <c r="E3047" s="2" t="s">
        <v>16</v>
      </c>
      <c r="F3047" s="2">
        <v>1</v>
      </c>
      <c r="G3047" s="2" t="s">
        <v>17</v>
      </c>
    </row>
    <row r="3048" spans="1:7" x14ac:dyDescent="0.2">
      <c r="A3048" s="2" t="s">
        <v>4014</v>
      </c>
      <c r="B3048" s="2" t="s">
        <v>4024</v>
      </c>
      <c r="C3048" s="2" t="s">
        <v>4022</v>
      </c>
      <c r="D3048" s="2" t="s">
        <v>10</v>
      </c>
      <c r="E3048" s="2" t="s">
        <v>16</v>
      </c>
      <c r="F3048" s="2">
        <v>1</v>
      </c>
      <c r="G3048" s="2" t="s">
        <v>17</v>
      </c>
    </row>
    <row r="3049" spans="1:7" x14ac:dyDescent="0.2">
      <c r="A3049" s="2" t="s">
        <v>4014</v>
      </c>
      <c r="B3049" s="2" t="s">
        <v>4025</v>
      </c>
      <c r="C3049" s="2" t="s">
        <v>4026</v>
      </c>
      <c r="D3049" s="2" t="s">
        <v>10</v>
      </c>
      <c r="E3049" s="2" t="s">
        <v>11</v>
      </c>
      <c r="F3049" s="2">
        <v>1</v>
      </c>
      <c r="G3049" s="2" t="s">
        <v>17</v>
      </c>
    </row>
    <row r="3050" spans="1:7" x14ac:dyDescent="0.2">
      <c r="A3050" s="2" t="s">
        <v>4014</v>
      </c>
      <c r="B3050" s="2" t="s">
        <v>4027</v>
      </c>
      <c r="C3050" s="2" t="s">
        <v>4026</v>
      </c>
      <c r="D3050" s="2" t="s">
        <v>10</v>
      </c>
      <c r="E3050" s="2" t="s">
        <v>11</v>
      </c>
      <c r="F3050" s="2">
        <v>1</v>
      </c>
      <c r="G3050" s="2" t="s">
        <v>17</v>
      </c>
    </row>
    <row r="3051" spans="1:7" x14ac:dyDescent="0.2">
      <c r="A3051" s="2" t="s">
        <v>4014</v>
      </c>
      <c r="B3051" s="2" t="s">
        <v>548</v>
      </c>
      <c r="C3051" s="2" t="s">
        <v>4026</v>
      </c>
      <c r="D3051" s="2" t="s">
        <v>10</v>
      </c>
      <c r="E3051" s="2" t="s">
        <v>11</v>
      </c>
      <c r="F3051" s="2">
        <v>1</v>
      </c>
      <c r="G3051" s="2" t="s">
        <v>17</v>
      </c>
    </row>
    <row r="3052" spans="1:7" x14ac:dyDescent="0.2">
      <c r="A3052" s="2" t="s">
        <v>4014</v>
      </c>
      <c r="B3052" s="2" t="s">
        <v>4028</v>
      </c>
      <c r="C3052" s="2" t="s">
        <v>4029</v>
      </c>
      <c r="D3052" s="2" t="s">
        <v>10</v>
      </c>
      <c r="E3052" s="2" t="s">
        <v>16</v>
      </c>
      <c r="F3052" s="2">
        <v>1</v>
      </c>
      <c r="G3052" s="2" t="s">
        <v>17</v>
      </c>
    </row>
    <row r="3053" spans="1:7" x14ac:dyDescent="0.2">
      <c r="A3053" s="2" t="s">
        <v>4014</v>
      </c>
      <c r="B3053" s="2" t="s">
        <v>4030</v>
      </c>
      <c r="C3053" s="2" t="s">
        <v>4029</v>
      </c>
      <c r="D3053" s="2" t="s">
        <v>10</v>
      </c>
      <c r="E3053" s="2" t="s">
        <v>16</v>
      </c>
      <c r="F3053" s="2">
        <v>1</v>
      </c>
      <c r="G3053" s="2" t="s">
        <v>17</v>
      </c>
    </row>
    <row r="3054" spans="1:7" x14ac:dyDescent="0.2">
      <c r="A3054" s="2" t="s">
        <v>4014</v>
      </c>
      <c r="B3054" s="2" t="s">
        <v>4031</v>
      </c>
      <c r="C3054" s="2" t="s">
        <v>4032</v>
      </c>
      <c r="D3054" s="2" t="s">
        <v>10</v>
      </c>
      <c r="E3054" s="2" t="s">
        <v>52</v>
      </c>
      <c r="F3054" s="2">
        <v>1</v>
      </c>
      <c r="G3054" s="2" t="s">
        <v>17</v>
      </c>
    </row>
    <row r="3055" spans="1:7" x14ac:dyDescent="0.2">
      <c r="A3055" s="2" t="s">
        <v>4014</v>
      </c>
      <c r="B3055" s="2" t="s">
        <v>4033</v>
      </c>
      <c r="C3055" s="2" t="s">
        <v>4032</v>
      </c>
      <c r="D3055" s="2" t="s">
        <v>10</v>
      </c>
      <c r="E3055" s="2" t="s">
        <v>52</v>
      </c>
      <c r="F3055" s="2">
        <v>1</v>
      </c>
      <c r="G3055" s="2" t="s">
        <v>17</v>
      </c>
    </row>
    <row r="3056" spans="1:7" x14ac:dyDescent="0.2">
      <c r="A3056" s="2" t="s">
        <v>4034</v>
      </c>
      <c r="B3056" s="2">
        <v>305</v>
      </c>
      <c r="C3056" s="2" t="s">
        <v>3550</v>
      </c>
      <c r="D3056" s="2" t="s">
        <v>10</v>
      </c>
      <c r="E3056" s="2" t="s">
        <v>16</v>
      </c>
      <c r="F3056" s="2">
        <v>1</v>
      </c>
      <c r="G3056" s="2" t="s">
        <v>17</v>
      </c>
    </row>
    <row r="3057" spans="1:7" x14ac:dyDescent="0.2">
      <c r="A3057" s="2" t="s">
        <v>4035</v>
      </c>
      <c r="B3057" s="2" t="s">
        <v>4036</v>
      </c>
      <c r="C3057" s="2" t="s">
        <v>4037</v>
      </c>
      <c r="D3057" s="2" t="s">
        <v>10</v>
      </c>
      <c r="E3057" s="2" t="s">
        <v>16</v>
      </c>
      <c r="F3057" s="2">
        <v>1</v>
      </c>
      <c r="G3057" s="2" t="s">
        <v>17</v>
      </c>
    </row>
    <row r="3058" spans="1:7" x14ac:dyDescent="0.2">
      <c r="A3058" s="2" t="s">
        <v>4035</v>
      </c>
      <c r="B3058" s="2" t="s">
        <v>4038</v>
      </c>
      <c r="C3058" s="2" t="s">
        <v>4037</v>
      </c>
      <c r="D3058" s="2" t="s">
        <v>10</v>
      </c>
      <c r="E3058" s="2" t="s">
        <v>16</v>
      </c>
      <c r="F3058" s="2">
        <v>1</v>
      </c>
      <c r="G3058" s="2" t="s">
        <v>17</v>
      </c>
    </row>
    <row r="3059" spans="1:7" x14ac:dyDescent="0.2">
      <c r="A3059" s="2" t="s">
        <v>4035</v>
      </c>
      <c r="B3059" s="2" t="s">
        <v>4039</v>
      </c>
      <c r="C3059" s="2" t="s">
        <v>4037</v>
      </c>
      <c r="D3059" s="2" t="s">
        <v>10</v>
      </c>
      <c r="E3059" s="2" t="s">
        <v>16</v>
      </c>
      <c r="F3059" s="2">
        <v>1</v>
      </c>
      <c r="G3059" s="2" t="s">
        <v>17</v>
      </c>
    </row>
    <row r="3060" spans="1:7" x14ac:dyDescent="0.2">
      <c r="A3060" s="2" t="s">
        <v>4035</v>
      </c>
      <c r="B3060" s="2" t="s">
        <v>4040</v>
      </c>
      <c r="C3060" s="2" t="s">
        <v>4041</v>
      </c>
      <c r="D3060" s="2" t="s">
        <v>10</v>
      </c>
      <c r="E3060" s="2" t="s">
        <v>16</v>
      </c>
      <c r="F3060" s="2">
        <v>1</v>
      </c>
      <c r="G3060" s="2" t="s">
        <v>17</v>
      </c>
    </row>
    <row r="3061" spans="1:7" x14ac:dyDescent="0.2">
      <c r="A3061" s="2" t="s">
        <v>4035</v>
      </c>
      <c r="B3061" s="2" t="s">
        <v>4042</v>
      </c>
      <c r="C3061" s="2" t="s">
        <v>4041</v>
      </c>
      <c r="D3061" s="2" t="s">
        <v>10</v>
      </c>
      <c r="E3061" s="2" t="s">
        <v>16</v>
      </c>
      <c r="F3061" s="2">
        <v>1</v>
      </c>
      <c r="G3061" s="2" t="s">
        <v>17</v>
      </c>
    </row>
    <row r="3062" spans="1:7" x14ac:dyDescent="0.2">
      <c r="A3062" s="2" t="s">
        <v>4043</v>
      </c>
      <c r="B3062" s="2" t="s">
        <v>4044</v>
      </c>
      <c r="C3062" s="2" t="s">
        <v>4045</v>
      </c>
      <c r="D3062" s="2" t="s">
        <v>10</v>
      </c>
      <c r="E3062" s="2" t="s">
        <v>16</v>
      </c>
      <c r="F3062" s="2">
        <v>1</v>
      </c>
      <c r="G3062" s="2" t="s">
        <v>17</v>
      </c>
    </row>
    <row r="3063" spans="1:7" x14ac:dyDescent="0.2">
      <c r="A3063" s="2" t="s">
        <v>4046</v>
      </c>
      <c r="B3063" s="2" t="s">
        <v>4047</v>
      </c>
      <c r="C3063" s="2" t="s">
        <v>4048</v>
      </c>
      <c r="D3063" s="2" t="s">
        <v>10</v>
      </c>
      <c r="E3063" s="2" t="s">
        <v>16</v>
      </c>
      <c r="F3063" s="2">
        <v>1</v>
      </c>
      <c r="G3063" s="2" t="s">
        <v>17</v>
      </c>
    </row>
    <row r="3064" spans="1:7" x14ac:dyDescent="0.2">
      <c r="A3064" s="2" t="s">
        <v>4049</v>
      </c>
      <c r="B3064" s="2" t="s">
        <v>4050</v>
      </c>
      <c r="C3064" s="2" t="s">
        <v>4051</v>
      </c>
      <c r="D3064" s="2" t="s">
        <v>29</v>
      </c>
      <c r="E3064" s="2" t="s">
        <v>52</v>
      </c>
      <c r="F3064" s="2">
        <v>2</v>
      </c>
      <c r="G3064" s="2" t="s">
        <v>17</v>
      </c>
    </row>
    <row r="3065" spans="1:7" x14ac:dyDescent="0.2">
      <c r="A3065" s="2" t="s">
        <v>4049</v>
      </c>
      <c r="B3065" s="2" t="s">
        <v>4052</v>
      </c>
      <c r="C3065" s="2" t="s">
        <v>4051</v>
      </c>
      <c r="D3065" s="2" t="s">
        <v>29</v>
      </c>
      <c r="E3065" s="2" t="s">
        <v>52</v>
      </c>
      <c r="F3065" s="2">
        <v>2</v>
      </c>
      <c r="G3065" s="2" t="s">
        <v>17</v>
      </c>
    </row>
    <row r="3066" spans="1:7" x14ac:dyDescent="0.2">
      <c r="A3066" s="2" t="s">
        <v>4053</v>
      </c>
      <c r="B3066" s="2" t="s">
        <v>4054</v>
      </c>
      <c r="C3066" s="2" t="s">
        <v>4055</v>
      </c>
      <c r="D3066" s="2" t="s">
        <v>10</v>
      </c>
      <c r="E3066" s="2" t="s">
        <v>16</v>
      </c>
      <c r="F3066" s="2">
        <v>1</v>
      </c>
      <c r="G3066" s="2" t="s">
        <v>17</v>
      </c>
    </row>
    <row r="3067" spans="1:7" x14ac:dyDescent="0.2">
      <c r="A3067" s="2" t="s">
        <v>4056</v>
      </c>
      <c r="B3067" s="2" t="s">
        <v>4057</v>
      </c>
      <c r="C3067" s="2" t="s">
        <v>361</v>
      </c>
      <c r="D3067" s="2" t="s">
        <v>10</v>
      </c>
      <c r="E3067" s="2" t="s">
        <v>16</v>
      </c>
      <c r="F3067" s="2">
        <v>1</v>
      </c>
      <c r="G3067" s="2" t="s">
        <v>17</v>
      </c>
    </row>
    <row r="3068" spans="1:7" x14ac:dyDescent="0.2">
      <c r="A3068" s="2" t="s">
        <v>4056</v>
      </c>
      <c r="B3068" s="2" t="s">
        <v>4058</v>
      </c>
      <c r="C3068" s="2" t="s">
        <v>4059</v>
      </c>
      <c r="D3068" s="2" t="s">
        <v>10</v>
      </c>
      <c r="E3068" s="2" t="s">
        <v>11</v>
      </c>
      <c r="F3068" s="2">
        <v>1</v>
      </c>
      <c r="G3068" s="2" t="s">
        <v>17</v>
      </c>
    </row>
    <row r="3069" spans="1:7" x14ac:dyDescent="0.2">
      <c r="A3069" s="2" t="s">
        <v>4060</v>
      </c>
      <c r="B3069" s="2" t="s">
        <v>4061</v>
      </c>
      <c r="C3069" s="2" t="s">
        <v>4062</v>
      </c>
      <c r="D3069" s="2" t="s">
        <v>10</v>
      </c>
      <c r="E3069" s="2" t="s">
        <v>16</v>
      </c>
      <c r="F3069" s="2">
        <v>1</v>
      </c>
      <c r="G3069" s="2" t="s">
        <v>17</v>
      </c>
    </row>
    <row r="3070" spans="1:7" x14ac:dyDescent="0.2">
      <c r="A3070" s="2" t="s">
        <v>4060</v>
      </c>
      <c r="B3070" s="2" t="s">
        <v>4063</v>
      </c>
      <c r="C3070" s="2" t="s">
        <v>4062</v>
      </c>
      <c r="D3070" s="2" t="s">
        <v>10</v>
      </c>
      <c r="E3070" s="2" t="s">
        <v>16</v>
      </c>
      <c r="F3070" s="2">
        <v>1</v>
      </c>
      <c r="G3070" s="2" t="s">
        <v>17</v>
      </c>
    </row>
    <row r="3071" spans="1:7" x14ac:dyDescent="0.2">
      <c r="A3071" s="2" t="s">
        <v>4064</v>
      </c>
      <c r="B3071" s="2" t="s">
        <v>4065</v>
      </c>
      <c r="C3071" s="2" t="s">
        <v>2016</v>
      </c>
      <c r="D3071" s="2" t="s">
        <v>10</v>
      </c>
      <c r="E3071" s="2" t="s">
        <v>16</v>
      </c>
      <c r="F3071" s="2">
        <v>1</v>
      </c>
      <c r="G3071" s="2" t="s">
        <v>17</v>
      </c>
    </row>
    <row r="3072" spans="1:7" x14ac:dyDescent="0.2">
      <c r="A3072" s="2" t="s">
        <v>4064</v>
      </c>
      <c r="B3072" s="2" t="s">
        <v>2015</v>
      </c>
      <c r="C3072" s="2" t="s">
        <v>2016</v>
      </c>
      <c r="D3072" s="2" t="s">
        <v>10</v>
      </c>
      <c r="E3072" s="2" t="s">
        <v>16</v>
      </c>
      <c r="F3072" s="2">
        <v>1</v>
      </c>
      <c r="G3072" s="2" t="s">
        <v>17</v>
      </c>
    </row>
    <row r="3073" spans="1:7" x14ac:dyDescent="0.2">
      <c r="A3073" s="2" t="s">
        <v>4066</v>
      </c>
      <c r="B3073" s="2" t="s">
        <v>1844</v>
      </c>
      <c r="C3073" s="2" t="s">
        <v>4067</v>
      </c>
      <c r="D3073" s="2" t="s">
        <v>10</v>
      </c>
      <c r="E3073" s="2" t="s">
        <v>16</v>
      </c>
      <c r="F3073" s="2">
        <v>1</v>
      </c>
      <c r="G3073" s="2" t="s">
        <v>17</v>
      </c>
    </row>
    <row r="3074" spans="1:7" x14ac:dyDescent="0.2">
      <c r="A3074" s="2" t="s">
        <v>4068</v>
      </c>
      <c r="B3074" s="2" t="s">
        <v>4069</v>
      </c>
      <c r="C3074" s="2" t="s">
        <v>1994</v>
      </c>
      <c r="D3074" s="2" t="s">
        <v>10</v>
      </c>
      <c r="E3074" s="2" t="s">
        <v>16</v>
      </c>
      <c r="F3074" s="2">
        <v>2</v>
      </c>
      <c r="G3074" s="2" t="s">
        <v>17</v>
      </c>
    </row>
    <row r="3075" spans="1:7" x14ac:dyDescent="0.2">
      <c r="A3075" s="2" t="s">
        <v>4068</v>
      </c>
      <c r="B3075" s="2" t="s">
        <v>4070</v>
      </c>
      <c r="C3075" s="2" t="s">
        <v>3559</v>
      </c>
      <c r="D3075" s="2" t="s">
        <v>10</v>
      </c>
      <c r="E3075" s="2" t="s">
        <v>16</v>
      </c>
      <c r="F3075" s="2">
        <v>2</v>
      </c>
      <c r="G3075" s="2" t="s">
        <v>17</v>
      </c>
    </row>
    <row r="3076" spans="1:7" x14ac:dyDescent="0.2">
      <c r="A3076" s="2" t="s">
        <v>4068</v>
      </c>
      <c r="B3076" s="2" t="s">
        <v>4071</v>
      </c>
      <c r="C3076" s="2" t="s">
        <v>1994</v>
      </c>
      <c r="D3076" s="2" t="s">
        <v>10</v>
      </c>
      <c r="E3076" s="2" t="s">
        <v>16</v>
      </c>
      <c r="F3076" s="2">
        <v>2</v>
      </c>
      <c r="G3076" s="2" t="s">
        <v>17</v>
      </c>
    </row>
    <row r="3077" spans="1:7" x14ac:dyDescent="0.2">
      <c r="A3077" s="2" t="s">
        <v>4068</v>
      </c>
      <c r="B3077" s="2" t="s">
        <v>4072</v>
      </c>
      <c r="C3077" s="2" t="s">
        <v>2208</v>
      </c>
      <c r="D3077" s="2" t="s">
        <v>10</v>
      </c>
      <c r="E3077" s="2" t="s">
        <v>16</v>
      </c>
      <c r="F3077" s="2">
        <v>2</v>
      </c>
      <c r="G3077" s="2" t="s">
        <v>17</v>
      </c>
    </row>
    <row r="3078" spans="1:7" x14ac:dyDescent="0.2">
      <c r="A3078" s="2" t="s">
        <v>4068</v>
      </c>
      <c r="B3078" s="2" t="s">
        <v>4073</v>
      </c>
      <c r="C3078" s="2" t="s">
        <v>2212</v>
      </c>
      <c r="D3078" s="2" t="s">
        <v>10</v>
      </c>
      <c r="E3078" s="2" t="s">
        <v>16</v>
      </c>
      <c r="F3078" s="2">
        <v>2</v>
      </c>
      <c r="G3078" s="2" t="s">
        <v>17</v>
      </c>
    </row>
    <row r="3079" spans="1:7" x14ac:dyDescent="0.2">
      <c r="A3079" s="2" t="s">
        <v>4068</v>
      </c>
      <c r="B3079" s="2" t="s">
        <v>4074</v>
      </c>
      <c r="C3079" s="2" t="s">
        <v>921</v>
      </c>
      <c r="D3079" s="2" t="s">
        <v>10</v>
      </c>
      <c r="E3079" s="2" t="s">
        <v>16</v>
      </c>
      <c r="F3079" s="2">
        <v>2</v>
      </c>
      <c r="G3079" s="2" t="s">
        <v>17</v>
      </c>
    </row>
    <row r="3080" spans="1:7" x14ac:dyDescent="0.2">
      <c r="A3080" s="2" t="s">
        <v>4068</v>
      </c>
      <c r="B3080" s="2" t="s">
        <v>4075</v>
      </c>
      <c r="C3080" s="2" t="s">
        <v>921</v>
      </c>
      <c r="D3080" s="2" t="s">
        <v>10</v>
      </c>
      <c r="E3080" s="2" t="s">
        <v>16</v>
      </c>
      <c r="F3080" s="2">
        <v>2</v>
      </c>
      <c r="G3080" s="2" t="s">
        <v>17</v>
      </c>
    </row>
    <row r="3081" spans="1:7" x14ac:dyDescent="0.2">
      <c r="A3081" s="2" t="s">
        <v>4068</v>
      </c>
      <c r="B3081" s="2" t="s">
        <v>4076</v>
      </c>
      <c r="C3081" s="2" t="s">
        <v>921</v>
      </c>
      <c r="D3081" s="2" t="s">
        <v>10</v>
      </c>
      <c r="E3081" s="2" t="s">
        <v>16</v>
      </c>
      <c r="F3081" s="2">
        <v>2</v>
      </c>
      <c r="G3081" s="2" t="s">
        <v>17</v>
      </c>
    </row>
    <row r="3082" spans="1:7" x14ac:dyDescent="0.2">
      <c r="A3082" s="2" t="s">
        <v>4068</v>
      </c>
      <c r="B3082" s="2" t="s">
        <v>4077</v>
      </c>
      <c r="C3082" s="2" t="s">
        <v>2208</v>
      </c>
      <c r="D3082" s="2" t="s">
        <v>10</v>
      </c>
      <c r="E3082" s="2" t="s">
        <v>16</v>
      </c>
      <c r="F3082" s="2">
        <v>2</v>
      </c>
      <c r="G3082" s="2" t="s">
        <v>17</v>
      </c>
    </row>
    <row r="3083" spans="1:7" x14ac:dyDescent="0.2">
      <c r="A3083" s="2" t="s">
        <v>4068</v>
      </c>
      <c r="B3083" s="2" t="s">
        <v>4078</v>
      </c>
      <c r="C3083" s="2" t="s">
        <v>2198</v>
      </c>
      <c r="D3083" s="2" t="s">
        <v>10</v>
      </c>
      <c r="E3083" s="2" t="s">
        <v>16</v>
      </c>
      <c r="F3083" s="2">
        <v>1</v>
      </c>
      <c r="G3083" s="2" t="s">
        <v>17</v>
      </c>
    </row>
    <row r="3084" spans="1:7" x14ac:dyDescent="0.2">
      <c r="A3084" s="2" t="s">
        <v>4068</v>
      </c>
      <c r="B3084" s="2" t="s">
        <v>4079</v>
      </c>
      <c r="C3084" s="2" t="s">
        <v>2201</v>
      </c>
      <c r="D3084" s="2" t="s">
        <v>10</v>
      </c>
      <c r="E3084" s="2" t="s">
        <v>16</v>
      </c>
      <c r="F3084" s="2">
        <v>1</v>
      </c>
      <c r="G3084" s="2" t="s">
        <v>17</v>
      </c>
    </row>
    <row r="3085" spans="1:7" x14ac:dyDescent="0.2">
      <c r="A3085" s="2" t="s">
        <v>4068</v>
      </c>
      <c r="B3085" s="2" t="s">
        <v>4080</v>
      </c>
      <c r="C3085" s="2" t="s">
        <v>2269</v>
      </c>
      <c r="D3085" s="2" t="s">
        <v>10</v>
      </c>
      <c r="E3085" s="2" t="s">
        <v>16</v>
      </c>
      <c r="F3085" s="2">
        <v>1</v>
      </c>
      <c r="G3085" s="2" t="s">
        <v>17</v>
      </c>
    </row>
    <row r="3086" spans="1:7" x14ac:dyDescent="0.2">
      <c r="A3086" s="2" t="s">
        <v>4081</v>
      </c>
      <c r="B3086" s="2" t="s">
        <v>4082</v>
      </c>
      <c r="C3086" s="2" t="s">
        <v>4083</v>
      </c>
      <c r="D3086" s="2" t="s">
        <v>29</v>
      </c>
      <c r="E3086" s="2" t="s">
        <v>16</v>
      </c>
      <c r="F3086" s="2">
        <v>1</v>
      </c>
      <c r="G3086" s="2" t="s">
        <v>17</v>
      </c>
    </row>
    <row r="3087" spans="1:7" x14ac:dyDescent="0.2">
      <c r="A3087" s="2" t="s">
        <v>4084</v>
      </c>
      <c r="B3087" s="2" t="s">
        <v>4085</v>
      </c>
      <c r="C3087" s="2" t="s">
        <v>4086</v>
      </c>
      <c r="D3087" s="2" t="s">
        <v>10</v>
      </c>
      <c r="E3087" s="2" t="s">
        <v>16</v>
      </c>
      <c r="F3087" s="2">
        <v>1</v>
      </c>
      <c r="G3087" s="2" t="s">
        <v>17</v>
      </c>
    </row>
    <row r="3088" spans="1:7" x14ac:dyDescent="0.2">
      <c r="A3088" s="2" t="s">
        <v>4084</v>
      </c>
      <c r="B3088" s="2" t="s">
        <v>4087</v>
      </c>
      <c r="C3088" s="2" t="s">
        <v>4088</v>
      </c>
      <c r="D3088" s="2" t="s">
        <v>10</v>
      </c>
      <c r="E3088" s="2" t="s">
        <v>16</v>
      </c>
      <c r="F3088" s="2">
        <v>2</v>
      </c>
      <c r="G3088" s="2" t="s">
        <v>17</v>
      </c>
    </row>
    <row r="3089" spans="1:7" x14ac:dyDescent="0.2">
      <c r="A3089" s="2" t="s">
        <v>4084</v>
      </c>
      <c r="B3089" s="2" t="s">
        <v>4089</v>
      </c>
      <c r="C3089" s="2" t="s">
        <v>4088</v>
      </c>
      <c r="D3089" s="2" t="s">
        <v>10</v>
      </c>
      <c r="E3089" s="2" t="s">
        <v>16</v>
      </c>
      <c r="F3089" s="2">
        <v>2</v>
      </c>
      <c r="G3089" s="2" t="s">
        <v>17</v>
      </c>
    </row>
    <row r="3090" spans="1:7" x14ac:dyDescent="0.2">
      <c r="A3090" s="2" t="s">
        <v>4084</v>
      </c>
      <c r="B3090" s="2" t="s">
        <v>4090</v>
      </c>
      <c r="C3090" s="2" t="s">
        <v>4088</v>
      </c>
      <c r="D3090" s="2" t="s">
        <v>10</v>
      </c>
      <c r="E3090" s="2" t="s">
        <v>16</v>
      </c>
      <c r="F3090" s="2">
        <v>2</v>
      </c>
      <c r="G3090" s="2" t="s">
        <v>17</v>
      </c>
    </row>
    <row r="3091" spans="1:7" x14ac:dyDescent="0.2">
      <c r="A3091" s="2" t="s">
        <v>4084</v>
      </c>
      <c r="B3091" s="2" t="s">
        <v>4091</v>
      </c>
      <c r="C3091" s="2" t="s">
        <v>4088</v>
      </c>
      <c r="D3091" s="2" t="s">
        <v>10</v>
      </c>
      <c r="E3091" s="2" t="s">
        <v>16</v>
      </c>
      <c r="F3091" s="2">
        <v>2</v>
      </c>
      <c r="G3091" s="2" t="s">
        <v>17</v>
      </c>
    </row>
    <row r="3092" spans="1:7" x14ac:dyDescent="0.2">
      <c r="A3092" s="2" t="s">
        <v>4084</v>
      </c>
      <c r="B3092" s="2" t="s">
        <v>4092</v>
      </c>
      <c r="C3092" s="2" t="s">
        <v>4086</v>
      </c>
      <c r="D3092" s="2" t="s">
        <v>10</v>
      </c>
      <c r="E3092" s="2" t="s">
        <v>16</v>
      </c>
      <c r="F3092" s="2">
        <v>1</v>
      </c>
      <c r="G3092" s="2" t="s">
        <v>17</v>
      </c>
    </row>
    <row r="3093" spans="1:7" x14ac:dyDescent="0.2">
      <c r="A3093" s="2" t="s">
        <v>4093</v>
      </c>
      <c r="B3093" s="2" t="s">
        <v>4094</v>
      </c>
      <c r="C3093" s="2" t="s">
        <v>4095</v>
      </c>
      <c r="D3093" s="2" t="s">
        <v>29</v>
      </c>
      <c r="E3093" s="2" t="s">
        <v>16</v>
      </c>
      <c r="F3093" s="2">
        <v>1</v>
      </c>
      <c r="G3093" s="2" t="s">
        <v>17</v>
      </c>
    </row>
    <row r="3094" spans="1:7" x14ac:dyDescent="0.2">
      <c r="A3094" s="2" t="s">
        <v>4093</v>
      </c>
      <c r="B3094" s="2" t="s">
        <v>4096</v>
      </c>
      <c r="C3094" s="2" t="s">
        <v>4095</v>
      </c>
      <c r="D3094" s="2" t="s">
        <v>29</v>
      </c>
      <c r="E3094" s="2" t="s">
        <v>16</v>
      </c>
      <c r="F3094" s="2">
        <v>1</v>
      </c>
      <c r="G3094" s="2" t="s">
        <v>17</v>
      </c>
    </row>
    <row r="3095" spans="1:7" x14ac:dyDescent="0.2">
      <c r="A3095" s="2" t="s">
        <v>4093</v>
      </c>
      <c r="B3095" s="2" t="s">
        <v>4097</v>
      </c>
      <c r="C3095" s="2" t="s">
        <v>4095</v>
      </c>
      <c r="D3095" s="2" t="s">
        <v>29</v>
      </c>
      <c r="E3095" s="2" t="s">
        <v>16</v>
      </c>
      <c r="F3095" s="2">
        <v>1</v>
      </c>
      <c r="G3095" s="2" t="s">
        <v>17</v>
      </c>
    </row>
    <row r="3096" spans="1:7" x14ac:dyDescent="0.2">
      <c r="A3096" s="2" t="s">
        <v>4098</v>
      </c>
      <c r="B3096" s="2" t="s">
        <v>4099</v>
      </c>
      <c r="C3096" s="2" t="s">
        <v>3797</v>
      </c>
      <c r="D3096" s="2" t="s">
        <v>10</v>
      </c>
      <c r="E3096" s="2" t="s">
        <v>16</v>
      </c>
      <c r="F3096" s="2">
        <v>1</v>
      </c>
      <c r="G3096" s="2" t="s">
        <v>17</v>
      </c>
    </row>
    <row r="3097" spans="1:7" x14ac:dyDescent="0.2">
      <c r="A3097" s="2" t="s">
        <v>4098</v>
      </c>
      <c r="B3097" s="2" t="s">
        <v>4100</v>
      </c>
      <c r="C3097" s="2" t="s">
        <v>3719</v>
      </c>
      <c r="D3097" s="2" t="s">
        <v>10</v>
      </c>
      <c r="E3097" s="2" t="s">
        <v>16</v>
      </c>
      <c r="F3097" s="2">
        <v>1</v>
      </c>
      <c r="G3097" s="2" t="s">
        <v>17</v>
      </c>
    </row>
    <row r="3098" spans="1:7" x14ac:dyDescent="0.2">
      <c r="A3098" s="2" t="s">
        <v>4098</v>
      </c>
      <c r="B3098" s="2" t="s">
        <v>4101</v>
      </c>
      <c r="C3098" s="2" t="s">
        <v>3719</v>
      </c>
      <c r="D3098" s="2" t="s">
        <v>10</v>
      </c>
      <c r="E3098" s="2" t="s">
        <v>16</v>
      </c>
      <c r="F3098" s="2">
        <v>1</v>
      </c>
      <c r="G3098" s="2" t="s">
        <v>17</v>
      </c>
    </row>
    <row r="3099" spans="1:7" x14ac:dyDescent="0.2">
      <c r="A3099" s="2" t="s">
        <v>4098</v>
      </c>
      <c r="B3099" s="2" t="s">
        <v>4102</v>
      </c>
      <c r="C3099" s="2" t="s">
        <v>3797</v>
      </c>
      <c r="D3099" s="2" t="s">
        <v>10</v>
      </c>
      <c r="E3099" s="2" t="s">
        <v>16</v>
      </c>
      <c r="F3099" s="2">
        <v>1</v>
      </c>
      <c r="G3099" s="2" t="s">
        <v>17</v>
      </c>
    </row>
    <row r="3100" spans="1:7" x14ac:dyDescent="0.2">
      <c r="A3100" s="2" t="s">
        <v>4103</v>
      </c>
      <c r="B3100" s="2" t="s">
        <v>4104</v>
      </c>
      <c r="C3100" s="2" t="s">
        <v>4105</v>
      </c>
      <c r="D3100" s="2" t="s">
        <v>29</v>
      </c>
      <c r="E3100" s="2" t="s">
        <v>16</v>
      </c>
      <c r="F3100" s="2">
        <v>1</v>
      </c>
      <c r="G3100" s="2" t="s">
        <v>17</v>
      </c>
    </row>
    <row r="3101" spans="1:7" x14ac:dyDescent="0.2">
      <c r="A3101" s="2" t="s">
        <v>4103</v>
      </c>
      <c r="B3101" s="2" t="s">
        <v>4106</v>
      </c>
      <c r="C3101" s="2" t="s">
        <v>4107</v>
      </c>
      <c r="D3101" s="2" t="s">
        <v>3928</v>
      </c>
      <c r="E3101" s="2" t="s">
        <v>16</v>
      </c>
      <c r="F3101" s="2">
        <v>1</v>
      </c>
      <c r="G3101" s="2" t="s">
        <v>17</v>
      </c>
    </row>
    <row r="3102" spans="1:7" x14ac:dyDescent="0.2">
      <c r="A3102" s="2" t="s">
        <v>4103</v>
      </c>
      <c r="B3102" s="2" t="s">
        <v>4108</v>
      </c>
      <c r="C3102" s="2" t="s">
        <v>4109</v>
      </c>
      <c r="D3102" s="2" t="s">
        <v>10</v>
      </c>
      <c r="E3102" s="2" t="s">
        <v>16</v>
      </c>
      <c r="F3102" s="2">
        <v>1</v>
      </c>
      <c r="G3102" s="2" t="s">
        <v>17</v>
      </c>
    </row>
    <row r="3103" spans="1:7" x14ac:dyDescent="0.2">
      <c r="A3103" s="2" t="s">
        <v>4103</v>
      </c>
      <c r="B3103" s="2" t="s">
        <v>4110</v>
      </c>
      <c r="C3103" s="2" t="s">
        <v>4105</v>
      </c>
      <c r="D3103" s="2" t="s">
        <v>29</v>
      </c>
      <c r="E3103" s="2" t="s">
        <v>16</v>
      </c>
      <c r="F3103" s="2">
        <v>1</v>
      </c>
      <c r="G3103" s="2" t="s">
        <v>17</v>
      </c>
    </row>
    <row r="3104" spans="1:7" x14ac:dyDescent="0.2">
      <c r="A3104" s="2" t="s">
        <v>4111</v>
      </c>
      <c r="B3104" s="2" t="s">
        <v>4112</v>
      </c>
      <c r="C3104" s="2" t="s">
        <v>4113</v>
      </c>
      <c r="D3104" s="2" t="s">
        <v>10</v>
      </c>
      <c r="E3104" s="2" t="s">
        <v>11</v>
      </c>
      <c r="F3104" s="2">
        <v>2</v>
      </c>
      <c r="G3104" s="2" t="s">
        <v>12</v>
      </c>
    </row>
    <row r="3105" spans="1:7" x14ac:dyDescent="0.2">
      <c r="A3105" s="2" t="s">
        <v>4111</v>
      </c>
      <c r="B3105" s="2" t="s">
        <v>4114</v>
      </c>
      <c r="C3105" s="2" t="s">
        <v>4113</v>
      </c>
      <c r="D3105" s="2" t="s">
        <v>10</v>
      </c>
      <c r="E3105" s="2" t="s">
        <v>11</v>
      </c>
      <c r="F3105" s="2">
        <v>2</v>
      </c>
      <c r="G3105" s="2" t="s">
        <v>12</v>
      </c>
    </row>
    <row r="3106" spans="1:7" x14ac:dyDescent="0.2">
      <c r="A3106" s="2" t="s">
        <v>4111</v>
      </c>
      <c r="B3106" s="2" t="s">
        <v>4115</v>
      </c>
      <c r="C3106" s="2" t="s">
        <v>4116</v>
      </c>
      <c r="D3106" s="2" t="s">
        <v>10</v>
      </c>
      <c r="E3106" s="2" t="s">
        <v>11</v>
      </c>
      <c r="F3106" s="2">
        <v>2</v>
      </c>
      <c r="G3106" s="2" t="s">
        <v>12</v>
      </c>
    </row>
    <row r="3107" spans="1:7" x14ac:dyDescent="0.2">
      <c r="A3107" s="2" t="s">
        <v>4111</v>
      </c>
      <c r="B3107" s="2" t="s">
        <v>4117</v>
      </c>
      <c r="C3107" s="2" t="s">
        <v>4113</v>
      </c>
      <c r="D3107" s="2" t="s">
        <v>10</v>
      </c>
      <c r="E3107" s="2" t="s">
        <v>11</v>
      </c>
      <c r="F3107" s="2">
        <v>2</v>
      </c>
      <c r="G3107" s="2" t="s">
        <v>12</v>
      </c>
    </row>
    <row r="3108" spans="1:7" x14ac:dyDescent="0.2">
      <c r="A3108" s="2" t="s">
        <v>4118</v>
      </c>
      <c r="B3108" s="2" t="s">
        <v>4119</v>
      </c>
      <c r="C3108" s="2" t="s">
        <v>4120</v>
      </c>
      <c r="D3108" s="2" t="s">
        <v>10</v>
      </c>
      <c r="E3108" s="2" t="s">
        <v>16</v>
      </c>
      <c r="F3108" s="2">
        <v>1</v>
      </c>
      <c r="G3108" s="2" t="s">
        <v>17</v>
      </c>
    </row>
    <row r="3109" spans="1:7" x14ac:dyDescent="0.2">
      <c r="A3109" s="2" t="s">
        <v>4118</v>
      </c>
      <c r="B3109" s="2" t="s">
        <v>4121</v>
      </c>
      <c r="C3109" s="2" t="s">
        <v>4120</v>
      </c>
      <c r="D3109" s="2" t="s">
        <v>10</v>
      </c>
      <c r="E3109" s="2" t="s">
        <v>16</v>
      </c>
      <c r="F3109" s="2">
        <v>1</v>
      </c>
      <c r="G3109" s="2" t="s">
        <v>17</v>
      </c>
    </row>
    <row r="3110" spans="1:7" x14ac:dyDescent="0.2">
      <c r="A3110" s="2" t="s">
        <v>4122</v>
      </c>
      <c r="B3110" s="2" t="s">
        <v>4123</v>
      </c>
      <c r="C3110" s="2" t="s">
        <v>797</v>
      </c>
      <c r="D3110" s="2" t="s">
        <v>56</v>
      </c>
      <c r="E3110" s="2" t="s">
        <v>52</v>
      </c>
      <c r="F3110" s="2">
        <v>1</v>
      </c>
      <c r="G3110" s="2" t="s">
        <v>17</v>
      </c>
    </row>
    <row r="3111" spans="1:7" x14ac:dyDescent="0.2">
      <c r="A3111" s="2" t="s">
        <v>4122</v>
      </c>
      <c r="B3111" s="2" t="s">
        <v>4124</v>
      </c>
      <c r="C3111" s="2" t="s">
        <v>4125</v>
      </c>
      <c r="D3111" s="2" t="s">
        <v>10</v>
      </c>
      <c r="E3111" s="2" t="s">
        <v>16</v>
      </c>
      <c r="F3111" s="2">
        <v>1</v>
      </c>
      <c r="G3111" s="2" t="s">
        <v>17</v>
      </c>
    </row>
    <row r="3112" spans="1:7" x14ac:dyDescent="0.2">
      <c r="A3112" s="2" t="s">
        <v>4122</v>
      </c>
      <c r="B3112" s="2" t="s">
        <v>4126</v>
      </c>
      <c r="C3112" s="2" t="s">
        <v>4125</v>
      </c>
      <c r="D3112" s="2" t="s">
        <v>10</v>
      </c>
      <c r="E3112" s="2" t="s">
        <v>16</v>
      </c>
      <c r="F3112" s="2">
        <v>1</v>
      </c>
      <c r="G3112" s="2" t="s">
        <v>17</v>
      </c>
    </row>
    <row r="3113" spans="1:7" x14ac:dyDescent="0.2">
      <c r="A3113" s="2" t="s">
        <v>4122</v>
      </c>
      <c r="B3113" s="2" t="s">
        <v>4127</v>
      </c>
      <c r="C3113" s="2" t="s">
        <v>4128</v>
      </c>
      <c r="D3113" s="2" t="s">
        <v>10</v>
      </c>
      <c r="E3113" s="2" t="s">
        <v>16</v>
      </c>
      <c r="F3113" s="2">
        <v>1</v>
      </c>
      <c r="G3113" s="2" t="s">
        <v>17</v>
      </c>
    </row>
    <row r="3114" spans="1:7" x14ac:dyDescent="0.2">
      <c r="A3114" s="2" t="s">
        <v>4122</v>
      </c>
      <c r="B3114" s="2" t="s">
        <v>4129</v>
      </c>
      <c r="C3114" s="2" t="s">
        <v>4130</v>
      </c>
      <c r="D3114" s="2" t="s">
        <v>10</v>
      </c>
      <c r="E3114" s="2" t="s">
        <v>16</v>
      </c>
      <c r="F3114" s="2">
        <v>1</v>
      </c>
      <c r="G3114" s="2" t="s">
        <v>17</v>
      </c>
    </row>
    <row r="3115" spans="1:7" x14ac:dyDescent="0.2">
      <c r="A3115" s="2" t="s">
        <v>4122</v>
      </c>
      <c r="B3115" s="2" t="s">
        <v>4131</v>
      </c>
      <c r="C3115" s="2" t="s">
        <v>4125</v>
      </c>
      <c r="D3115" s="2" t="s">
        <v>10</v>
      </c>
      <c r="E3115" s="2" t="s">
        <v>16</v>
      </c>
      <c r="F3115" s="2">
        <v>1</v>
      </c>
      <c r="G3115" s="2" t="s">
        <v>17</v>
      </c>
    </row>
    <row r="3116" spans="1:7" x14ac:dyDescent="0.2">
      <c r="A3116" s="2" t="s">
        <v>4122</v>
      </c>
      <c r="B3116" s="2" t="s">
        <v>4132</v>
      </c>
      <c r="C3116" s="2" t="s">
        <v>4133</v>
      </c>
      <c r="D3116" s="2" t="s">
        <v>10</v>
      </c>
      <c r="E3116" s="2" t="s">
        <v>16</v>
      </c>
      <c r="F3116" s="2">
        <v>1</v>
      </c>
      <c r="G3116" s="2" t="s">
        <v>17</v>
      </c>
    </row>
    <row r="3117" spans="1:7" x14ac:dyDescent="0.2">
      <c r="A3117" s="2" t="s">
        <v>4122</v>
      </c>
      <c r="B3117" s="2" t="s">
        <v>4134</v>
      </c>
      <c r="C3117" s="2" t="s">
        <v>3296</v>
      </c>
      <c r="D3117" s="2" t="s">
        <v>10</v>
      </c>
      <c r="E3117" s="2" t="s">
        <v>11</v>
      </c>
      <c r="F3117" s="2">
        <v>1</v>
      </c>
      <c r="G3117" s="2" t="s">
        <v>12</v>
      </c>
    </row>
    <row r="3118" spans="1:7" x14ac:dyDescent="0.2">
      <c r="A3118" s="2" t="s">
        <v>4122</v>
      </c>
      <c r="B3118" s="2" t="s">
        <v>4135</v>
      </c>
      <c r="C3118" s="2" t="s">
        <v>1758</v>
      </c>
      <c r="D3118" s="2" t="s">
        <v>10</v>
      </c>
      <c r="E3118" s="2" t="s">
        <v>11</v>
      </c>
      <c r="F3118" s="2">
        <v>1</v>
      </c>
      <c r="G3118" s="2" t="s">
        <v>12</v>
      </c>
    </row>
    <row r="3119" spans="1:7" x14ac:dyDescent="0.2">
      <c r="A3119" s="2" t="s">
        <v>4122</v>
      </c>
      <c r="B3119" s="2" t="s">
        <v>4136</v>
      </c>
      <c r="C3119" s="2" t="s">
        <v>159</v>
      </c>
      <c r="D3119" s="2" t="s">
        <v>10</v>
      </c>
      <c r="E3119" s="2" t="s">
        <v>11</v>
      </c>
      <c r="F3119" s="2">
        <v>1</v>
      </c>
      <c r="G3119" s="2" t="s">
        <v>17</v>
      </c>
    </row>
    <row r="3120" spans="1:7" x14ac:dyDescent="0.2">
      <c r="A3120" s="2" t="s">
        <v>4122</v>
      </c>
      <c r="B3120" s="2" t="s">
        <v>4137</v>
      </c>
      <c r="C3120" s="2" t="s">
        <v>797</v>
      </c>
      <c r="D3120" s="2" t="s">
        <v>56</v>
      </c>
      <c r="E3120" s="2" t="s">
        <v>52</v>
      </c>
      <c r="F3120" s="2">
        <v>1</v>
      </c>
      <c r="G3120" s="2" t="s">
        <v>17</v>
      </c>
    </row>
    <row r="3121" spans="1:7" x14ac:dyDescent="0.2">
      <c r="A3121" s="2" t="s">
        <v>4122</v>
      </c>
      <c r="B3121" s="2" t="s">
        <v>2476</v>
      </c>
      <c r="C3121" s="2" t="s">
        <v>797</v>
      </c>
      <c r="D3121" s="2" t="s">
        <v>56</v>
      </c>
      <c r="E3121" s="2" t="s">
        <v>52</v>
      </c>
      <c r="F3121" s="2">
        <v>1</v>
      </c>
      <c r="G3121" s="2" t="s">
        <v>17</v>
      </c>
    </row>
    <row r="3122" spans="1:7" x14ac:dyDescent="0.2">
      <c r="A3122" s="2" t="s">
        <v>4122</v>
      </c>
      <c r="B3122" s="2" t="s">
        <v>158</v>
      </c>
      <c r="C3122" s="2" t="s">
        <v>159</v>
      </c>
      <c r="D3122" s="2" t="s">
        <v>10</v>
      </c>
      <c r="E3122" s="2" t="s">
        <v>11</v>
      </c>
      <c r="F3122" s="2">
        <v>1</v>
      </c>
      <c r="G3122" s="2" t="s">
        <v>17</v>
      </c>
    </row>
    <row r="3123" spans="1:7" x14ac:dyDescent="0.2">
      <c r="A3123" s="2" t="s">
        <v>4122</v>
      </c>
      <c r="B3123" s="2" t="s">
        <v>4138</v>
      </c>
      <c r="C3123" s="2" t="s">
        <v>1758</v>
      </c>
      <c r="D3123" s="2" t="s">
        <v>10</v>
      </c>
      <c r="E3123" s="2" t="s">
        <v>11</v>
      </c>
      <c r="F3123" s="2">
        <v>1</v>
      </c>
      <c r="G3123" s="2" t="s">
        <v>12</v>
      </c>
    </row>
    <row r="3124" spans="1:7" x14ac:dyDescent="0.2">
      <c r="A3124" s="2" t="s">
        <v>4122</v>
      </c>
      <c r="B3124" s="2" t="s">
        <v>4139</v>
      </c>
      <c r="C3124" s="2" t="s">
        <v>4130</v>
      </c>
      <c r="D3124" s="2" t="s">
        <v>10</v>
      </c>
      <c r="E3124" s="2" t="s">
        <v>16</v>
      </c>
      <c r="F3124" s="2">
        <v>1</v>
      </c>
      <c r="G3124" s="2" t="s">
        <v>17</v>
      </c>
    </row>
    <row r="3125" spans="1:7" x14ac:dyDescent="0.2">
      <c r="A3125" s="2" t="s">
        <v>4122</v>
      </c>
      <c r="B3125" s="2" t="s">
        <v>3352</v>
      </c>
      <c r="C3125" s="2" t="s">
        <v>3296</v>
      </c>
      <c r="D3125" s="2" t="s">
        <v>10</v>
      </c>
      <c r="E3125" s="2" t="s">
        <v>11</v>
      </c>
      <c r="F3125" s="2">
        <v>1</v>
      </c>
      <c r="G3125" s="2" t="s">
        <v>12</v>
      </c>
    </row>
    <row r="3126" spans="1:7" x14ac:dyDescent="0.2">
      <c r="A3126" s="2" t="s">
        <v>4122</v>
      </c>
      <c r="B3126" s="2" t="s">
        <v>4140</v>
      </c>
      <c r="C3126" s="2" t="s">
        <v>4133</v>
      </c>
      <c r="D3126" s="2" t="s">
        <v>10</v>
      </c>
      <c r="E3126" s="2" t="s">
        <v>16</v>
      </c>
      <c r="F3126" s="2">
        <v>1</v>
      </c>
      <c r="G3126" s="2" t="s">
        <v>17</v>
      </c>
    </row>
    <row r="3127" spans="1:7" x14ac:dyDescent="0.2">
      <c r="A3127" s="2" t="s">
        <v>4122</v>
      </c>
      <c r="B3127" s="2" t="s">
        <v>4141</v>
      </c>
      <c r="C3127" s="2" t="s">
        <v>4128</v>
      </c>
      <c r="D3127" s="2" t="s">
        <v>10</v>
      </c>
      <c r="E3127" s="2" t="s">
        <v>16</v>
      </c>
      <c r="F3127" s="2">
        <v>1</v>
      </c>
      <c r="G3127" s="2" t="s">
        <v>17</v>
      </c>
    </row>
    <row r="3128" spans="1:7" x14ac:dyDescent="0.2">
      <c r="A3128" s="2" t="s">
        <v>4142</v>
      </c>
      <c r="B3128" s="2" t="s">
        <v>4143</v>
      </c>
      <c r="C3128" s="2" t="s">
        <v>4144</v>
      </c>
      <c r="D3128" s="2" t="s">
        <v>10</v>
      </c>
      <c r="E3128" s="2" t="s">
        <v>16</v>
      </c>
      <c r="F3128" s="2">
        <v>1</v>
      </c>
      <c r="G3128" s="2" t="s">
        <v>17</v>
      </c>
    </row>
    <row r="3129" spans="1:7" x14ac:dyDescent="0.2">
      <c r="A3129" s="2" t="s">
        <v>4142</v>
      </c>
      <c r="B3129" s="2" t="s">
        <v>4145</v>
      </c>
      <c r="C3129" s="2" t="s">
        <v>4144</v>
      </c>
      <c r="D3129" s="2" t="s">
        <v>10</v>
      </c>
      <c r="E3129" s="2" t="s">
        <v>16</v>
      </c>
      <c r="F3129" s="2">
        <v>1</v>
      </c>
      <c r="G3129" s="2" t="s">
        <v>17</v>
      </c>
    </row>
    <row r="3130" spans="1:7" x14ac:dyDescent="0.2">
      <c r="A3130" s="2" t="s">
        <v>4146</v>
      </c>
      <c r="B3130" s="2" t="s">
        <v>371</v>
      </c>
      <c r="C3130" s="2" t="s">
        <v>372</v>
      </c>
      <c r="D3130" s="2" t="s">
        <v>10</v>
      </c>
      <c r="E3130" s="2" t="s">
        <v>16</v>
      </c>
      <c r="F3130" s="2">
        <v>1</v>
      </c>
      <c r="G3130" s="2" t="s">
        <v>17</v>
      </c>
    </row>
    <row r="3131" spans="1:7" x14ac:dyDescent="0.2">
      <c r="A3131" s="2" t="s">
        <v>4146</v>
      </c>
      <c r="B3131" s="2" t="s">
        <v>373</v>
      </c>
      <c r="C3131" s="2" t="s">
        <v>374</v>
      </c>
      <c r="D3131" s="2" t="s">
        <v>10</v>
      </c>
      <c r="E3131" s="2" t="s">
        <v>16</v>
      </c>
      <c r="F3131" s="2">
        <v>1</v>
      </c>
      <c r="G3131" s="2" t="s">
        <v>17</v>
      </c>
    </row>
    <row r="3132" spans="1:7" x14ac:dyDescent="0.2">
      <c r="A3132" s="2" t="s">
        <v>4146</v>
      </c>
      <c r="B3132" s="2" t="s">
        <v>375</v>
      </c>
      <c r="C3132" s="2" t="s">
        <v>374</v>
      </c>
      <c r="D3132" s="2" t="s">
        <v>10</v>
      </c>
      <c r="E3132" s="2" t="s">
        <v>16</v>
      </c>
      <c r="F3132" s="2">
        <v>1</v>
      </c>
      <c r="G3132" s="2" t="s">
        <v>17</v>
      </c>
    </row>
    <row r="3133" spans="1:7" x14ac:dyDescent="0.2">
      <c r="A3133" s="2" t="s">
        <v>4146</v>
      </c>
      <c r="B3133" s="2" t="s">
        <v>376</v>
      </c>
      <c r="C3133" s="2" t="s">
        <v>377</v>
      </c>
      <c r="D3133" s="2" t="s">
        <v>10</v>
      </c>
      <c r="E3133" s="2" t="s">
        <v>16</v>
      </c>
      <c r="F3133" s="2">
        <v>1</v>
      </c>
      <c r="G3133" s="2" t="s">
        <v>17</v>
      </c>
    </row>
    <row r="3134" spans="1:7" x14ac:dyDescent="0.2">
      <c r="A3134" s="2" t="s">
        <v>4146</v>
      </c>
      <c r="B3134" s="2" t="s">
        <v>378</v>
      </c>
      <c r="C3134" s="2" t="s">
        <v>379</v>
      </c>
      <c r="D3134" s="2" t="s">
        <v>10</v>
      </c>
      <c r="E3134" s="2" t="s">
        <v>16</v>
      </c>
      <c r="F3134" s="2">
        <v>1</v>
      </c>
      <c r="G3134" s="2" t="s">
        <v>17</v>
      </c>
    </row>
    <row r="3135" spans="1:7" x14ac:dyDescent="0.2">
      <c r="A3135" s="2" t="s">
        <v>4146</v>
      </c>
      <c r="B3135" s="2" t="s">
        <v>4147</v>
      </c>
      <c r="C3135" s="2" t="s">
        <v>382</v>
      </c>
      <c r="D3135" s="2" t="s">
        <v>10</v>
      </c>
      <c r="E3135" s="2" t="s">
        <v>52</v>
      </c>
      <c r="F3135" s="2">
        <v>1</v>
      </c>
      <c r="G3135" s="2" t="s">
        <v>17</v>
      </c>
    </row>
    <row r="3136" spans="1:7" x14ac:dyDescent="0.2">
      <c r="A3136" s="2" t="s">
        <v>4146</v>
      </c>
      <c r="B3136" s="2" t="s">
        <v>383</v>
      </c>
      <c r="C3136" s="2" t="s">
        <v>382</v>
      </c>
      <c r="D3136" s="2" t="s">
        <v>10</v>
      </c>
      <c r="E3136" s="2" t="s">
        <v>52</v>
      </c>
      <c r="F3136" s="2">
        <v>1</v>
      </c>
      <c r="G3136" s="2" t="s">
        <v>17</v>
      </c>
    </row>
    <row r="3137" spans="1:7" x14ac:dyDescent="0.2">
      <c r="A3137" s="2" t="s">
        <v>4146</v>
      </c>
      <c r="B3137" s="2" t="s">
        <v>384</v>
      </c>
      <c r="C3137" s="2" t="s">
        <v>385</v>
      </c>
      <c r="D3137" s="2" t="s">
        <v>10</v>
      </c>
      <c r="E3137" s="2" t="s">
        <v>52</v>
      </c>
      <c r="F3137" s="2">
        <v>1</v>
      </c>
      <c r="G3137" s="2" t="s">
        <v>17</v>
      </c>
    </row>
    <row r="3138" spans="1:7" x14ac:dyDescent="0.2">
      <c r="A3138" s="2" t="s">
        <v>4146</v>
      </c>
      <c r="B3138" s="2" t="s">
        <v>390</v>
      </c>
      <c r="C3138" s="2" t="s">
        <v>389</v>
      </c>
      <c r="D3138" s="2" t="s">
        <v>10</v>
      </c>
      <c r="E3138" s="2" t="s">
        <v>52</v>
      </c>
      <c r="F3138" s="2">
        <v>1</v>
      </c>
      <c r="G3138" s="2" t="s">
        <v>17</v>
      </c>
    </row>
    <row r="3139" spans="1:7" x14ac:dyDescent="0.2">
      <c r="A3139" s="2" t="s">
        <v>4146</v>
      </c>
      <c r="B3139" s="2" t="s">
        <v>4148</v>
      </c>
      <c r="C3139" s="2" t="s">
        <v>4149</v>
      </c>
      <c r="D3139" s="2" t="s">
        <v>10</v>
      </c>
      <c r="E3139" s="2" t="s">
        <v>52</v>
      </c>
      <c r="F3139" s="2">
        <v>1</v>
      </c>
      <c r="G3139" s="2" t="s">
        <v>17</v>
      </c>
    </row>
    <row r="3140" spans="1:7" x14ac:dyDescent="0.2">
      <c r="A3140" s="2" t="s">
        <v>4146</v>
      </c>
      <c r="B3140" s="2" t="s">
        <v>391</v>
      </c>
      <c r="C3140" s="2" t="s">
        <v>392</v>
      </c>
      <c r="D3140" s="2" t="s">
        <v>10</v>
      </c>
      <c r="E3140" s="2" t="s">
        <v>11</v>
      </c>
      <c r="F3140" s="2">
        <v>1</v>
      </c>
      <c r="G3140" s="2" t="s">
        <v>17</v>
      </c>
    </row>
    <row r="3141" spans="1:7" x14ac:dyDescent="0.2">
      <c r="A3141" s="2" t="s">
        <v>4146</v>
      </c>
      <c r="B3141" s="2" t="s">
        <v>393</v>
      </c>
      <c r="C3141" s="2" t="s">
        <v>372</v>
      </c>
      <c r="D3141" s="2" t="s">
        <v>10</v>
      </c>
      <c r="E3141" s="2" t="s">
        <v>16</v>
      </c>
      <c r="F3141" s="2">
        <v>1</v>
      </c>
      <c r="G3141" s="2" t="s">
        <v>17</v>
      </c>
    </row>
    <row r="3142" spans="1:7" x14ac:dyDescent="0.2">
      <c r="A3142" s="2" t="s">
        <v>4146</v>
      </c>
      <c r="B3142" s="2" t="s">
        <v>394</v>
      </c>
      <c r="C3142" s="2" t="s">
        <v>374</v>
      </c>
      <c r="D3142" s="2" t="s">
        <v>10</v>
      </c>
      <c r="E3142" s="2" t="s">
        <v>16</v>
      </c>
      <c r="F3142" s="2">
        <v>1</v>
      </c>
      <c r="G3142" s="2" t="s">
        <v>17</v>
      </c>
    </row>
    <row r="3143" spans="1:7" x14ac:dyDescent="0.2">
      <c r="A3143" s="2" t="s">
        <v>4146</v>
      </c>
      <c r="B3143" s="2" t="s">
        <v>395</v>
      </c>
      <c r="C3143" s="2" t="s">
        <v>377</v>
      </c>
      <c r="D3143" s="2" t="s">
        <v>10</v>
      </c>
      <c r="E3143" s="2" t="s">
        <v>16</v>
      </c>
      <c r="F3143" s="2">
        <v>1</v>
      </c>
      <c r="G3143" s="2" t="s">
        <v>17</v>
      </c>
    </row>
    <row r="3144" spans="1:7" x14ac:dyDescent="0.2">
      <c r="A3144" s="2" t="s">
        <v>4146</v>
      </c>
      <c r="B3144" s="2" t="s">
        <v>396</v>
      </c>
      <c r="C3144" s="2" t="s">
        <v>379</v>
      </c>
      <c r="D3144" s="2" t="s">
        <v>10</v>
      </c>
      <c r="E3144" s="2" t="s">
        <v>16</v>
      </c>
      <c r="F3144" s="2">
        <v>1</v>
      </c>
      <c r="G3144" s="2" t="s">
        <v>17</v>
      </c>
    </row>
    <row r="3145" spans="1:7" x14ac:dyDescent="0.2">
      <c r="A3145" s="2" t="s">
        <v>4146</v>
      </c>
      <c r="B3145" s="2" t="s">
        <v>398</v>
      </c>
      <c r="C3145" s="2" t="s">
        <v>382</v>
      </c>
      <c r="D3145" s="2" t="s">
        <v>10</v>
      </c>
      <c r="E3145" s="2" t="s">
        <v>52</v>
      </c>
      <c r="F3145" s="2">
        <v>1</v>
      </c>
      <c r="G3145" s="2" t="s">
        <v>17</v>
      </c>
    </row>
    <row r="3146" spans="1:7" x14ac:dyDescent="0.2">
      <c r="A3146" s="2" t="s">
        <v>4146</v>
      </c>
      <c r="B3146" s="2" t="s">
        <v>399</v>
      </c>
      <c r="C3146" s="2" t="s">
        <v>382</v>
      </c>
      <c r="D3146" s="2" t="s">
        <v>10</v>
      </c>
      <c r="E3146" s="2" t="s">
        <v>52</v>
      </c>
      <c r="F3146" s="2">
        <v>1</v>
      </c>
      <c r="G3146" s="2" t="s">
        <v>17</v>
      </c>
    </row>
    <row r="3147" spans="1:7" x14ac:dyDescent="0.2">
      <c r="A3147" s="2" t="s">
        <v>4146</v>
      </c>
      <c r="B3147" s="2" t="s">
        <v>400</v>
      </c>
      <c r="C3147" s="2" t="s">
        <v>385</v>
      </c>
      <c r="D3147" s="2" t="s">
        <v>10</v>
      </c>
      <c r="E3147" s="2" t="s">
        <v>52</v>
      </c>
      <c r="F3147" s="2">
        <v>1</v>
      </c>
      <c r="G3147" s="2" t="s">
        <v>17</v>
      </c>
    </row>
    <row r="3148" spans="1:7" x14ac:dyDescent="0.2">
      <c r="A3148" s="2" t="s">
        <v>4146</v>
      </c>
      <c r="B3148" s="2" t="s">
        <v>4150</v>
      </c>
      <c r="C3148" s="2" t="s">
        <v>389</v>
      </c>
      <c r="D3148" s="2" t="s">
        <v>10</v>
      </c>
      <c r="E3148" s="2" t="s">
        <v>52</v>
      </c>
      <c r="F3148" s="2">
        <v>1</v>
      </c>
      <c r="G3148" s="2" t="s">
        <v>17</v>
      </c>
    </row>
    <row r="3149" spans="1:7" x14ac:dyDescent="0.2">
      <c r="A3149" s="2" t="s">
        <v>4146</v>
      </c>
      <c r="B3149" s="2" t="s">
        <v>4151</v>
      </c>
      <c r="C3149" s="2" t="s">
        <v>4149</v>
      </c>
      <c r="D3149" s="2" t="s">
        <v>10</v>
      </c>
      <c r="E3149" s="2" t="s">
        <v>52</v>
      </c>
      <c r="F3149" s="2">
        <v>1</v>
      </c>
      <c r="G3149" s="2" t="s">
        <v>17</v>
      </c>
    </row>
    <row r="3150" spans="1:7" x14ac:dyDescent="0.2">
      <c r="A3150" s="2" t="s">
        <v>4146</v>
      </c>
      <c r="B3150" s="2" t="s">
        <v>403</v>
      </c>
      <c r="C3150" s="2" t="s">
        <v>392</v>
      </c>
      <c r="D3150" s="2" t="s">
        <v>10</v>
      </c>
      <c r="E3150" s="2" t="s">
        <v>11</v>
      </c>
      <c r="F3150" s="2">
        <v>1</v>
      </c>
      <c r="G3150" s="2" t="s">
        <v>17</v>
      </c>
    </row>
    <row r="3151" spans="1:7" x14ac:dyDescent="0.2">
      <c r="A3151" s="2" t="s">
        <v>4146</v>
      </c>
      <c r="B3151" s="2" t="s">
        <v>404</v>
      </c>
      <c r="C3151" s="2" t="s">
        <v>374</v>
      </c>
      <c r="D3151" s="2" t="s">
        <v>10</v>
      </c>
      <c r="E3151" s="2" t="s">
        <v>16</v>
      </c>
      <c r="F3151" s="2">
        <v>1</v>
      </c>
      <c r="G3151" s="2" t="s">
        <v>17</v>
      </c>
    </row>
    <row r="3152" spans="1:7" x14ac:dyDescent="0.2">
      <c r="A3152" s="2" t="s">
        <v>4146</v>
      </c>
      <c r="B3152" s="2" t="s">
        <v>4152</v>
      </c>
      <c r="C3152" s="2" t="s">
        <v>4153</v>
      </c>
      <c r="D3152" s="2" t="s">
        <v>10</v>
      </c>
      <c r="E3152" s="2" t="s">
        <v>52</v>
      </c>
      <c r="F3152" s="2">
        <v>1</v>
      </c>
      <c r="G3152" s="2" t="s">
        <v>17</v>
      </c>
    </row>
    <row r="3153" spans="1:7" x14ac:dyDescent="0.2">
      <c r="A3153" s="2" t="s">
        <v>4146</v>
      </c>
      <c r="B3153" s="2" t="s">
        <v>4154</v>
      </c>
      <c r="C3153" s="2" t="s">
        <v>4153</v>
      </c>
      <c r="D3153" s="2" t="s">
        <v>10</v>
      </c>
      <c r="E3153" s="2" t="s">
        <v>52</v>
      </c>
      <c r="F3153" s="2">
        <v>1</v>
      </c>
      <c r="G3153" s="2" t="s">
        <v>17</v>
      </c>
    </row>
    <row r="3154" spans="1:7" x14ac:dyDescent="0.2">
      <c r="A3154" s="2" t="s">
        <v>4155</v>
      </c>
      <c r="B3154" s="2" t="s">
        <v>4156</v>
      </c>
      <c r="C3154" s="2" t="s">
        <v>4157</v>
      </c>
      <c r="D3154" s="2" t="s">
        <v>10</v>
      </c>
      <c r="E3154" s="2" t="s">
        <v>16</v>
      </c>
      <c r="F3154" s="2">
        <v>1</v>
      </c>
      <c r="G3154" s="2" t="s">
        <v>17</v>
      </c>
    </row>
    <row r="3155" spans="1:7" x14ac:dyDescent="0.2">
      <c r="A3155" s="2" t="s">
        <v>4158</v>
      </c>
      <c r="B3155" s="2" t="s">
        <v>4159</v>
      </c>
      <c r="C3155" s="2" t="s">
        <v>4160</v>
      </c>
      <c r="D3155" s="2" t="s">
        <v>10</v>
      </c>
      <c r="E3155" s="2" t="s">
        <v>52</v>
      </c>
      <c r="F3155" s="2">
        <v>2</v>
      </c>
      <c r="G3155" s="2" t="s">
        <v>12</v>
      </c>
    </row>
    <row r="3156" spans="1:7" x14ac:dyDescent="0.2">
      <c r="A3156" s="2" t="s">
        <v>4158</v>
      </c>
      <c r="B3156" s="2" t="s">
        <v>4161</v>
      </c>
      <c r="C3156" s="2" t="s">
        <v>4162</v>
      </c>
      <c r="D3156" s="2" t="s">
        <v>10</v>
      </c>
      <c r="E3156" s="2" t="s">
        <v>16</v>
      </c>
      <c r="F3156" s="2">
        <v>2</v>
      </c>
      <c r="G3156" s="2" t="s">
        <v>12</v>
      </c>
    </row>
    <row r="3157" spans="1:7" x14ac:dyDescent="0.2">
      <c r="A3157" s="2" t="s">
        <v>4158</v>
      </c>
      <c r="B3157" s="2" t="s">
        <v>4163</v>
      </c>
      <c r="C3157" s="2" t="s">
        <v>4160</v>
      </c>
      <c r="D3157" s="2" t="s">
        <v>10</v>
      </c>
      <c r="E3157" s="2" t="s">
        <v>52</v>
      </c>
      <c r="F3157" s="2">
        <v>2</v>
      </c>
      <c r="G3157" s="2" t="s">
        <v>12</v>
      </c>
    </row>
    <row r="3158" spans="1:7" x14ac:dyDescent="0.2">
      <c r="A3158" s="2" t="s">
        <v>4158</v>
      </c>
      <c r="B3158" s="2" t="s">
        <v>4164</v>
      </c>
      <c r="C3158" s="2" t="s">
        <v>4165</v>
      </c>
      <c r="D3158" s="2" t="s">
        <v>10</v>
      </c>
      <c r="E3158" s="2" t="s">
        <v>52</v>
      </c>
      <c r="F3158" s="2">
        <v>2</v>
      </c>
      <c r="G3158" s="2" t="s">
        <v>12</v>
      </c>
    </row>
    <row r="3159" spans="1:7" x14ac:dyDescent="0.2">
      <c r="A3159" s="2" t="s">
        <v>4166</v>
      </c>
      <c r="B3159" s="2" t="s">
        <v>3301</v>
      </c>
      <c r="C3159" s="2" t="s">
        <v>3302</v>
      </c>
      <c r="D3159" s="2" t="s">
        <v>10</v>
      </c>
      <c r="E3159" s="2" t="s">
        <v>52</v>
      </c>
      <c r="F3159" s="2">
        <v>4</v>
      </c>
      <c r="G3159" s="2" t="s">
        <v>12</v>
      </c>
    </row>
    <row r="3160" spans="1:7" x14ac:dyDescent="0.2">
      <c r="A3160" s="2" t="s">
        <v>4166</v>
      </c>
      <c r="B3160" s="2" t="s">
        <v>3340</v>
      </c>
      <c r="C3160" s="2" t="s">
        <v>3302</v>
      </c>
      <c r="D3160" s="2" t="s">
        <v>10</v>
      </c>
      <c r="E3160" s="2" t="s">
        <v>52</v>
      </c>
      <c r="F3160" s="2">
        <v>4</v>
      </c>
      <c r="G3160" s="2" t="s">
        <v>12</v>
      </c>
    </row>
    <row r="3161" spans="1:7" x14ac:dyDescent="0.2">
      <c r="A3161" s="2" t="s">
        <v>4167</v>
      </c>
      <c r="B3161" s="2" t="s">
        <v>4168</v>
      </c>
      <c r="C3161" s="2" t="s">
        <v>2948</v>
      </c>
      <c r="D3161" s="2" t="s">
        <v>29</v>
      </c>
      <c r="E3161" s="2" t="s">
        <v>16</v>
      </c>
      <c r="F3161" s="2">
        <v>2</v>
      </c>
      <c r="G3161" s="2" t="s">
        <v>12</v>
      </c>
    </row>
    <row r="3162" spans="1:7" x14ac:dyDescent="0.2">
      <c r="A3162" s="2" t="s">
        <v>4167</v>
      </c>
      <c r="B3162" s="2" t="s">
        <v>3273</v>
      </c>
      <c r="C3162" s="2" t="s">
        <v>2948</v>
      </c>
      <c r="D3162" s="2" t="s">
        <v>29</v>
      </c>
      <c r="E3162" s="2" t="s">
        <v>16</v>
      </c>
      <c r="F3162" s="2">
        <v>2</v>
      </c>
      <c r="G3162" s="2" t="s">
        <v>12</v>
      </c>
    </row>
    <row r="3163" spans="1:7" x14ac:dyDescent="0.2">
      <c r="A3163" s="2" t="s">
        <v>4167</v>
      </c>
      <c r="B3163" s="2" t="s">
        <v>4169</v>
      </c>
      <c r="C3163" s="2" t="s">
        <v>4170</v>
      </c>
      <c r="D3163" s="2" t="s">
        <v>10</v>
      </c>
      <c r="E3163" s="2" t="s">
        <v>16</v>
      </c>
      <c r="F3163" s="2">
        <v>4</v>
      </c>
      <c r="G3163" s="2" t="s">
        <v>12</v>
      </c>
    </row>
    <row r="3164" spans="1:7" x14ac:dyDescent="0.2">
      <c r="A3164" s="2" t="s">
        <v>4167</v>
      </c>
      <c r="B3164" s="2" t="s">
        <v>4171</v>
      </c>
      <c r="C3164" s="2" t="s">
        <v>4170</v>
      </c>
      <c r="D3164" s="2" t="s">
        <v>10</v>
      </c>
      <c r="E3164" s="2" t="s">
        <v>16</v>
      </c>
      <c r="F3164" s="2">
        <v>4</v>
      </c>
      <c r="G3164" s="2" t="s">
        <v>12</v>
      </c>
    </row>
    <row r="3165" spans="1:7" x14ac:dyDescent="0.2">
      <c r="A3165" s="2" t="s">
        <v>4167</v>
      </c>
      <c r="B3165" s="2" t="s">
        <v>2947</v>
      </c>
      <c r="C3165" s="2" t="s">
        <v>2948</v>
      </c>
      <c r="D3165" s="2" t="s">
        <v>29</v>
      </c>
      <c r="E3165" s="2" t="s">
        <v>16</v>
      </c>
      <c r="F3165" s="2">
        <v>2</v>
      </c>
      <c r="G3165" s="2" t="s">
        <v>12</v>
      </c>
    </row>
    <row r="3166" spans="1:7" x14ac:dyDescent="0.2">
      <c r="A3166" s="2" t="s">
        <v>4167</v>
      </c>
      <c r="B3166" s="2" t="s">
        <v>1971</v>
      </c>
      <c r="C3166" s="2" t="s">
        <v>2948</v>
      </c>
      <c r="D3166" s="2" t="s">
        <v>29</v>
      </c>
      <c r="E3166" s="2" t="s">
        <v>16</v>
      </c>
      <c r="F3166" s="2">
        <v>2</v>
      </c>
      <c r="G3166" s="2" t="s">
        <v>12</v>
      </c>
    </row>
    <row r="3167" spans="1:7" x14ac:dyDescent="0.2">
      <c r="A3167" s="2" t="s">
        <v>4167</v>
      </c>
      <c r="B3167" s="2" t="s">
        <v>4172</v>
      </c>
      <c r="C3167" s="2" t="s">
        <v>4170</v>
      </c>
      <c r="D3167" s="2" t="s">
        <v>10</v>
      </c>
      <c r="E3167" s="2" t="s">
        <v>16</v>
      </c>
      <c r="F3167" s="2">
        <v>4</v>
      </c>
      <c r="G3167" s="2" t="s">
        <v>12</v>
      </c>
    </row>
    <row r="3168" spans="1:7" x14ac:dyDescent="0.2">
      <c r="A3168" s="2" t="s">
        <v>4167</v>
      </c>
      <c r="B3168" s="2" t="s">
        <v>4173</v>
      </c>
      <c r="C3168" s="2" t="s">
        <v>4170</v>
      </c>
      <c r="D3168" s="2" t="s">
        <v>10</v>
      </c>
      <c r="E3168" s="2" t="s">
        <v>16</v>
      </c>
      <c r="F3168" s="2">
        <v>4</v>
      </c>
      <c r="G3168" s="2" t="s">
        <v>12</v>
      </c>
    </row>
    <row r="3169" spans="1:7" x14ac:dyDescent="0.2">
      <c r="A3169" s="2" t="s">
        <v>4167</v>
      </c>
      <c r="B3169" s="2" t="s">
        <v>4174</v>
      </c>
      <c r="C3169" s="2" t="s">
        <v>4170</v>
      </c>
      <c r="D3169" s="2" t="s">
        <v>10</v>
      </c>
      <c r="E3169" s="2" t="s">
        <v>16</v>
      </c>
      <c r="F3169" s="2">
        <v>4</v>
      </c>
      <c r="G3169" s="2" t="s">
        <v>12</v>
      </c>
    </row>
    <row r="3170" spans="1:7" x14ac:dyDescent="0.2">
      <c r="A3170" s="2" t="s">
        <v>4167</v>
      </c>
      <c r="B3170" s="2" t="s">
        <v>3342</v>
      </c>
      <c r="C3170" s="2" t="s">
        <v>2948</v>
      </c>
      <c r="D3170" s="2" t="s">
        <v>29</v>
      </c>
      <c r="E3170" s="2" t="s">
        <v>16</v>
      </c>
      <c r="F3170" s="2">
        <v>2</v>
      </c>
      <c r="G3170" s="2" t="s">
        <v>12</v>
      </c>
    </row>
    <row r="3171" spans="1:7" x14ac:dyDescent="0.2">
      <c r="A3171" s="2" t="s">
        <v>4167</v>
      </c>
      <c r="B3171" s="2" t="s">
        <v>2949</v>
      </c>
      <c r="C3171" s="2" t="s">
        <v>2948</v>
      </c>
      <c r="D3171" s="2" t="s">
        <v>29</v>
      </c>
      <c r="E3171" s="2" t="s">
        <v>16</v>
      </c>
      <c r="F3171" s="2">
        <v>2</v>
      </c>
      <c r="G3171" s="2" t="s">
        <v>12</v>
      </c>
    </row>
    <row r="3172" spans="1:7" x14ac:dyDescent="0.2">
      <c r="A3172" s="2" t="s">
        <v>4175</v>
      </c>
      <c r="B3172" s="2" t="s">
        <v>4176</v>
      </c>
      <c r="C3172" s="2" t="s">
        <v>4177</v>
      </c>
      <c r="D3172" s="2" t="s">
        <v>56</v>
      </c>
      <c r="E3172" s="2" t="s">
        <v>16</v>
      </c>
      <c r="F3172" s="2">
        <v>1</v>
      </c>
      <c r="G3172" s="2" t="s">
        <v>17</v>
      </c>
    </row>
    <row r="3173" spans="1:7" x14ac:dyDescent="0.2">
      <c r="A3173" s="2" t="s">
        <v>4178</v>
      </c>
      <c r="B3173" s="2" t="s">
        <v>4168</v>
      </c>
      <c r="C3173" s="2" t="s">
        <v>2948</v>
      </c>
      <c r="D3173" s="2" t="s">
        <v>29</v>
      </c>
      <c r="E3173" s="2" t="s">
        <v>16</v>
      </c>
      <c r="F3173" s="2">
        <v>2</v>
      </c>
      <c r="G3173" s="2" t="s">
        <v>12</v>
      </c>
    </row>
    <row r="3174" spans="1:7" x14ac:dyDescent="0.2">
      <c r="A3174" s="2" t="s">
        <v>4178</v>
      </c>
      <c r="B3174" s="2" t="s">
        <v>3273</v>
      </c>
      <c r="C3174" s="2" t="s">
        <v>2948</v>
      </c>
      <c r="D3174" s="2" t="s">
        <v>29</v>
      </c>
      <c r="E3174" s="2" t="s">
        <v>16</v>
      </c>
      <c r="F3174" s="2">
        <v>2</v>
      </c>
      <c r="G3174" s="2" t="s">
        <v>12</v>
      </c>
    </row>
    <row r="3175" spans="1:7" x14ac:dyDescent="0.2">
      <c r="A3175" s="2" t="s">
        <v>4178</v>
      </c>
      <c r="B3175" s="2" t="s">
        <v>4169</v>
      </c>
      <c r="C3175" s="2" t="s">
        <v>4170</v>
      </c>
      <c r="D3175" s="2" t="s">
        <v>10</v>
      </c>
      <c r="E3175" s="2" t="s">
        <v>16</v>
      </c>
      <c r="F3175" s="2">
        <v>4</v>
      </c>
      <c r="G3175" s="2" t="s">
        <v>12</v>
      </c>
    </row>
    <row r="3176" spans="1:7" x14ac:dyDescent="0.2">
      <c r="A3176" s="2" t="s">
        <v>4178</v>
      </c>
      <c r="B3176" s="2" t="s">
        <v>4179</v>
      </c>
      <c r="C3176" s="2" t="s">
        <v>4180</v>
      </c>
      <c r="D3176" s="2" t="s">
        <v>10</v>
      </c>
      <c r="E3176" s="2" t="s">
        <v>16</v>
      </c>
      <c r="F3176" s="2">
        <v>1</v>
      </c>
      <c r="G3176" s="2" t="s">
        <v>17</v>
      </c>
    </row>
    <row r="3177" spans="1:7" x14ac:dyDescent="0.2">
      <c r="A3177" s="2" t="s">
        <v>4178</v>
      </c>
      <c r="B3177" s="2" t="s">
        <v>4171</v>
      </c>
      <c r="C3177" s="2" t="s">
        <v>4170</v>
      </c>
      <c r="D3177" s="2" t="s">
        <v>10</v>
      </c>
      <c r="E3177" s="2" t="s">
        <v>16</v>
      </c>
      <c r="F3177" s="2">
        <v>4</v>
      </c>
      <c r="G3177" s="2" t="s">
        <v>12</v>
      </c>
    </row>
    <row r="3178" spans="1:7" x14ac:dyDescent="0.2">
      <c r="A3178" s="2" t="s">
        <v>4178</v>
      </c>
      <c r="B3178" s="2" t="s">
        <v>4181</v>
      </c>
      <c r="C3178" s="2" t="s">
        <v>4182</v>
      </c>
      <c r="D3178" s="2" t="s">
        <v>10</v>
      </c>
      <c r="E3178" s="2" t="s">
        <v>16</v>
      </c>
      <c r="F3178" s="2">
        <v>2</v>
      </c>
      <c r="G3178" s="2" t="s">
        <v>12</v>
      </c>
    </row>
    <row r="3179" spans="1:7" x14ac:dyDescent="0.2">
      <c r="A3179" s="2" t="s">
        <v>4178</v>
      </c>
      <c r="B3179" s="2" t="s">
        <v>4183</v>
      </c>
      <c r="C3179" s="2" t="s">
        <v>4182</v>
      </c>
      <c r="D3179" s="2" t="s">
        <v>10</v>
      </c>
      <c r="E3179" s="2" t="s">
        <v>16</v>
      </c>
      <c r="F3179" s="2">
        <v>2</v>
      </c>
      <c r="G3179" s="2" t="s">
        <v>12</v>
      </c>
    </row>
    <row r="3180" spans="1:7" x14ac:dyDescent="0.2">
      <c r="A3180" s="2" t="s">
        <v>4178</v>
      </c>
      <c r="B3180" s="2" t="s">
        <v>4184</v>
      </c>
      <c r="C3180" s="2" t="s">
        <v>3276</v>
      </c>
      <c r="D3180" s="2" t="s">
        <v>10</v>
      </c>
      <c r="E3180" s="2" t="s">
        <v>52</v>
      </c>
      <c r="F3180" s="2">
        <v>2</v>
      </c>
      <c r="G3180" s="2" t="s">
        <v>12</v>
      </c>
    </row>
    <row r="3181" spans="1:7" x14ac:dyDescent="0.2">
      <c r="A3181" s="2" t="s">
        <v>4178</v>
      </c>
      <c r="B3181" s="2" t="s">
        <v>1971</v>
      </c>
      <c r="C3181" s="2" t="s">
        <v>2948</v>
      </c>
      <c r="D3181" s="2" t="s">
        <v>29</v>
      </c>
      <c r="E3181" s="2" t="s">
        <v>16</v>
      </c>
      <c r="F3181" s="2">
        <v>2</v>
      </c>
      <c r="G3181" s="2" t="s">
        <v>12</v>
      </c>
    </row>
    <row r="3182" spans="1:7" x14ac:dyDescent="0.2">
      <c r="A3182" s="2" t="s">
        <v>4178</v>
      </c>
      <c r="B3182" s="2" t="s">
        <v>4185</v>
      </c>
      <c r="C3182" s="2" t="s">
        <v>4182</v>
      </c>
      <c r="D3182" s="2" t="s">
        <v>10</v>
      </c>
      <c r="E3182" s="2" t="s">
        <v>16</v>
      </c>
      <c r="F3182" s="2">
        <v>2</v>
      </c>
      <c r="G3182" s="2" t="s">
        <v>12</v>
      </c>
    </row>
    <row r="3183" spans="1:7" x14ac:dyDescent="0.2">
      <c r="A3183" s="2" t="s">
        <v>4178</v>
      </c>
      <c r="B3183" s="2" t="s">
        <v>4186</v>
      </c>
      <c r="C3183" s="2" t="s">
        <v>4182</v>
      </c>
      <c r="D3183" s="2" t="s">
        <v>10</v>
      </c>
      <c r="E3183" s="2" t="s">
        <v>16</v>
      </c>
      <c r="F3183" s="2">
        <v>2</v>
      </c>
      <c r="G3183" s="2" t="s">
        <v>12</v>
      </c>
    </row>
    <row r="3184" spans="1:7" x14ac:dyDescent="0.2">
      <c r="A3184" s="2" t="s">
        <v>4178</v>
      </c>
      <c r="B3184" s="2" t="s">
        <v>4187</v>
      </c>
      <c r="C3184" s="2" t="s">
        <v>4182</v>
      </c>
      <c r="D3184" s="2" t="s">
        <v>10</v>
      </c>
      <c r="E3184" s="2" t="s">
        <v>16</v>
      </c>
      <c r="F3184" s="2">
        <v>2</v>
      </c>
      <c r="G3184" s="2" t="s">
        <v>12</v>
      </c>
    </row>
    <row r="3185" spans="1:7" x14ac:dyDescent="0.2">
      <c r="A3185" s="2" t="s">
        <v>4178</v>
      </c>
      <c r="B3185" s="2" t="s">
        <v>4188</v>
      </c>
      <c r="C3185" s="2" t="s">
        <v>4182</v>
      </c>
      <c r="D3185" s="2" t="s">
        <v>10</v>
      </c>
      <c r="E3185" s="2" t="s">
        <v>16</v>
      </c>
      <c r="F3185" s="2">
        <v>2</v>
      </c>
      <c r="G3185" s="2" t="s">
        <v>12</v>
      </c>
    </row>
    <row r="3186" spans="1:7" x14ac:dyDescent="0.2">
      <c r="A3186" s="2" t="s">
        <v>4178</v>
      </c>
      <c r="B3186" s="2" t="s">
        <v>3338</v>
      </c>
      <c r="C3186" s="2" t="s">
        <v>3276</v>
      </c>
      <c r="D3186" s="2" t="s">
        <v>10</v>
      </c>
      <c r="E3186" s="2" t="s">
        <v>52</v>
      </c>
      <c r="F3186" s="2">
        <v>2</v>
      </c>
      <c r="G3186" s="2" t="s">
        <v>12</v>
      </c>
    </row>
    <row r="3187" spans="1:7" x14ac:dyDescent="0.2">
      <c r="A3187" s="2" t="s">
        <v>4178</v>
      </c>
      <c r="B3187" s="2" t="s">
        <v>4189</v>
      </c>
      <c r="C3187" s="2" t="s">
        <v>3276</v>
      </c>
      <c r="D3187" s="2" t="s">
        <v>10</v>
      </c>
      <c r="E3187" s="2" t="s">
        <v>52</v>
      </c>
      <c r="F3187" s="2">
        <v>2</v>
      </c>
      <c r="G3187" s="2" t="s">
        <v>12</v>
      </c>
    </row>
    <row r="3188" spans="1:7" x14ac:dyDescent="0.2">
      <c r="A3188" s="2" t="s">
        <v>4178</v>
      </c>
      <c r="B3188" s="2" t="s">
        <v>4190</v>
      </c>
      <c r="C3188" s="2" t="s">
        <v>3276</v>
      </c>
      <c r="D3188" s="2" t="s">
        <v>10</v>
      </c>
      <c r="E3188" s="2" t="s">
        <v>52</v>
      </c>
      <c r="F3188" s="2">
        <v>2</v>
      </c>
      <c r="G3188" s="2" t="s">
        <v>12</v>
      </c>
    </row>
    <row r="3189" spans="1:7" x14ac:dyDescent="0.2">
      <c r="A3189" s="2" t="s">
        <v>4178</v>
      </c>
      <c r="B3189" s="2" t="s">
        <v>4191</v>
      </c>
      <c r="C3189" s="2" t="s">
        <v>4192</v>
      </c>
      <c r="D3189" s="2" t="s">
        <v>10</v>
      </c>
      <c r="E3189" s="2" t="s">
        <v>11</v>
      </c>
      <c r="F3189" s="2">
        <v>1</v>
      </c>
      <c r="G3189" s="2" t="s">
        <v>12</v>
      </c>
    </row>
    <row r="3190" spans="1:7" x14ac:dyDescent="0.2">
      <c r="A3190" s="2" t="s">
        <v>4178</v>
      </c>
      <c r="B3190" s="2" t="s">
        <v>4193</v>
      </c>
      <c r="C3190" s="2" t="s">
        <v>4182</v>
      </c>
      <c r="D3190" s="2" t="s">
        <v>10</v>
      </c>
      <c r="E3190" s="2" t="s">
        <v>16</v>
      </c>
      <c r="F3190" s="2">
        <v>2</v>
      </c>
      <c r="G3190" s="2" t="s">
        <v>12</v>
      </c>
    </row>
    <row r="3191" spans="1:7" x14ac:dyDescent="0.2">
      <c r="A3191" s="2" t="s">
        <v>4178</v>
      </c>
      <c r="B3191" s="2" t="s">
        <v>4194</v>
      </c>
      <c r="C3191" s="2" t="s">
        <v>4182</v>
      </c>
      <c r="D3191" s="2" t="s">
        <v>10</v>
      </c>
      <c r="E3191" s="2" t="s">
        <v>16</v>
      </c>
      <c r="F3191" s="2">
        <v>2</v>
      </c>
      <c r="G3191" s="2" t="s">
        <v>12</v>
      </c>
    </row>
    <row r="3192" spans="1:7" x14ac:dyDescent="0.2">
      <c r="A3192" s="2" t="s">
        <v>4178</v>
      </c>
      <c r="B3192" s="2" t="s">
        <v>4195</v>
      </c>
      <c r="C3192" s="2" t="s">
        <v>4196</v>
      </c>
      <c r="D3192" s="2" t="s">
        <v>10</v>
      </c>
      <c r="E3192" s="2" t="s">
        <v>16</v>
      </c>
      <c r="F3192" s="2">
        <v>1</v>
      </c>
      <c r="G3192" s="2" t="s">
        <v>17</v>
      </c>
    </row>
    <row r="3193" spans="1:7" x14ac:dyDescent="0.2">
      <c r="A3193" s="2" t="s">
        <v>4178</v>
      </c>
      <c r="B3193" s="2" t="s">
        <v>4173</v>
      </c>
      <c r="C3193" s="2" t="s">
        <v>4170</v>
      </c>
      <c r="D3193" s="2" t="s">
        <v>10</v>
      </c>
      <c r="E3193" s="2" t="s">
        <v>16</v>
      </c>
      <c r="F3193" s="2">
        <v>4</v>
      </c>
      <c r="G3193" s="2" t="s">
        <v>12</v>
      </c>
    </row>
    <row r="3194" spans="1:7" x14ac:dyDescent="0.2">
      <c r="A3194" s="2" t="s">
        <v>4178</v>
      </c>
      <c r="B3194" s="2" t="s">
        <v>4174</v>
      </c>
      <c r="C3194" s="2" t="s">
        <v>4170</v>
      </c>
      <c r="D3194" s="2" t="s">
        <v>10</v>
      </c>
      <c r="E3194" s="2" t="s">
        <v>16</v>
      </c>
      <c r="F3194" s="2">
        <v>4</v>
      </c>
      <c r="G3194" s="2" t="s">
        <v>12</v>
      </c>
    </row>
    <row r="3195" spans="1:7" x14ac:dyDescent="0.2">
      <c r="A3195" s="2" t="s">
        <v>4178</v>
      </c>
      <c r="B3195" s="2" t="s">
        <v>4197</v>
      </c>
      <c r="C3195" s="2" t="s">
        <v>4182</v>
      </c>
      <c r="D3195" s="2" t="s">
        <v>10</v>
      </c>
      <c r="E3195" s="2" t="s">
        <v>16</v>
      </c>
      <c r="F3195" s="2">
        <v>2</v>
      </c>
      <c r="G3195" s="2" t="s">
        <v>12</v>
      </c>
    </row>
    <row r="3196" spans="1:7" x14ac:dyDescent="0.2">
      <c r="A3196" s="2" t="s">
        <v>4178</v>
      </c>
      <c r="B3196" s="2" t="s">
        <v>3342</v>
      </c>
      <c r="C3196" s="2" t="s">
        <v>2948</v>
      </c>
      <c r="D3196" s="2" t="s">
        <v>29</v>
      </c>
      <c r="E3196" s="2" t="s">
        <v>16</v>
      </c>
      <c r="F3196" s="2">
        <v>2</v>
      </c>
      <c r="G3196" s="2" t="s">
        <v>12</v>
      </c>
    </row>
    <row r="3197" spans="1:7" x14ac:dyDescent="0.2">
      <c r="A3197" s="2" t="s">
        <v>4178</v>
      </c>
      <c r="B3197" s="2" t="s">
        <v>4198</v>
      </c>
      <c r="C3197" s="2" t="s">
        <v>4199</v>
      </c>
      <c r="D3197" s="2" t="s">
        <v>10</v>
      </c>
      <c r="E3197" s="2" t="s">
        <v>16</v>
      </c>
      <c r="F3197" s="2">
        <v>4</v>
      </c>
      <c r="G3197" s="2" t="s">
        <v>12</v>
      </c>
    </row>
    <row r="3198" spans="1:7" x14ac:dyDescent="0.2">
      <c r="A3198" s="2" t="s">
        <v>4178</v>
      </c>
      <c r="B3198" s="2" t="s">
        <v>4200</v>
      </c>
      <c r="C3198" s="2" t="s">
        <v>4199</v>
      </c>
      <c r="D3198" s="2" t="s">
        <v>10</v>
      </c>
      <c r="E3198" s="2" t="s">
        <v>16</v>
      </c>
      <c r="F3198" s="2">
        <v>4</v>
      </c>
      <c r="G3198" s="2" t="s">
        <v>12</v>
      </c>
    </row>
    <row r="3199" spans="1:7" x14ac:dyDescent="0.2">
      <c r="A3199" s="2" t="s">
        <v>4178</v>
      </c>
      <c r="B3199" s="2" t="s">
        <v>2949</v>
      </c>
      <c r="C3199" s="2" t="s">
        <v>2948</v>
      </c>
      <c r="D3199" s="2" t="s">
        <v>29</v>
      </c>
      <c r="E3199" s="2" t="s">
        <v>16</v>
      </c>
      <c r="F3199" s="2">
        <v>2</v>
      </c>
      <c r="G3199" s="2" t="s">
        <v>12</v>
      </c>
    </row>
    <row r="3200" spans="1:7" x14ac:dyDescent="0.2">
      <c r="A3200" s="2" t="s">
        <v>4178</v>
      </c>
      <c r="B3200" s="2" t="s">
        <v>1688</v>
      </c>
      <c r="C3200" s="2" t="s">
        <v>4199</v>
      </c>
      <c r="D3200" s="2" t="s">
        <v>10</v>
      </c>
      <c r="E3200" s="2" t="s">
        <v>16</v>
      </c>
      <c r="F3200" s="2">
        <v>4</v>
      </c>
      <c r="G3200" s="2" t="s">
        <v>12</v>
      </c>
    </row>
    <row r="3201" spans="1:7" x14ac:dyDescent="0.2">
      <c r="A3201" s="2" t="s">
        <v>4178</v>
      </c>
      <c r="B3201" s="2" t="s">
        <v>4201</v>
      </c>
      <c r="C3201" s="2" t="s">
        <v>4192</v>
      </c>
      <c r="D3201" s="2" t="s">
        <v>10</v>
      </c>
      <c r="E3201" s="2" t="s">
        <v>11</v>
      </c>
      <c r="F3201" s="2">
        <v>1</v>
      </c>
      <c r="G3201" s="2" t="s">
        <v>12</v>
      </c>
    </row>
    <row r="3202" spans="1:7" x14ac:dyDescent="0.2">
      <c r="A3202" s="2" t="s">
        <v>4178</v>
      </c>
      <c r="B3202" s="2" t="s">
        <v>4202</v>
      </c>
      <c r="C3202" s="2" t="s">
        <v>4182</v>
      </c>
      <c r="D3202" s="2" t="s">
        <v>10</v>
      </c>
      <c r="E3202" s="2" t="s">
        <v>16</v>
      </c>
      <c r="F3202" s="2">
        <v>2</v>
      </c>
      <c r="G3202" s="2" t="s">
        <v>12</v>
      </c>
    </row>
    <row r="3203" spans="1:7" x14ac:dyDescent="0.2">
      <c r="A3203" s="2" t="s">
        <v>4178</v>
      </c>
      <c r="B3203" s="2" t="s">
        <v>4203</v>
      </c>
      <c r="C3203" s="2" t="s">
        <v>4182</v>
      </c>
      <c r="D3203" s="2" t="s">
        <v>10</v>
      </c>
      <c r="E3203" s="2" t="s">
        <v>16</v>
      </c>
      <c r="F3203" s="2">
        <v>2</v>
      </c>
      <c r="G3203" s="2" t="s">
        <v>12</v>
      </c>
    </row>
    <row r="3204" spans="1:7" x14ac:dyDescent="0.2">
      <c r="A3204" s="2" t="s">
        <v>4178</v>
      </c>
      <c r="B3204" s="2" t="s">
        <v>4204</v>
      </c>
      <c r="C3204" s="2" t="s">
        <v>4180</v>
      </c>
      <c r="D3204" s="2" t="s">
        <v>10</v>
      </c>
      <c r="E3204" s="2" t="s">
        <v>16</v>
      </c>
      <c r="F3204" s="2">
        <v>1</v>
      </c>
      <c r="G3204" s="2" t="s">
        <v>17</v>
      </c>
    </row>
    <row r="3205" spans="1:7" x14ac:dyDescent="0.2">
      <c r="A3205" s="2" t="s">
        <v>4178</v>
      </c>
      <c r="B3205" s="2" t="s">
        <v>4205</v>
      </c>
      <c r="C3205" s="2" t="s">
        <v>4180</v>
      </c>
      <c r="D3205" s="2" t="s">
        <v>10</v>
      </c>
      <c r="E3205" s="2" t="s">
        <v>16</v>
      </c>
      <c r="F3205" s="2">
        <v>1</v>
      </c>
      <c r="G3205" s="2" t="s">
        <v>17</v>
      </c>
    </row>
    <row r="3206" spans="1:7" x14ac:dyDescent="0.2">
      <c r="A3206" s="2" t="s">
        <v>4178</v>
      </c>
      <c r="B3206" s="2" t="s">
        <v>4206</v>
      </c>
      <c r="C3206" s="2" t="s">
        <v>4182</v>
      </c>
      <c r="D3206" s="2" t="s">
        <v>10</v>
      </c>
      <c r="E3206" s="2" t="s">
        <v>16</v>
      </c>
      <c r="F3206" s="2">
        <v>2</v>
      </c>
      <c r="G3206" s="2" t="s">
        <v>12</v>
      </c>
    </row>
    <row r="3207" spans="1:7" x14ac:dyDescent="0.2">
      <c r="A3207" s="2" t="s">
        <v>4178</v>
      </c>
      <c r="B3207" s="2" t="s">
        <v>4207</v>
      </c>
      <c r="C3207" s="2" t="s">
        <v>4182</v>
      </c>
      <c r="D3207" s="2" t="s">
        <v>10</v>
      </c>
      <c r="E3207" s="2" t="s">
        <v>16</v>
      </c>
      <c r="F3207" s="2">
        <v>2</v>
      </c>
      <c r="G3207" s="2" t="s">
        <v>12</v>
      </c>
    </row>
    <row r="3208" spans="1:7" x14ac:dyDescent="0.2">
      <c r="A3208" s="2" t="s">
        <v>4208</v>
      </c>
      <c r="B3208" s="2" t="s">
        <v>4209</v>
      </c>
      <c r="C3208" s="2" t="s">
        <v>2630</v>
      </c>
      <c r="D3208" s="2" t="s">
        <v>10</v>
      </c>
      <c r="E3208" s="2" t="s">
        <v>16</v>
      </c>
      <c r="F3208" s="2">
        <v>1</v>
      </c>
      <c r="G3208" s="2" t="s">
        <v>17</v>
      </c>
    </row>
    <row r="3209" spans="1:7" x14ac:dyDescent="0.2">
      <c r="A3209" s="2" t="s">
        <v>4208</v>
      </c>
      <c r="B3209" s="2" t="s">
        <v>4210</v>
      </c>
      <c r="C3209" s="2" t="s">
        <v>2630</v>
      </c>
      <c r="D3209" s="2" t="s">
        <v>10</v>
      </c>
      <c r="E3209" s="2" t="s">
        <v>16</v>
      </c>
      <c r="F3209" s="2">
        <v>1</v>
      </c>
      <c r="G3209" s="2" t="s">
        <v>17</v>
      </c>
    </row>
    <row r="3210" spans="1:7" x14ac:dyDescent="0.2">
      <c r="A3210" s="2" t="s">
        <v>4211</v>
      </c>
      <c r="B3210" s="2" t="s">
        <v>70</v>
      </c>
      <c r="C3210" s="2" t="s">
        <v>71</v>
      </c>
      <c r="D3210" s="2" t="s">
        <v>10</v>
      </c>
      <c r="E3210" s="2" t="s">
        <v>16</v>
      </c>
      <c r="F3210" s="2">
        <v>1</v>
      </c>
      <c r="G3210" s="2" t="s">
        <v>17</v>
      </c>
    </row>
    <row r="3211" spans="1:7" x14ac:dyDescent="0.2">
      <c r="A3211" s="2" t="s">
        <v>4211</v>
      </c>
      <c r="B3211" s="2" t="s">
        <v>72</v>
      </c>
      <c r="C3211" s="2" t="s">
        <v>73</v>
      </c>
      <c r="D3211" s="2" t="s">
        <v>10</v>
      </c>
      <c r="E3211" s="2" t="s">
        <v>16</v>
      </c>
      <c r="F3211" s="2">
        <v>1</v>
      </c>
      <c r="G3211" s="2" t="s">
        <v>17</v>
      </c>
    </row>
    <row r="3212" spans="1:7" x14ac:dyDescent="0.2">
      <c r="A3212" s="2" t="s">
        <v>4212</v>
      </c>
      <c r="B3212" s="2" t="s">
        <v>4213</v>
      </c>
      <c r="C3212" s="2" t="s">
        <v>4214</v>
      </c>
      <c r="D3212" s="2" t="s">
        <v>10</v>
      </c>
      <c r="E3212" s="2" t="s">
        <v>16</v>
      </c>
      <c r="F3212" s="2">
        <v>1</v>
      </c>
      <c r="G3212" s="2" t="s">
        <v>17</v>
      </c>
    </row>
    <row r="3213" spans="1:7" x14ac:dyDescent="0.2">
      <c r="A3213" s="2" t="s">
        <v>4212</v>
      </c>
      <c r="B3213" s="2" t="s">
        <v>4215</v>
      </c>
      <c r="C3213" s="2" t="s">
        <v>4214</v>
      </c>
      <c r="D3213" s="2" t="s">
        <v>10</v>
      </c>
      <c r="E3213" s="2" t="s">
        <v>16</v>
      </c>
      <c r="F3213" s="2">
        <v>1</v>
      </c>
      <c r="G3213" s="2" t="s">
        <v>17</v>
      </c>
    </row>
    <row r="3214" spans="1:7" x14ac:dyDescent="0.2">
      <c r="A3214" s="2" t="s">
        <v>4216</v>
      </c>
      <c r="B3214" s="2" t="s">
        <v>4217</v>
      </c>
      <c r="C3214" s="2" t="s">
        <v>4218</v>
      </c>
      <c r="D3214" s="2" t="s">
        <v>10</v>
      </c>
      <c r="E3214" s="2" t="s">
        <v>16</v>
      </c>
      <c r="F3214" s="2">
        <v>1</v>
      </c>
      <c r="G3214" s="2" t="s">
        <v>17</v>
      </c>
    </row>
    <row r="3215" spans="1:7" x14ac:dyDescent="0.2">
      <c r="A3215" s="2" t="s">
        <v>4216</v>
      </c>
      <c r="B3215" s="2" t="s">
        <v>3741</v>
      </c>
      <c r="C3215" s="2" t="s">
        <v>4218</v>
      </c>
      <c r="D3215" s="2" t="s">
        <v>10</v>
      </c>
      <c r="E3215" s="2" t="s">
        <v>16</v>
      </c>
      <c r="F3215" s="2">
        <v>1</v>
      </c>
      <c r="G3215" s="2" t="s">
        <v>17</v>
      </c>
    </row>
    <row r="3216" spans="1:7" x14ac:dyDescent="0.2">
      <c r="A3216" s="2" t="s">
        <v>4216</v>
      </c>
      <c r="B3216" s="2" t="s">
        <v>4219</v>
      </c>
      <c r="C3216" s="2" t="s">
        <v>4218</v>
      </c>
      <c r="D3216" s="2" t="s">
        <v>10</v>
      </c>
      <c r="E3216" s="2" t="s">
        <v>16</v>
      </c>
      <c r="F3216" s="2">
        <v>1</v>
      </c>
      <c r="G3216" s="2" t="s">
        <v>17</v>
      </c>
    </row>
    <row r="3217" spans="1:7" x14ac:dyDescent="0.2">
      <c r="A3217" s="2" t="s">
        <v>4216</v>
      </c>
      <c r="B3217" s="2" t="s">
        <v>4220</v>
      </c>
      <c r="C3217" s="2" t="s">
        <v>4218</v>
      </c>
      <c r="D3217" s="2" t="s">
        <v>10</v>
      </c>
      <c r="E3217" s="2" t="s">
        <v>16</v>
      </c>
      <c r="F3217" s="2">
        <v>1</v>
      </c>
      <c r="G3217" s="2" t="s">
        <v>17</v>
      </c>
    </row>
    <row r="3218" spans="1:7" x14ac:dyDescent="0.2">
      <c r="A3218" s="2" t="s">
        <v>4216</v>
      </c>
      <c r="B3218" s="2" t="s">
        <v>4221</v>
      </c>
      <c r="C3218" s="2" t="s">
        <v>4222</v>
      </c>
      <c r="D3218" s="2" t="s">
        <v>10</v>
      </c>
      <c r="E3218" s="2" t="s">
        <v>16</v>
      </c>
      <c r="F3218" s="2">
        <v>1</v>
      </c>
      <c r="G3218" s="2" t="s">
        <v>17</v>
      </c>
    </row>
    <row r="3219" spans="1:7" x14ac:dyDescent="0.2">
      <c r="A3219" s="2" t="s">
        <v>4216</v>
      </c>
      <c r="B3219" s="2" t="s">
        <v>4223</v>
      </c>
      <c r="C3219" s="2" t="s">
        <v>4222</v>
      </c>
      <c r="D3219" s="2" t="s">
        <v>10</v>
      </c>
      <c r="E3219" s="2" t="s">
        <v>16</v>
      </c>
      <c r="F3219" s="2">
        <v>1</v>
      </c>
      <c r="G3219" s="2" t="s">
        <v>17</v>
      </c>
    </row>
    <row r="3220" spans="1:7" x14ac:dyDescent="0.2">
      <c r="A3220" s="2" t="s">
        <v>4216</v>
      </c>
      <c r="B3220" s="2" t="s">
        <v>4224</v>
      </c>
      <c r="C3220" s="2" t="s">
        <v>4225</v>
      </c>
      <c r="D3220" s="2" t="s">
        <v>10</v>
      </c>
      <c r="E3220" s="2" t="s">
        <v>16</v>
      </c>
      <c r="F3220" s="2">
        <v>1</v>
      </c>
      <c r="G3220" s="2" t="s">
        <v>17</v>
      </c>
    </row>
    <row r="3221" spans="1:7" x14ac:dyDescent="0.2">
      <c r="A3221" s="2" t="s">
        <v>4226</v>
      </c>
      <c r="B3221" s="2" t="s">
        <v>4227</v>
      </c>
      <c r="C3221" s="2" t="s">
        <v>361</v>
      </c>
      <c r="D3221" s="2" t="s">
        <v>10</v>
      </c>
      <c r="E3221" s="2" t="s">
        <v>16</v>
      </c>
      <c r="F3221" s="2">
        <v>1</v>
      </c>
      <c r="G3221" s="2" t="s">
        <v>17</v>
      </c>
    </row>
    <row r="3222" spans="1:7" x14ac:dyDescent="0.2">
      <c r="A3222" s="2" t="s">
        <v>4228</v>
      </c>
      <c r="B3222" s="2" t="s">
        <v>1478</v>
      </c>
      <c r="C3222" s="2" t="s">
        <v>1479</v>
      </c>
      <c r="D3222" s="2" t="s">
        <v>10</v>
      </c>
      <c r="E3222" s="2" t="s">
        <v>16</v>
      </c>
      <c r="F3222" s="2">
        <v>1</v>
      </c>
      <c r="G3222" s="2" t="s">
        <v>17</v>
      </c>
    </row>
    <row r="3223" spans="1:7" x14ac:dyDescent="0.2">
      <c r="A3223" s="2" t="s">
        <v>4228</v>
      </c>
      <c r="B3223" s="2" t="s">
        <v>1480</v>
      </c>
      <c r="C3223" s="2" t="s">
        <v>1479</v>
      </c>
      <c r="D3223" s="2" t="s">
        <v>10</v>
      </c>
      <c r="E3223" s="2" t="s">
        <v>16</v>
      </c>
      <c r="F3223" s="2">
        <v>1</v>
      </c>
      <c r="G3223" s="2" t="s">
        <v>17</v>
      </c>
    </row>
    <row r="3224" spans="1:7" x14ac:dyDescent="0.2">
      <c r="A3224" s="2" t="s">
        <v>4229</v>
      </c>
      <c r="B3224" s="2" t="s">
        <v>4230</v>
      </c>
      <c r="C3224" s="2" t="s">
        <v>4231</v>
      </c>
      <c r="D3224" s="2" t="s">
        <v>10</v>
      </c>
      <c r="E3224" s="2" t="s">
        <v>16</v>
      </c>
      <c r="F3224" s="2">
        <v>1</v>
      </c>
      <c r="G3224" s="2" t="s">
        <v>17</v>
      </c>
    </row>
    <row r="3225" spans="1:7" x14ac:dyDescent="0.2">
      <c r="A3225" s="2" t="s">
        <v>4229</v>
      </c>
      <c r="B3225" s="2" t="s">
        <v>4232</v>
      </c>
      <c r="C3225" s="2" t="s">
        <v>4233</v>
      </c>
      <c r="D3225" s="2" t="s">
        <v>10</v>
      </c>
      <c r="E3225" s="2" t="s">
        <v>16</v>
      </c>
      <c r="F3225" s="2">
        <v>1</v>
      </c>
      <c r="G3225" s="2" t="s">
        <v>17</v>
      </c>
    </row>
    <row r="3226" spans="1:7" x14ac:dyDescent="0.2">
      <c r="A3226" s="2" t="s">
        <v>4229</v>
      </c>
      <c r="B3226" s="2" t="s">
        <v>4234</v>
      </c>
      <c r="C3226" s="2" t="s">
        <v>4233</v>
      </c>
      <c r="D3226" s="2" t="s">
        <v>10</v>
      </c>
      <c r="E3226" s="2" t="s">
        <v>16</v>
      </c>
      <c r="F3226" s="2">
        <v>1</v>
      </c>
      <c r="G3226" s="2" t="s">
        <v>17</v>
      </c>
    </row>
    <row r="3227" spans="1:7" x14ac:dyDescent="0.2">
      <c r="A3227" s="2" t="s">
        <v>4235</v>
      </c>
      <c r="B3227" s="2" t="s">
        <v>4236</v>
      </c>
      <c r="C3227" s="2" t="s">
        <v>4237</v>
      </c>
      <c r="D3227" s="2" t="s">
        <v>56</v>
      </c>
      <c r="E3227" s="2" t="s">
        <v>16</v>
      </c>
      <c r="F3227" s="2">
        <v>1</v>
      </c>
      <c r="G3227" s="2" t="s">
        <v>17</v>
      </c>
    </row>
    <row r="3228" spans="1:7" x14ac:dyDescent="0.2">
      <c r="A3228" s="2" t="s">
        <v>4238</v>
      </c>
      <c r="B3228" s="2" t="s">
        <v>1973</v>
      </c>
      <c r="C3228" s="2" t="s">
        <v>1974</v>
      </c>
      <c r="D3228" s="2" t="s">
        <v>10</v>
      </c>
      <c r="E3228" s="2" t="s">
        <v>11</v>
      </c>
      <c r="F3228" s="2">
        <v>1</v>
      </c>
      <c r="G3228" s="2" t="s">
        <v>17</v>
      </c>
    </row>
    <row r="3229" spans="1:7" x14ac:dyDescent="0.2">
      <c r="A3229" s="2" t="s">
        <v>4238</v>
      </c>
      <c r="B3229" s="2" t="s">
        <v>1976</v>
      </c>
      <c r="C3229" s="2" t="s">
        <v>1974</v>
      </c>
      <c r="D3229" s="2" t="s">
        <v>10</v>
      </c>
      <c r="E3229" s="2" t="s">
        <v>11</v>
      </c>
      <c r="F3229" s="2">
        <v>1</v>
      </c>
      <c r="G3229" s="2" t="s">
        <v>17</v>
      </c>
    </row>
    <row r="3230" spans="1:7" x14ac:dyDescent="0.2">
      <c r="A3230" s="2" t="s">
        <v>4239</v>
      </c>
      <c r="B3230" s="2" t="s">
        <v>4240</v>
      </c>
      <c r="C3230" s="2" t="s">
        <v>4241</v>
      </c>
      <c r="D3230" s="2" t="s">
        <v>10</v>
      </c>
      <c r="E3230" s="2" t="s">
        <v>16</v>
      </c>
      <c r="F3230" s="2">
        <v>1</v>
      </c>
      <c r="G3230" s="2" t="s">
        <v>17</v>
      </c>
    </row>
    <row r="3231" spans="1:7" x14ac:dyDescent="0.2">
      <c r="A3231" s="2" t="s">
        <v>4239</v>
      </c>
      <c r="B3231" s="2" t="s">
        <v>1925</v>
      </c>
      <c r="C3231" s="2" t="s">
        <v>4241</v>
      </c>
      <c r="D3231" s="2" t="s">
        <v>10</v>
      </c>
      <c r="E3231" s="2" t="s">
        <v>16</v>
      </c>
      <c r="F3231" s="2">
        <v>1</v>
      </c>
      <c r="G3231" s="2" t="s">
        <v>17</v>
      </c>
    </row>
    <row r="3232" spans="1:7" x14ac:dyDescent="0.2">
      <c r="A3232" s="2" t="s">
        <v>4242</v>
      </c>
      <c r="B3232" s="2" t="s">
        <v>4243</v>
      </c>
      <c r="C3232" s="2" t="s">
        <v>4244</v>
      </c>
      <c r="D3232" s="2" t="s">
        <v>10</v>
      </c>
      <c r="E3232" s="2" t="s">
        <v>16</v>
      </c>
      <c r="F3232" s="2">
        <v>1</v>
      </c>
      <c r="G3232" s="2" t="s">
        <v>17</v>
      </c>
    </row>
    <row r="3233" spans="1:7" x14ac:dyDescent="0.2">
      <c r="A3233" s="2" t="s">
        <v>4242</v>
      </c>
      <c r="B3233" s="2" t="s">
        <v>4245</v>
      </c>
      <c r="C3233" s="2" t="s">
        <v>4246</v>
      </c>
      <c r="D3233" s="2" t="s">
        <v>10</v>
      </c>
      <c r="E3233" s="2" t="s">
        <v>16</v>
      </c>
      <c r="F3233" s="2">
        <v>2</v>
      </c>
      <c r="G3233" s="2" t="s">
        <v>17</v>
      </c>
    </row>
    <row r="3234" spans="1:7" x14ac:dyDescent="0.2">
      <c r="A3234" s="2" t="s">
        <v>4242</v>
      </c>
      <c r="B3234" s="2" t="s">
        <v>4247</v>
      </c>
      <c r="C3234" s="2" t="s">
        <v>4244</v>
      </c>
      <c r="D3234" s="2" t="s">
        <v>10</v>
      </c>
      <c r="E3234" s="2" t="s">
        <v>16</v>
      </c>
      <c r="F3234" s="2">
        <v>1</v>
      </c>
      <c r="G3234" s="2" t="s">
        <v>17</v>
      </c>
    </row>
    <row r="3235" spans="1:7" x14ac:dyDescent="0.2">
      <c r="A3235" s="2" t="s">
        <v>4242</v>
      </c>
      <c r="B3235" s="2" t="s">
        <v>4248</v>
      </c>
      <c r="C3235" s="2" t="s">
        <v>4246</v>
      </c>
      <c r="D3235" s="2" t="s">
        <v>10</v>
      </c>
      <c r="E3235" s="2" t="s">
        <v>16</v>
      </c>
      <c r="F3235" s="2">
        <v>2</v>
      </c>
      <c r="G3235" s="2" t="s">
        <v>17</v>
      </c>
    </row>
    <row r="3236" spans="1:7" x14ac:dyDescent="0.2">
      <c r="A3236" s="2" t="s">
        <v>4249</v>
      </c>
      <c r="B3236" s="2" t="s">
        <v>4250</v>
      </c>
      <c r="C3236" s="2" t="s">
        <v>4251</v>
      </c>
      <c r="D3236" s="2" t="s">
        <v>10</v>
      </c>
      <c r="E3236" s="2" t="s">
        <v>16</v>
      </c>
      <c r="F3236" s="2">
        <v>1</v>
      </c>
      <c r="G3236" s="2" t="s">
        <v>17</v>
      </c>
    </row>
    <row r="3237" spans="1:7" x14ac:dyDescent="0.2">
      <c r="A3237" s="2" t="s">
        <v>4249</v>
      </c>
      <c r="B3237" s="2" t="s">
        <v>4252</v>
      </c>
      <c r="C3237" s="2" t="s">
        <v>4251</v>
      </c>
      <c r="D3237" s="2" t="s">
        <v>10</v>
      </c>
      <c r="E3237" s="2" t="s">
        <v>16</v>
      </c>
      <c r="F3237" s="2">
        <v>1</v>
      </c>
      <c r="G3237" s="2" t="s">
        <v>17</v>
      </c>
    </row>
    <row r="3238" spans="1:7" x14ac:dyDescent="0.2">
      <c r="A3238" s="2" t="s">
        <v>4249</v>
      </c>
      <c r="B3238" s="2" t="s">
        <v>4253</v>
      </c>
      <c r="C3238" s="2" t="s">
        <v>4251</v>
      </c>
      <c r="D3238" s="2" t="s">
        <v>10</v>
      </c>
      <c r="E3238" s="2" t="s">
        <v>16</v>
      </c>
      <c r="F3238" s="2">
        <v>1</v>
      </c>
      <c r="G3238" s="2" t="s">
        <v>17</v>
      </c>
    </row>
    <row r="3239" spans="1:7" x14ac:dyDescent="0.2">
      <c r="A3239" s="2" t="s">
        <v>4249</v>
      </c>
      <c r="B3239" s="2" t="s">
        <v>4254</v>
      </c>
      <c r="C3239" s="2" t="s">
        <v>4251</v>
      </c>
      <c r="D3239" s="2" t="s">
        <v>10</v>
      </c>
      <c r="E3239" s="2" t="s">
        <v>16</v>
      </c>
      <c r="F3239" s="2">
        <v>1</v>
      </c>
      <c r="G3239" s="2" t="s">
        <v>17</v>
      </c>
    </row>
    <row r="3240" spans="1:7" x14ac:dyDescent="0.2">
      <c r="A3240" s="2" t="s">
        <v>4255</v>
      </c>
      <c r="B3240" s="2" t="s">
        <v>3239</v>
      </c>
      <c r="C3240" s="2" t="s">
        <v>3240</v>
      </c>
      <c r="D3240" s="2" t="s">
        <v>10</v>
      </c>
      <c r="E3240" s="2" t="s">
        <v>16</v>
      </c>
      <c r="F3240" s="2">
        <v>1</v>
      </c>
      <c r="G3240" s="2" t="s">
        <v>17</v>
      </c>
    </row>
    <row r="3241" spans="1:7" x14ac:dyDescent="0.2">
      <c r="A3241" s="2" t="s">
        <v>4255</v>
      </c>
      <c r="B3241" s="2" t="s">
        <v>3241</v>
      </c>
      <c r="C3241" s="2" t="s">
        <v>3240</v>
      </c>
      <c r="D3241" s="2" t="s">
        <v>10</v>
      </c>
      <c r="E3241" s="2" t="s">
        <v>16</v>
      </c>
      <c r="F3241" s="2">
        <v>1</v>
      </c>
      <c r="G3241" s="2" t="s">
        <v>17</v>
      </c>
    </row>
    <row r="3242" spans="1:7" x14ac:dyDescent="0.2">
      <c r="A3242" s="2" t="s">
        <v>4255</v>
      </c>
      <c r="B3242" s="2" t="s">
        <v>4256</v>
      </c>
      <c r="C3242" s="2" t="s">
        <v>3240</v>
      </c>
      <c r="D3242" s="2" t="s">
        <v>10</v>
      </c>
      <c r="E3242" s="2" t="s">
        <v>16</v>
      </c>
      <c r="F3242" s="2">
        <v>1</v>
      </c>
      <c r="G3242" s="2" t="s">
        <v>17</v>
      </c>
    </row>
    <row r="3243" spans="1:7" x14ac:dyDescent="0.2">
      <c r="A3243" s="2" t="s">
        <v>4255</v>
      </c>
      <c r="B3243" s="2" t="s">
        <v>4257</v>
      </c>
      <c r="C3243" s="2" t="s">
        <v>4258</v>
      </c>
      <c r="D3243" s="2" t="s">
        <v>29</v>
      </c>
      <c r="E3243" s="2" t="s">
        <v>16</v>
      </c>
      <c r="F3243" s="2">
        <v>1</v>
      </c>
      <c r="G3243" s="2" t="s">
        <v>17</v>
      </c>
    </row>
    <row r="3244" spans="1:7" x14ac:dyDescent="0.2">
      <c r="A3244" s="2" t="s">
        <v>4255</v>
      </c>
      <c r="B3244" s="2" t="s">
        <v>4259</v>
      </c>
      <c r="C3244" s="2" t="s">
        <v>4260</v>
      </c>
      <c r="D3244" s="2" t="s">
        <v>10</v>
      </c>
      <c r="E3244" s="2" t="s">
        <v>16</v>
      </c>
      <c r="F3244" s="2">
        <v>1</v>
      </c>
      <c r="G3244" s="2" t="s">
        <v>17</v>
      </c>
    </row>
    <row r="3245" spans="1:7" x14ac:dyDescent="0.2">
      <c r="A3245" s="2" t="s">
        <v>4255</v>
      </c>
      <c r="B3245" s="2" t="s">
        <v>4261</v>
      </c>
      <c r="C3245" s="2" t="s">
        <v>3240</v>
      </c>
      <c r="D3245" s="2" t="s">
        <v>10</v>
      </c>
      <c r="E3245" s="2" t="s">
        <v>16</v>
      </c>
      <c r="F3245" s="2">
        <v>1</v>
      </c>
      <c r="G3245" s="2" t="s">
        <v>17</v>
      </c>
    </row>
    <row r="3246" spans="1:7" x14ac:dyDescent="0.2">
      <c r="A3246" s="2" t="s">
        <v>4262</v>
      </c>
      <c r="B3246" s="2" t="s">
        <v>4263</v>
      </c>
      <c r="C3246" s="2" t="s">
        <v>4264</v>
      </c>
      <c r="D3246" s="2" t="s">
        <v>10</v>
      </c>
      <c r="E3246" s="2" t="s">
        <v>16</v>
      </c>
      <c r="F3246" s="2">
        <v>1</v>
      </c>
      <c r="G3246" s="2" t="s">
        <v>17</v>
      </c>
    </row>
    <row r="3247" spans="1:7" x14ac:dyDescent="0.2">
      <c r="A3247" s="2" t="s">
        <v>4265</v>
      </c>
      <c r="B3247" s="2" t="s">
        <v>4266</v>
      </c>
      <c r="C3247" s="2" t="s">
        <v>4267</v>
      </c>
      <c r="D3247" s="2" t="s">
        <v>10</v>
      </c>
      <c r="E3247" s="2" t="s">
        <v>16</v>
      </c>
      <c r="F3247" s="2">
        <v>1</v>
      </c>
      <c r="G3247" s="2" t="s">
        <v>17</v>
      </c>
    </row>
    <row r="3248" spans="1:7" x14ac:dyDescent="0.2">
      <c r="A3248" s="2" t="s">
        <v>4268</v>
      </c>
      <c r="B3248" s="2" t="s">
        <v>4269</v>
      </c>
      <c r="C3248" s="2" t="s">
        <v>1562</v>
      </c>
      <c r="D3248" s="2" t="s">
        <v>10</v>
      </c>
      <c r="E3248" s="2" t="s">
        <v>16</v>
      </c>
      <c r="F3248" s="2">
        <v>1</v>
      </c>
      <c r="G3248" s="2" t="s">
        <v>17</v>
      </c>
    </row>
    <row r="3249" spans="1:7" x14ac:dyDescent="0.2">
      <c r="A3249" s="2" t="s">
        <v>4268</v>
      </c>
      <c r="B3249" s="2" t="s">
        <v>4270</v>
      </c>
      <c r="C3249" s="2" t="s">
        <v>1562</v>
      </c>
      <c r="D3249" s="2" t="s">
        <v>10</v>
      </c>
      <c r="E3249" s="2" t="s">
        <v>16</v>
      </c>
      <c r="F3249" s="2">
        <v>1</v>
      </c>
      <c r="G3249" s="2" t="s">
        <v>17</v>
      </c>
    </row>
    <row r="3250" spans="1:7" x14ac:dyDescent="0.2">
      <c r="A3250" s="2" t="s">
        <v>4268</v>
      </c>
      <c r="B3250" s="2" t="s">
        <v>4271</v>
      </c>
      <c r="C3250" s="2" t="s">
        <v>1562</v>
      </c>
      <c r="D3250" s="2" t="s">
        <v>10</v>
      </c>
      <c r="E3250" s="2" t="s">
        <v>16</v>
      </c>
      <c r="F3250" s="2">
        <v>1</v>
      </c>
      <c r="G3250" s="2" t="s">
        <v>17</v>
      </c>
    </row>
    <row r="3251" spans="1:7" x14ac:dyDescent="0.2">
      <c r="A3251" s="2" t="s">
        <v>4268</v>
      </c>
      <c r="B3251" s="2" t="s">
        <v>4272</v>
      </c>
      <c r="C3251" s="2" t="s">
        <v>1562</v>
      </c>
      <c r="D3251" s="2" t="s">
        <v>10</v>
      </c>
      <c r="E3251" s="2" t="s">
        <v>16</v>
      </c>
      <c r="F3251" s="2">
        <v>1</v>
      </c>
      <c r="G3251" s="2" t="s">
        <v>17</v>
      </c>
    </row>
    <row r="3252" spans="1:7" x14ac:dyDescent="0.2">
      <c r="A3252" s="2" t="s">
        <v>4273</v>
      </c>
      <c r="B3252" s="2" t="s">
        <v>4274</v>
      </c>
      <c r="C3252" s="2" t="s">
        <v>1564</v>
      </c>
      <c r="D3252" s="2" t="s">
        <v>10</v>
      </c>
      <c r="E3252" s="2" t="s">
        <v>16</v>
      </c>
      <c r="F3252" s="2">
        <v>1</v>
      </c>
      <c r="G3252" s="2" t="s">
        <v>17</v>
      </c>
    </row>
    <row r="3253" spans="1:7" x14ac:dyDescent="0.2">
      <c r="A3253" s="2" t="s">
        <v>4273</v>
      </c>
      <c r="B3253" s="2" t="s">
        <v>4275</v>
      </c>
      <c r="C3253" s="2" t="s">
        <v>1301</v>
      </c>
      <c r="D3253" s="2" t="s">
        <v>10</v>
      </c>
      <c r="E3253" s="2" t="s">
        <v>16</v>
      </c>
      <c r="F3253" s="2">
        <v>1</v>
      </c>
      <c r="G3253" s="2" t="s">
        <v>17</v>
      </c>
    </row>
    <row r="3254" spans="1:7" x14ac:dyDescent="0.2">
      <c r="A3254" s="2" t="s">
        <v>4273</v>
      </c>
      <c r="B3254" s="2" t="s">
        <v>4276</v>
      </c>
      <c r="C3254" s="2" t="s">
        <v>1301</v>
      </c>
      <c r="D3254" s="2" t="s">
        <v>10</v>
      </c>
      <c r="E3254" s="2" t="s">
        <v>16</v>
      </c>
      <c r="F3254" s="2">
        <v>1</v>
      </c>
      <c r="G3254" s="2" t="s">
        <v>17</v>
      </c>
    </row>
    <row r="3255" spans="1:7" x14ac:dyDescent="0.2">
      <c r="A3255" s="2" t="s">
        <v>4273</v>
      </c>
      <c r="B3255" s="2" t="s">
        <v>4277</v>
      </c>
      <c r="C3255" s="2" t="s">
        <v>1564</v>
      </c>
      <c r="D3255" s="2" t="s">
        <v>10</v>
      </c>
      <c r="E3255" s="2" t="s">
        <v>16</v>
      </c>
      <c r="F3255" s="2">
        <v>1</v>
      </c>
      <c r="G3255" s="2" t="s">
        <v>17</v>
      </c>
    </row>
    <row r="3256" spans="1:7" x14ac:dyDescent="0.2">
      <c r="A3256" s="2" t="s">
        <v>4273</v>
      </c>
      <c r="B3256" s="2" t="s">
        <v>4278</v>
      </c>
      <c r="C3256" s="2" t="s">
        <v>1301</v>
      </c>
      <c r="D3256" s="2" t="s">
        <v>10</v>
      </c>
      <c r="E3256" s="2" t="s">
        <v>16</v>
      </c>
      <c r="F3256" s="2">
        <v>1</v>
      </c>
      <c r="G3256" s="2" t="s">
        <v>17</v>
      </c>
    </row>
    <row r="3257" spans="1:7" x14ac:dyDescent="0.2">
      <c r="A3257" s="2" t="s">
        <v>4273</v>
      </c>
      <c r="B3257" s="2" t="s">
        <v>4279</v>
      </c>
      <c r="C3257" s="2" t="s">
        <v>1564</v>
      </c>
      <c r="D3257" s="2" t="s">
        <v>10</v>
      </c>
      <c r="E3257" s="2" t="s">
        <v>16</v>
      </c>
      <c r="F3257" s="2">
        <v>1</v>
      </c>
      <c r="G3257" s="2" t="s">
        <v>17</v>
      </c>
    </row>
    <row r="3258" spans="1:7" x14ac:dyDescent="0.2">
      <c r="A3258" s="2" t="s">
        <v>4273</v>
      </c>
      <c r="B3258" s="2" t="s">
        <v>4280</v>
      </c>
      <c r="C3258" s="2" t="s">
        <v>1564</v>
      </c>
      <c r="D3258" s="2" t="s">
        <v>10</v>
      </c>
      <c r="E3258" s="2" t="s">
        <v>16</v>
      </c>
      <c r="F3258" s="2">
        <v>1</v>
      </c>
      <c r="G3258" s="2" t="s">
        <v>17</v>
      </c>
    </row>
    <row r="3259" spans="1:7" x14ac:dyDescent="0.2">
      <c r="A3259" s="2" t="s">
        <v>4273</v>
      </c>
      <c r="B3259" s="2" t="s">
        <v>4281</v>
      </c>
      <c r="C3259" s="2" t="s">
        <v>4282</v>
      </c>
      <c r="D3259" s="2" t="s">
        <v>10</v>
      </c>
      <c r="E3259" s="2" t="s">
        <v>16</v>
      </c>
      <c r="F3259" s="2">
        <v>1</v>
      </c>
      <c r="G3259" s="2" t="s">
        <v>17</v>
      </c>
    </row>
    <row r="3260" spans="1:7" x14ac:dyDescent="0.2">
      <c r="A3260" s="2" t="s">
        <v>4273</v>
      </c>
      <c r="B3260" s="2" t="s">
        <v>4283</v>
      </c>
      <c r="C3260" s="2" t="s">
        <v>4282</v>
      </c>
      <c r="D3260" s="2" t="s">
        <v>10</v>
      </c>
      <c r="E3260" s="2" t="s">
        <v>16</v>
      </c>
      <c r="F3260" s="2">
        <v>1</v>
      </c>
      <c r="G3260" s="2" t="s">
        <v>17</v>
      </c>
    </row>
    <row r="3261" spans="1:7" x14ac:dyDescent="0.2">
      <c r="A3261" s="2" t="s">
        <v>4273</v>
      </c>
      <c r="B3261" s="2" t="s">
        <v>4284</v>
      </c>
      <c r="C3261" s="2" t="s">
        <v>4282</v>
      </c>
      <c r="D3261" s="2" t="s">
        <v>10</v>
      </c>
      <c r="E3261" s="2" t="s">
        <v>16</v>
      </c>
      <c r="F3261" s="2">
        <v>1</v>
      </c>
      <c r="G3261" s="2" t="s">
        <v>17</v>
      </c>
    </row>
    <row r="3262" spans="1:7" x14ac:dyDescent="0.2">
      <c r="A3262" s="2" t="s">
        <v>4273</v>
      </c>
      <c r="B3262" s="2" t="s">
        <v>4285</v>
      </c>
      <c r="C3262" s="2" t="s">
        <v>4282</v>
      </c>
      <c r="D3262" s="2" t="s">
        <v>10</v>
      </c>
      <c r="E3262" s="2" t="s">
        <v>16</v>
      </c>
      <c r="F3262" s="2">
        <v>1</v>
      </c>
      <c r="G3262" s="2" t="s">
        <v>17</v>
      </c>
    </row>
    <row r="3263" spans="1:7" x14ac:dyDescent="0.2">
      <c r="A3263" s="2" t="s">
        <v>4286</v>
      </c>
      <c r="B3263" s="2" t="s">
        <v>4287</v>
      </c>
      <c r="C3263" s="2" t="s">
        <v>4288</v>
      </c>
      <c r="D3263" s="2" t="s">
        <v>10</v>
      </c>
      <c r="E3263" s="2" t="s">
        <v>16</v>
      </c>
      <c r="F3263" s="2">
        <v>1</v>
      </c>
      <c r="G3263" s="2" t="s">
        <v>17</v>
      </c>
    </row>
    <row r="3264" spans="1:7" x14ac:dyDescent="0.2">
      <c r="A3264" s="2" t="s">
        <v>4286</v>
      </c>
      <c r="B3264" s="2" t="s">
        <v>4289</v>
      </c>
      <c r="C3264" s="2" t="s">
        <v>4290</v>
      </c>
      <c r="D3264" s="2" t="s">
        <v>10</v>
      </c>
      <c r="E3264" s="2" t="s">
        <v>16</v>
      </c>
      <c r="F3264" s="2">
        <v>1</v>
      </c>
      <c r="G3264" s="2" t="s">
        <v>17</v>
      </c>
    </row>
    <row r="3265" spans="1:7" x14ac:dyDescent="0.2">
      <c r="A3265" s="2" t="s">
        <v>4286</v>
      </c>
      <c r="B3265" s="2" t="s">
        <v>1931</v>
      </c>
      <c r="C3265" s="2" t="s">
        <v>4286</v>
      </c>
      <c r="D3265" s="2" t="s">
        <v>10</v>
      </c>
      <c r="E3265" s="2" t="s">
        <v>16</v>
      </c>
      <c r="F3265" s="2">
        <v>1</v>
      </c>
      <c r="G3265" s="2" t="s">
        <v>17</v>
      </c>
    </row>
    <row r="3266" spans="1:7" x14ac:dyDescent="0.2">
      <c r="A3266" s="2" t="s">
        <v>4291</v>
      </c>
      <c r="B3266" s="2" t="s">
        <v>4292</v>
      </c>
      <c r="C3266" s="2" t="s">
        <v>4293</v>
      </c>
      <c r="D3266" s="2" t="s">
        <v>10</v>
      </c>
      <c r="E3266" s="2" t="s">
        <v>16</v>
      </c>
      <c r="F3266" s="2">
        <v>1</v>
      </c>
      <c r="G3266" s="2" t="s">
        <v>17</v>
      </c>
    </row>
    <row r="3267" spans="1:7" x14ac:dyDescent="0.2">
      <c r="A3267" s="2" t="s">
        <v>4291</v>
      </c>
      <c r="B3267" s="2" t="s">
        <v>4294</v>
      </c>
      <c r="C3267" s="2" t="s">
        <v>1672</v>
      </c>
      <c r="D3267" s="2" t="s">
        <v>10</v>
      </c>
      <c r="E3267" s="2" t="s">
        <v>16</v>
      </c>
      <c r="F3267" s="2">
        <v>1</v>
      </c>
      <c r="G3267" s="2" t="s">
        <v>17</v>
      </c>
    </row>
    <row r="3268" spans="1:7" x14ac:dyDescent="0.2">
      <c r="A3268" s="2" t="s">
        <v>4291</v>
      </c>
      <c r="B3268" s="2" t="s">
        <v>4295</v>
      </c>
      <c r="C3268" s="2" t="s">
        <v>1672</v>
      </c>
      <c r="D3268" s="2" t="s">
        <v>10</v>
      </c>
      <c r="E3268" s="2" t="s">
        <v>16</v>
      </c>
      <c r="F3268" s="2">
        <v>1</v>
      </c>
      <c r="G3268" s="2" t="s">
        <v>17</v>
      </c>
    </row>
    <row r="3269" spans="1:7" x14ac:dyDescent="0.2">
      <c r="A3269" s="2" t="s">
        <v>4291</v>
      </c>
      <c r="B3269" s="2" t="s">
        <v>4296</v>
      </c>
      <c r="C3269" s="2" t="s">
        <v>1672</v>
      </c>
      <c r="D3269" s="2" t="s">
        <v>10</v>
      </c>
      <c r="E3269" s="2" t="s">
        <v>16</v>
      </c>
      <c r="F3269" s="2">
        <v>1</v>
      </c>
      <c r="G3269" s="2" t="s">
        <v>17</v>
      </c>
    </row>
    <row r="3270" spans="1:7" x14ac:dyDescent="0.2">
      <c r="A3270" s="2" t="s">
        <v>4291</v>
      </c>
      <c r="B3270" s="2" t="s">
        <v>4297</v>
      </c>
      <c r="C3270" s="2" t="s">
        <v>4293</v>
      </c>
      <c r="D3270" s="2" t="s">
        <v>10</v>
      </c>
      <c r="E3270" s="2" t="s">
        <v>16</v>
      </c>
      <c r="F3270" s="2">
        <v>1</v>
      </c>
      <c r="G3270" s="2" t="s">
        <v>17</v>
      </c>
    </row>
    <row r="3271" spans="1:7" x14ac:dyDescent="0.2">
      <c r="A3271" s="2" t="s">
        <v>4291</v>
      </c>
      <c r="B3271" s="2" t="s">
        <v>4298</v>
      </c>
      <c r="C3271" s="2" t="s">
        <v>4293</v>
      </c>
      <c r="D3271" s="2" t="s">
        <v>10</v>
      </c>
      <c r="E3271" s="2" t="s">
        <v>16</v>
      </c>
      <c r="F3271" s="2">
        <v>1</v>
      </c>
      <c r="G3271" s="2" t="s">
        <v>17</v>
      </c>
    </row>
    <row r="3272" spans="1:7" x14ac:dyDescent="0.2">
      <c r="A3272" s="2" t="s">
        <v>4291</v>
      </c>
      <c r="B3272" s="2" t="s">
        <v>4299</v>
      </c>
      <c r="C3272" s="2" t="s">
        <v>4293</v>
      </c>
      <c r="D3272" s="2" t="s">
        <v>10</v>
      </c>
      <c r="E3272" s="2" t="s">
        <v>16</v>
      </c>
      <c r="F3272" s="2">
        <v>1</v>
      </c>
      <c r="G3272" s="2" t="s">
        <v>17</v>
      </c>
    </row>
    <row r="3273" spans="1:7" x14ac:dyDescent="0.2">
      <c r="A3273" s="2" t="s">
        <v>4291</v>
      </c>
      <c r="B3273" s="2" t="s">
        <v>4300</v>
      </c>
      <c r="C3273" s="2" t="s">
        <v>4293</v>
      </c>
      <c r="D3273" s="2" t="s">
        <v>10</v>
      </c>
      <c r="E3273" s="2" t="s">
        <v>16</v>
      </c>
      <c r="F3273" s="2">
        <v>1</v>
      </c>
      <c r="G3273" s="2" t="s">
        <v>17</v>
      </c>
    </row>
    <row r="3274" spans="1:7" x14ac:dyDescent="0.2">
      <c r="A3274" s="2" t="s">
        <v>4291</v>
      </c>
      <c r="B3274" s="2" t="s">
        <v>4301</v>
      </c>
      <c r="C3274" s="2" t="s">
        <v>4293</v>
      </c>
      <c r="D3274" s="2" t="s">
        <v>10</v>
      </c>
      <c r="E3274" s="2" t="s">
        <v>16</v>
      </c>
      <c r="F3274" s="2">
        <v>1</v>
      </c>
      <c r="G3274" s="2" t="s">
        <v>17</v>
      </c>
    </row>
    <row r="3275" spans="1:7" x14ac:dyDescent="0.2">
      <c r="A3275" s="2" t="s">
        <v>4291</v>
      </c>
      <c r="B3275" s="2" t="s">
        <v>4302</v>
      </c>
      <c r="C3275" s="2" t="s">
        <v>4303</v>
      </c>
      <c r="D3275" s="2" t="s">
        <v>10</v>
      </c>
      <c r="E3275" s="2" t="s">
        <v>16</v>
      </c>
      <c r="F3275" s="2">
        <v>1</v>
      </c>
      <c r="G3275" s="2" t="s">
        <v>17</v>
      </c>
    </row>
    <row r="3276" spans="1:7" x14ac:dyDescent="0.2">
      <c r="A3276" s="2" t="s">
        <v>4304</v>
      </c>
      <c r="B3276" s="2" t="s">
        <v>4305</v>
      </c>
      <c r="C3276" s="2" t="s">
        <v>4306</v>
      </c>
      <c r="D3276" s="2" t="s">
        <v>10</v>
      </c>
      <c r="E3276" s="2" t="s">
        <v>16</v>
      </c>
      <c r="F3276" s="2">
        <v>2</v>
      </c>
      <c r="G3276" s="2" t="s">
        <v>12</v>
      </c>
    </row>
    <row r="3277" spans="1:7" x14ac:dyDescent="0.2">
      <c r="A3277" s="2" t="s">
        <v>4304</v>
      </c>
      <c r="B3277" s="2" t="s">
        <v>4307</v>
      </c>
      <c r="C3277" s="2" t="s">
        <v>4306</v>
      </c>
      <c r="D3277" s="2" t="s">
        <v>10</v>
      </c>
      <c r="E3277" s="2" t="s">
        <v>16</v>
      </c>
      <c r="F3277" s="2">
        <v>2</v>
      </c>
      <c r="G3277" s="2" t="s">
        <v>12</v>
      </c>
    </row>
    <row r="3278" spans="1:7" x14ac:dyDescent="0.2">
      <c r="A3278" s="2" t="s">
        <v>4304</v>
      </c>
      <c r="B3278" s="2" t="s">
        <v>4308</v>
      </c>
      <c r="C3278" s="2" t="s">
        <v>4306</v>
      </c>
      <c r="D3278" s="2" t="s">
        <v>10</v>
      </c>
      <c r="E3278" s="2" t="s">
        <v>16</v>
      </c>
      <c r="F3278" s="2">
        <v>2</v>
      </c>
      <c r="G3278" s="2" t="s">
        <v>12</v>
      </c>
    </row>
    <row r="3279" spans="1:7" x14ac:dyDescent="0.2">
      <c r="A3279" s="2" t="s">
        <v>4304</v>
      </c>
      <c r="B3279" s="2" t="s">
        <v>4309</v>
      </c>
      <c r="C3279" s="2" t="s">
        <v>4310</v>
      </c>
      <c r="D3279" s="2" t="s">
        <v>10</v>
      </c>
      <c r="E3279" s="2" t="s">
        <v>16</v>
      </c>
      <c r="F3279" s="2">
        <v>1</v>
      </c>
      <c r="G3279" s="2" t="s">
        <v>17</v>
      </c>
    </row>
    <row r="3280" spans="1:7" x14ac:dyDescent="0.2">
      <c r="A3280" s="2" t="s">
        <v>4304</v>
      </c>
      <c r="B3280" s="2" t="s">
        <v>4311</v>
      </c>
      <c r="C3280" s="2" t="s">
        <v>4310</v>
      </c>
      <c r="D3280" s="2" t="s">
        <v>10</v>
      </c>
      <c r="E3280" s="2" t="s">
        <v>16</v>
      </c>
      <c r="F3280" s="2">
        <v>1</v>
      </c>
      <c r="G3280" s="2" t="s">
        <v>17</v>
      </c>
    </row>
    <row r="3281" spans="1:7" x14ac:dyDescent="0.2">
      <c r="A3281" s="2" t="s">
        <v>4304</v>
      </c>
      <c r="B3281" s="2" t="s">
        <v>4312</v>
      </c>
      <c r="C3281" s="2" t="s">
        <v>4310</v>
      </c>
      <c r="D3281" s="2" t="s">
        <v>10</v>
      </c>
      <c r="E3281" s="2" t="s">
        <v>16</v>
      </c>
      <c r="F3281" s="2">
        <v>1</v>
      </c>
      <c r="G3281" s="2" t="s">
        <v>17</v>
      </c>
    </row>
    <row r="3282" spans="1:7" x14ac:dyDescent="0.2">
      <c r="A3282" s="2" t="s">
        <v>4304</v>
      </c>
      <c r="B3282" s="2" t="s">
        <v>4313</v>
      </c>
      <c r="C3282" s="2" t="s">
        <v>4310</v>
      </c>
      <c r="D3282" s="2" t="s">
        <v>10</v>
      </c>
      <c r="E3282" s="2" t="s">
        <v>16</v>
      </c>
      <c r="F3282" s="2">
        <v>1</v>
      </c>
      <c r="G3282" s="2" t="s">
        <v>17</v>
      </c>
    </row>
    <row r="3283" spans="1:7" x14ac:dyDescent="0.2">
      <c r="A3283" s="2" t="s">
        <v>4304</v>
      </c>
      <c r="B3283" s="2" t="s">
        <v>4314</v>
      </c>
      <c r="C3283" s="2" t="s">
        <v>4315</v>
      </c>
      <c r="D3283" s="2" t="s">
        <v>10</v>
      </c>
      <c r="E3283" s="2" t="s">
        <v>16</v>
      </c>
      <c r="F3283" s="2">
        <v>1</v>
      </c>
      <c r="G3283" s="2" t="s">
        <v>17</v>
      </c>
    </row>
    <row r="3284" spans="1:7" x14ac:dyDescent="0.2">
      <c r="A3284" s="2" t="s">
        <v>4304</v>
      </c>
      <c r="B3284" s="2" t="s">
        <v>4316</v>
      </c>
      <c r="C3284" s="2" t="s">
        <v>4315</v>
      </c>
      <c r="D3284" s="2" t="s">
        <v>10</v>
      </c>
      <c r="E3284" s="2" t="s">
        <v>16</v>
      </c>
      <c r="F3284" s="2">
        <v>1</v>
      </c>
      <c r="G3284" s="2" t="s">
        <v>17</v>
      </c>
    </row>
    <row r="3285" spans="1:7" x14ac:dyDescent="0.2">
      <c r="A3285" s="2" t="s">
        <v>4304</v>
      </c>
      <c r="B3285" s="2" t="s">
        <v>4317</v>
      </c>
      <c r="C3285" s="2" t="s">
        <v>4310</v>
      </c>
      <c r="D3285" s="2" t="s">
        <v>10</v>
      </c>
      <c r="E3285" s="2" t="s">
        <v>16</v>
      </c>
      <c r="F3285" s="2">
        <v>1</v>
      </c>
      <c r="G3285" s="2" t="s">
        <v>17</v>
      </c>
    </row>
    <row r="3286" spans="1:7" x14ac:dyDescent="0.2">
      <c r="A3286" s="2" t="s">
        <v>4304</v>
      </c>
      <c r="B3286" s="2" t="s">
        <v>4318</v>
      </c>
      <c r="C3286" s="2" t="s">
        <v>4310</v>
      </c>
      <c r="D3286" s="2" t="s">
        <v>10</v>
      </c>
      <c r="E3286" s="2" t="s">
        <v>16</v>
      </c>
      <c r="F3286" s="2">
        <v>1</v>
      </c>
      <c r="G3286" s="2" t="s">
        <v>17</v>
      </c>
    </row>
    <row r="3287" spans="1:7" x14ac:dyDescent="0.2">
      <c r="A3287" s="2" t="s">
        <v>4304</v>
      </c>
      <c r="B3287" s="2" t="s">
        <v>973</v>
      </c>
      <c r="C3287" s="2" t="s">
        <v>4310</v>
      </c>
      <c r="D3287" s="2" t="s">
        <v>10</v>
      </c>
      <c r="E3287" s="2" t="s">
        <v>16</v>
      </c>
      <c r="F3287" s="2">
        <v>1</v>
      </c>
      <c r="G3287" s="2" t="s">
        <v>17</v>
      </c>
    </row>
    <row r="3288" spans="1:7" x14ac:dyDescent="0.2">
      <c r="A3288" s="2" t="s">
        <v>4319</v>
      </c>
      <c r="B3288" s="2" t="s">
        <v>4314</v>
      </c>
      <c r="C3288" s="2" t="s">
        <v>4315</v>
      </c>
      <c r="D3288" s="2" t="s">
        <v>10</v>
      </c>
      <c r="E3288" s="2" t="s">
        <v>16</v>
      </c>
      <c r="F3288" s="2">
        <v>1</v>
      </c>
      <c r="G3288" s="2" t="s">
        <v>17</v>
      </c>
    </row>
    <row r="3289" spans="1:7" x14ac:dyDescent="0.2">
      <c r="A3289" s="2" t="s">
        <v>4319</v>
      </c>
      <c r="B3289" s="2" t="s">
        <v>4316</v>
      </c>
      <c r="C3289" s="2" t="s">
        <v>4315</v>
      </c>
      <c r="D3289" s="2" t="s">
        <v>10</v>
      </c>
      <c r="E3289" s="2" t="s">
        <v>16</v>
      </c>
      <c r="F3289" s="2">
        <v>1</v>
      </c>
      <c r="G3289" s="2" t="s">
        <v>17</v>
      </c>
    </row>
    <row r="3290" spans="1:7" x14ac:dyDescent="0.2">
      <c r="A3290" s="2" t="s">
        <v>4320</v>
      </c>
      <c r="B3290" s="2" t="s">
        <v>4321</v>
      </c>
      <c r="C3290" s="2" t="s">
        <v>4322</v>
      </c>
      <c r="D3290" s="2" t="s">
        <v>10</v>
      </c>
      <c r="E3290" s="2" t="s">
        <v>16</v>
      </c>
      <c r="F3290" s="2">
        <v>1</v>
      </c>
      <c r="G3290" s="2" t="s">
        <v>17</v>
      </c>
    </row>
    <row r="3291" spans="1:7" x14ac:dyDescent="0.2">
      <c r="A3291" s="2" t="s">
        <v>4320</v>
      </c>
      <c r="B3291" s="2" t="s">
        <v>4323</v>
      </c>
      <c r="C3291" s="2" t="s">
        <v>4324</v>
      </c>
      <c r="D3291" s="2" t="s">
        <v>10</v>
      </c>
      <c r="E3291" s="2" t="s">
        <v>16</v>
      </c>
      <c r="F3291" s="2">
        <v>1</v>
      </c>
      <c r="G3291" s="2" t="s">
        <v>17</v>
      </c>
    </row>
    <row r="3292" spans="1:7" x14ac:dyDescent="0.2">
      <c r="A3292" s="2" t="s">
        <v>4320</v>
      </c>
      <c r="B3292" s="2" t="s">
        <v>4325</v>
      </c>
      <c r="C3292" s="2" t="s">
        <v>4326</v>
      </c>
      <c r="D3292" s="2" t="s">
        <v>10</v>
      </c>
      <c r="E3292" s="2" t="s">
        <v>16</v>
      </c>
      <c r="F3292" s="2">
        <v>1</v>
      </c>
      <c r="G3292" s="2" t="s">
        <v>17</v>
      </c>
    </row>
    <row r="3293" spans="1:7" x14ac:dyDescent="0.2">
      <c r="A3293" s="2" t="s">
        <v>4327</v>
      </c>
      <c r="B3293" s="2" t="s">
        <v>4328</v>
      </c>
      <c r="C3293" s="2" t="s">
        <v>4329</v>
      </c>
      <c r="D3293" s="2" t="s">
        <v>10</v>
      </c>
      <c r="E3293" s="2" t="s">
        <v>16</v>
      </c>
      <c r="F3293" s="2">
        <v>1</v>
      </c>
      <c r="G3293" s="2" t="s">
        <v>17</v>
      </c>
    </row>
    <row r="3294" spans="1:7" x14ac:dyDescent="0.2">
      <c r="A3294" s="2" t="s">
        <v>4327</v>
      </c>
      <c r="B3294" s="2" t="s">
        <v>4330</v>
      </c>
      <c r="C3294" s="2" t="s">
        <v>4331</v>
      </c>
      <c r="D3294" s="2" t="s">
        <v>10</v>
      </c>
      <c r="E3294" s="2" t="s">
        <v>16</v>
      </c>
      <c r="F3294" s="2">
        <v>1</v>
      </c>
      <c r="G3294" s="2" t="s">
        <v>17</v>
      </c>
    </row>
    <row r="3295" spans="1:7" x14ac:dyDescent="0.2">
      <c r="A3295" s="2" t="s">
        <v>4327</v>
      </c>
      <c r="B3295" s="2" t="s">
        <v>4332</v>
      </c>
      <c r="C3295" s="2" t="s">
        <v>4329</v>
      </c>
      <c r="D3295" s="2" t="s">
        <v>10</v>
      </c>
      <c r="E3295" s="2" t="s">
        <v>16</v>
      </c>
      <c r="F3295" s="2">
        <v>1</v>
      </c>
      <c r="G3295" s="2" t="s">
        <v>17</v>
      </c>
    </row>
    <row r="3296" spans="1:7" x14ac:dyDescent="0.2">
      <c r="A3296" s="2" t="s">
        <v>4327</v>
      </c>
      <c r="B3296" s="2" t="s">
        <v>4333</v>
      </c>
      <c r="C3296" s="2" t="s">
        <v>4331</v>
      </c>
      <c r="D3296" s="2" t="s">
        <v>10</v>
      </c>
      <c r="E3296" s="2" t="s">
        <v>16</v>
      </c>
      <c r="F3296" s="2">
        <v>1</v>
      </c>
      <c r="G3296" s="2" t="s">
        <v>17</v>
      </c>
    </row>
    <row r="3297" spans="1:7" x14ac:dyDescent="0.2">
      <c r="A3297" s="2" t="s">
        <v>4334</v>
      </c>
      <c r="B3297" s="2" t="s">
        <v>1495</v>
      </c>
      <c r="C3297" s="2" t="s">
        <v>1496</v>
      </c>
      <c r="D3297" s="2" t="s">
        <v>10</v>
      </c>
      <c r="E3297" s="2" t="s">
        <v>16</v>
      </c>
      <c r="F3297" s="2">
        <v>1</v>
      </c>
      <c r="G3297" s="2" t="s">
        <v>17</v>
      </c>
    </row>
    <row r="3298" spans="1:7" x14ac:dyDescent="0.2">
      <c r="A3298" s="2" t="s">
        <v>4334</v>
      </c>
      <c r="B3298" s="2" t="s">
        <v>4335</v>
      </c>
      <c r="C3298" s="2" t="s">
        <v>358</v>
      </c>
      <c r="D3298" s="2" t="s">
        <v>10</v>
      </c>
      <c r="E3298" s="2" t="s">
        <v>16</v>
      </c>
      <c r="F3298" s="2">
        <v>1</v>
      </c>
      <c r="G3298" s="2" t="s">
        <v>17</v>
      </c>
    </row>
    <row r="3299" spans="1:7" x14ac:dyDescent="0.2">
      <c r="A3299" s="2" t="s">
        <v>4334</v>
      </c>
      <c r="B3299" s="2" t="s">
        <v>4336</v>
      </c>
      <c r="C3299" s="2" t="s">
        <v>4337</v>
      </c>
      <c r="D3299" s="2" t="s">
        <v>10</v>
      </c>
      <c r="E3299" s="2" t="s">
        <v>16</v>
      </c>
      <c r="F3299" s="2">
        <v>1</v>
      </c>
      <c r="G3299" s="2" t="s">
        <v>17</v>
      </c>
    </row>
    <row r="3300" spans="1:7" x14ac:dyDescent="0.2">
      <c r="A3300" s="2" t="s">
        <v>4334</v>
      </c>
      <c r="B3300" s="2" t="s">
        <v>4257</v>
      </c>
      <c r="C3300" s="2" t="s">
        <v>4258</v>
      </c>
      <c r="D3300" s="2" t="s">
        <v>29</v>
      </c>
      <c r="E3300" s="2" t="s">
        <v>16</v>
      </c>
      <c r="F3300" s="2">
        <v>1</v>
      </c>
      <c r="G3300" s="2" t="s">
        <v>17</v>
      </c>
    </row>
    <row r="3301" spans="1:7" x14ac:dyDescent="0.2">
      <c r="A3301" s="2" t="s">
        <v>4334</v>
      </c>
      <c r="B3301" s="2" t="s">
        <v>4259</v>
      </c>
      <c r="C3301" s="2" t="s">
        <v>4260</v>
      </c>
      <c r="D3301" s="2" t="s">
        <v>10</v>
      </c>
      <c r="E3301" s="2" t="s">
        <v>16</v>
      </c>
      <c r="F3301" s="2">
        <v>1</v>
      </c>
      <c r="G3301" s="2" t="s">
        <v>17</v>
      </c>
    </row>
    <row r="3302" spans="1:7" x14ac:dyDescent="0.2">
      <c r="A3302" s="2" t="s">
        <v>4334</v>
      </c>
      <c r="B3302" s="2" t="s">
        <v>4256</v>
      </c>
      <c r="C3302" s="2" t="s">
        <v>3240</v>
      </c>
      <c r="D3302" s="2" t="s">
        <v>10</v>
      </c>
      <c r="E3302" s="2" t="s">
        <v>16</v>
      </c>
      <c r="F3302" s="2">
        <v>1</v>
      </c>
      <c r="G3302" s="2" t="s">
        <v>17</v>
      </c>
    </row>
    <row r="3303" spans="1:7" x14ac:dyDescent="0.2">
      <c r="A3303" s="2" t="s">
        <v>4334</v>
      </c>
      <c r="B3303" s="2" t="s">
        <v>4338</v>
      </c>
      <c r="C3303" s="2" t="s">
        <v>358</v>
      </c>
      <c r="D3303" s="2" t="s">
        <v>10</v>
      </c>
      <c r="E3303" s="2" t="s">
        <v>16</v>
      </c>
      <c r="F3303" s="2">
        <v>1</v>
      </c>
      <c r="G3303" s="2" t="s">
        <v>17</v>
      </c>
    </row>
    <row r="3304" spans="1:7" x14ac:dyDescent="0.2">
      <c r="A3304" s="2" t="s">
        <v>4334</v>
      </c>
      <c r="B3304" s="2" t="s">
        <v>4339</v>
      </c>
      <c r="C3304" s="2" t="s">
        <v>4337</v>
      </c>
      <c r="D3304" s="2" t="s">
        <v>10</v>
      </c>
      <c r="E3304" s="2" t="s">
        <v>16</v>
      </c>
      <c r="F3304" s="2">
        <v>1</v>
      </c>
      <c r="G3304" s="2" t="s">
        <v>17</v>
      </c>
    </row>
    <row r="3305" spans="1:7" x14ac:dyDescent="0.2">
      <c r="A3305" s="2" t="s">
        <v>4334</v>
      </c>
      <c r="B3305" s="2" t="s">
        <v>4340</v>
      </c>
      <c r="C3305" s="2" t="s">
        <v>1496</v>
      </c>
      <c r="D3305" s="2" t="s">
        <v>10</v>
      </c>
      <c r="E3305" s="2" t="s">
        <v>16</v>
      </c>
      <c r="F3305" s="2">
        <v>1</v>
      </c>
      <c r="G3305" s="2" t="s">
        <v>17</v>
      </c>
    </row>
    <row r="3306" spans="1:7" x14ac:dyDescent="0.2">
      <c r="A3306" s="2" t="s">
        <v>4341</v>
      </c>
      <c r="B3306" s="2" t="s">
        <v>4342</v>
      </c>
      <c r="C3306" s="2" t="s">
        <v>4343</v>
      </c>
      <c r="D3306" s="2" t="s">
        <v>10</v>
      </c>
      <c r="E3306" s="2" t="s">
        <v>16</v>
      </c>
      <c r="F3306" s="2">
        <v>1</v>
      </c>
      <c r="G3306" s="2" t="s">
        <v>17</v>
      </c>
    </row>
    <row r="3307" spans="1:7" x14ac:dyDescent="0.2">
      <c r="A3307" s="2" t="s">
        <v>4341</v>
      </c>
      <c r="B3307" s="2" t="s">
        <v>4344</v>
      </c>
      <c r="C3307" s="2" t="s">
        <v>4345</v>
      </c>
      <c r="D3307" s="2" t="s">
        <v>10</v>
      </c>
      <c r="E3307" s="2" t="s">
        <v>16</v>
      </c>
      <c r="F3307" s="2">
        <v>1</v>
      </c>
      <c r="G3307" s="2" t="s">
        <v>17</v>
      </c>
    </row>
    <row r="3308" spans="1:7" x14ac:dyDescent="0.2">
      <c r="A3308" s="2" t="s">
        <v>4341</v>
      </c>
      <c r="B3308" s="2" t="s">
        <v>4346</v>
      </c>
      <c r="C3308" s="2" t="s">
        <v>4345</v>
      </c>
      <c r="D3308" s="2" t="s">
        <v>10</v>
      </c>
      <c r="E3308" s="2" t="s">
        <v>16</v>
      </c>
      <c r="F3308" s="2">
        <v>1</v>
      </c>
      <c r="G3308" s="2" t="s">
        <v>17</v>
      </c>
    </row>
    <row r="3309" spans="1:7" x14ac:dyDescent="0.2">
      <c r="A3309" s="2" t="s">
        <v>4341</v>
      </c>
      <c r="B3309" s="2" t="s">
        <v>4347</v>
      </c>
      <c r="C3309" s="2" t="s">
        <v>4345</v>
      </c>
      <c r="D3309" s="2" t="s">
        <v>10</v>
      </c>
      <c r="E3309" s="2" t="s">
        <v>16</v>
      </c>
      <c r="F3309" s="2">
        <v>1</v>
      </c>
      <c r="G3309" s="2" t="s">
        <v>17</v>
      </c>
    </row>
    <row r="3310" spans="1:7" x14ac:dyDescent="0.2">
      <c r="A3310" s="2" t="s">
        <v>4341</v>
      </c>
      <c r="B3310" s="2" t="s">
        <v>4348</v>
      </c>
      <c r="C3310" s="2" t="s">
        <v>4345</v>
      </c>
      <c r="D3310" s="2" t="s">
        <v>10</v>
      </c>
      <c r="E3310" s="2" t="s">
        <v>16</v>
      </c>
      <c r="F3310" s="2">
        <v>1</v>
      </c>
      <c r="G3310" s="2" t="s">
        <v>17</v>
      </c>
    </row>
    <row r="3311" spans="1:7" x14ac:dyDescent="0.2">
      <c r="A3311" s="2" t="s">
        <v>4341</v>
      </c>
      <c r="B3311" s="2" t="s">
        <v>4349</v>
      </c>
      <c r="C3311" s="2" t="s">
        <v>4343</v>
      </c>
      <c r="D3311" s="2" t="s">
        <v>10</v>
      </c>
      <c r="E3311" s="2" t="s">
        <v>16</v>
      </c>
      <c r="F3311" s="2">
        <v>1</v>
      </c>
      <c r="G3311" s="2" t="s">
        <v>17</v>
      </c>
    </row>
    <row r="3312" spans="1:7" x14ac:dyDescent="0.2">
      <c r="A3312" s="2" t="s">
        <v>4350</v>
      </c>
      <c r="B3312" s="2" t="s">
        <v>4351</v>
      </c>
      <c r="C3312" s="2" t="s">
        <v>4352</v>
      </c>
      <c r="D3312" s="2" t="s">
        <v>10</v>
      </c>
      <c r="E3312" s="2" t="s">
        <v>16</v>
      </c>
      <c r="F3312" s="2">
        <v>1</v>
      </c>
      <c r="G3312" s="2" t="s">
        <v>17</v>
      </c>
    </row>
    <row r="3313" spans="1:7" x14ac:dyDescent="0.2">
      <c r="A3313" s="2" t="s">
        <v>4353</v>
      </c>
      <c r="B3313" s="2" t="s">
        <v>4354</v>
      </c>
      <c r="C3313" s="2" t="s">
        <v>4355</v>
      </c>
      <c r="D3313" s="2" t="s">
        <v>10</v>
      </c>
      <c r="E3313" s="2" t="s">
        <v>52</v>
      </c>
      <c r="F3313" s="2">
        <v>1</v>
      </c>
      <c r="G3313" s="2" t="s">
        <v>17</v>
      </c>
    </row>
    <row r="3314" spans="1:7" x14ac:dyDescent="0.2">
      <c r="A3314" s="2" t="s">
        <v>4353</v>
      </c>
      <c r="B3314" s="2" t="s">
        <v>4356</v>
      </c>
      <c r="C3314" s="2" t="s">
        <v>4355</v>
      </c>
      <c r="D3314" s="2" t="s">
        <v>10</v>
      </c>
      <c r="E3314" s="2" t="s">
        <v>52</v>
      </c>
      <c r="F3314" s="2">
        <v>1</v>
      </c>
      <c r="G3314" s="2" t="s">
        <v>17</v>
      </c>
    </row>
    <row r="3315" spans="1:7" x14ac:dyDescent="0.2">
      <c r="A3315" s="2" t="s">
        <v>4353</v>
      </c>
      <c r="B3315" s="2" t="s">
        <v>4357</v>
      </c>
      <c r="C3315" s="2" t="s">
        <v>4355</v>
      </c>
      <c r="D3315" s="2" t="s">
        <v>10</v>
      </c>
      <c r="E3315" s="2" t="s">
        <v>52</v>
      </c>
      <c r="F3315" s="2">
        <v>1</v>
      </c>
      <c r="G3315" s="2" t="s">
        <v>17</v>
      </c>
    </row>
    <row r="3316" spans="1:7" x14ac:dyDescent="0.2">
      <c r="A3316" s="2" t="s">
        <v>4358</v>
      </c>
      <c r="B3316" s="2" t="s">
        <v>4359</v>
      </c>
      <c r="C3316" s="2" t="s">
        <v>4360</v>
      </c>
      <c r="D3316" s="2" t="s">
        <v>10</v>
      </c>
      <c r="E3316" s="2" t="s">
        <v>52</v>
      </c>
      <c r="F3316" s="2">
        <v>1</v>
      </c>
      <c r="G3316" s="2" t="s">
        <v>17</v>
      </c>
    </row>
    <row r="3317" spans="1:7" x14ac:dyDescent="0.2">
      <c r="A3317" s="2" t="s">
        <v>4358</v>
      </c>
      <c r="B3317" s="2" t="s">
        <v>4361</v>
      </c>
      <c r="C3317" s="2" t="s">
        <v>4360</v>
      </c>
      <c r="D3317" s="2" t="s">
        <v>10</v>
      </c>
      <c r="E3317" s="2" t="s">
        <v>52</v>
      </c>
      <c r="F3317" s="2">
        <v>1</v>
      </c>
      <c r="G3317" s="2" t="s">
        <v>17</v>
      </c>
    </row>
    <row r="3318" spans="1:7" x14ac:dyDescent="0.2">
      <c r="A3318" s="2" t="s">
        <v>4358</v>
      </c>
      <c r="B3318" s="2" t="s">
        <v>4362</v>
      </c>
      <c r="C3318" s="2" t="s">
        <v>4360</v>
      </c>
      <c r="D3318" s="2" t="s">
        <v>10</v>
      </c>
      <c r="E3318" s="2" t="s">
        <v>52</v>
      </c>
      <c r="F3318" s="2">
        <v>1</v>
      </c>
      <c r="G3318" s="2" t="s">
        <v>17</v>
      </c>
    </row>
    <row r="3319" spans="1:7" x14ac:dyDescent="0.2">
      <c r="A3319" s="2" t="s">
        <v>4358</v>
      </c>
      <c r="B3319" s="2" t="s">
        <v>4363</v>
      </c>
      <c r="C3319" s="2" t="s">
        <v>4360</v>
      </c>
      <c r="D3319" s="2" t="s">
        <v>10</v>
      </c>
      <c r="E3319" s="2" t="s">
        <v>52</v>
      </c>
      <c r="F3319" s="2">
        <v>1</v>
      </c>
      <c r="G3319" s="2" t="s">
        <v>17</v>
      </c>
    </row>
    <row r="3320" spans="1:7" x14ac:dyDescent="0.2">
      <c r="A3320" s="2" t="s">
        <v>4358</v>
      </c>
      <c r="B3320" s="2" t="s">
        <v>4364</v>
      </c>
      <c r="C3320" s="2" t="s">
        <v>4360</v>
      </c>
      <c r="D3320" s="2" t="s">
        <v>10</v>
      </c>
      <c r="E3320" s="2" t="s">
        <v>52</v>
      </c>
      <c r="F3320" s="2">
        <v>1</v>
      </c>
      <c r="G3320" s="2" t="s">
        <v>17</v>
      </c>
    </row>
    <row r="3321" spans="1:7" x14ac:dyDescent="0.2">
      <c r="A3321" s="2" t="s">
        <v>4358</v>
      </c>
      <c r="B3321" s="2" t="s">
        <v>4365</v>
      </c>
      <c r="C3321" s="2" t="s">
        <v>4360</v>
      </c>
      <c r="D3321" s="2" t="s">
        <v>10</v>
      </c>
      <c r="E3321" s="2" t="s">
        <v>52</v>
      </c>
      <c r="F3321" s="2">
        <v>1</v>
      </c>
      <c r="G3321" s="2" t="s">
        <v>17</v>
      </c>
    </row>
    <row r="3322" spans="1:7" x14ac:dyDescent="0.2">
      <c r="A3322" s="2" t="s">
        <v>4358</v>
      </c>
      <c r="B3322" s="2" t="s">
        <v>4366</v>
      </c>
      <c r="C3322" s="2" t="s">
        <v>4367</v>
      </c>
      <c r="D3322" s="2" t="s">
        <v>10</v>
      </c>
      <c r="E3322" s="2" t="s">
        <v>52</v>
      </c>
      <c r="F3322" s="2">
        <v>1</v>
      </c>
      <c r="G3322" s="2" t="s">
        <v>17</v>
      </c>
    </row>
    <row r="3323" spans="1:7" x14ac:dyDescent="0.2">
      <c r="A3323" s="2" t="s">
        <v>4358</v>
      </c>
      <c r="B3323" s="2" t="s">
        <v>4368</v>
      </c>
      <c r="C3323" s="2" t="s">
        <v>4369</v>
      </c>
      <c r="D3323" s="2" t="s">
        <v>10</v>
      </c>
      <c r="E3323" s="2" t="s">
        <v>52</v>
      </c>
      <c r="F3323" s="2">
        <v>1</v>
      </c>
      <c r="G3323" s="2" t="s">
        <v>17</v>
      </c>
    </row>
    <row r="3324" spans="1:7" x14ac:dyDescent="0.2">
      <c r="A3324" s="2" t="s">
        <v>4370</v>
      </c>
      <c r="B3324" s="2" t="s">
        <v>4371</v>
      </c>
      <c r="C3324" s="2" t="s">
        <v>4372</v>
      </c>
      <c r="D3324" s="2" t="s">
        <v>10</v>
      </c>
      <c r="E3324" s="2" t="s">
        <v>16</v>
      </c>
      <c r="F3324" s="2">
        <v>1</v>
      </c>
      <c r="G3324" s="2" t="s">
        <v>17</v>
      </c>
    </row>
    <row r="3325" spans="1:7" x14ac:dyDescent="0.2">
      <c r="A3325" s="2" t="s">
        <v>4370</v>
      </c>
      <c r="B3325" s="2" t="s">
        <v>4373</v>
      </c>
      <c r="C3325" s="2" t="s">
        <v>4374</v>
      </c>
      <c r="D3325" s="2" t="s">
        <v>10</v>
      </c>
      <c r="E3325" s="2" t="s">
        <v>16</v>
      </c>
      <c r="F3325" s="2">
        <v>1</v>
      </c>
      <c r="G3325" s="2" t="s">
        <v>17</v>
      </c>
    </row>
    <row r="3326" spans="1:7" x14ac:dyDescent="0.2">
      <c r="A3326" s="2" t="s">
        <v>4370</v>
      </c>
      <c r="B3326" s="2" t="s">
        <v>414</v>
      </c>
      <c r="C3326" s="2" t="s">
        <v>4374</v>
      </c>
      <c r="D3326" s="2" t="s">
        <v>10</v>
      </c>
      <c r="E3326" s="2" t="s">
        <v>16</v>
      </c>
      <c r="F3326" s="2">
        <v>1</v>
      </c>
      <c r="G3326" s="2" t="s">
        <v>17</v>
      </c>
    </row>
    <row r="3327" spans="1:7" x14ac:dyDescent="0.2">
      <c r="A3327" s="2" t="s">
        <v>4370</v>
      </c>
      <c r="B3327" s="2" t="s">
        <v>4375</v>
      </c>
      <c r="C3327" s="2" t="s">
        <v>4372</v>
      </c>
      <c r="D3327" s="2" t="s">
        <v>10</v>
      </c>
      <c r="E3327" s="2" t="s">
        <v>16</v>
      </c>
      <c r="F3327" s="2">
        <v>1</v>
      </c>
      <c r="G3327" s="2" t="s">
        <v>17</v>
      </c>
    </row>
    <row r="3328" spans="1:7" x14ac:dyDescent="0.2">
      <c r="A3328" s="2" t="s">
        <v>4376</v>
      </c>
      <c r="B3328" s="2" t="s">
        <v>4377</v>
      </c>
      <c r="C3328" s="2" t="s">
        <v>4378</v>
      </c>
      <c r="D3328" s="2" t="s">
        <v>10</v>
      </c>
      <c r="E3328" s="2" t="s">
        <v>16</v>
      </c>
      <c r="F3328" s="2">
        <v>1</v>
      </c>
      <c r="G3328" s="2" t="s">
        <v>17</v>
      </c>
    </row>
    <row r="3329" spans="1:7" x14ac:dyDescent="0.2">
      <c r="A3329" s="2" t="s">
        <v>4376</v>
      </c>
      <c r="B3329" s="2" t="s">
        <v>4379</v>
      </c>
      <c r="C3329" s="2" t="s">
        <v>4378</v>
      </c>
      <c r="D3329" s="2" t="s">
        <v>10</v>
      </c>
      <c r="E3329" s="2" t="s">
        <v>16</v>
      </c>
      <c r="F3329" s="2">
        <v>1</v>
      </c>
      <c r="G3329" s="2" t="s">
        <v>17</v>
      </c>
    </row>
    <row r="3330" spans="1:7" x14ac:dyDescent="0.2">
      <c r="A3330" s="2" t="s">
        <v>4376</v>
      </c>
      <c r="B3330" s="2" t="s">
        <v>4380</v>
      </c>
      <c r="C3330" s="2" t="s">
        <v>4378</v>
      </c>
      <c r="D3330" s="2" t="s">
        <v>10</v>
      </c>
      <c r="E3330" s="2" t="s">
        <v>16</v>
      </c>
      <c r="F3330" s="2">
        <v>1</v>
      </c>
      <c r="G3330" s="2" t="s">
        <v>17</v>
      </c>
    </row>
    <row r="3331" spans="1:7" x14ac:dyDescent="0.2">
      <c r="A3331" s="2" t="s">
        <v>4381</v>
      </c>
      <c r="B3331" s="2" t="s">
        <v>4382</v>
      </c>
      <c r="C3331" s="2" t="s">
        <v>4383</v>
      </c>
      <c r="D3331" s="2" t="s">
        <v>10</v>
      </c>
      <c r="E3331" s="2" t="s">
        <v>16</v>
      </c>
      <c r="F3331" s="2">
        <v>1</v>
      </c>
      <c r="G3331" s="2" t="s">
        <v>17</v>
      </c>
    </row>
    <row r="3332" spans="1:7" x14ac:dyDescent="0.2">
      <c r="A3332" s="2" t="s">
        <v>4381</v>
      </c>
      <c r="B3332" s="2" t="s">
        <v>4384</v>
      </c>
      <c r="C3332" s="2" t="s">
        <v>4383</v>
      </c>
      <c r="D3332" s="2" t="s">
        <v>10</v>
      </c>
      <c r="E3332" s="2" t="s">
        <v>16</v>
      </c>
      <c r="F3332" s="2">
        <v>1</v>
      </c>
      <c r="G3332" s="2" t="s">
        <v>17</v>
      </c>
    </row>
    <row r="3333" spans="1:7" x14ac:dyDescent="0.2">
      <c r="A3333" s="2" t="s">
        <v>4385</v>
      </c>
      <c r="B3333" s="2" t="s">
        <v>4386</v>
      </c>
      <c r="C3333" s="2" t="s">
        <v>1672</v>
      </c>
      <c r="D3333" s="2" t="s">
        <v>10</v>
      </c>
      <c r="E3333" s="2" t="s">
        <v>16</v>
      </c>
      <c r="F3333" s="2">
        <v>1</v>
      </c>
      <c r="G3333" s="2" t="s">
        <v>17</v>
      </c>
    </row>
    <row r="3334" spans="1:7" x14ac:dyDescent="0.2">
      <c r="A3334" s="2" t="s">
        <v>4385</v>
      </c>
      <c r="B3334" s="2" t="s">
        <v>4387</v>
      </c>
      <c r="C3334" s="2" t="s">
        <v>1672</v>
      </c>
      <c r="D3334" s="2" t="s">
        <v>10</v>
      </c>
      <c r="E3334" s="2" t="s">
        <v>16</v>
      </c>
      <c r="F3334" s="2">
        <v>1</v>
      </c>
      <c r="G3334" s="2" t="s">
        <v>17</v>
      </c>
    </row>
    <row r="3335" spans="1:7" x14ac:dyDescent="0.2">
      <c r="A3335" s="2" t="s">
        <v>4385</v>
      </c>
      <c r="B3335" s="2" t="s">
        <v>4388</v>
      </c>
      <c r="C3335" s="2" t="s">
        <v>1672</v>
      </c>
      <c r="D3335" s="2" t="s">
        <v>10</v>
      </c>
      <c r="E3335" s="2" t="s">
        <v>16</v>
      </c>
      <c r="F3335" s="2">
        <v>1</v>
      </c>
      <c r="G3335" s="2" t="s">
        <v>17</v>
      </c>
    </row>
    <row r="3336" spans="1:7" x14ac:dyDescent="0.2">
      <c r="A3336" s="2" t="s">
        <v>4389</v>
      </c>
      <c r="B3336" s="2" t="s">
        <v>1393</v>
      </c>
      <c r="C3336" s="2" t="s">
        <v>1394</v>
      </c>
      <c r="D3336" s="2" t="s">
        <v>10</v>
      </c>
      <c r="E3336" s="2" t="s">
        <v>11</v>
      </c>
      <c r="F3336" s="2">
        <v>2</v>
      </c>
      <c r="G3336" s="2" t="s">
        <v>12</v>
      </c>
    </row>
    <row r="3337" spans="1:7" x14ac:dyDescent="0.2">
      <c r="A3337" s="2" t="s">
        <v>4389</v>
      </c>
      <c r="B3337" s="2" t="s">
        <v>1398</v>
      </c>
      <c r="C3337" s="2" t="s">
        <v>1394</v>
      </c>
      <c r="D3337" s="2" t="s">
        <v>10</v>
      </c>
      <c r="E3337" s="2" t="s">
        <v>11</v>
      </c>
      <c r="F3337" s="2">
        <v>2</v>
      </c>
      <c r="G3337" s="2" t="s">
        <v>12</v>
      </c>
    </row>
    <row r="3338" spans="1:7" x14ac:dyDescent="0.2">
      <c r="A3338" s="2" t="s">
        <v>4390</v>
      </c>
      <c r="B3338" s="2" t="s">
        <v>3075</v>
      </c>
      <c r="C3338" s="2" t="s">
        <v>3076</v>
      </c>
      <c r="D3338" s="2" t="s">
        <v>10</v>
      </c>
      <c r="E3338" s="2" t="s">
        <v>52</v>
      </c>
      <c r="F3338" s="2">
        <v>2</v>
      </c>
      <c r="G3338" s="2" t="s">
        <v>12</v>
      </c>
    </row>
    <row r="3339" spans="1:7" x14ac:dyDescent="0.2">
      <c r="A3339" s="2" t="s">
        <v>4390</v>
      </c>
      <c r="B3339" s="2" t="s">
        <v>3078</v>
      </c>
      <c r="C3339" s="2" t="s">
        <v>3076</v>
      </c>
      <c r="D3339" s="2" t="s">
        <v>10</v>
      </c>
      <c r="E3339" s="2" t="s">
        <v>52</v>
      </c>
      <c r="F3339" s="2">
        <v>2</v>
      </c>
      <c r="G3339" s="2" t="s">
        <v>12</v>
      </c>
    </row>
    <row r="3340" spans="1:7" x14ac:dyDescent="0.2">
      <c r="A3340" s="2" t="s">
        <v>4390</v>
      </c>
      <c r="B3340" s="2" t="s">
        <v>4391</v>
      </c>
      <c r="C3340" s="2" t="s">
        <v>3076</v>
      </c>
      <c r="D3340" s="2" t="s">
        <v>10</v>
      </c>
      <c r="E3340" s="2" t="s">
        <v>52</v>
      </c>
      <c r="F3340" s="2">
        <v>2</v>
      </c>
      <c r="G3340" s="2" t="s">
        <v>12</v>
      </c>
    </row>
    <row r="3341" spans="1:7" x14ac:dyDescent="0.2">
      <c r="A3341" s="2" t="s">
        <v>4390</v>
      </c>
      <c r="B3341" s="2" t="s">
        <v>4392</v>
      </c>
      <c r="C3341" s="2" t="s">
        <v>4393</v>
      </c>
      <c r="D3341" s="2" t="s">
        <v>10</v>
      </c>
      <c r="E3341" s="2" t="s">
        <v>11</v>
      </c>
      <c r="F3341" s="2">
        <v>1</v>
      </c>
      <c r="G3341" s="2" t="s">
        <v>12</v>
      </c>
    </row>
    <row r="3342" spans="1:7" x14ac:dyDescent="0.2">
      <c r="A3342" s="2" t="s">
        <v>4390</v>
      </c>
      <c r="B3342" s="2" t="s">
        <v>4394</v>
      </c>
      <c r="C3342" s="2" t="s">
        <v>1758</v>
      </c>
      <c r="D3342" s="2" t="s">
        <v>10</v>
      </c>
      <c r="E3342" s="2" t="s">
        <v>11</v>
      </c>
      <c r="F3342" s="2">
        <v>1</v>
      </c>
      <c r="G3342" s="2" t="s">
        <v>12</v>
      </c>
    </row>
    <row r="3343" spans="1:7" x14ac:dyDescent="0.2">
      <c r="A3343" s="2" t="s">
        <v>4390</v>
      </c>
      <c r="B3343" s="2" t="s">
        <v>4395</v>
      </c>
      <c r="C3343" s="2" t="s">
        <v>4396</v>
      </c>
      <c r="D3343" s="2" t="s">
        <v>10</v>
      </c>
      <c r="E3343" s="2" t="s">
        <v>11</v>
      </c>
      <c r="F3343" s="2">
        <v>3</v>
      </c>
      <c r="G3343" s="2" t="s">
        <v>12</v>
      </c>
    </row>
    <row r="3344" spans="1:7" x14ac:dyDescent="0.2">
      <c r="A3344" s="2" t="s">
        <v>4390</v>
      </c>
      <c r="B3344" s="2" t="s">
        <v>4397</v>
      </c>
      <c r="C3344" s="2" t="s">
        <v>4398</v>
      </c>
      <c r="D3344" s="2" t="s">
        <v>10</v>
      </c>
      <c r="E3344" s="2" t="s">
        <v>11</v>
      </c>
      <c r="F3344" s="2">
        <v>2</v>
      </c>
      <c r="G3344" s="2" t="s">
        <v>12</v>
      </c>
    </row>
    <row r="3345" spans="1:7" x14ac:dyDescent="0.2">
      <c r="A3345" s="2" t="s">
        <v>4390</v>
      </c>
      <c r="B3345" s="2" t="s">
        <v>4399</v>
      </c>
      <c r="C3345" s="2" t="s">
        <v>4400</v>
      </c>
      <c r="D3345" s="2" t="s">
        <v>10</v>
      </c>
      <c r="E3345" s="2" t="s">
        <v>11</v>
      </c>
      <c r="F3345" s="2">
        <v>2</v>
      </c>
      <c r="G3345" s="2" t="s">
        <v>12</v>
      </c>
    </row>
    <row r="3346" spans="1:7" x14ac:dyDescent="0.2">
      <c r="A3346" s="2" t="s">
        <v>4390</v>
      </c>
      <c r="B3346" s="2" t="s">
        <v>4401</v>
      </c>
      <c r="C3346" s="2" t="s">
        <v>4402</v>
      </c>
      <c r="D3346" s="2" t="s">
        <v>10</v>
      </c>
      <c r="E3346" s="2" t="s">
        <v>11</v>
      </c>
      <c r="F3346" s="2">
        <v>3</v>
      </c>
      <c r="G3346" s="2" t="s">
        <v>12</v>
      </c>
    </row>
    <row r="3347" spans="1:7" x14ac:dyDescent="0.2">
      <c r="A3347" s="2" t="s">
        <v>4390</v>
      </c>
      <c r="B3347" s="2" t="s">
        <v>4403</v>
      </c>
      <c r="C3347" s="2" t="s">
        <v>4398</v>
      </c>
      <c r="D3347" s="2" t="s">
        <v>10</v>
      </c>
      <c r="E3347" s="2" t="s">
        <v>11</v>
      </c>
      <c r="F3347" s="2">
        <v>2</v>
      </c>
      <c r="G3347" s="2" t="s">
        <v>12</v>
      </c>
    </row>
    <row r="3348" spans="1:7" x14ac:dyDescent="0.2">
      <c r="A3348" s="2" t="s">
        <v>4390</v>
      </c>
      <c r="B3348" s="2" t="s">
        <v>4404</v>
      </c>
      <c r="C3348" s="2" t="s">
        <v>4400</v>
      </c>
      <c r="D3348" s="2" t="s">
        <v>10</v>
      </c>
      <c r="E3348" s="2" t="s">
        <v>11</v>
      </c>
      <c r="F3348" s="2">
        <v>2</v>
      </c>
      <c r="G3348" s="2" t="s">
        <v>12</v>
      </c>
    </row>
    <row r="3349" spans="1:7" x14ac:dyDescent="0.2">
      <c r="A3349" s="2" t="s">
        <v>4390</v>
      </c>
      <c r="B3349" s="2" t="s">
        <v>4405</v>
      </c>
      <c r="C3349" s="2" t="s">
        <v>4406</v>
      </c>
      <c r="D3349" s="2" t="s">
        <v>10</v>
      </c>
      <c r="E3349" s="2" t="s">
        <v>11</v>
      </c>
      <c r="F3349" s="2">
        <v>3</v>
      </c>
      <c r="G3349" s="2" t="s">
        <v>12</v>
      </c>
    </row>
    <row r="3350" spans="1:7" x14ac:dyDescent="0.2">
      <c r="A3350" s="2" t="s">
        <v>4390</v>
      </c>
      <c r="B3350" s="2" t="s">
        <v>4407</v>
      </c>
      <c r="C3350" s="2" t="s">
        <v>4408</v>
      </c>
      <c r="D3350" s="2" t="s">
        <v>10</v>
      </c>
      <c r="E3350" s="2" t="s">
        <v>11</v>
      </c>
      <c r="F3350" s="2">
        <v>2</v>
      </c>
      <c r="G3350" s="2" t="s">
        <v>12</v>
      </c>
    </row>
    <row r="3351" spans="1:7" x14ac:dyDescent="0.2">
      <c r="A3351" s="2" t="s">
        <v>4390</v>
      </c>
      <c r="B3351" s="2" t="s">
        <v>4409</v>
      </c>
      <c r="C3351" s="2" t="s">
        <v>4410</v>
      </c>
      <c r="D3351" s="2" t="s">
        <v>10</v>
      </c>
      <c r="E3351" s="2" t="s">
        <v>16</v>
      </c>
      <c r="F3351" s="2">
        <v>2</v>
      </c>
      <c r="G3351" s="2" t="s">
        <v>17</v>
      </c>
    </row>
    <row r="3352" spans="1:7" x14ac:dyDescent="0.2">
      <c r="A3352" s="2" t="s">
        <v>4390</v>
      </c>
      <c r="B3352" s="2" t="s">
        <v>4411</v>
      </c>
      <c r="C3352" s="2" t="s">
        <v>4400</v>
      </c>
      <c r="D3352" s="2" t="s">
        <v>10</v>
      </c>
      <c r="E3352" s="2" t="s">
        <v>11</v>
      </c>
      <c r="F3352" s="2">
        <v>2</v>
      </c>
      <c r="G3352" s="2" t="s">
        <v>12</v>
      </c>
    </row>
    <row r="3353" spans="1:7" x14ac:dyDescent="0.2">
      <c r="A3353" s="2" t="s">
        <v>4390</v>
      </c>
      <c r="B3353" s="2" t="s">
        <v>4412</v>
      </c>
      <c r="C3353" s="2" t="s">
        <v>4400</v>
      </c>
      <c r="D3353" s="2" t="s">
        <v>10</v>
      </c>
      <c r="E3353" s="2" t="s">
        <v>11</v>
      </c>
      <c r="F3353" s="2">
        <v>2</v>
      </c>
      <c r="G3353" s="2" t="s">
        <v>12</v>
      </c>
    </row>
    <row r="3354" spans="1:7" x14ac:dyDescent="0.2">
      <c r="A3354" s="2" t="s">
        <v>4390</v>
      </c>
      <c r="B3354" s="2" t="s">
        <v>4413</v>
      </c>
      <c r="C3354" s="2" t="s">
        <v>4400</v>
      </c>
      <c r="D3354" s="2" t="s">
        <v>10</v>
      </c>
      <c r="E3354" s="2" t="s">
        <v>11</v>
      </c>
      <c r="F3354" s="2">
        <v>2</v>
      </c>
      <c r="G3354" s="2" t="s">
        <v>12</v>
      </c>
    </row>
    <row r="3355" spans="1:7" x14ac:dyDescent="0.2">
      <c r="A3355" s="2" t="s">
        <v>4390</v>
      </c>
      <c r="B3355" s="2" t="s">
        <v>4414</v>
      </c>
      <c r="C3355" s="2" t="s">
        <v>4410</v>
      </c>
      <c r="D3355" s="2" t="s">
        <v>10</v>
      </c>
      <c r="E3355" s="2" t="s">
        <v>16</v>
      </c>
      <c r="F3355" s="2">
        <v>2</v>
      </c>
      <c r="G3355" s="2" t="s">
        <v>17</v>
      </c>
    </row>
    <row r="3356" spans="1:7" x14ac:dyDescent="0.2">
      <c r="A3356" s="2" t="s">
        <v>4390</v>
      </c>
      <c r="B3356" s="2" t="s">
        <v>4415</v>
      </c>
      <c r="C3356" s="2" t="s">
        <v>4410</v>
      </c>
      <c r="D3356" s="2" t="s">
        <v>10</v>
      </c>
      <c r="E3356" s="2" t="s">
        <v>16</v>
      </c>
      <c r="F3356" s="2">
        <v>2</v>
      </c>
      <c r="G3356" s="2" t="s">
        <v>17</v>
      </c>
    </row>
    <row r="3357" spans="1:7" x14ac:dyDescent="0.2">
      <c r="A3357" s="2" t="s">
        <v>4390</v>
      </c>
      <c r="B3357" s="2" t="s">
        <v>4416</v>
      </c>
      <c r="C3357" s="2" t="s">
        <v>4417</v>
      </c>
      <c r="D3357" s="2" t="s">
        <v>10</v>
      </c>
      <c r="E3357" s="2" t="s">
        <v>11</v>
      </c>
      <c r="F3357" s="2">
        <v>1</v>
      </c>
      <c r="G3357" s="2" t="s">
        <v>12</v>
      </c>
    </row>
    <row r="3358" spans="1:7" x14ac:dyDescent="0.2">
      <c r="A3358" s="2" t="s">
        <v>4390</v>
      </c>
      <c r="B3358" s="2" t="s">
        <v>4138</v>
      </c>
      <c r="C3358" s="2" t="s">
        <v>1758</v>
      </c>
      <c r="D3358" s="2" t="s">
        <v>10</v>
      </c>
      <c r="E3358" s="2" t="s">
        <v>11</v>
      </c>
      <c r="F3358" s="2">
        <v>1</v>
      </c>
      <c r="G3358" s="2" t="s">
        <v>12</v>
      </c>
    </row>
    <row r="3359" spans="1:7" x14ac:dyDescent="0.2">
      <c r="A3359" s="2" t="s">
        <v>4390</v>
      </c>
      <c r="B3359" s="2" t="s">
        <v>4418</v>
      </c>
      <c r="C3359" s="2" t="s">
        <v>1758</v>
      </c>
      <c r="D3359" s="2" t="s">
        <v>10</v>
      </c>
      <c r="E3359" s="2" t="s">
        <v>11</v>
      </c>
      <c r="F3359" s="2">
        <v>1</v>
      </c>
      <c r="G3359" s="2" t="s">
        <v>12</v>
      </c>
    </row>
    <row r="3360" spans="1:7" x14ac:dyDescent="0.2">
      <c r="A3360" s="2" t="s">
        <v>4390</v>
      </c>
      <c r="B3360" s="2" t="s">
        <v>4419</v>
      </c>
      <c r="C3360" s="2" t="s">
        <v>1758</v>
      </c>
      <c r="D3360" s="2" t="s">
        <v>10</v>
      </c>
      <c r="E3360" s="2" t="s">
        <v>11</v>
      </c>
      <c r="F3360" s="2">
        <v>1</v>
      </c>
      <c r="G3360" s="2" t="s">
        <v>12</v>
      </c>
    </row>
    <row r="3361" spans="1:7" x14ac:dyDescent="0.2">
      <c r="A3361" s="2" t="s">
        <v>4390</v>
      </c>
      <c r="B3361" s="2" t="s">
        <v>4420</v>
      </c>
      <c r="C3361" s="2" t="s">
        <v>4421</v>
      </c>
      <c r="D3361" s="2" t="s">
        <v>10</v>
      </c>
      <c r="E3361" s="2" t="s">
        <v>11</v>
      </c>
      <c r="F3361" s="2">
        <v>1</v>
      </c>
      <c r="G3361" s="2" t="s">
        <v>12</v>
      </c>
    </row>
    <row r="3362" spans="1:7" x14ac:dyDescent="0.2">
      <c r="A3362" s="2" t="s">
        <v>4390</v>
      </c>
      <c r="B3362" s="2" t="s">
        <v>4422</v>
      </c>
      <c r="C3362" s="2" t="s">
        <v>4423</v>
      </c>
      <c r="D3362" s="2" t="s">
        <v>10</v>
      </c>
      <c r="E3362" s="2" t="s">
        <v>11</v>
      </c>
      <c r="F3362" s="2">
        <v>1</v>
      </c>
      <c r="G3362" s="2" t="s">
        <v>12</v>
      </c>
    </row>
    <row r="3363" spans="1:7" x14ac:dyDescent="0.2">
      <c r="A3363" s="2" t="s">
        <v>4390</v>
      </c>
      <c r="B3363" s="2" t="s">
        <v>4424</v>
      </c>
      <c r="C3363" s="2" t="s">
        <v>4417</v>
      </c>
      <c r="D3363" s="2" t="s">
        <v>10</v>
      </c>
      <c r="E3363" s="2" t="s">
        <v>11</v>
      </c>
      <c r="F3363" s="2">
        <v>1</v>
      </c>
      <c r="G3363" s="2" t="s">
        <v>12</v>
      </c>
    </row>
    <row r="3364" spans="1:7" x14ac:dyDescent="0.2">
      <c r="A3364" s="2" t="s">
        <v>4390</v>
      </c>
      <c r="B3364" s="2" t="s">
        <v>4425</v>
      </c>
      <c r="C3364" s="2" t="s">
        <v>4398</v>
      </c>
      <c r="D3364" s="2" t="s">
        <v>10</v>
      </c>
      <c r="E3364" s="2" t="s">
        <v>11</v>
      </c>
      <c r="F3364" s="2">
        <v>2</v>
      </c>
      <c r="G3364" s="2" t="s">
        <v>12</v>
      </c>
    </row>
    <row r="3365" spans="1:7" x14ac:dyDescent="0.2">
      <c r="A3365" s="2" t="s">
        <v>4390</v>
      </c>
      <c r="B3365" s="2" t="s">
        <v>4426</v>
      </c>
      <c r="C3365" s="2" t="s">
        <v>4400</v>
      </c>
      <c r="D3365" s="2" t="s">
        <v>10</v>
      </c>
      <c r="E3365" s="2" t="s">
        <v>11</v>
      </c>
      <c r="F3365" s="2">
        <v>2</v>
      </c>
      <c r="G3365" s="2" t="s">
        <v>12</v>
      </c>
    </row>
    <row r="3366" spans="1:7" x14ac:dyDescent="0.2">
      <c r="A3366" s="2" t="s">
        <v>4390</v>
      </c>
      <c r="B3366" s="2" t="s">
        <v>4427</v>
      </c>
      <c r="C3366" s="2" t="s">
        <v>4402</v>
      </c>
      <c r="D3366" s="2" t="s">
        <v>10</v>
      </c>
      <c r="E3366" s="2" t="s">
        <v>11</v>
      </c>
      <c r="F3366" s="2">
        <v>3</v>
      </c>
      <c r="G3366" s="2" t="s">
        <v>12</v>
      </c>
    </row>
    <row r="3367" spans="1:7" x14ac:dyDescent="0.2">
      <c r="A3367" s="2" t="s">
        <v>4390</v>
      </c>
      <c r="B3367" s="2" t="s">
        <v>4428</v>
      </c>
      <c r="C3367" s="2" t="s">
        <v>4398</v>
      </c>
      <c r="D3367" s="2" t="s">
        <v>10</v>
      </c>
      <c r="E3367" s="2" t="s">
        <v>11</v>
      </c>
      <c r="F3367" s="2">
        <v>2</v>
      </c>
      <c r="G3367" s="2" t="s">
        <v>12</v>
      </c>
    </row>
    <row r="3368" spans="1:7" x14ac:dyDescent="0.2">
      <c r="A3368" s="2" t="s">
        <v>4390</v>
      </c>
      <c r="B3368" s="2" t="s">
        <v>4429</v>
      </c>
      <c r="C3368" s="2" t="s">
        <v>4400</v>
      </c>
      <c r="D3368" s="2" t="s">
        <v>10</v>
      </c>
      <c r="E3368" s="2" t="s">
        <v>11</v>
      </c>
      <c r="F3368" s="2">
        <v>2</v>
      </c>
      <c r="G3368" s="2" t="s">
        <v>12</v>
      </c>
    </row>
    <row r="3369" spans="1:7" x14ac:dyDescent="0.2">
      <c r="A3369" s="2" t="s">
        <v>4390</v>
      </c>
      <c r="B3369" s="2" t="s">
        <v>4430</v>
      </c>
      <c r="C3369" s="2" t="s">
        <v>4406</v>
      </c>
      <c r="D3369" s="2" t="s">
        <v>10</v>
      </c>
      <c r="E3369" s="2" t="s">
        <v>11</v>
      </c>
      <c r="F3369" s="2">
        <v>3</v>
      </c>
      <c r="G3369" s="2" t="s">
        <v>12</v>
      </c>
    </row>
    <row r="3370" spans="1:7" x14ac:dyDescent="0.2">
      <c r="A3370" s="2" t="s">
        <v>4390</v>
      </c>
      <c r="B3370" s="2" t="s">
        <v>4431</v>
      </c>
      <c r="C3370" s="2" t="s">
        <v>4432</v>
      </c>
      <c r="D3370" s="2" t="s">
        <v>10</v>
      </c>
      <c r="E3370" s="2" t="s">
        <v>11</v>
      </c>
      <c r="F3370" s="2">
        <v>2</v>
      </c>
      <c r="G3370" s="2" t="s">
        <v>12</v>
      </c>
    </row>
    <row r="3371" spans="1:7" x14ac:dyDescent="0.2">
      <c r="A3371" s="2" t="s">
        <v>4390</v>
      </c>
      <c r="B3371" s="2" t="s">
        <v>4433</v>
      </c>
      <c r="C3371" s="2" t="s">
        <v>4393</v>
      </c>
      <c r="D3371" s="2" t="s">
        <v>10</v>
      </c>
      <c r="E3371" s="2" t="s">
        <v>11</v>
      </c>
      <c r="F3371" s="2">
        <v>1</v>
      </c>
      <c r="G3371" s="2" t="s">
        <v>12</v>
      </c>
    </row>
    <row r="3372" spans="1:7" x14ac:dyDescent="0.2">
      <c r="A3372" s="2" t="s">
        <v>4390</v>
      </c>
      <c r="B3372" s="2" t="s">
        <v>4434</v>
      </c>
      <c r="C3372" s="2" t="s">
        <v>4435</v>
      </c>
      <c r="D3372" s="2" t="s">
        <v>10</v>
      </c>
      <c r="E3372" s="2" t="s">
        <v>11</v>
      </c>
      <c r="F3372" s="2">
        <v>1</v>
      </c>
      <c r="G3372" s="2" t="s">
        <v>12</v>
      </c>
    </row>
    <row r="3373" spans="1:7" x14ac:dyDescent="0.2">
      <c r="A3373" s="2" t="s">
        <v>4390</v>
      </c>
      <c r="B3373" s="2" t="s">
        <v>4436</v>
      </c>
      <c r="C3373" s="2" t="s">
        <v>4421</v>
      </c>
      <c r="D3373" s="2" t="s">
        <v>10</v>
      </c>
      <c r="E3373" s="2" t="s">
        <v>11</v>
      </c>
      <c r="F3373" s="2">
        <v>1</v>
      </c>
      <c r="G3373" s="2" t="s">
        <v>12</v>
      </c>
    </row>
    <row r="3374" spans="1:7" x14ac:dyDescent="0.2">
      <c r="A3374" s="2" t="s">
        <v>4390</v>
      </c>
      <c r="B3374" s="2" t="s">
        <v>4437</v>
      </c>
      <c r="C3374" s="2" t="s">
        <v>4438</v>
      </c>
      <c r="D3374" s="2" t="s">
        <v>10</v>
      </c>
      <c r="E3374" s="2" t="s">
        <v>11</v>
      </c>
      <c r="F3374" s="2">
        <v>3</v>
      </c>
      <c r="G3374" s="2" t="s">
        <v>12</v>
      </c>
    </row>
    <row r="3375" spans="1:7" x14ac:dyDescent="0.2">
      <c r="A3375" s="2" t="s">
        <v>4390</v>
      </c>
      <c r="B3375" s="2" t="s">
        <v>4439</v>
      </c>
      <c r="C3375" s="2" t="s">
        <v>4440</v>
      </c>
      <c r="D3375" s="2" t="s">
        <v>10</v>
      </c>
      <c r="E3375" s="2" t="s">
        <v>11</v>
      </c>
      <c r="F3375" s="2">
        <v>2</v>
      </c>
      <c r="G3375" s="2" t="s">
        <v>12</v>
      </c>
    </row>
    <row r="3376" spans="1:7" x14ac:dyDescent="0.2">
      <c r="A3376" s="2" t="s">
        <v>4441</v>
      </c>
      <c r="B3376" s="2" t="s">
        <v>1662</v>
      </c>
      <c r="C3376" s="2" t="s">
        <v>1663</v>
      </c>
      <c r="D3376" s="2" t="s">
        <v>10</v>
      </c>
      <c r="E3376" s="2" t="s">
        <v>11</v>
      </c>
      <c r="F3376" s="2">
        <v>2</v>
      </c>
      <c r="G3376" s="2" t="s">
        <v>12</v>
      </c>
    </row>
    <row r="3377" spans="1:7" x14ac:dyDescent="0.2">
      <c r="A3377" s="2" t="s">
        <v>4442</v>
      </c>
      <c r="B3377" s="2" t="s">
        <v>4443</v>
      </c>
      <c r="C3377" s="2" t="s">
        <v>4444</v>
      </c>
      <c r="D3377" s="2" t="s">
        <v>10</v>
      </c>
      <c r="E3377" s="2" t="s">
        <v>16</v>
      </c>
      <c r="F3377" s="2">
        <v>1</v>
      </c>
      <c r="G3377" s="2" t="s">
        <v>17</v>
      </c>
    </row>
    <row r="3378" spans="1:7" x14ac:dyDescent="0.2">
      <c r="A3378" s="2" t="s">
        <v>4442</v>
      </c>
      <c r="B3378" s="2" t="s">
        <v>4445</v>
      </c>
      <c r="C3378" s="2" t="s">
        <v>4444</v>
      </c>
      <c r="D3378" s="2" t="s">
        <v>10</v>
      </c>
      <c r="E3378" s="2" t="s">
        <v>16</v>
      </c>
      <c r="F3378" s="2">
        <v>1</v>
      </c>
      <c r="G3378" s="2" t="s">
        <v>17</v>
      </c>
    </row>
    <row r="3379" spans="1:7" x14ac:dyDescent="0.2">
      <c r="A3379" s="2" t="s">
        <v>4446</v>
      </c>
      <c r="B3379" s="2" t="s">
        <v>4447</v>
      </c>
      <c r="C3379" s="2" t="s">
        <v>4448</v>
      </c>
      <c r="D3379" s="2" t="s">
        <v>10</v>
      </c>
      <c r="E3379" s="2" t="s">
        <v>16</v>
      </c>
      <c r="F3379" s="2">
        <v>1</v>
      </c>
      <c r="G3379" s="2" t="s">
        <v>17</v>
      </c>
    </row>
    <row r="3380" spans="1:7" x14ac:dyDescent="0.2">
      <c r="A3380" s="2" t="s">
        <v>4446</v>
      </c>
      <c r="B3380" s="2" t="s">
        <v>4449</v>
      </c>
      <c r="C3380" s="2" t="s">
        <v>4450</v>
      </c>
      <c r="D3380" s="2" t="s">
        <v>10</v>
      </c>
      <c r="E3380" s="2" t="s">
        <v>16</v>
      </c>
      <c r="F3380" s="2">
        <v>1</v>
      </c>
      <c r="G3380" s="2" t="s">
        <v>17</v>
      </c>
    </row>
    <row r="3381" spans="1:7" x14ac:dyDescent="0.2">
      <c r="A3381" s="2" t="s">
        <v>4451</v>
      </c>
      <c r="B3381" s="2" t="s">
        <v>4452</v>
      </c>
      <c r="C3381" s="2" t="s">
        <v>4453</v>
      </c>
      <c r="D3381" s="2" t="s">
        <v>10</v>
      </c>
      <c r="E3381" s="2" t="s">
        <v>16</v>
      </c>
      <c r="F3381" s="2">
        <v>1</v>
      </c>
      <c r="G3381" s="2" t="s">
        <v>17</v>
      </c>
    </row>
    <row r="3382" spans="1:7" x14ac:dyDescent="0.2">
      <c r="A3382" s="2" t="s">
        <v>4451</v>
      </c>
      <c r="B3382" s="2" t="s">
        <v>4454</v>
      </c>
      <c r="C3382" s="2" t="s">
        <v>4455</v>
      </c>
      <c r="D3382" s="2" t="s">
        <v>10</v>
      </c>
      <c r="E3382" s="2" t="s">
        <v>16</v>
      </c>
      <c r="F3382" s="2">
        <v>2</v>
      </c>
      <c r="G3382" s="2" t="s">
        <v>17</v>
      </c>
    </row>
    <row r="3383" spans="1:7" x14ac:dyDescent="0.2">
      <c r="A3383" s="2" t="s">
        <v>4451</v>
      </c>
      <c r="B3383" s="2" t="s">
        <v>4456</v>
      </c>
      <c r="C3383" s="2" t="s">
        <v>4457</v>
      </c>
      <c r="D3383" s="2" t="s">
        <v>10</v>
      </c>
      <c r="E3383" s="2" t="s">
        <v>16</v>
      </c>
      <c r="F3383" s="2">
        <v>2</v>
      </c>
      <c r="G3383" s="2" t="s">
        <v>17</v>
      </c>
    </row>
    <row r="3384" spans="1:7" x14ac:dyDescent="0.2">
      <c r="A3384" s="2" t="s">
        <v>4451</v>
      </c>
      <c r="B3384" s="2" t="s">
        <v>4458</v>
      </c>
      <c r="C3384" s="2" t="s">
        <v>4459</v>
      </c>
      <c r="D3384" s="2" t="s">
        <v>10</v>
      </c>
      <c r="E3384" s="2" t="s">
        <v>16</v>
      </c>
      <c r="F3384" s="2">
        <v>1</v>
      </c>
      <c r="G3384" s="2" t="s">
        <v>17</v>
      </c>
    </row>
    <row r="3385" spans="1:7" x14ac:dyDescent="0.2">
      <c r="A3385" s="2" t="s">
        <v>4451</v>
      </c>
      <c r="B3385" s="2" t="s">
        <v>4460</v>
      </c>
      <c r="C3385" s="2" t="s">
        <v>4459</v>
      </c>
      <c r="D3385" s="2" t="s">
        <v>10</v>
      </c>
      <c r="E3385" s="2" t="s">
        <v>16</v>
      </c>
      <c r="F3385" s="2">
        <v>1</v>
      </c>
      <c r="G3385" s="2" t="s">
        <v>17</v>
      </c>
    </row>
    <row r="3386" spans="1:7" x14ac:dyDescent="0.2">
      <c r="A3386" s="2" t="s">
        <v>4451</v>
      </c>
      <c r="B3386" s="2" t="s">
        <v>4461</v>
      </c>
      <c r="C3386" s="2" t="s">
        <v>4462</v>
      </c>
      <c r="D3386" s="2" t="s">
        <v>10</v>
      </c>
      <c r="E3386" s="2" t="s">
        <v>16</v>
      </c>
      <c r="F3386" s="2">
        <v>1</v>
      </c>
      <c r="G3386" s="2" t="s">
        <v>17</v>
      </c>
    </row>
    <row r="3387" spans="1:7" x14ac:dyDescent="0.2">
      <c r="A3387" s="2" t="s">
        <v>4451</v>
      </c>
      <c r="B3387" s="2" t="s">
        <v>4463</v>
      </c>
      <c r="C3387" s="2" t="s">
        <v>4464</v>
      </c>
      <c r="D3387" s="2" t="s">
        <v>10</v>
      </c>
      <c r="E3387" s="2" t="s">
        <v>16</v>
      </c>
      <c r="F3387" s="2">
        <v>1</v>
      </c>
      <c r="G3387" s="2" t="s">
        <v>17</v>
      </c>
    </row>
    <row r="3388" spans="1:7" x14ac:dyDescent="0.2">
      <c r="A3388" s="2" t="s">
        <v>4451</v>
      </c>
      <c r="B3388" s="2" t="s">
        <v>4465</v>
      </c>
      <c r="C3388" s="2" t="s">
        <v>4464</v>
      </c>
      <c r="D3388" s="2" t="s">
        <v>10</v>
      </c>
      <c r="E3388" s="2" t="s">
        <v>16</v>
      </c>
      <c r="F3388" s="2">
        <v>1</v>
      </c>
      <c r="G3388" s="2" t="s">
        <v>17</v>
      </c>
    </row>
    <row r="3389" spans="1:7" x14ac:dyDescent="0.2">
      <c r="A3389" s="2" t="s">
        <v>4451</v>
      </c>
      <c r="B3389" s="2" t="s">
        <v>4466</v>
      </c>
      <c r="C3389" s="2" t="s">
        <v>4467</v>
      </c>
      <c r="D3389" s="2" t="s">
        <v>10</v>
      </c>
      <c r="E3389" s="2" t="s">
        <v>16</v>
      </c>
      <c r="F3389" s="2">
        <v>1</v>
      </c>
      <c r="G3389" s="2" t="s">
        <v>17</v>
      </c>
    </row>
    <row r="3390" spans="1:7" x14ac:dyDescent="0.2">
      <c r="A3390" s="2" t="s">
        <v>4451</v>
      </c>
      <c r="B3390" s="2" t="s">
        <v>4468</v>
      </c>
      <c r="C3390" s="2" t="s">
        <v>4469</v>
      </c>
      <c r="D3390" s="2" t="s">
        <v>10</v>
      </c>
      <c r="E3390" s="2" t="s">
        <v>16</v>
      </c>
      <c r="F3390" s="2">
        <v>1</v>
      </c>
      <c r="G3390" s="2" t="s">
        <v>17</v>
      </c>
    </row>
    <row r="3391" spans="1:7" x14ac:dyDescent="0.2">
      <c r="A3391" s="2" t="s">
        <v>4451</v>
      </c>
      <c r="B3391" s="2" t="s">
        <v>4470</v>
      </c>
      <c r="C3391" s="2" t="s">
        <v>4471</v>
      </c>
      <c r="D3391" s="2" t="s">
        <v>10</v>
      </c>
      <c r="E3391" s="2" t="s">
        <v>16</v>
      </c>
      <c r="F3391" s="2">
        <v>1</v>
      </c>
      <c r="G3391" s="2" t="s">
        <v>17</v>
      </c>
    </row>
    <row r="3392" spans="1:7" x14ac:dyDescent="0.2">
      <c r="A3392" s="2" t="s">
        <v>4451</v>
      </c>
      <c r="B3392" s="2" t="s">
        <v>4472</v>
      </c>
      <c r="C3392" s="2" t="s">
        <v>4455</v>
      </c>
      <c r="D3392" s="2" t="s">
        <v>10</v>
      </c>
      <c r="E3392" s="2" t="s">
        <v>16</v>
      </c>
      <c r="F3392" s="2">
        <v>2</v>
      </c>
      <c r="G3392" s="2" t="s">
        <v>17</v>
      </c>
    </row>
    <row r="3393" spans="1:7" x14ac:dyDescent="0.2">
      <c r="A3393" s="2" t="s">
        <v>4451</v>
      </c>
      <c r="B3393" s="2" t="s">
        <v>4473</v>
      </c>
      <c r="C3393" s="2" t="s">
        <v>4474</v>
      </c>
      <c r="D3393" s="2" t="s">
        <v>10</v>
      </c>
      <c r="E3393" s="2" t="s">
        <v>16</v>
      </c>
      <c r="F3393" s="2">
        <v>2</v>
      </c>
      <c r="G3393" s="2" t="s">
        <v>17</v>
      </c>
    </row>
    <row r="3394" spans="1:7" x14ac:dyDescent="0.2">
      <c r="A3394" s="2" t="s">
        <v>4451</v>
      </c>
      <c r="B3394" s="2" t="s">
        <v>4475</v>
      </c>
      <c r="C3394" s="2" t="s">
        <v>4476</v>
      </c>
      <c r="D3394" s="2" t="s">
        <v>10</v>
      </c>
      <c r="E3394" s="2" t="s">
        <v>16</v>
      </c>
      <c r="F3394" s="2">
        <v>2</v>
      </c>
      <c r="G3394" s="2" t="s">
        <v>17</v>
      </c>
    </row>
    <row r="3395" spans="1:7" x14ac:dyDescent="0.2">
      <c r="A3395" s="2" t="s">
        <v>4451</v>
      </c>
      <c r="B3395" s="2" t="s">
        <v>4477</v>
      </c>
      <c r="C3395" s="2" t="s">
        <v>4478</v>
      </c>
      <c r="D3395" s="2" t="s">
        <v>10</v>
      </c>
      <c r="E3395" s="2" t="s">
        <v>16</v>
      </c>
      <c r="F3395" s="2">
        <v>1</v>
      </c>
      <c r="G3395" s="2" t="s">
        <v>17</v>
      </c>
    </row>
    <row r="3396" spans="1:7" x14ac:dyDescent="0.2">
      <c r="A3396" s="2" t="s">
        <v>4451</v>
      </c>
      <c r="B3396" s="2" t="s">
        <v>4479</v>
      </c>
      <c r="C3396" s="2" t="s">
        <v>4480</v>
      </c>
      <c r="D3396" s="2" t="s">
        <v>10</v>
      </c>
      <c r="E3396" s="2" t="s">
        <v>16</v>
      </c>
      <c r="F3396" s="2">
        <v>2</v>
      </c>
      <c r="G3396" s="2" t="s">
        <v>12</v>
      </c>
    </row>
    <row r="3397" spans="1:7" x14ac:dyDescent="0.2">
      <c r="A3397" s="2" t="s">
        <v>4451</v>
      </c>
      <c r="B3397" s="2" t="s">
        <v>4481</v>
      </c>
      <c r="C3397" s="2" t="s">
        <v>4482</v>
      </c>
      <c r="D3397" s="2" t="s">
        <v>10</v>
      </c>
      <c r="E3397" s="2" t="s">
        <v>11</v>
      </c>
      <c r="F3397" s="2">
        <v>1</v>
      </c>
      <c r="G3397" s="2" t="s">
        <v>17</v>
      </c>
    </row>
    <row r="3398" spans="1:7" x14ac:dyDescent="0.2">
      <c r="A3398" s="2" t="s">
        <v>4451</v>
      </c>
      <c r="B3398" s="2" t="s">
        <v>4483</v>
      </c>
      <c r="C3398" s="2" t="s">
        <v>4457</v>
      </c>
      <c r="D3398" s="2" t="s">
        <v>10</v>
      </c>
      <c r="E3398" s="2" t="s">
        <v>16</v>
      </c>
      <c r="F3398" s="2">
        <v>2</v>
      </c>
      <c r="G3398" s="2" t="s">
        <v>17</v>
      </c>
    </row>
    <row r="3399" spans="1:7" x14ac:dyDescent="0.2">
      <c r="A3399" s="2" t="s">
        <v>4451</v>
      </c>
      <c r="B3399" s="2" t="s">
        <v>4484</v>
      </c>
      <c r="C3399" s="2" t="s">
        <v>4485</v>
      </c>
      <c r="D3399" s="2" t="s">
        <v>10</v>
      </c>
      <c r="E3399" s="2" t="s">
        <v>11</v>
      </c>
      <c r="F3399" s="2">
        <v>1</v>
      </c>
      <c r="G3399" s="2" t="s">
        <v>12</v>
      </c>
    </row>
    <row r="3400" spans="1:7" x14ac:dyDescent="0.2">
      <c r="A3400" s="2" t="s">
        <v>4451</v>
      </c>
      <c r="B3400" s="2" t="s">
        <v>4486</v>
      </c>
      <c r="C3400" s="2" t="s">
        <v>4487</v>
      </c>
      <c r="D3400" s="2" t="s">
        <v>10</v>
      </c>
      <c r="E3400" s="2" t="s">
        <v>16</v>
      </c>
      <c r="F3400" s="2">
        <v>4</v>
      </c>
      <c r="G3400" s="2" t="s">
        <v>17</v>
      </c>
    </row>
    <row r="3401" spans="1:7" x14ac:dyDescent="0.2">
      <c r="A3401" s="2" t="s">
        <v>4451</v>
      </c>
      <c r="B3401" s="2" t="s">
        <v>4488</v>
      </c>
      <c r="C3401" s="2" t="s">
        <v>4482</v>
      </c>
      <c r="D3401" s="2" t="s">
        <v>10</v>
      </c>
      <c r="E3401" s="2" t="s">
        <v>11</v>
      </c>
      <c r="F3401" s="2">
        <v>1</v>
      </c>
      <c r="G3401" s="2" t="s">
        <v>17</v>
      </c>
    </row>
    <row r="3402" spans="1:7" x14ac:dyDescent="0.2">
      <c r="A3402" s="2" t="s">
        <v>4451</v>
      </c>
      <c r="B3402" s="2" t="s">
        <v>4489</v>
      </c>
      <c r="C3402" s="2" t="s">
        <v>4490</v>
      </c>
      <c r="D3402" s="2" t="s">
        <v>10</v>
      </c>
      <c r="E3402" s="2" t="s">
        <v>11</v>
      </c>
      <c r="F3402" s="2">
        <v>2</v>
      </c>
      <c r="G3402" s="2" t="s">
        <v>12</v>
      </c>
    </row>
    <row r="3403" spans="1:7" x14ac:dyDescent="0.2">
      <c r="A3403" s="2" t="s">
        <v>4451</v>
      </c>
      <c r="B3403" s="2" t="s">
        <v>4491</v>
      </c>
      <c r="C3403" s="2" t="s">
        <v>4453</v>
      </c>
      <c r="D3403" s="2" t="s">
        <v>10</v>
      </c>
      <c r="E3403" s="2" t="s">
        <v>16</v>
      </c>
      <c r="F3403" s="2">
        <v>1</v>
      </c>
      <c r="G3403" s="2" t="s">
        <v>17</v>
      </c>
    </row>
    <row r="3404" spans="1:7" x14ac:dyDescent="0.2">
      <c r="A3404" s="2" t="s">
        <v>4451</v>
      </c>
      <c r="B3404" s="2" t="s">
        <v>4492</v>
      </c>
      <c r="C3404" s="2" t="s">
        <v>4457</v>
      </c>
      <c r="D3404" s="2" t="s">
        <v>10</v>
      </c>
      <c r="E3404" s="2" t="s">
        <v>16</v>
      </c>
      <c r="F3404" s="2">
        <v>2</v>
      </c>
      <c r="G3404" s="2" t="s">
        <v>17</v>
      </c>
    </row>
    <row r="3405" spans="1:7" x14ac:dyDescent="0.2">
      <c r="A3405" s="2" t="s">
        <v>4451</v>
      </c>
      <c r="B3405" s="2" t="s">
        <v>4493</v>
      </c>
      <c r="C3405" s="2" t="s">
        <v>4474</v>
      </c>
      <c r="D3405" s="2" t="s">
        <v>10</v>
      </c>
      <c r="E3405" s="2" t="s">
        <v>16</v>
      </c>
      <c r="F3405" s="2">
        <v>2</v>
      </c>
      <c r="G3405" s="2" t="s">
        <v>17</v>
      </c>
    </row>
    <row r="3406" spans="1:7" x14ac:dyDescent="0.2">
      <c r="A3406" s="2" t="s">
        <v>4451</v>
      </c>
      <c r="B3406" s="2" t="s">
        <v>3746</v>
      </c>
      <c r="C3406" s="2" t="s">
        <v>4476</v>
      </c>
      <c r="D3406" s="2" t="s">
        <v>10</v>
      </c>
      <c r="E3406" s="2" t="s">
        <v>16</v>
      </c>
      <c r="F3406" s="2">
        <v>2</v>
      </c>
      <c r="G3406" s="2" t="s">
        <v>17</v>
      </c>
    </row>
    <row r="3407" spans="1:7" x14ac:dyDescent="0.2">
      <c r="A3407" s="2" t="s">
        <v>4451</v>
      </c>
      <c r="B3407" s="2" t="s">
        <v>4494</v>
      </c>
      <c r="C3407" s="2" t="s">
        <v>4467</v>
      </c>
      <c r="D3407" s="2" t="s">
        <v>10</v>
      </c>
      <c r="E3407" s="2" t="s">
        <v>16</v>
      </c>
      <c r="F3407" s="2">
        <v>1</v>
      </c>
      <c r="G3407" s="2" t="s">
        <v>17</v>
      </c>
    </row>
    <row r="3408" spans="1:7" x14ac:dyDescent="0.2">
      <c r="A3408" s="2" t="s">
        <v>4451</v>
      </c>
      <c r="B3408" s="2" t="s">
        <v>4495</v>
      </c>
      <c r="C3408" s="2" t="s">
        <v>4487</v>
      </c>
      <c r="D3408" s="2" t="s">
        <v>10</v>
      </c>
      <c r="E3408" s="2" t="s">
        <v>16</v>
      </c>
      <c r="F3408" s="2">
        <v>4</v>
      </c>
      <c r="G3408" s="2" t="s">
        <v>17</v>
      </c>
    </row>
    <row r="3409" spans="1:7" x14ac:dyDescent="0.2">
      <c r="A3409" s="2" t="s">
        <v>4451</v>
      </c>
      <c r="B3409" s="2" t="s">
        <v>4496</v>
      </c>
      <c r="C3409" s="2" t="s">
        <v>4471</v>
      </c>
      <c r="D3409" s="2" t="s">
        <v>10</v>
      </c>
      <c r="E3409" s="2" t="s">
        <v>16</v>
      </c>
      <c r="F3409" s="2">
        <v>1</v>
      </c>
      <c r="G3409" s="2" t="s">
        <v>17</v>
      </c>
    </row>
    <row r="3410" spans="1:7" x14ac:dyDescent="0.2">
      <c r="A3410" s="2" t="s">
        <v>4451</v>
      </c>
      <c r="B3410" s="2" t="s">
        <v>4497</v>
      </c>
      <c r="C3410" s="2" t="s">
        <v>4469</v>
      </c>
      <c r="D3410" s="2" t="s">
        <v>10</v>
      </c>
      <c r="E3410" s="2" t="s">
        <v>16</v>
      </c>
      <c r="F3410" s="2">
        <v>1</v>
      </c>
      <c r="G3410" s="2" t="s">
        <v>17</v>
      </c>
    </row>
    <row r="3411" spans="1:7" x14ac:dyDescent="0.2">
      <c r="A3411" s="2" t="s">
        <v>4451</v>
      </c>
      <c r="B3411" s="2" t="s">
        <v>4498</v>
      </c>
      <c r="C3411" s="2" t="s">
        <v>4480</v>
      </c>
      <c r="D3411" s="2" t="s">
        <v>10</v>
      </c>
      <c r="E3411" s="2" t="s">
        <v>16</v>
      </c>
      <c r="F3411" s="2">
        <v>2</v>
      </c>
      <c r="G3411" s="2" t="s">
        <v>12</v>
      </c>
    </row>
    <row r="3412" spans="1:7" x14ac:dyDescent="0.2">
      <c r="A3412" s="2" t="s">
        <v>4451</v>
      </c>
      <c r="B3412" s="2" t="s">
        <v>4499</v>
      </c>
      <c r="C3412" s="2" t="s">
        <v>4459</v>
      </c>
      <c r="D3412" s="2" t="s">
        <v>10</v>
      </c>
      <c r="E3412" s="2" t="s">
        <v>16</v>
      </c>
      <c r="F3412" s="2">
        <v>1</v>
      </c>
      <c r="G3412" s="2" t="s">
        <v>17</v>
      </c>
    </row>
    <row r="3413" spans="1:7" x14ac:dyDescent="0.2">
      <c r="A3413" s="2" t="s">
        <v>4451</v>
      </c>
      <c r="B3413" s="2" t="s">
        <v>4500</v>
      </c>
      <c r="C3413" s="2" t="s">
        <v>4459</v>
      </c>
      <c r="D3413" s="2" t="s">
        <v>10</v>
      </c>
      <c r="E3413" s="2" t="s">
        <v>16</v>
      </c>
      <c r="F3413" s="2">
        <v>1</v>
      </c>
      <c r="G3413" s="2" t="s">
        <v>17</v>
      </c>
    </row>
    <row r="3414" spans="1:7" x14ac:dyDescent="0.2">
      <c r="A3414" s="2" t="s">
        <v>4451</v>
      </c>
      <c r="B3414" s="2" t="s">
        <v>4501</v>
      </c>
      <c r="C3414" s="2" t="s">
        <v>4478</v>
      </c>
      <c r="D3414" s="2" t="s">
        <v>10</v>
      </c>
      <c r="E3414" s="2" t="s">
        <v>16</v>
      </c>
      <c r="F3414" s="2">
        <v>1</v>
      </c>
      <c r="G3414" s="2" t="s">
        <v>17</v>
      </c>
    </row>
    <row r="3415" spans="1:7" x14ac:dyDescent="0.2">
      <c r="A3415" s="2" t="s">
        <v>4451</v>
      </c>
      <c r="B3415" s="2" t="s">
        <v>4502</v>
      </c>
      <c r="C3415" s="2" t="s">
        <v>4462</v>
      </c>
      <c r="D3415" s="2" t="s">
        <v>10</v>
      </c>
      <c r="E3415" s="2" t="s">
        <v>16</v>
      </c>
      <c r="F3415" s="2">
        <v>1</v>
      </c>
      <c r="G3415" s="2" t="s">
        <v>17</v>
      </c>
    </row>
    <row r="3416" spans="1:7" x14ac:dyDescent="0.2">
      <c r="A3416" s="2" t="s">
        <v>4451</v>
      </c>
      <c r="B3416" s="2" t="s">
        <v>4503</v>
      </c>
      <c r="C3416" s="2" t="s">
        <v>4464</v>
      </c>
      <c r="D3416" s="2" t="s">
        <v>10</v>
      </c>
      <c r="E3416" s="2" t="s">
        <v>16</v>
      </c>
      <c r="F3416" s="2">
        <v>1</v>
      </c>
      <c r="G3416" s="2" t="s">
        <v>17</v>
      </c>
    </row>
    <row r="3417" spans="1:7" x14ac:dyDescent="0.2">
      <c r="A3417" s="2" t="s">
        <v>4451</v>
      </c>
      <c r="B3417" s="2" t="s">
        <v>4504</v>
      </c>
      <c r="C3417" s="2" t="s">
        <v>4457</v>
      </c>
      <c r="D3417" s="2" t="s">
        <v>10</v>
      </c>
      <c r="E3417" s="2" t="s">
        <v>16</v>
      </c>
      <c r="F3417" s="2">
        <v>2</v>
      </c>
      <c r="G3417" s="2" t="s">
        <v>17</v>
      </c>
    </row>
    <row r="3418" spans="1:7" x14ac:dyDescent="0.2">
      <c r="A3418" s="2" t="s">
        <v>4451</v>
      </c>
      <c r="B3418" s="2" t="s">
        <v>4505</v>
      </c>
      <c r="C3418" s="2" t="s">
        <v>4464</v>
      </c>
      <c r="D3418" s="2" t="s">
        <v>10</v>
      </c>
      <c r="E3418" s="2" t="s">
        <v>16</v>
      </c>
      <c r="F3418" s="2">
        <v>1</v>
      </c>
      <c r="G3418" s="2" t="s">
        <v>17</v>
      </c>
    </row>
    <row r="3419" spans="1:7" x14ac:dyDescent="0.2">
      <c r="A3419" s="2" t="s">
        <v>4451</v>
      </c>
      <c r="B3419" s="2" t="s">
        <v>4506</v>
      </c>
      <c r="C3419" s="2" t="s">
        <v>4482</v>
      </c>
      <c r="D3419" s="2" t="s">
        <v>10</v>
      </c>
      <c r="E3419" s="2" t="s">
        <v>11</v>
      </c>
      <c r="F3419" s="2">
        <v>1</v>
      </c>
      <c r="G3419" s="2" t="s">
        <v>17</v>
      </c>
    </row>
    <row r="3420" spans="1:7" x14ac:dyDescent="0.2">
      <c r="A3420" s="2" t="s">
        <v>4451</v>
      </c>
      <c r="B3420" s="2" t="s">
        <v>4507</v>
      </c>
      <c r="C3420" s="2" t="s">
        <v>4485</v>
      </c>
      <c r="D3420" s="2" t="s">
        <v>10</v>
      </c>
      <c r="E3420" s="2" t="s">
        <v>11</v>
      </c>
      <c r="F3420" s="2">
        <v>1</v>
      </c>
      <c r="G3420" s="2" t="s">
        <v>12</v>
      </c>
    </row>
    <row r="3421" spans="1:7" x14ac:dyDescent="0.2">
      <c r="A3421" s="2" t="s">
        <v>4451</v>
      </c>
      <c r="B3421" s="2" t="s">
        <v>4508</v>
      </c>
      <c r="C3421" s="2" t="s">
        <v>4509</v>
      </c>
      <c r="D3421" s="2" t="s">
        <v>10</v>
      </c>
      <c r="E3421" s="2" t="s">
        <v>16</v>
      </c>
      <c r="F3421" s="2">
        <v>2</v>
      </c>
      <c r="G3421" s="2" t="s">
        <v>17</v>
      </c>
    </row>
    <row r="3422" spans="1:7" x14ac:dyDescent="0.2">
      <c r="A3422" s="2" t="s">
        <v>4451</v>
      </c>
      <c r="B3422" s="2" t="s">
        <v>515</v>
      </c>
      <c r="C3422" s="2" t="s">
        <v>4509</v>
      </c>
      <c r="D3422" s="2" t="s">
        <v>10</v>
      </c>
      <c r="E3422" s="2" t="s">
        <v>16</v>
      </c>
      <c r="F3422" s="2">
        <v>2</v>
      </c>
      <c r="G3422" s="2" t="s">
        <v>17</v>
      </c>
    </row>
    <row r="3423" spans="1:7" x14ac:dyDescent="0.2">
      <c r="A3423" s="2" t="s">
        <v>4510</v>
      </c>
      <c r="B3423" s="2" t="s">
        <v>4508</v>
      </c>
      <c r="C3423" s="2" t="s">
        <v>4509</v>
      </c>
      <c r="D3423" s="2" t="s">
        <v>10</v>
      </c>
      <c r="E3423" s="2" t="s">
        <v>16</v>
      </c>
      <c r="F3423" s="2">
        <v>2</v>
      </c>
      <c r="G3423" s="2" t="s">
        <v>17</v>
      </c>
    </row>
    <row r="3424" spans="1:7" x14ac:dyDescent="0.2">
      <c r="A3424" s="2" t="s">
        <v>4510</v>
      </c>
      <c r="B3424" s="2" t="s">
        <v>515</v>
      </c>
      <c r="C3424" s="2" t="s">
        <v>4509</v>
      </c>
      <c r="D3424" s="2" t="s">
        <v>10</v>
      </c>
      <c r="E3424" s="2" t="s">
        <v>16</v>
      </c>
      <c r="F3424" s="2">
        <v>2</v>
      </c>
      <c r="G3424" s="2" t="s">
        <v>17</v>
      </c>
    </row>
    <row r="3425" spans="1:7" x14ac:dyDescent="0.2">
      <c r="A3425" s="2" t="s">
        <v>4510</v>
      </c>
      <c r="B3425" s="2" t="s">
        <v>4458</v>
      </c>
      <c r="C3425" s="2" t="s">
        <v>4459</v>
      </c>
      <c r="D3425" s="2" t="s">
        <v>10</v>
      </c>
      <c r="E3425" s="2" t="s">
        <v>16</v>
      </c>
      <c r="F3425" s="2">
        <v>1</v>
      </c>
      <c r="G3425" s="2" t="s">
        <v>17</v>
      </c>
    </row>
    <row r="3426" spans="1:7" x14ac:dyDescent="0.2">
      <c r="A3426" s="2" t="s">
        <v>4510</v>
      </c>
      <c r="B3426" s="2" t="s">
        <v>4465</v>
      </c>
      <c r="C3426" s="2" t="s">
        <v>4464</v>
      </c>
      <c r="D3426" s="2" t="s">
        <v>10</v>
      </c>
      <c r="E3426" s="2" t="s">
        <v>16</v>
      </c>
      <c r="F3426" s="2">
        <v>1</v>
      </c>
      <c r="G3426" s="2" t="s">
        <v>17</v>
      </c>
    </row>
    <row r="3427" spans="1:7" x14ac:dyDescent="0.2">
      <c r="A3427" s="2" t="s">
        <v>4510</v>
      </c>
      <c r="B3427" s="2" t="s">
        <v>4511</v>
      </c>
      <c r="C3427" s="2" t="s">
        <v>4512</v>
      </c>
      <c r="D3427" s="2" t="s">
        <v>10</v>
      </c>
      <c r="E3427" s="2" t="s">
        <v>16</v>
      </c>
      <c r="F3427" s="2">
        <v>3</v>
      </c>
      <c r="G3427" s="2" t="s">
        <v>17</v>
      </c>
    </row>
    <row r="3428" spans="1:7" x14ac:dyDescent="0.2">
      <c r="A3428" s="2" t="s">
        <v>4510</v>
      </c>
      <c r="B3428" s="2" t="s">
        <v>4513</v>
      </c>
      <c r="C3428" s="2" t="s">
        <v>4512</v>
      </c>
      <c r="D3428" s="2" t="s">
        <v>10</v>
      </c>
      <c r="E3428" s="2" t="s">
        <v>16</v>
      </c>
      <c r="F3428" s="2">
        <v>3</v>
      </c>
      <c r="G3428" s="2" t="s">
        <v>17</v>
      </c>
    </row>
    <row r="3429" spans="1:7" x14ac:dyDescent="0.2">
      <c r="A3429" s="2" t="s">
        <v>4510</v>
      </c>
      <c r="B3429" s="2" t="s">
        <v>4499</v>
      </c>
      <c r="C3429" s="2" t="s">
        <v>4459</v>
      </c>
      <c r="D3429" s="2" t="s">
        <v>10</v>
      </c>
      <c r="E3429" s="2" t="s">
        <v>16</v>
      </c>
      <c r="F3429" s="2">
        <v>1</v>
      </c>
      <c r="G3429" s="2" t="s">
        <v>17</v>
      </c>
    </row>
    <row r="3430" spans="1:7" x14ac:dyDescent="0.2">
      <c r="A3430" s="2" t="s">
        <v>4510</v>
      </c>
      <c r="B3430" s="2" t="s">
        <v>4505</v>
      </c>
      <c r="C3430" s="2" t="s">
        <v>4464</v>
      </c>
      <c r="D3430" s="2" t="s">
        <v>10</v>
      </c>
      <c r="E3430" s="2" t="s">
        <v>16</v>
      </c>
      <c r="F3430" s="2">
        <v>1</v>
      </c>
      <c r="G3430" s="2" t="s">
        <v>17</v>
      </c>
    </row>
    <row r="3431" spans="1:7" x14ac:dyDescent="0.2">
      <c r="A3431" s="2" t="s">
        <v>4514</v>
      </c>
      <c r="B3431" s="2" t="s">
        <v>1330</v>
      </c>
      <c r="C3431" s="2" t="s">
        <v>1331</v>
      </c>
      <c r="D3431" s="2" t="s">
        <v>10</v>
      </c>
      <c r="E3431" s="2" t="s">
        <v>16</v>
      </c>
      <c r="F3431" s="2">
        <v>1</v>
      </c>
      <c r="G3431" s="2" t="s">
        <v>17</v>
      </c>
    </row>
    <row r="3432" spans="1:7" x14ac:dyDescent="0.2">
      <c r="A3432" s="2" t="s">
        <v>4514</v>
      </c>
      <c r="B3432" s="2" t="s">
        <v>4515</v>
      </c>
      <c r="C3432" s="2" t="s">
        <v>4516</v>
      </c>
      <c r="D3432" s="2" t="s">
        <v>10</v>
      </c>
      <c r="E3432" s="2" t="s">
        <v>52</v>
      </c>
      <c r="F3432" s="2">
        <v>2</v>
      </c>
      <c r="G3432" s="2" t="s">
        <v>12</v>
      </c>
    </row>
    <row r="3433" spans="1:7" x14ac:dyDescent="0.2">
      <c r="A3433" s="2" t="s">
        <v>4514</v>
      </c>
      <c r="B3433" s="2" t="s">
        <v>4517</v>
      </c>
      <c r="C3433" s="2" t="s">
        <v>4518</v>
      </c>
      <c r="D3433" s="2" t="s">
        <v>10</v>
      </c>
      <c r="E3433" s="2" t="s">
        <v>16</v>
      </c>
      <c r="F3433" s="2">
        <v>2</v>
      </c>
      <c r="G3433" s="2" t="s">
        <v>12</v>
      </c>
    </row>
    <row r="3434" spans="1:7" x14ac:dyDescent="0.2">
      <c r="A3434" s="2" t="s">
        <v>4514</v>
      </c>
      <c r="B3434" s="2" t="s">
        <v>4519</v>
      </c>
      <c r="C3434" s="2" t="s">
        <v>4516</v>
      </c>
      <c r="D3434" s="2" t="s">
        <v>10</v>
      </c>
      <c r="E3434" s="2" t="s">
        <v>52</v>
      </c>
      <c r="F3434" s="2">
        <v>2</v>
      </c>
      <c r="G3434" s="2" t="s">
        <v>12</v>
      </c>
    </row>
    <row r="3435" spans="1:7" x14ac:dyDescent="0.2">
      <c r="A3435" s="2" t="s">
        <v>4514</v>
      </c>
      <c r="B3435" s="2" t="s">
        <v>4520</v>
      </c>
      <c r="C3435" s="2" t="s">
        <v>4516</v>
      </c>
      <c r="D3435" s="2" t="s">
        <v>10</v>
      </c>
      <c r="E3435" s="2" t="s">
        <v>52</v>
      </c>
      <c r="F3435" s="2">
        <v>2</v>
      </c>
      <c r="G3435" s="2" t="s">
        <v>12</v>
      </c>
    </row>
    <row r="3436" spans="1:7" x14ac:dyDescent="0.2">
      <c r="A3436" s="2" t="s">
        <v>4514</v>
      </c>
      <c r="B3436" s="2" t="s">
        <v>4521</v>
      </c>
      <c r="C3436" s="2" t="s">
        <v>4518</v>
      </c>
      <c r="D3436" s="2" t="s">
        <v>10</v>
      </c>
      <c r="E3436" s="2" t="s">
        <v>16</v>
      </c>
      <c r="F3436" s="2">
        <v>2</v>
      </c>
      <c r="G3436" s="2" t="s">
        <v>12</v>
      </c>
    </row>
    <row r="3437" spans="1:7" x14ac:dyDescent="0.2">
      <c r="A3437" s="2" t="s">
        <v>4514</v>
      </c>
      <c r="B3437" s="2" t="s">
        <v>4522</v>
      </c>
      <c r="C3437" s="2" t="s">
        <v>4516</v>
      </c>
      <c r="D3437" s="2" t="s">
        <v>10</v>
      </c>
      <c r="E3437" s="2" t="s">
        <v>52</v>
      </c>
      <c r="F3437" s="2">
        <v>2</v>
      </c>
      <c r="G3437" s="2" t="s">
        <v>12</v>
      </c>
    </row>
    <row r="3438" spans="1:7" x14ac:dyDescent="0.2">
      <c r="A3438" s="2" t="s">
        <v>4514</v>
      </c>
      <c r="B3438" s="2" t="s">
        <v>4523</v>
      </c>
      <c r="C3438" s="2" t="s">
        <v>4524</v>
      </c>
      <c r="D3438" s="2" t="s">
        <v>10</v>
      </c>
      <c r="E3438" s="2" t="s">
        <v>52</v>
      </c>
      <c r="F3438" s="2">
        <v>2</v>
      </c>
      <c r="G3438" s="2" t="s">
        <v>17</v>
      </c>
    </row>
    <row r="3439" spans="1:7" x14ac:dyDescent="0.2">
      <c r="A3439" s="2" t="s">
        <v>4514</v>
      </c>
      <c r="B3439" s="2" t="s">
        <v>4525</v>
      </c>
      <c r="C3439" s="2" t="s">
        <v>4526</v>
      </c>
      <c r="D3439" s="2" t="s">
        <v>10</v>
      </c>
      <c r="E3439" s="2" t="s">
        <v>52</v>
      </c>
      <c r="F3439" s="2">
        <v>2</v>
      </c>
      <c r="G3439" s="2" t="s">
        <v>12</v>
      </c>
    </row>
    <row r="3440" spans="1:7" x14ac:dyDescent="0.2">
      <c r="A3440" s="2" t="s">
        <v>4514</v>
      </c>
      <c r="B3440" s="2" t="s">
        <v>4452</v>
      </c>
      <c r="C3440" s="2" t="s">
        <v>4453</v>
      </c>
      <c r="D3440" s="2" t="s">
        <v>10</v>
      </c>
      <c r="E3440" s="2" t="s">
        <v>16</v>
      </c>
      <c r="F3440" s="2">
        <v>1</v>
      </c>
      <c r="G3440" s="2" t="s">
        <v>17</v>
      </c>
    </row>
    <row r="3441" spans="1:7" x14ac:dyDescent="0.2">
      <c r="A3441" s="2" t="s">
        <v>4514</v>
      </c>
      <c r="B3441" s="2" t="s">
        <v>4527</v>
      </c>
      <c r="C3441" s="2" t="s">
        <v>4162</v>
      </c>
      <c r="D3441" s="2" t="s">
        <v>10</v>
      </c>
      <c r="E3441" s="2" t="s">
        <v>16</v>
      </c>
      <c r="F3441" s="2">
        <v>2</v>
      </c>
      <c r="G3441" s="2" t="s">
        <v>12</v>
      </c>
    </row>
    <row r="3442" spans="1:7" x14ac:dyDescent="0.2">
      <c r="A3442" s="2" t="s">
        <v>4514</v>
      </c>
      <c r="B3442" s="2" t="s">
        <v>4528</v>
      </c>
      <c r="C3442" s="2" t="s">
        <v>4526</v>
      </c>
      <c r="D3442" s="2" t="s">
        <v>10</v>
      </c>
      <c r="E3442" s="2" t="s">
        <v>52</v>
      </c>
      <c r="F3442" s="2">
        <v>2</v>
      </c>
      <c r="G3442" s="2" t="s">
        <v>12</v>
      </c>
    </row>
    <row r="3443" spans="1:7" x14ac:dyDescent="0.2">
      <c r="A3443" s="2" t="s">
        <v>4514</v>
      </c>
      <c r="B3443" s="2" t="s">
        <v>4529</v>
      </c>
      <c r="C3443" s="2" t="s">
        <v>4518</v>
      </c>
      <c r="D3443" s="2" t="s">
        <v>10</v>
      </c>
      <c r="E3443" s="2" t="s">
        <v>16</v>
      </c>
      <c r="F3443" s="2">
        <v>2</v>
      </c>
      <c r="G3443" s="2" t="s">
        <v>12</v>
      </c>
    </row>
    <row r="3444" spans="1:7" x14ac:dyDescent="0.2">
      <c r="A3444" s="2" t="s">
        <v>4514</v>
      </c>
      <c r="B3444" s="2" t="s">
        <v>4530</v>
      </c>
      <c r="C3444" s="2" t="s">
        <v>4516</v>
      </c>
      <c r="D3444" s="2" t="s">
        <v>10</v>
      </c>
      <c r="E3444" s="2" t="s">
        <v>52</v>
      </c>
      <c r="F3444" s="2">
        <v>2</v>
      </c>
      <c r="G3444" s="2" t="s">
        <v>12</v>
      </c>
    </row>
    <row r="3445" spans="1:7" x14ac:dyDescent="0.2">
      <c r="A3445" s="2" t="s">
        <v>4514</v>
      </c>
      <c r="B3445" s="2" t="s">
        <v>4531</v>
      </c>
      <c r="C3445" s="2" t="s">
        <v>4532</v>
      </c>
      <c r="D3445" s="2" t="s">
        <v>10</v>
      </c>
      <c r="E3445" s="2" t="s">
        <v>52</v>
      </c>
      <c r="F3445" s="2">
        <v>4</v>
      </c>
      <c r="G3445" s="2" t="s">
        <v>12</v>
      </c>
    </row>
    <row r="3446" spans="1:7" x14ac:dyDescent="0.2">
      <c r="A3446" s="2" t="s">
        <v>4514</v>
      </c>
      <c r="B3446" s="2" t="s">
        <v>4533</v>
      </c>
      <c r="C3446" s="2" t="s">
        <v>4526</v>
      </c>
      <c r="D3446" s="2" t="s">
        <v>10</v>
      </c>
      <c r="E3446" s="2" t="s">
        <v>52</v>
      </c>
      <c r="F3446" s="2">
        <v>2</v>
      </c>
      <c r="G3446" s="2" t="s">
        <v>12</v>
      </c>
    </row>
    <row r="3447" spans="1:7" x14ac:dyDescent="0.2">
      <c r="A3447" s="2" t="s">
        <v>4514</v>
      </c>
      <c r="B3447" s="2" t="s">
        <v>4534</v>
      </c>
      <c r="C3447" s="2" t="s">
        <v>4535</v>
      </c>
      <c r="D3447" s="2" t="s">
        <v>10</v>
      </c>
      <c r="E3447" s="2" t="s">
        <v>52</v>
      </c>
      <c r="F3447" s="2">
        <v>2</v>
      </c>
      <c r="G3447" s="2" t="s">
        <v>12</v>
      </c>
    </row>
    <row r="3448" spans="1:7" x14ac:dyDescent="0.2">
      <c r="A3448" s="2" t="s">
        <v>4514</v>
      </c>
      <c r="B3448" s="2" t="s">
        <v>4536</v>
      </c>
      <c r="C3448" s="2" t="s">
        <v>4537</v>
      </c>
      <c r="D3448" s="2" t="s">
        <v>10</v>
      </c>
      <c r="E3448" s="2" t="s">
        <v>52</v>
      </c>
      <c r="F3448" s="2">
        <v>2</v>
      </c>
      <c r="G3448" s="2" t="s">
        <v>12</v>
      </c>
    </row>
    <row r="3449" spans="1:7" x14ac:dyDescent="0.2">
      <c r="A3449" s="2" t="s">
        <v>4514</v>
      </c>
      <c r="B3449" s="2" t="s">
        <v>4538</v>
      </c>
      <c r="C3449" s="2" t="s">
        <v>4539</v>
      </c>
      <c r="D3449" s="2" t="s">
        <v>10</v>
      </c>
      <c r="E3449" s="2" t="s">
        <v>52</v>
      </c>
      <c r="F3449" s="2">
        <v>2</v>
      </c>
      <c r="G3449" s="2" t="s">
        <v>12</v>
      </c>
    </row>
    <row r="3450" spans="1:7" x14ac:dyDescent="0.2">
      <c r="A3450" s="2" t="s">
        <v>4514</v>
      </c>
      <c r="B3450" s="2" t="s">
        <v>4465</v>
      </c>
      <c r="C3450" s="2" t="s">
        <v>4464</v>
      </c>
      <c r="D3450" s="2" t="s">
        <v>10</v>
      </c>
      <c r="E3450" s="2" t="s">
        <v>16</v>
      </c>
      <c r="F3450" s="2">
        <v>1</v>
      </c>
      <c r="G3450" s="2" t="s">
        <v>17</v>
      </c>
    </row>
    <row r="3451" spans="1:7" x14ac:dyDescent="0.2">
      <c r="A3451" s="2" t="s">
        <v>4514</v>
      </c>
      <c r="B3451" s="2" t="s">
        <v>4491</v>
      </c>
      <c r="C3451" s="2" t="s">
        <v>4453</v>
      </c>
      <c r="D3451" s="2" t="s">
        <v>10</v>
      </c>
      <c r="E3451" s="2" t="s">
        <v>16</v>
      </c>
      <c r="F3451" s="2">
        <v>1</v>
      </c>
      <c r="G3451" s="2" t="s">
        <v>17</v>
      </c>
    </row>
    <row r="3452" spans="1:7" x14ac:dyDescent="0.2">
      <c r="A3452" s="2" t="s">
        <v>4514</v>
      </c>
      <c r="B3452" s="2" t="s">
        <v>4540</v>
      </c>
      <c r="C3452" s="2" t="s">
        <v>1331</v>
      </c>
      <c r="D3452" s="2" t="s">
        <v>10</v>
      </c>
      <c r="E3452" s="2" t="s">
        <v>16</v>
      </c>
      <c r="F3452" s="2">
        <v>1</v>
      </c>
      <c r="G3452" s="2" t="s">
        <v>17</v>
      </c>
    </row>
    <row r="3453" spans="1:7" x14ac:dyDescent="0.2">
      <c r="A3453" s="2" t="s">
        <v>4514</v>
      </c>
      <c r="B3453" s="2" t="s">
        <v>4541</v>
      </c>
      <c r="C3453" s="2" t="s">
        <v>4542</v>
      </c>
      <c r="D3453" s="2" t="s">
        <v>10</v>
      </c>
      <c r="E3453" s="2" t="s">
        <v>52</v>
      </c>
      <c r="F3453" s="2">
        <v>1</v>
      </c>
      <c r="G3453" s="2" t="s">
        <v>17</v>
      </c>
    </row>
    <row r="3454" spans="1:7" x14ac:dyDescent="0.2">
      <c r="A3454" s="2" t="s">
        <v>4514</v>
      </c>
      <c r="B3454" s="2" t="s">
        <v>4543</v>
      </c>
      <c r="C3454" s="2" t="s">
        <v>1334</v>
      </c>
      <c r="D3454" s="2" t="s">
        <v>10</v>
      </c>
      <c r="E3454" s="2" t="s">
        <v>16</v>
      </c>
      <c r="F3454" s="2">
        <v>1</v>
      </c>
      <c r="G3454" s="2" t="s">
        <v>17</v>
      </c>
    </row>
    <row r="3455" spans="1:7" x14ac:dyDescent="0.2">
      <c r="A3455" s="2" t="s">
        <v>4514</v>
      </c>
      <c r="B3455" s="2" t="s">
        <v>4544</v>
      </c>
      <c r="C3455" s="2" t="s">
        <v>4545</v>
      </c>
      <c r="D3455" s="2" t="s">
        <v>10</v>
      </c>
      <c r="E3455" s="2" t="s">
        <v>52</v>
      </c>
      <c r="F3455" s="2">
        <v>1</v>
      </c>
      <c r="G3455" s="2" t="s">
        <v>17</v>
      </c>
    </row>
    <row r="3456" spans="1:7" x14ac:dyDescent="0.2">
      <c r="A3456" s="2" t="s">
        <v>4514</v>
      </c>
      <c r="B3456" s="2" t="s">
        <v>4546</v>
      </c>
      <c r="C3456" s="2" t="s">
        <v>4518</v>
      </c>
      <c r="D3456" s="2" t="s">
        <v>10</v>
      </c>
      <c r="E3456" s="2" t="s">
        <v>16</v>
      </c>
      <c r="F3456" s="2">
        <v>2</v>
      </c>
      <c r="G3456" s="2" t="s">
        <v>12</v>
      </c>
    </row>
    <row r="3457" spans="1:7" x14ac:dyDescent="0.2">
      <c r="A3457" s="2" t="s">
        <v>4514</v>
      </c>
      <c r="B3457" s="2" t="s">
        <v>4547</v>
      </c>
      <c r="C3457" s="2" t="s">
        <v>4516</v>
      </c>
      <c r="D3457" s="2" t="s">
        <v>10</v>
      </c>
      <c r="E3457" s="2" t="s">
        <v>52</v>
      </c>
      <c r="F3457" s="2">
        <v>2</v>
      </c>
      <c r="G3457" s="2" t="s">
        <v>12</v>
      </c>
    </row>
    <row r="3458" spans="1:7" x14ac:dyDescent="0.2">
      <c r="A3458" s="2" t="s">
        <v>4514</v>
      </c>
      <c r="B3458" s="2" t="s">
        <v>4548</v>
      </c>
      <c r="C3458" s="2" t="s">
        <v>4524</v>
      </c>
      <c r="D3458" s="2" t="s">
        <v>10</v>
      </c>
      <c r="E3458" s="2" t="s">
        <v>52</v>
      </c>
      <c r="F3458" s="2">
        <v>2</v>
      </c>
      <c r="G3458" s="2" t="s">
        <v>17</v>
      </c>
    </row>
    <row r="3459" spans="1:7" x14ac:dyDescent="0.2">
      <c r="A3459" s="2" t="s">
        <v>4514</v>
      </c>
      <c r="B3459" s="2" t="s">
        <v>4549</v>
      </c>
      <c r="C3459" s="2" t="s">
        <v>4532</v>
      </c>
      <c r="D3459" s="2" t="s">
        <v>10</v>
      </c>
      <c r="E3459" s="2" t="s">
        <v>52</v>
      </c>
      <c r="F3459" s="2">
        <v>4</v>
      </c>
      <c r="G3459" s="2" t="s">
        <v>12</v>
      </c>
    </row>
    <row r="3460" spans="1:7" x14ac:dyDescent="0.2">
      <c r="A3460" s="2" t="s">
        <v>4514</v>
      </c>
      <c r="B3460" s="2" t="s">
        <v>4550</v>
      </c>
      <c r="C3460" s="2" t="s">
        <v>4526</v>
      </c>
      <c r="D3460" s="2" t="s">
        <v>10</v>
      </c>
      <c r="E3460" s="2" t="s">
        <v>52</v>
      </c>
      <c r="F3460" s="2">
        <v>2</v>
      </c>
      <c r="G3460" s="2" t="s">
        <v>12</v>
      </c>
    </row>
    <row r="3461" spans="1:7" x14ac:dyDescent="0.2">
      <c r="A3461" s="2" t="s">
        <v>4514</v>
      </c>
      <c r="B3461" s="2" t="s">
        <v>4551</v>
      </c>
      <c r="C3461" s="2" t="s">
        <v>4535</v>
      </c>
      <c r="D3461" s="2" t="s">
        <v>10</v>
      </c>
      <c r="E3461" s="2" t="s">
        <v>52</v>
      </c>
      <c r="F3461" s="2">
        <v>2</v>
      </c>
      <c r="G3461" s="2" t="s">
        <v>12</v>
      </c>
    </row>
    <row r="3462" spans="1:7" x14ac:dyDescent="0.2">
      <c r="A3462" s="2" t="s">
        <v>4514</v>
      </c>
      <c r="B3462" s="2" t="s">
        <v>4552</v>
      </c>
      <c r="C3462" s="2" t="s">
        <v>4537</v>
      </c>
      <c r="D3462" s="2" t="s">
        <v>10</v>
      </c>
      <c r="E3462" s="2" t="s">
        <v>52</v>
      </c>
      <c r="F3462" s="2">
        <v>2</v>
      </c>
      <c r="G3462" s="2" t="s">
        <v>12</v>
      </c>
    </row>
    <row r="3463" spans="1:7" x14ac:dyDescent="0.2">
      <c r="A3463" s="2" t="s">
        <v>4514</v>
      </c>
      <c r="B3463" s="2" t="s">
        <v>4553</v>
      </c>
      <c r="C3463" s="2" t="s">
        <v>4539</v>
      </c>
      <c r="D3463" s="2" t="s">
        <v>10</v>
      </c>
      <c r="E3463" s="2" t="s">
        <v>52</v>
      </c>
      <c r="F3463" s="2">
        <v>2</v>
      </c>
      <c r="G3463" s="2" t="s">
        <v>12</v>
      </c>
    </row>
    <row r="3464" spans="1:7" x14ac:dyDescent="0.2">
      <c r="A3464" s="2" t="s">
        <v>4514</v>
      </c>
      <c r="B3464" s="2" t="s">
        <v>4554</v>
      </c>
      <c r="C3464" s="2" t="s">
        <v>4526</v>
      </c>
      <c r="D3464" s="2" t="s">
        <v>10</v>
      </c>
      <c r="E3464" s="2" t="s">
        <v>52</v>
      </c>
      <c r="F3464" s="2">
        <v>2</v>
      </c>
      <c r="G3464" s="2" t="s">
        <v>12</v>
      </c>
    </row>
    <row r="3465" spans="1:7" x14ac:dyDescent="0.2">
      <c r="A3465" s="2" t="s">
        <v>4514</v>
      </c>
      <c r="B3465" s="2" t="s">
        <v>4555</v>
      </c>
      <c r="C3465" s="2" t="s">
        <v>4532</v>
      </c>
      <c r="D3465" s="2" t="s">
        <v>10</v>
      </c>
      <c r="E3465" s="2" t="s">
        <v>52</v>
      </c>
      <c r="F3465" s="2">
        <v>4</v>
      </c>
      <c r="G3465" s="2" t="s">
        <v>12</v>
      </c>
    </row>
    <row r="3466" spans="1:7" x14ac:dyDescent="0.2">
      <c r="A3466" s="2" t="s">
        <v>4514</v>
      </c>
      <c r="B3466" s="2" t="s">
        <v>4556</v>
      </c>
      <c r="C3466" s="2" t="s">
        <v>1331</v>
      </c>
      <c r="D3466" s="2" t="s">
        <v>10</v>
      </c>
      <c r="E3466" s="2" t="s">
        <v>16</v>
      </c>
      <c r="F3466" s="2">
        <v>1</v>
      </c>
      <c r="G3466" s="2" t="s">
        <v>17</v>
      </c>
    </row>
    <row r="3467" spans="1:7" x14ac:dyDescent="0.2">
      <c r="A3467" s="2" t="s">
        <v>4514</v>
      </c>
      <c r="B3467" s="2" t="s">
        <v>4557</v>
      </c>
      <c r="C3467" s="2" t="s">
        <v>1334</v>
      </c>
      <c r="D3467" s="2" t="s">
        <v>10</v>
      </c>
      <c r="E3467" s="2" t="s">
        <v>16</v>
      </c>
      <c r="F3467" s="2">
        <v>1</v>
      </c>
      <c r="G3467" s="2" t="s">
        <v>17</v>
      </c>
    </row>
    <row r="3468" spans="1:7" x14ac:dyDescent="0.2">
      <c r="A3468" s="2" t="s">
        <v>4514</v>
      </c>
      <c r="B3468" s="2" t="s">
        <v>4558</v>
      </c>
      <c r="C3468" s="2" t="s">
        <v>4532</v>
      </c>
      <c r="D3468" s="2" t="s">
        <v>10</v>
      </c>
      <c r="E3468" s="2" t="s">
        <v>52</v>
      </c>
      <c r="F3468" s="2">
        <v>4</v>
      </c>
      <c r="G3468" s="2" t="s">
        <v>12</v>
      </c>
    </row>
    <row r="3469" spans="1:7" x14ac:dyDescent="0.2">
      <c r="A3469" s="2" t="s">
        <v>4514</v>
      </c>
      <c r="B3469" s="2" t="s">
        <v>1336</v>
      </c>
      <c r="C3469" s="2" t="s">
        <v>1334</v>
      </c>
      <c r="D3469" s="2" t="s">
        <v>10</v>
      </c>
      <c r="E3469" s="2" t="s">
        <v>16</v>
      </c>
      <c r="F3469" s="2">
        <v>1</v>
      </c>
      <c r="G3469" s="2" t="s">
        <v>17</v>
      </c>
    </row>
    <row r="3470" spans="1:7" x14ac:dyDescent="0.2">
      <c r="A3470" s="2" t="s">
        <v>4514</v>
      </c>
      <c r="B3470" s="2" t="s">
        <v>4559</v>
      </c>
      <c r="C3470" s="2" t="s">
        <v>4532</v>
      </c>
      <c r="D3470" s="2" t="s">
        <v>10</v>
      </c>
      <c r="E3470" s="2" t="s">
        <v>52</v>
      </c>
      <c r="F3470" s="2">
        <v>4</v>
      </c>
      <c r="G3470" s="2" t="s">
        <v>12</v>
      </c>
    </row>
    <row r="3471" spans="1:7" x14ac:dyDescent="0.2">
      <c r="A3471" s="2" t="s">
        <v>4514</v>
      </c>
      <c r="B3471" s="2" t="s">
        <v>4560</v>
      </c>
      <c r="C3471" s="2" t="s">
        <v>4162</v>
      </c>
      <c r="D3471" s="2" t="s">
        <v>10</v>
      </c>
      <c r="E3471" s="2" t="s">
        <v>16</v>
      </c>
      <c r="F3471" s="2">
        <v>2</v>
      </c>
      <c r="G3471" s="2" t="s">
        <v>12</v>
      </c>
    </row>
    <row r="3472" spans="1:7" x14ac:dyDescent="0.2">
      <c r="A3472" s="2" t="s">
        <v>4514</v>
      </c>
      <c r="B3472" s="2" t="s">
        <v>4505</v>
      </c>
      <c r="C3472" s="2" t="s">
        <v>4464</v>
      </c>
      <c r="D3472" s="2" t="s">
        <v>10</v>
      </c>
      <c r="E3472" s="2" t="s">
        <v>16</v>
      </c>
      <c r="F3472" s="2">
        <v>1</v>
      </c>
      <c r="G3472" s="2" t="s">
        <v>17</v>
      </c>
    </row>
    <row r="3473" spans="1:7" x14ac:dyDescent="0.2">
      <c r="A3473" s="2" t="s">
        <v>4514</v>
      </c>
      <c r="B3473" s="2" t="s">
        <v>4561</v>
      </c>
      <c r="C3473" s="2" t="s">
        <v>4162</v>
      </c>
      <c r="D3473" s="2" t="s">
        <v>10</v>
      </c>
      <c r="E3473" s="2" t="s">
        <v>16</v>
      </c>
      <c r="F3473" s="2">
        <v>2</v>
      </c>
      <c r="G3473" s="2" t="s">
        <v>12</v>
      </c>
    </row>
    <row r="3474" spans="1:7" x14ac:dyDescent="0.2">
      <c r="A3474" s="2" t="s">
        <v>4514</v>
      </c>
      <c r="B3474" s="2" t="s">
        <v>4562</v>
      </c>
      <c r="C3474" s="2" t="s">
        <v>4542</v>
      </c>
      <c r="D3474" s="2" t="s">
        <v>10</v>
      </c>
      <c r="E3474" s="2" t="s">
        <v>52</v>
      </c>
      <c r="F3474" s="2">
        <v>1</v>
      </c>
      <c r="G3474" s="2" t="s">
        <v>17</v>
      </c>
    </row>
    <row r="3475" spans="1:7" x14ac:dyDescent="0.2">
      <c r="A3475" s="2" t="s">
        <v>4514</v>
      </c>
      <c r="B3475" s="2" t="s">
        <v>4563</v>
      </c>
      <c r="C3475" s="2" t="s">
        <v>4545</v>
      </c>
      <c r="D3475" s="2" t="s">
        <v>10</v>
      </c>
      <c r="E3475" s="2" t="s">
        <v>52</v>
      </c>
      <c r="F3475" s="2">
        <v>1</v>
      </c>
      <c r="G3475" s="2" t="s">
        <v>17</v>
      </c>
    </row>
    <row r="3476" spans="1:7" x14ac:dyDescent="0.2">
      <c r="A3476" s="2" t="s">
        <v>4514</v>
      </c>
      <c r="B3476" s="2" t="s">
        <v>4564</v>
      </c>
      <c r="C3476" s="2" t="s">
        <v>4524</v>
      </c>
      <c r="D3476" s="2" t="s">
        <v>10</v>
      </c>
      <c r="E3476" s="2" t="s">
        <v>52</v>
      </c>
      <c r="F3476" s="2">
        <v>2</v>
      </c>
      <c r="G3476" s="2" t="s">
        <v>17</v>
      </c>
    </row>
    <row r="3477" spans="1:7" x14ac:dyDescent="0.2">
      <c r="A3477" s="2" t="s">
        <v>4514</v>
      </c>
      <c r="B3477" s="2" t="s">
        <v>4565</v>
      </c>
      <c r="C3477" s="2" t="s">
        <v>1334</v>
      </c>
      <c r="D3477" s="2" t="s">
        <v>10</v>
      </c>
      <c r="E3477" s="2" t="s">
        <v>16</v>
      </c>
      <c r="F3477" s="2">
        <v>1</v>
      </c>
      <c r="G3477" s="2" t="s">
        <v>17</v>
      </c>
    </row>
    <row r="3478" spans="1:7" x14ac:dyDescent="0.2">
      <c r="A3478" s="2" t="s">
        <v>4514</v>
      </c>
      <c r="B3478" s="2" t="s">
        <v>4566</v>
      </c>
      <c r="C3478" s="2" t="s">
        <v>1331</v>
      </c>
      <c r="D3478" s="2" t="s">
        <v>10</v>
      </c>
      <c r="E3478" s="2" t="s">
        <v>16</v>
      </c>
      <c r="F3478" s="2">
        <v>1</v>
      </c>
      <c r="G3478" s="2" t="s">
        <v>17</v>
      </c>
    </row>
    <row r="3479" spans="1:7" x14ac:dyDescent="0.2">
      <c r="A3479" s="2" t="s">
        <v>4514</v>
      </c>
      <c r="B3479" s="2" t="s">
        <v>4567</v>
      </c>
      <c r="C3479" s="2" t="s">
        <v>1334</v>
      </c>
      <c r="D3479" s="2" t="s">
        <v>10</v>
      </c>
      <c r="E3479" s="2" t="s">
        <v>16</v>
      </c>
      <c r="F3479" s="2">
        <v>1</v>
      </c>
      <c r="G3479" s="2" t="s">
        <v>17</v>
      </c>
    </row>
    <row r="3480" spans="1:7" x14ac:dyDescent="0.2">
      <c r="A3480" s="2" t="s">
        <v>4514</v>
      </c>
      <c r="B3480" s="2" t="s">
        <v>4568</v>
      </c>
      <c r="C3480" s="2" t="s">
        <v>4524</v>
      </c>
      <c r="D3480" s="2" t="s">
        <v>10</v>
      </c>
      <c r="E3480" s="2" t="s">
        <v>52</v>
      </c>
      <c r="F3480" s="2">
        <v>2</v>
      </c>
      <c r="G3480" s="2" t="s">
        <v>17</v>
      </c>
    </row>
    <row r="3481" spans="1:7" x14ac:dyDescent="0.2">
      <c r="A3481" s="2" t="s">
        <v>4514</v>
      </c>
      <c r="B3481" s="2" t="s">
        <v>4569</v>
      </c>
      <c r="C3481" s="2" t="s">
        <v>4570</v>
      </c>
      <c r="D3481" s="2" t="s">
        <v>10</v>
      </c>
      <c r="E3481" s="2" t="s">
        <v>52</v>
      </c>
      <c r="F3481" s="2">
        <v>2</v>
      </c>
      <c r="G3481" s="2" t="s">
        <v>12</v>
      </c>
    </row>
    <row r="3482" spans="1:7" x14ac:dyDescent="0.2">
      <c r="A3482" s="2" t="s">
        <v>4514</v>
      </c>
      <c r="B3482" s="2" t="s">
        <v>4571</v>
      </c>
      <c r="C3482" s="2" t="s">
        <v>4570</v>
      </c>
      <c r="D3482" s="2" t="s">
        <v>10</v>
      </c>
      <c r="E3482" s="2" t="s">
        <v>52</v>
      </c>
      <c r="F3482" s="2">
        <v>2</v>
      </c>
      <c r="G3482" s="2" t="s">
        <v>12</v>
      </c>
    </row>
    <row r="3483" spans="1:7" x14ac:dyDescent="0.2">
      <c r="A3483" s="2" t="s">
        <v>4572</v>
      </c>
      <c r="B3483" s="2" t="s">
        <v>4573</v>
      </c>
      <c r="C3483" s="2" t="s">
        <v>4574</v>
      </c>
      <c r="D3483" s="2" t="s">
        <v>10</v>
      </c>
      <c r="E3483" s="2" t="s">
        <v>16</v>
      </c>
      <c r="F3483" s="2">
        <v>1</v>
      </c>
      <c r="G3483" s="2" t="s">
        <v>17</v>
      </c>
    </row>
    <row r="3484" spans="1:7" x14ac:dyDescent="0.2">
      <c r="A3484" s="2" t="s">
        <v>4572</v>
      </c>
      <c r="B3484" s="2" t="s">
        <v>4575</v>
      </c>
      <c r="C3484" s="2" t="s">
        <v>4574</v>
      </c>
      <c r="D3484" s="2" t="s">
        <v>10</v>
      </c>
      <c r="E3484" s="2" t="s">
        <v>16</v>
      </c>
      <c r="F3484" s="2">
        <v>1</v>
      </c>
      <c r="G3484" s="2" t="s">
        <v>17</v>
      </c>
    </row>
    <row r="3485" spans="1:7" x14ac:dyDescent="0.2">
      <c r="A3485" s="2" t="s">
        <v>4572</v>
      </c>
      <c r="B3485" s="2" t="s">
        <v>4576</v>
      </c>
      <c r="C3485" s="2" t="s">
        <v>4574</v>
      </c>
      <c r="D3485" s="2" t="s">
        <v>10</v>
      </c>
      <c r="E3485" s="2" t="s">
        <v>16</v>
      </c>
      <c r="F3485" s="2">
        <v>1</v>
      </c>
      <c r="G3485" s="2" t="s">
        <v>17</v>
      </c>
    </row>
    <row r="3486" spans="1:7" x14ac:dyDescent="0.2">
      <c r="A3486" s="2" t="s">
        <v>4577</v>
      </c>
      <c r="B3486" s="2" t="s">
        <v>4578</v>
      </c>
      <c r="C3486" s="2" t="s">
        <v>4579</v>
      </c>
      <c r="D3486" s="2" t="s">
        <v>10</v>
      </c>
      <c r="E3486" s="2" t="s">
        <v>16</v>
      </c>
      <c r="F3486" s="2">
        <v>1</v>
      </c>
      <c r="G3486" s="2" t="s">
        <v>17</v>
      </c>
    </row>
    <row r="3487" spans="1:7" x14ac:dyDescent="0.2">
      <c r="A3487" s="2" t="s">
        <v>4577</v>
      </c>
      <c r="B3487" s="2" t="s">
        <v>4580</v>
      </c>
      <c r="C3487" s="2" t="s">
        <v>4579</v>
      </c>
      <c r="D3487" s="2" t="s">
        <v>10</v>
      </c>
      <c r="E3487" s="2" t="s">
        <v>16</v>
      </c>
      <c r="F3487" s="2">
        <v>1</v>
      </c>
      <c r="G3487" s="2" t="s">
        <v>17</v>
      </c>
    </row>
    <row r="3488" spans="1:7" x14ac:dyDescent="0.2">
      <c r="A3488" s="2" t="s">
        <v>4581</v>
      </c>
      <c r="B3488" s="2" t="s">
        <v>4582</v>
      </c>
      <c r="C3488" s="2" t="s">
        <v>4583</v>
      </c>
      <c r="D3488" s="2" t="s">
        <v>10</v>
      </c>
      <c r="E3488" s="2" t="s">
        <v>16</v>
      </c>
      <c r="F3488" s="2">
        <v>1</v>
      </c>
      <c r="G3488" s="2" t="s">
        <v>17</v>
      </c>
    </row>
    <row r="3489" spans="1:7" x14ac:dyDescent="0.2">
      <c r="A3489" s="2" t="s">
        <v>4584</v>
      </c>
      <c r="B3489" s="2" t="s">
        <v>4585</v>
      </c>
      <c r="C3489" s="2" t="s">
        <v>4041</v>
      </c>
      <c r="D3489" s="2" t="s">
        <v>10</v>
      </c>
      <c r="E3489" s="2" t="s">
        <v>16</v>
      </c>
      <c r="F3489" s="2">
        <v>1</v>
      </c>
      <c r="G3489" s="2" t="s">
        <v>17</v>
      </c>
    </row>
    <row r="3490" spans="1:7" x14ac:dyDescent="0.2">
      <c r="A3490" s="2" t="s">
        <v>4586</v>
      </c>
      <c r="B3490" s="2" t="s">
        <v>781</v>
      </c>
      <c r="C3490" s="2" t="s">
        <v>782</v>
      </c>
      <c r="D3490" s="2" t="s">
        <v>56</v>
      </c>
      <c r="E3490" s="2" t="s">
        <v>52</v>
      </c>
      <c r="F3490" s="2">
        <v>2</v>
      </c>
      <c r="G3490" s="2" t="s">
        <v>17</v>
      </c>
    </row>
    <row r="3491" spans="1:7" x14ac:dyDescent="0.2">
      <c r="A3491" s="2" t="s">
        <v>4586</v>
      </c>
      <c r="B3491" s="2" t="s">
        <v>785</v>
      </c>
      <c r="C3491" s="2" t="s">
        <v>786</v>
      </c>
      <c r="D3491" s="2" t="s">
        <v>56</v>
      </c>
      <c r="E3491" s="2" t="s">
        <v>52</v>
      </c>
      <c r="F3491" s="2">
        <v>1</v>
      </c>
      <c r="G3491" s="2" t="s">
        <v>17</v>
      </c>
    </row>
    <row r="3492" spans="1:7" x14ac:dyDescent="0.2">
      <c r="A3492" s="2" t="s">
        <v>4586</v>
      </c>
      <c r="B3492" s="2" t="s">
        <v>4587</v>
      </c>
      <c r="C3492" s="2" t="s">
        <v>1760</v>
      </c>
      <c r="D3492" s="2" t="s">
        <v>56</v>
      </c>
      <c r="E3492" s="2" t="s">
        <v>52</v>
      </c>
      <c r="F3492" s="2">
        <v>2</v>
      </c>
      <c r="G3492" s="2" t="s">
        <v>12</v>
      </c>
    </row>
    <row r="3493" spans="1:7" x14ac:dyDescent="0.2">
      <c r="A3493" s="2" t="s">
        <v>4586</v>
      </c>
      <c r="B3493" s="2" t="s">
        <v>1754</v>
      </c>
      <c r="C3493" s="2" t="s">
        <v>1755</v>
      </c>
      <c r="D3493" s="2" t="s">
        <v>10</v>
      </c>
      <c r="E3493" s="2" t="s">
        <v>52</v>
      </c>
      <c r="F3493" s="2">
        <v>1</v>
      </c>
      <c r="G3493" s="2" t="s">
        <v>17</v>
      </c>
    </row>
    <row r="3494" spans="1:7" x14ac:dyDescent="0.2">
      <c r="A3494" s="2" t="s">
        <v>4586</v>
      </c>
      <c r="B3494" s="2" t="s">
        <v>1759</v>
      </c>
      <c r="C3494" s="2" t="s">
        <v>1760</v>
      </c>
      <c r="D3494" s="2" t="s">
        <v>56</v>
      </c>
      <c r="E3494" s="2" t="s">
        <v>52</v>
      </c>
      <c r="F3494" s="2">
        <v>2</v>
      </c>
      <c r="G3494" s="2" t="s">
        <v>12</v>
      </c>
    </row>
    <row r="3495" spans="1:7" x14ac:dyDescent="0.2">
      <c r="A3495" s="2" t="s">
        <v>4586</v>
      </c>
      <c r="B3495" s="2" t="s">
        <v>2118</v>
      </c>
      <c r="C3495" s="2" t="s">
        <v>2116</v>
      </c>
      <c r="D3495" s="2" t="s">
        <v>10</v>
      </c>
      <c r="E3495" s="2" t="s">
        <v>11</v>
      </c>
      <c r="F3495" s="2">
        <v>1</v>
      </c>
      <c r="G3495" s="2" t="s">
        <v>12</v>
      </c>
    </row>
    <row r="3496" spans="1:7" x14ac:dyDescent="0.2">
      <c r="A3496" s="2" t="s">
        <v>4586</v>
      </c>
      <c r="B3496" s="2" t="s">
        <v>734</v>
      </c>
      <c r="C3496" s="2" t="s">
        <v>786</v>
      </c>
      <c r="D3496" s="2" t="s">
        <v>56</v>
      </c>
      <c r="E3496" s="2" t="s">
        <v>52</v>
      </c>
      <c r="F3496" s="2">
        <v>1</v>
      </c>
      <c r="G3496" s="2" t="s">
        <v>17</v>
      </c>
    </row>
    <row r="3497" spans="1:7" x14ac:dyDescent="0.2">
      <c r="A3497" s="2" t="s">
        <v>4586</v>
      </c>
      <c r="B3497" s="2" t="s">
        <v>1765</v>
      </c>
      <c r="C3497" s="2" t="s">
        <v>1755</v>
      </c>
      <c r="D3497" s="2" t="s">
        <v>10</v>
      </c>
      <c r="E3497" s="2" t="s">
        <v>52</v>
      </c>
      <c r="F3497" s="2">
        <v>1</v>
      </c>
      <c r="G3497" s="2" t="s">
        <v>17</v>
      </c>
    </row>
    <row r="3498" spans="1:7" x14ac:dyDescent="0.2">
      <c r="A3498" s="2" t="s">
        <v>4586</v>
      </c>
      <c r="B3498" s="2" t="s">
        <v>1766</v>
      </c>
      <c r="C3498" s="2" t="s">
        <v>1760</v>
      </c>
      <c r="D3498" s="2" t="s">
        <v>56</v>
      </c>
      <c r="E3498" s="2" t="s">
        <v>52</v>
      </c>
      <c r="F3498" s="2">
        <v>2</v>
      </c>
      <c r="G3498" s="2" t="s">
        <v>12</v>
      </c>
    </row>
    <row r="3499" spans="1:7" x14ac:dyDescent="0.2">
      <c r="A3499" s="2" t="s">
        <v>4588</v>
      </c>
      <c r="B3499" s="2" t="s">
        <v>4589</v>
      </c>
      <c r="C3499" s="2" t="s">
        <v>325</v>
      </c>
      <c r="D3499" s="2" t="s">
        <v>10</v>
      </c>
      <c r="E3499" s="2" t="s">
        <v>16</v>
      </c>
      <c r="F3499" s="2">
        <v>1</v>
      </c>
      <c r="G3499" s="2" t="s">
        <v>17</v>
      </c>
    </row>
    <row r="3500" spans="1:7" x14ac:dyDescent="0.2">
      <c r="A3500" s="2" t="s">
        <v>4588</v>
      </c>
      <c r="B3500" s="2" t="s">
        <v>4590</v>
      </c>
      <c r="C3500" s="2" t="s">
        <v>4591</v>
      </c>
      <c r="D3500" s="2" t="s">
        <v>10</v>
      </c>
      <c r="E3500" s="2" t="s">
        <v>16</v>
      </c>
      <c r="F3500" s="2">
        <v>1</v>
      </c>
      <c r="G3500" s="2" t="s">
        <v>17</v>
      </c>
    </row>
    <row r="3501" spans="1:7" x14ac:dyDescent="0.2">
      <c r="A3501" s="2" t="s">
        <v>4588</v>
      </c>
      <c r="B3501" s="2" t="s">
        <v>4592</v>
      </c>
      <c r="C3501" s="2" t="s">
        <v>4591</v>
      </c>
      <c r="D3501" s="2" t="s">
        <v>10</v>
      </c>
      <c r="E3501" s="2" t="s">
        <v>16</v>
      </c>
      <c r="F3501" s="2">
        <v>1</v>
      </c>
      <c r="G3501" s="2" t="s">
        <v>17</v>
      </c>
    </row>
    <row r="3502" spans="1:7" x14ac:dyDescent="0.2">
      <c r="A3502" s="2" t="s">
        <v>4588</v>
      </c>
      <c r="B3502" s="2" t="s">
        <v>4593</v>
      </c>
      <c r="C3502" s="2" t="s">
        <v>4591</v>
      </c>
      <c r="D3502" s="2" t="s">
        <v>10</v>
      </c>
      <c r="E3502" s="2" t="s">
        <v>16</v>
      </c>
      <c r="F3502" s="2">
        <v>1</v>
      </c>
      <c r="G3502" s="2" t="s">
        <v>17</v>
      </c>
    </row>
    <row r="3503" spans="1:7" x14ac:dyDescent="0.2">
      <c r="A3503" s="2" t="s">
        <v>4594</v>
      </c>
      <c r="B3503" s="2" t="s">
        <v>4595</v>
      </c>
      <c r="C3503" s="2" t="s">
        <v>4596</v>
      </c>
      <c r="D3503" s="2" t="s">
        <v>10</v>
      </c>
      <c r="E3503" s="2" t="s">
        <v>16</v>
      </c>
      <c r="F3503" s="2">
        <v>1</v>
      </c>
      <c r="G3503" s="2" t="s">
        <v>17</v>
      </c>
    </row>
    <row r="3504" spans="1:7" x14ac:dyDescent="0.2">
      <c r="A3504" s="2" t="s">
        <v>4597</v>
      </c>
      <c r="B3504" s="2" t="s">
        <v>1495</v>
      </c>
      <c r="C3504" s="2" t="s">
        <v>1496</v>
      </c>
      <c r="D3504" s="2" t="s">
        <v>10</v>
      </c>
      <c r="E3504" s="2" t="s">
        <v>16</v>
      </c>
      <c r="F3504" s="2">
        <v>1</v>
      </c>
      <c r="G3504" s="2" t="s">
        <v>17</v>
      </c>
    </row>
    <row r="3505" spans="1:7" x14ac:dyDescent="0.2">
      <c r="A3505" s="2" t="s">
        <v>4597</v>
      </c>
      <c r="B3505" s="2" t="s">
        <v>4340</v>
      </c>
      <c r="C3505" s="2" t="s">
        <v>1496</v>
      </c>
      <c r="D3505" s="2" t="s">
        <v>10</v>
      </c>
      <c r="E3505" s="2" t="s">
        <v>16</v>
      </c>
      <c r="F3505" s="2">
        <v>1</v>
      </c>
      <c r="G3505" s="2" t="s">
        <v>17</v>
      </c>
    </row>
    <row r="3506" spans="1:7" x14ac:dyDescent="0.2">
      <c r="A3506" s="2" t="s">
        <v>4598</v>
      </c>
      <c r="B3506" s="2" t="s">
        <v>4599</v>
      </c>
      <c r="C3506" s="2" t="s">
        <v>4600</v>
      </c>
      <c r="D3506" s="2" t="s">
        <v>10</v>
      </c>
      <c r="E3506" s="2" t="s">
        <v>16</v>
      </c>
      <c r="F3506" s="2">
        <v>2</v>
      </c>
      <c r="G3506" s="2" t="s">
        <v>17</v>
      </c>
    </row>
    <row r="3507" spans="1:7" x14ac:dyDescent="0.2">
      <c r="A3507" s="2" t="s">
        <v>4601</v>
      </c>
      <c r="B3507" s="2" t="s">
        <v>4602</v>
      </c>
      <c r="C3507" s="2" t="s">
        <v>325</v>
      </c>
      <c r="D3507" s="2" t="s">
        <v>10</v>
      </c>
      <c r="E3507" s="2" t="s">
        <v>16</v>
      </c>
      <c r="F3507" s="2">
        <v>1</v>
      </c>
      <c r="G3507" s="2" t="s">
        <v>17</v>
      </c>
    </row>
    <row r="3508" spans="1:7" x14ac:dyDescent="0.2">
      <c r="A3508" s="2" t="s">
        <v>4601</v>
      </c>
      <c r="B3508" s="2" t="s">
        <v>4603</v>
      </c>
      <c r="C3508" s="2" t="s">
        <v>325</v>
      </c>
      <c r="D3508" s="2" t="s">
        <v>10</v>
      </c>
      <c r="E3508" s="2" t="s">
        <v>16</v>
      </c>
      <c r="F3508" s="2">
        <v>1</v>
      </c>
      <c r="G3508" s="2" t="s">
        <v>17</v>
      </c>
    </row>
    <row r="3509" spans="1:7" x14ac:dyDescent="0.2">
      <c r="A3509" s="2" t="s">
        <v>4604</v>
      </c>
      <c r="B3509" s="2" t="s">
        <v>4605</v>
      </c>
      <c r="C3509" s="2" t="s">
        <v>4606</v>
      </c>
      <c r="D3509" s="2" t="s">
        <v>10</v>
      </c>
      <c r="E3509" s="2" t="s">
        <v>16</v>
      </c>
      <c r="F3509" s="2">
        <v>1</v>
      </c>
      <c r="G3509" s="2" t="s">
        <v>17</v>
      </c>
    </row>
    <row r="3510" spans="1:7" x14ac:dyDescent="0.2">
      <c r="A3510" s="2" t="s">
        <v>4604</v>
      </c>
      <c r="B3510" s="2" t="s">
        <v>4607</v>
      </c>
      <c r="C3510" s="2" t="s">
        <v>4606</v>
      </c>
      <c r="D3510" s="2" t="s">
        <v>10</v>
      </c>
      <c r="E3510" s="2" t="s">
        <v>16</v>
      </c>
      <c r="F3510" s="2">
        <v>1</v>
      </c>
      <c r="G3510" s="2" t="s">
        <v>17</v>
      </c>
    </row>
    <row r="3511" spans="1:7" x14ac:dyDescent="0.2">
      <c r="A3511" s="2" t="s">
        <v>4608</v>
      </c>
      <c r="B3511" s="2" t="s">
        <v>515</v>
      </c>
      <c r="C3511" s="2" t="s">
        <v>4237</v>
      </c>
      <c r="D3511" s="2" t="s">
        <v>56</v>
      </c>
      <c r="E3511" s="2" t="s">
        <v>16</v>
      </c>
      <c r="F3511" s="2">
        <v>1</v>
      </c>
      <c r="G3511" s="2" t="s">
        <v>17</v>
      </c>
    </row>
    <row r="3512" spans="1:7" x14ac:dyDescent="0.2">
      <c r="A3512" s="2" t="s">
        <v>4609</v>
      </c>
      <c r="B3512" s="2" t="s">
        <v>4610</v>
      </c>
      <c r="C3512" s="2" t="s">
        <v>4611</v>
      </c>
      <c r="D3512" s="2" t="s">
        <v>10</v>
      </c>
      <c r="E3512" s="2" t="s">
        <v>16</v>
      </c>
      <c r="F3512" s="2">
        <v>1</v>
      </c>
      <c r="G3512" s="2" t="s">
        <v>17</v>
      </c>
    </row>
    <row r="3513" spans="1:7" x14ac:dyDescent="0.2">
      <c r="A3513" s="2" t="s">
        <v>4609</v>
      </c>
      <c r="B3513" s="2" t="s">
        <v>4612</v>
      </c>
      <c r="C3513" s="2" t="s">
        <v>4613</v>
      </c>
      <c r="D3513" s="2" t="s">
        <v>10</v>
      </c>
      <c r="E3513" s="2" t="s">
        <v>16</v>
      </c>
      <c r="F3513" s="2">
        <v>1</v>
      </c>
      <c r="G3513" s="2" t="s">
        <v>17</v>
      </c>
    </row>
    <row r="3514" spans="1:7" x14ac:dyDescent="0.2">
      <c r="A3514" s="2" t="s">
        <v>4609</v>
      </c>
      <c r="B3514" s="2" t="s">
        <v>4614</v>
      </c>
      <c r="C3514" s="2" t="s">
        <v>4615</v>
      </c>
      <c r="D3514" s="2" t="s">
        <v>10</v>
      </c>
      <c r="E3514" s="2" t="s">
        <v>16</v>
      </c>
      <c r="F3514" s="2">
        <v>1</v>
      </c>
      <c r="G3514" s="2" t="s">
        <v>17</v>
      </c>
    </row>
    <row r="3515" spans="1:7" x14ac:dyDescent="0.2">
      <c r="A3515" s="2" t="s">
        <v>4609</v>
      </c>
      <c r="B3515" s="2" t="s">
        <v>4616</v>
      </c>
      <c r="C3515" s="2" t="s">
        <v>4617</v>
      </c>
      <c r="D3515" s="2" t="s">
        <v>10</v>
      </c>
      <c r="E3515" s="2" t="s">
        <v>16</v>
      </c>
      <c r="F3515" s="2">
        <v>1</v>
      </c>
      <c r="G3515" s="2" t="s">
        <v>17</v>
      </c>
    </row>
    <row r="3516" spans="1:7" x14ac:dyDescent="0.2">
      <c r="A3516" s="2" t="s">
        <v>4609</v>
      </c>
      <c r="B3516" s="2" t="s">
        <v>4618</v>
      </c>
      <c r="C3516" s="2" t="s">
        <v>4613</v>
      </c>
      <c r="D3516" s="2" t="s">
        <v>10</v>
      </c>
      <c r="E3516" s="2" t="s">
        <v>16</v>
      </c>
      <c r="F3516" s="2">
        <v>1</v>
      </c>
      <c r="G3516" s="2" t="s">
        <v>17</v>
      </c>
    </row>
    <row r="3517" spans="1:7" x14ac:dyDescent="0.2">
      <c r="A3517" s="2" t="s">
        <v>4609</v>
      </c>
      <c r="B3517" s="2" t="s">
        <v>4619</v>
      </c>
      <c r="C3517" s="2" t="s">
        <v>4613</v>
      </c>
      <c r="D3517" s="2" t="s">
        <v>10</v>
      </c>
      <c r="E3517" s="2" t="s">
        <v>16</v>
      </c>
      <c r="F3517" s="2">
        <v>1</v>
      </c>
      <c r="G3517" s="2" t="s">
        <v>17</v>
      </c>
    </row>
    <row r="3518" spans="1:7" x14ac:dyDescent="0.2">
      <c r="A3518" s="2" t="s">
        <v>4609</v>
      </c>
      <c r="B3518" s="2" t="s">
        <v>4620</v>
      </c>
      <c r="C3518" s="2" t="s">
        <v>4613</v>
      </c>
      <c r="D3518" s="2" t="s">
        <v>10</v>
      </c>
      <c r="E3518" s="2" t="s">
        <v>16</v>
      </c>
      <c r="F3518" s="2">
        <v>1</v>
      </c>
      <c r="G3518" s="2" t="s">
        <v>17</v>
      </c>
    </row>
    <row r="3519" spans="1:7" x14ac:dyDescent="0.2">
      <c r="A3519" s="2" t="s">
        <v>4621</v>
      </c>
      <c r="B3519" s="2" t="s">
        <v>4622</v>
      </c>
      <c r="C3519" s="2" t="s">
        <v>3848</v>
      </c>
      <c r="D3519" s="2" t="s">
        <v>10</v>
      </c>
      <c r="E3519" s="2" t="s">
        <v>52</v>
      </c>
      <c r="F3519" s="2">
        <v>1</v>
      </c>
      <c r="G3519" s="2" t="s">
        <v>17</v>
      </c>
    </row>
    <row r="3520" spans="1:7" x14ac:dyDescent="0.2">
      <c r="A3520" s="2" t="s">
        <v>4621</v>
      </c>
      <c r="B3520" s="2" t="s">
        <v>4623</v>
      </c>
      <c r="C3520" s="2" t="s">
        <v>3848</v>
      </c>
      <c r="D3520" s="2" t="s">
        <v>10</v>
      </c>
      <c r="E3520" s="2" t="s">
        <v>52</v>
      </c>
      <c r="F3520" s="2">
        <v>1</v>
      </c>
      <c r="G3520" s="2" t="s">
        <v>17</v>
      </c>
    </row>
    <row r="3521" spans="1:7" x14ac:dyDescent="0.2">
      <c r="A3521" s="2" t="s">
        <v>4621</v>
      </c>
      <c r="B3521" s="2" t="s">
        <v>4624</v>
      </c>
      <c r="C3521" s="2" t="s">
        <v>4625</v>
      </c>
      <c r="D3521" s="2" t="s">
        <v>10</v>
      </c>
      <c r="E3521" s="2" t="s">
        <v>16</v>
      </c>
      <c r="F3521" s="2">
        <v>1</v>
      </c>
      <c r="G3521" s="2" t="s">
        <v>17</v>
      </c>
    </row>
    <row r="3522" spans="1:7" x14ac:dyDescent="0.2">
      <c r="A3522" s="2" t="s">
        <v>4621</v>
      </c>
      <c r="B3522" s="2" t="s">
        <v>4626</v>
      </c>
      <c r="C3522" s="2" t="s">
        <v>4625</v>
      </c>
      <c r="D3522" s="2" t="s">
        <v>10</v>
      </c>
      <c r="E3522" s="2" t="s">
        <v>16</v>
      </c>
      <c r="F3522" s="2">
        <v>1</v>
      </c>
      <c r="G3522" s="2" t="s">
        <v>17</v>
      </c>
    </row>
    <row r="3523" spans="1:7" x14ac:dyDescent="0.2">
      <c r="A3523" s="2" t="s">
        <v>4621</v>
      </c>
      <c r="B3523" s="2" t="s">
        <v>4627</v>
      </c>
      <c r="C3523" s="2" t="s">
        <v>4628</v>
      </c>
      <c r="D3523" s="2" t="s">
        <v>10</v>
      </c>
      <c r="E3523" s="2" t="s">
        <v>16</v>
      </c>
      <c r="F3523" s="2">
        <v>2</v>
      </c>
      <c r="G3523" s="2" t="s">
        <v>17</v>
      </c>
    </row>
    <row r="3524" spans="1:7" x14ac:dyDescent="0.2">
      <c r="A3524" s="2" t="s">
        <v>4621</v>
      </c>
      <c r="B3524" s="2" t="s">
        <v>4629</v>
      </c>
      <c r="C3524" s="2" t="s">
        <v>4630</v>
      </c>
      <c r="D3524" s="2" t="s">
        <v>10</v>
      </c>
      <c r="E3524" s="2" t="s">
        <v>1080</v>
      </c>
      <c r="F3524" s="2">
        <v>1</v>
      </c>
      <c r="G3524" s="2" t="s">
        <v>17</v>
      </c>
    </row>
    <row r="3525" spans="1:7" x14ac:dyDescent="0.2">
      <c r="A3525" s="2" t="s">
        <v>4621</v>
      </c>
      <c r="B3525" s="2" t="s">
        <v>4631</v>
      </c>
      <c r="C3525" s="2" t="s">
        <v>4625</v>
      </c>
      <c r="D3525" s="2" t="s">
        <v>10</v>
      </c>
      <c r="E3525" s="2" t="s">
        <v>16</v>
      </c>
      <c r="F3525" s="2">
        <v>1</v>
      </c>
      <c r="G3525" s="2" t="s">
        <v>17</v>
      </c>
    </row>
    <row r="3526" spans="1:7" x14ac:dyDescent="0.2">
      <c r="A3526" s="2" t="s">
        <v>4621</v>
      </c>
      <c r="B3526" s="2" t="s">
        <v>4632</v>
      </c>
      <c r="C3526" s="2" t="s">
        <v>4625</v>
      </c>
      <c r="D3526" s="2" t="s">
        <v>10</v>
      </c>
      <c r="E3526" s="2" t="s">
        <v>16</v>
      </c>
      <c r="F3526" s="2">
        <v>1</v>
      </c>
      <c r="G3526" s="2" t="s">
        <v>17</v>
      </c>
    </row>
    <row r="3527" spans="1:7" x14ac:dyDescent="0.2">
      <c r="A3527" s="2" t="s">
        <v>4621</v>
      </c>
      <c r="B3527" s="2" t="s">
        <v>4412</v>
      </c>
      <c r="C3527" s="2" t="s">
        <v>4628</v>
      </c>
      <c r="D3527" s="2" t="s">
        <v>10</v>
      </c>
      <c r="E3527" s="2" t="s">
        <v>16</v>
      </c>
      <c r="F3527" s="2">
        <v>2</v>
      </c>
      <c r="G3527" s="2" t="s">
        <v>17</v>
      </c>
    </row>
    <row r="3528" spans="1:7" x14ac:dyDescent="0.2">
      <c r="A3528" s="2" t="s">
        <v>4621</v>
      </c>
      <c r="B3528" s="2" t="s">
        <v>4633</v>
      </c>
      <c r="C3528" s="2" t="s">
        <v>4634</v>
      </c>
      <c r="D3528" s="2" t="s">
        <v>10</v>
      </c>
      <c r="E3528" s="2" t="s">
        <v>11</v>
      </c>
      <c r="F3528" s="2">
        <v>1</v>
      </c>
      <c r="G3528" s="2" t="s">
        <v>17</v>
      </c>
    </row>
    <row r="3529" spans="1:7" x14ac:dyDescent="0.2">
      <c r="A3529" s="2" t="s">
        <v>4621</v>
      </c>
      <c r="B3529" s="2" t="s">
        <v>4635</v>
      </c>
      <c r="C3529" s="2" t="s">
        <v>4636</v>
      </c>
      <c r="D3529" s="2" t="s">
        <v>10</v>
      </c>
      <c r="E3529" s="2" t="s">
        <v>16</v>
      </c>
      <c r="F3529" s="2">
        <v>1</v>
      </c>
      <c r="G3529" s="2" t="s">
        <v>17</v>
      </c>
    </row>
    <row r="3530" spans="1:7" x14ac:dyDescent="0.2">
      <c r="A3530" s="2" t="s">
        <v>4621</v>
      </c>
      <c r="B3530" s="2" t="s">
        <v>1294</v>
      </c>
      <c r="C3530" s="2" t="s">
        <v>4636</v>
      </c>
      <c r="D3530" s="2" t="s">
        <v>10</v>
      </c>
      <c r="E3530" s="2" t="s">
        <v>16</v>
      </c>
      <c r="F3530" s="2">
        <v>1</v>
      </c>
      <c r="G3530" s="2" t="s">
        <v>17</v>
      </c>
    </row>
    <row r="3531" spans="1:7" x14ac:dyDescent="0.2">
      <c r="A3531" s="2" t="s">
        <v>4621</v>
      </c>
      <c r="B3531" s="2" t="s">
        <v>4637</v>
      </c>
      <c r="C3531" s="2" t="s">
        <v>4628</v>
      </c>
      <c r="D3531" s="2" t="s">
        <v>10</v>
      </c>
      <c r="E3531" s="2" t="s">
        <v>16</v>
      </c>
      <c r="F3531" s="2">
        <v>2</v>
      </c>
      <c r="G3531" s="2" t="s">
        <v>17</v>
      </c>
    </row>
    <row r="3532" spans="1:7" x14ac:dyDescent="0.2">
      <c r="A3532" s="2" t="s">
        <v>4621</v>
      </c>
      <c r="B3532" s="2" t="s">
        <v>4638</v>
      </c>
      <c r="C3532" s="2" t="s">
        <v>4628</v>
      </c>
      <c r="D3532" s="2" t="s">
        <v>10</v>
      </c>
      <c r="E3532" s="2" t="s">
        <v>16</v>
      </c>
      <c r="F3532" s="2">
        <v>2</v>
      </c>
      <c r="G3532" s="2" t="s">
        <v>17</v>
      </c>
    </row>
    <row r="3533" spans="1:7" x14ac:dyDescent="0.2">
      <c r="A3533" s="2" t="s">
        <v>4621</v>
      </c>
      <c r="B3533" s="2" t="s">
        <v>4639</v>
      </c>
      <c r="C3533" s="2" t="s">
        <v>4640</v>
      </c>
      <c r="D3533" s="2" t="s">
        <v>10</v>
      </c>
      <c r="E3533" s="2" t="s">
        <v>16</v>
      </c>
      <c r="F3533" s="2">
        <v>2</v>
      </c>
      <c r="G3533" s="2" t="s">
        <v>17</v>
      </c>
    </row>
    <row r="3534" spans="1:7" x14ac:dyDescent="0.2">
      <c r="A3534" s="2" t="s">
        <v>4621</v>
      </c>
      <c r="B3534" s="2" t="s">
        <v>4641</v>
      </c>
      <c r="C3534" s="2" t="s">
        <v>4642</v>
      </c>
      <c r="D3534" s="2" t="s">
        <v>10</v>
      </c>
      <c r="E3534" s="2" t="s">
        <v>16</v>
      </c>
      <c r="F3534" s="2">
        <v>1</v>
      </c>
      <c r="G3534" s="2" t="s">
        <v>17</v>
      </c>
    </row>
    <row r="3535" spans="1:7" x14ac:dyDescent="0.2">
      <c r="A3535" s="2" t="s">
        <v>4621</v>
      </c>
      <c r="B3535" s="2" t="s">
        <v>4643</v>
      </c>
      <c r="C3535" s="2" t="s">
        <v>4642</v>
      </c>
      <c r="D3535" s="2" t="s">
        <v>10</v>
      </c>
      <c r="E3535" s="2" t="s">
        <v>16</v>
      </c>
      <c r="F3535" s="2">
        <v>1</v>
      </c>
      <c r="G3535" s="2" t="s">
        <v>17</v>
      </c>
    </row>
    <row r="3536" spans="1:7" x14ac:dyDescent="0.2">
      <c r="A3536" s="2" t="s">
        <v>4621</v>
      </c>
      <c r="B3536" s="2" t="s">
        <v>4644</v>
      </c>
      <c r="C3536" s="2" t="s">
        <v>4642</v>
      </c>
      <c r="D3536" s="2" t="s">
        <v>10</v>
      </c>
      <c r="E3536" s="2" t="s">
        <v>16</v>
      </c>
      <c r="F3536" s="2">
        <v>1</v>
      </c>
      <c r="G3536" s="2" t="s">
        <v>17</v>
      </c>
    </row>
    <row r="3537" spans="1:7" x14ac:dyDescent="0.2">
      <c r="A3537" s="2" t="s">
        <v>4621</v>
      </c>
      <c r="B3537" s="2" t="s">
        <v>4645</v>
      </c>
      <c r="C3537" s="2" t="s">
        <v>4642</v>
      </c>
      <c r="D3537" s="2" t="s">
        <v>10</v>
      </c>
      <c r="E3537" s="2" t="s">
        <v>16</v>
      </c>
      <c r="F3537" s="2">
        <v>1</v>
      </c>
      <c r="G3537" s="2" t="s">
        <v>17</v>
      </c>
    </row>
    <row r="3538" spans="1:7" x14ac:dyDescent="0.2">
      <c r="A3538" s="2" t="s">
        <v>4621</v>
      </c>
      <c r="B3538" s="2" t="s">
        <v>4646</v>
      </c>
      <c r="C3538" s="2" t="s">
        <v>4642</v>
      </c>
      <c r="D3538" s="2" t="s">
        <v>10</v>
      </c>
      <c r="E3538" s="2" t="s">
        <v>16</v>
      </c>
      <c r="F3538" s="2">
        <v>1</v>
      </c>
      <c r="G3538" s="2" t="s">
        <v>17</v>
      </c>
    </row>
    <row r="3539" spans="1:7" x14ac:dyDescent="0.2">
      <c r="A3539" s="2" t="s">
        <v>4621</v>
      </c>
      <c r="B3539" s="2" t="s">
        <v>4647</v>
      </c>
      <c r="C3539" s="2" t="s">
        <v>4625</v>
      </c>
      <c r="D3539" s="2" t="s">
        <v>10</v>
      </c>
      <c r="E3539" s="2" t="s">
        <v>16</v>
      </c>
      <c r="F3539" s="2">
        <v>1</v>
      </c>
      <c r="G3539" s="2" t="s">
        <v>17</v>
      </c>
    </row>
    <row r="3540" spans="1:7" x14ac:dyDescent="0.2">
      <c r="A3540" s="2" t="s">
        <v>4621</v>
      </c>
      <c r="B3540" s="2" t="s">
        <v>4648</v>
      </c>
      <c r="C3540" s="2" t="s">
        <v>4625</v>
      </c>
      <c r="D3540" s="2" t="s">
        <v>10</v>
      </c>
      <c r="E3540" s="2" t="s">
        <v>16</v>
      </c>
      <c r="F3540" s="2">
        <v>1</v>
      </c>
      <c r="G3540" s="2" t="s">
        <v>17</v>
      </c>
    </row>
    <row r="3541" spans="1:7" x14ac:dyDescent="0.2">
      <c r="A3541" s="2" t="s">
        <v>4621</v>
      </c>
      <c r="B3541" s="2" t="s">
        <v>4649</v>
      </c>
      <c r="C3541" s="2" t="s">
        <v>4628</v>
      </c>
      <c r="D3541" s="2" t="s">
        <v>10</v>
      </c>
      <c r="E3541" s="2" t="s">
        <v>16</v>
      </c>
      <c r="F3541" s="2">
        <v>2</v>
      </c>
      <c r="G3541" s="2" t="s">
        <v>17</v>
      </c>
    </row>
    <row r="3542" spans="1:7" x14ac:dyDescent="0.2">
      <c r="A3542" s="2" t="s">
        <v>4621</v>
      </c>
      <c r="B3542" s="2" t="s">
        <v>4650</v>
      </c>
      <c r="C3542" s="2" t="s">
        <v>4625</v>
      </c>
      <c r="D3542" s="2" t="s">
        <v>10</v>
      </c>
      <c r="E3542" s="2" t="s">
        <v>16</v>
      </c>
      <c r="F3542" s="2">
        <v>1</v>
      </c>
      <c r="G3542" s="2" t="s">
        <v>17</v>
      </c>
    </row>
    <row r="3543" spans="1:7" x14ac:dyDescent="0.2">
      <c r="A3543" s="2" t="s">
        <v>4621</v>
      </c>
      <c r="B3543" s="2" t="s">
        <v>4651</v>
      </c>
      <c r="C3543" s="2" t="s">
        <v>4634</v>
      </c>
      <c r="D3543" s="2" t="s">
        <v>10</v>
      </c>
      <c r="E3543" s="2" t="s">
        <v>11</v>
      </c>
      <c r="F3543" s="2">
        <v>1</v>
      </c>
      <c r="G3543" s="2" t="s">
        <v>17</v>
      </c>
    </row>
    <row r="3544" spans="1:7" x14ac:dyDescent="0.2">
      <c r="A3544" s="2" t="s">
        <v>4621</v>
      </c>
      <c r="B3544" s="2" t="s">
        <v>4652</v>
      </c>
      <c r="C3544" s="2" t="s">
        <v>4642</v>
      </c>
      <c r="D3544" s="2" t="s">
        <v>10</v>
      </c>
      <c r="E3544" s="2" t="s">
        <v>16</v>
      </c>
      <c r="F3544" s="2">
        <v>1</v>
      </c>
      <c r="G3544" s="2" t="s">
        <v>17</v>
      </c>
    </row>
    <row r="3545" spans="1:7" x14ac:dyDescent="0.2">
      <c r="A3545" s="2" t="s">
        <v>4621</v>
      </c>
      <c r="B3545" s="2" t="s">
        <v>584</v>
      </c>
      <c r="C3545" s="2" t="s">
        <v>4642</v>
      </c>
      <c r="D3545" s="2" t="s">
        <v>10</v>
      </c>
      <c r="E3545" s="2" t="s">
        <v>16</v>
      </c>
      <c r="F3545" s="2">
        <v>1</v>
      </c>
      <c r="G3545" s="2" t="s">
        <v>17</v>
      </c>
    </row>
    <row r="3546" spans="1:7" x14ac:dyDescent="0.2">
      <c r="A3546" s="2" t="s">
        <v>4621</v>
      </c>
      <c r="B3546" s="2" t="s">
        <v>4653</v>
      </c>
      <c r="C3546" s="2" t="s">
        <v>4654</v>
      </c>
      <c r="D3546" s="2" t="s">
        <v>10</v>
      </c>
      <c r="E3546" s="2" t="s">
        <v>16</v>
      </c>
      <c r="F3546" s="2">
        <v>1</v>
      </c>
      <c r="G3546" s="2" t="s">
        <v>17</v>
      </c>
    </row>
    <row r="3547" spans="1:7" x14ac:dyDescent="0.2">
      <c r="A3547" s="2" t="s">
        <v>4621</v>
      </c>
      <c r="B3547" s="2" t="s">
        <v>414</v>
      </c>
      <c r="C3547" s="2" t="s">
        <v>4642</v>
      </c>
      <c r="D3547" s="2" t="s">
        <v>10</v>
      </c>
      <c r="E3547" s="2" t="s">
        <v>16</v>
      </c>
      <c r="F3547" s="2">
        <v>1</v>
      </c>
      <c r="G3547" s="2" t="s">
        <v>17</v>
      </c>
    </row>
    <row r="3548" spans="1:7" x14ac:dyDescent="0.2">
      <c r="A3548" s="2" t="s">
        <v>4621</v>
      </c>
      <c r="B3548" s="2" t="s">
        <v>768</v>
      </c>
      <c r="C3548" s="2" t="s">
        <v>4642</v>
      </c>
      <c r="D3548" s="2" t="s">
        <v>10</v>
      </c>
      <c r="E3548" s="2" t="s">
        <v>16</v>
      </c>
      <c r="F3548" s="2">
        <v>1</v>
      </c>
      <c r="G3548" s="2" t="s">
        <v>17</v>
      </c>
    </row>
    <row r="3549" spans="1:7" x14ac:dyDescent="0.2">
      <c r="A3549" s="2" t="s">
        <v>4621</v>
      </c>
      <c r="B3549" s="2" t="s">
        <v>4655</v>
      </c>
      <c r="C3549" s="2" t="s">
        <v>4654</v>
      </c>
      <c r="D3549" s="2" t="s">
        <v>10</v>
      </c>
      <c r="E3549" s="2" t="s">
        <v>16</v>
      </c>
      <c r="F3549" s="2">
        <v>1</v>
      </c>
      <c r="G3549" s="2" t="s">
        <v>17</v>
      </c>
    </row>
    <row r="3550" spans="1:7" x14ac:dyDescent="0.2">
      <c r="A3550" s="2" t="s">
        <v>4621</v>
      </c>
      <c r="B3550" s="2" t="s">
        <v>4656</v>
      </c>
      <c r="C3550" s="2" t="s">
        <v>4654</v>
      </c>
      <c r="D3550" s="2" t="s">
        <v>10</v>
      </c>
      <c r="E3550" s="2" t="s">
        <v>16</v>
      </c>
      <c r="F3550" s="2">
        <v>1</v>
      </c>
      <c r="G3550" s="2" t="s">
        <v>17</v>
      </c>
    </row>
    <row r="3551" spans="1:7" x14ac:dyDescent="0.2">
      <c r="A3551" s="2" t="s">
        <v>4621</v>
      </c>
      <c r="B3551" s="2" t="s">
        <v>4657</v>
      </c>
      <c r="C3551" s="2" t="s">
        <v>4654</v>
      </c>
      <c r="D3551" s="2" t="s">
        <v>10</v>
      </c>
      <c r="E3551" s="2" t="s">
        <v>16</v>
      </c>
      <c r="F3551" s="2">
        <v>1</v>
      </c>
      <c r="G3551" s="2" t="s">
        <v>17</v>
      </c>
    </row>
    <row r="3552" spans="1:7" x14ac:dyDescent="0.2">
      <c r="A3552" s="2" t="s">
        <v>4621</v>
      </c>
      <c r="B3552" s="2" t="s">
        <v>4658</v>
      </c>
      <c r="C3552" s="2" t="s">
        <v>4654</v>
      </c>
      <c r="D3552" s="2" t="s">
        <v>10</v>
      </c>
      <c r="E3552" s="2" t="s">
        <v>16</v>
      </c>
      <c r="F3552" s="2">
        <v>1</v>
      </c>
      <c r="G3552" s="2" t="s">
        <v>17</v>
      </c>
    </row>
    <row r="3553" spans="1:7" x14ac:dyDescent="0.2">
      <c r="A3553" s="2" t="s">
        <v>4621</v>
      </c>
      <c r="B3553" s="2" t="s">
        <v>4659</v>
      </c>
      <c r="C3553" s="2" t="s">
        <v>4654</v>
      </c>
      <c r="D3553" s="2" t="s">
        <v>10</v>
      </c>
      <c r="E3553" s="2" t="s">
        <v>16</v>
      </c>
      <c r="F3553" s="2">
        <v>1</v>
      </c>
      <c r="G3553" s="2" t="s">
        <v>17</v>
      </c>
    </row>
    <row r="3554" spans="1:7" x14ac:dyDescent="0.2">
      <c r="A3554" s="2" t="s">
        <v>4621</v>
      </c>
      <c r="B3554" s="2" t="s">
        <v>4660</v>
      </c>
      <c r="C3554" s="2" t="s">
        <v>4654</v>
      </c>
      <c r="D3554" s="2" t="s">
        <v>10</v>
      </c>
      <c r="E3554" s="2" t="s">
        <v>16</v>
      </c>
      <c r="F3554" s="2">
        <v>1</v>
      </c>
      <c r="G3554" s="2" t="s">
        <v>17</v>
      </c>
    </row>
    <row r="3555" spans="1:7" x14ac:dyDescent="0.2">
      <c r="A3555" s="2" t="s">
        <v>4621</v>
      </c>
      <c r="B3555" s="2" t="s">
        <v>4661</v>
      </c>
      <c r="C3555" s="2" t="s">
        <v>4642</v>
      </c>
      <c r="D3555" s="2" t="s">
        <v>10</v>
      </c>
      <c r="E3555" s="2" t="s">
        <v>16</v>
      </c>
      <c r="F3555" s="2">
        <v>1</v>
      </c>
      <c r="G3555" s="2" t="s">
        <v>17</v>
      </c>
    </row>
    <row r="3556" spans="1:7" x14ac:dyDescent="0.2">
      <c r="A3556" s="2" t="s">
        <v>4621</v>
      </c>
      <c r="B3556" s="2" t="s">
        <v>4662</v>
      </c>
      <c r="C3556" s="2" t="s">
        <v>4625</v>
      </c>
      <c r="D3556" s="2" t="s">
        <v>10</v>
      </c>
      <c r="E3556" s="2" t="s">
        <v>16</v>
      </c>
      <c r="F3556" s="2">
        <v>1</v>
      </c>
      <c r="G3556" s="2" t="s">
        <v>17</v>
      </c>
    </row>
    <row r="3557" spans="1:7" x14ac:dyDescent="0.2">
      <c r="A3557" s="2" t="s">
        <v>4621</v>
      </c>
      <c r="B3557" s="2" t="s">
        <v>4663</v>
      </c>
      <c r="C3557" s="2" t="s">
        <v>4654</v>
      </c>
      <c r="D3557" s="2" t="s">
        <v>10</v>
      </c>
      <c r="E3557" s="2" t="s">
        <v>16</v>
      </c>
      <c r="F3557" s="2">
        <v>1</v>
      </c>
      <c r="G3557" s="2" t="s">
        <v>17</v>
      </c>
    </row>
    <row r="3558" spans="1:7" x14ac:dyDescent="0.2">
      <c r="A3558" s="2" t="s">
        <v>4621</v>
      </c>
      <c r="B3558" s="2" t="s">
        <v>4664</v>
      </c>
      <c r="C3558" s="2" t="s">
        <v>4654</v>
      </c>
      <c r="D3558" s="2" t="s">
        <v>10</v>
      </c>
      <c r="E3558" s="2" t="s">
        <v>16</v>
      </c>
      <c r="F3558" s="2">
        <v>1</v>
      </c>
      <c r="G3558" s="2" t="s">
        <v>17</v>
      </c>
    </row>
    <row r="3559" spans="1:7" x14ac:dyDescent="0.2">
      <c r="A3559" s="2" t="s">
        <v>4621</v>
      </c>
      <c r="B3559" s="2" t="s">
        <v>4665</v>
      </c>
      <c r="C3559" s="2" t="s">
        <v>4642</v>
      </c>
      <c r="D3559" s="2" t="s">
        <v>10</v>
      </c>
      <c r="E3559" s="2" t="s">
        <v>16</v>
      </c>
      <c r="F3559" s="2">
        <v>1</v>
      </c>
      <c r="G3559" s="2" t="s">
        <v>17</v>
      </c>
    </row>
    <row r="3560" spans="1:7" x14ac:dyDescent="0.2">
      <c r="A3560" s="2" t="s">
        <v>4621</v>
      </c>
      <c r="B3560" s="2" t="s">
        <v>4666</v>
      </c>
      <c r="C3560" s="2" t="s">
        <v>4654</v>
      </c>
      <c r="D3560" s="2" t="s">
        <v>10</v>
      </c>
      <c r="E3560" s="2" t="s">
        <v>16</v>
      </c>
      <c r="F3560" s="2">
        <v>1</v>
      </c>
      <c r="G3560" s="2" t="s">
        <v>17</v>
      </c>
    </row>
    <row r="3561" spans="1:7" x14ac:dyDescent="0.2">
      <c r="A3561" s="2" t="s">
        <v>4621</v>
      </c>
      <c r="B3561" s="2" t="s">
        <v>4667</v>
      </c>
      <c r="C3561" s="2" t="s">
        <v>4654</v>
      </c>
      <c r="D3561" s="2" t="s">
        <v>10</v>
      </c>
      <c r="E3561" s="2" t="s">
        <v>16</v>
      </c>
      <c r="F3561" s="2">
        <v>1</v>
      </c>
      <c r="G3561" s="2" t="s">
        <v>17</v>
      </c>
    </row>
    <row r="3562" spans="1:7" x14ac:dyDescent="0.2">
      <c r="A3562" s="2" t="s">
        <v>4621</v>
      </c>
      <c r="B3562" s="2" t="s">
        <v>674</v>
      </c>
      <c r="C3562" s="2" t="s">
        <v>4636</v>
      </c>
      <c r="D3562" s="2" t="s">
        <v>10</v>
      </c>
      <c r="E3562" s="2" t="s">
        <v>16</v>
      </c>
      <c r="F3562" s="2">
        <v>1</v>
      </c>
      <c r="G3562" s="2" t="s">
        <v>17</v>
      </c>
    </row>
    <row r="3563" spans="1:7" x14ac:dyDescent="0.2">
      <c r="A3563" s="2" t="s">
        <v>4621</v>
      </c>
      <c r="B3563" s="2" t="s">
        <v>4668</v>
      </c>
      <c r="C3563" s="2" t="s">
        <v>4636</v>
      </c>
      <c r="D3563" s="2" t="s">
        <v>10</v>
      </c>
      <c r="E3563" s="2" t="s">
        <v>16</v>
      </c>
      <c r="F3563" s="2">
        <v>1</v>
      </c>
      <c r="G3563" s="2" t="s">
        <v>17</v>
      </c>
    </row>
    <row r="3564" spans="1:7" x14ac:dyDescent="0.2">
      <c r="A3564" s="2" t="s">
        <v>4621</v>
      </c>
      <c r="B3564" s="2" t="s">
        <v>4669</v>
      </c>
      <c r="C3564" s="2" t="s">
        <v>4628</v>
      </c>
      <c r="D3564" s="2" t="s">
        <v>10</v>
      </c>
      <c r="E3564" s="2" t="s">
        <v>16</v>
      </c>
      <c r="F3564" s="2">
        <v>2</v>
      </c>
      <c r="G3564" s="2" t="s">
        <v>17</v>
      </c>
    </row>
    <row r="3565" spans="1:7" x14ac:dyDescent="0.2">
      <c r="A3565" s="2" t="s">
        <v>4621</v>
      </c>
      <c r="B3565" s="2" t="s">
        <v>4670</v>
      </c>
      <c r="C3565" s="2" t="s">
        <v>4654</v>
      </c>
      <c r="D3565" s="2" t="s">
        <v>10</v>
      </c>
      <c r="E3565" s="2" t="s">
        <v>16</v>
      </c>
      <c r="F3565" s="2">
        <v>1</v>
      </c>
      <c r="G3565" s="2" t="s">
        <v>17</v>
      </c>
    </row>
    <row r="3566" spans="1:7" x14ac:dyDescent="0.2">
      <c r="A3566" s="2" t="s">
        <v>4671</v>
      </c>
      <c r="B3566" s="2" t="s">
        <v>4672</v>
      </c>
      <c r="C3566" s="2" t="s">
        <v>4673</v>
      </c>
      <c r="D3566" s="2" t="s">
        <v>10</v>
      </c>
      <c r="E3566" s="2" t="s">
        <v>16</v>
      </c>
      <c r="F3566" s="2">
        <v>1</v>
      </c>
      <c r="G3566" s="2" t="s">
        <v>17</v>
      </c>
    </row>
    <row r="3567" spans="1:7" x14ac:dyDescent="0.2">
      <c r="A3567" s="2" t="s">
        <v>4674</v>
      </c>
      <c r="B3567" s="2" t="s">
        <v>4675</v>
      </c>
      <c r="C3567" s="2" t="s">
        <v>4676</v>
      </c>
      <c r="D3567" s="2" t="s">
        <v>10</v>
      </c>
      <c r="E3567" s="2" t="s">
        <v>16</v>
      </c>
      <c r="F3567" s="2">
        <v>1</v>
      </c>
      <c r="G3567" s="2" t="s">
        <v>17</v>
      </c>
    </row>
    <row r="3568" spans="1:7" x14ac:dyDescent="0.2">
      <c r="A3568" s="2" t="s">
        <v>4674</v>
      </c>
      <c r="B3568" s="2" t="s">
        <v>4677</v>
      </c>
      <c r="C3568" s="2" t="s">
        <v>4678</v>
      </c>
      <c r="D3568" s="2" t="s">
        <v>29</v>
      </c>
      <c r="E3568" s="2" t="s">
        <v>16</v>
      </c>
      <c r="F3568" s="2">
        <v>1</v>
      </c>
      <c r="G3568" s="2" t="s">
        <v>17</v>
      </c>
    </row>
    <row r="3569" spans="1:7" x14ac:dyDescent="0.2">
      <c r="A3569" s="2" t="s">
        <v>4679</v>
      </c>
      <c r="B3569" s="2" t="s">
        <v>4680</v>
      </c>
      <c r="C3569" s="2" t="s">
        <v>1990</v>
      </c>
      <c r="D3569" s="2" t="s">
        <v>10</v>
      </c>
      <c r="E3569" s="2" t="s">
        <v>16</v>
      </c>
      <c r="F3569" s="2">
        <v>1</v>
      </c>
      <c r="G3569" s="2" t="s">
        <v>17</v>
      </c>
    </row>
    <row r="3570" spans="1:7" x14ac:dyDescent="0.2">
      <c r="A3570" s="2" t="s">
        <v>4679</v>
      </c>
      <c r="B3570" s="2" t="s">
        <v>4681</v>
      </c>
      <c r="C3570" s="2" t="s">
        <v>4682</v>
      </c>
      <c r="D3570" s="2" t="s">
        <v>10</v>
      </c>
      <c r="E3570" s="2" t="s">
        <v>52</v>
      </c>
      <c r="F3570" s="2">
        <v>2</v>
      </c>
      <c r="G3570" s="2" t="s">
        <v>12</v>
      </c>
    </row>
    <row r="3571" spans="1:7" x14ac:dyDescent="0.2">
      <c r="A3571" s="2" t="s">
        <v>4679</v>
      </c>
      <c r="B3571" s="2" t="s">
        <v>4683</v>
      </c>
      <c r="C3571" s="2" t="s">
        <v>4684</v>
      </c>
      <c r="D3571" s="2" t="s">
        <v>10</v>
      </c>
      <c r="E3571" s="2" t="s">
        <v>16</v>
      </c>
      <c r="F3571" s="2">
        <v>1</v>
      </c>
      <c r="G3571" s="2" t="s">
        <v>17</v>
      </c>
    </row>
    <row r="3572" spans="1:7" x14ac:dyDescent="0.2">
      <c r="A3572" s="2" t="s">
        <v>4679</v>
      </c>
      <c r="B3572" s="2" t="s">
        <v>4685</v>
      </c>
      <c r="C3572" s="2" t="s">
        <v>4684</v>
      </c>
      <c r="D3572" s="2" t="s">
        <v>10</v>
      </c>
      <c r="E3572" s="2" t="s">
        <v>16</v>
      </c>
      <c r="F3572" s="2">
        <v>1</v>
      </c>
      <c r="G3572" s="2" t="s">
        <v>17</v>
      </c>
    </row>
    <row r="3573" spans="1:7" x14ac:dyDescent="0.2">
      <c r="A3573" s="2" t="s">
        <v>4679</v>
      </c>
      <c r="B3573" s="2" t="s">
        <v>4686</v>
      </c>
      <c r="C3573" s="2" t="s">
        <v>4682</v>
      </c>
      <c r="D3573" s="2" t="s">
        <v>10</v>
      </c>
      <c r="E3573" s="2" t="s">
        <v>52</v>
      </c>
      <c r="F3573" s="2">
        <v>2</v>
      </c>
      <c r="G3573" s="2" t="s">
        <v>12</v>
      </c>
    </row>
    <row r="3574" spans="1:7" x14ac:dyDescent="0.2">
      <c r="A3574" s="2" t="s">
        <v>4679</v>
      </c>
      <c r="B3574" s="2" t="s">
        <v>4687</v>
      </c>
      <c r="C3574" s="2" t="s">
        <v>4688</v>
      </c>
      <c r="D3574" s="2" t="s">
        <v>10</v>
      </c>
      <c r="E3574" s="2" t="s">
        <v>16</v>
      </c>
      <c r="F3574" s="2">
        <v>1</v>
      </c>
      <c r="G3574" s="2" t="s">
        <v>17</v>
      </c>
    </row>
    <row r="3575" spans="1:7" x14ac:dyDescent="0.2">
      <c r="A3575" s="2" t="s">
        <v>4679</v>
      </c>
      <c r="B3575" s="2" t="s">
        <v>2299</v>
      </c>
      <c r="C3575" s="2" t="s">
        <v>2204</v>
      </c>
      <c r="D3575" s="2" t="s">
        <v>10</v>
      </c>
      <c r="E3575" s="2" t="s">
        <v>16</v>
      </c>
      <c r="F3575" s="2">
        <v>1</v>
      </c>
      <c r="G3575" s="2" t="s">
        <v>17</v>
      </c>
    </row>
    <row r="3576" spans="1:7" x14ac:dyDescent="0.2">
      <c r="A3576" s="2" t="s">
        <v>4679</v>
      </c>
      <c r="B3576" s="2" t="s">
        <v>4689</v>
      </c>
      <c r="C3576" s="2" t="s">
        <v>4690</v>
      </c>
      <c r="D3576" s="2" t="s">
        <v>10</v>
      </c>
      <c r="E3576" s="2" t="s">
        <v>11</v>
      </c>
      <c r="F3576" s="2">
        <v>2</v>
      </c>
      <c r="G3576" s="2" t="s">
        <v>17</v>
      </c>
    </row>
    <row r="3577" spans="1:7" x14ac:dyDescent="0.2">
      <c r="A3577" s="2" t="s">
        <v>4679</v>
      </c>
      <c r="B3577" s="2" t="s">
        <v>4691</v>
      </c>
      <c r="C3577" s="2" t="s">
        <v>4690</v>
      </c>
      <c r="D3577" s="2" t="s">
        <v>10</v>
      </c>
      <c r="E3577" s="2" t="s">
        <v>11</v>
      </c>
      <c r="F3577" s="2">
        <v>2</v>
      </c>
      <c r="G3577" s="2" t="s">
        <v>17</v>
      </c>
    </row>
    <row r="3578" spans="1:7" x14ac:dyDescent="0.2">
      <c r="A3578" s="2" t="s">
        <v>4679</v>
      </c>
      <c r="B3578" s="2" t="s">
        <v>4692</v>
      </c>
      <c r="C3578" s="2" t="s">
        <v>4684</v>
      </c>
      <c r="D3578" s="2" t="s">
        <v>10</v>
      </c>
      <c r="E3578" s="2" t="s">
        <v>16</v>
      </c>
      <c r="F3578" s="2">
        <v>1</v>
      </c>
      <c r="G3578" s="2" t="s">
        <v>17</v>
      </c>
    </row>
    <row r="3579" spans="1:7" x14ac:dyDescent="0.2">
      <c r="A3579" s="2" t="s">
        <v>4679</v>
      </c>
      <c r="B3579" s="2" t="s">
        <v>4693</v>
      </c>
      <c r="C3579" s="2" t="s">
        <v>4684</v>
      </c>
      <c r="D3579" s="2" t="s">
        <v>10</v>
      </c>
      <c r="E3579" s="2" t="s">
        <v>16</v>
      </c>
      <c r="F3579" s="2">
        <v>1</v>
      </c>
      <c r="G3579" s="2" t="s">
        <v>17</v>
      </c>
    </row>
    <row r="3580" spans="1:7" x14ac:dyDescent="0.2">
      <c r="A3580" s="2" t="s">
        <v>4679</v>
      </c>
      <c r="B3580" s="2" t="s">
        <v>3453</v>
      </c>
      <c r="C3580" s="2" t="s">
        <v>2204</v>
      </c>
      <c r="D3580" s="2" t="s">
        <v>10</v>
      </c>
      <c r="E3580" s="2" t="s">
        <v>16</v>
      </c>
      <c r="F3580" s="2">
        <v>1</v>
      </c>
      <c r="G3580" s="2" t="s">
        <v>17</v>
      </c>
    </row>
    <row r="3581" spans="1:7" x14ac:dyDescent="0.2">
      <c r="A3581" s="2" t="s">
        <v>4679</v>
      </c>
      <c r="B3581" s="2" t="s">
        <v>4694</v>
      </c>
      <c r="C3581" s="2" t="s">
        <v>4688</v>
      </c>
      <c r="D3581" s="2" t="s">
        <v>10</v>
      </c>
      <c r="E3581" s="2" t="s">
        <v>16</v>
      </c>
      <c r="F3581" s="2">
        <v>1</v>
      </c>
      <c r="G3581" s="2" t="s">
        <v>17</v>
      </c>
    </row>
    <row r="3582" spans="1:7" x14ac:dyDescent="0.2">
      <c r="A3582" s="2" t="s">
        <v>4695</v>
      </c>
      <c r="B3582" s="2" t="s">
        <v>4696</v>
      </c>
      <c r="C3582" s="2" t="s">
        <v>4697</v>
      </c>
      <c r="D3582" s="2" t="s">
        <v>10</v>
      </c>
      <c r="E3582" s="2" t="s">
        <v>16</v>
      </c>
      <c r="F3582" s="2">
        <v>1</v>
      </c>
      <c r="G3582" s="2" t="s">
        <v>17</v>
      </c>
    </row>
    <row r="3583" spans="1:7" x14ac:dyDescent="0.2">
      <c r="A3583" s="2" t="s">
        <v>4698</v>
      </c>
      <c r="B3583" s="2" t="s">
        <v>3401</v>
      </c>
      <c r="C3583" s="2" t="s">
        <v>1191</v>
      </c>
      <c r="D3583" s="2" t="s">
        <v>10</v>
      </c>
      <c r="E3583" s="2" t="s">
        <v>52</v>
      </c>
      <c r="F3583" s="2">
        <v>2</v>
      </c>
      <c r="G3583" s="2" t="s">
        <v>12</v>
      </c>
    </row>
    <row r="3584" spans="1:7" x14ac:dyDescent="0.2">
      <c r="A3584" s="2" t="s">
        <v>4698</v>
      </c>
      <c r="B3584" s="2" t="s">
        <v>1093</v>
      </c>
      <c r="C3584" s="2" t="s">
        <v>1094</v>
      </c>
      <c r="D3584" s="2" t="s">
        <v>10</v>
      </c>
      <c r="E3584" s="2" t="s">
        <v>52</v>
      </c>
      <c r="F3584" s="2">
        <v>2</v>
      </c>
      <c r="G3584" s="2" t="s">
        <v>12</v>
      </c>
    </row>
    <row r="3585" spans="1:7" x14ac:dyDescent="0.2">
      <c r="A3585" s="2" t="s">
        <v>4698</v>
      </c>
      <c r="B3585" s="2" t="s">
        <v>4699</v>
      </c>
      <c r="C3585" s="2" t="s">
        <v>593</v>
      </c>
      <c r="D3585" s="2" t="s">
        <v>56</v>
      </c>
      <c r="E3585" s="2" t="s">
        <v>52</v>
      </c>
      <c r="F3585" s="2">
        <v>2</v>
      </c>
      <c r="G3585" s="2" t="s">
        <v>12</v>
      </c>
    </row>
    <row r="3586" spans="1:7" x14ac:dyDescent="0.2">
      <c r="A3586" s="2" t="s">
        <v>4698</v>
      </c>
      <c r="B3586" s="2" t="s">
        <v>4700</v>
      </c>
      <c r="C3586" s="2" t="s">
        <v>802</v>
      </c>
      <c r="D3586" s="2" t="s">
        <v>56</v>
      </c>
      <c r="E3586" s="2" t="s">
        <v>52</v>
      </c>
      <c r="F3586" s="2">
        <v>2</v>
      </c>
      <c r="G3586" s="2" t="s">
        <v>17</v>
      </c>
    </row>
    <row r="3587" spans="1:7" x14ac:dyDescent="0.2">
      <c r="A3587" s="2" t="s">
        <v>4698</v>
      </c>
      <c r="B3587" s="2" t="s">
        <v>4701</v>
      </c>
      <c r="C3587" s="2" t="s">
        <v>2977</v>
      </c>
      <c r="D3587" s="2" t="s">
        <v>56</v>
      </c>
      <c r="E3587" s="2" t="s">
        <v>52</v>
      </c>
      <c r="F3587" s="2">
        <v>2</v>
      </c>
      <c r="G3587" s="2" t="s">
        <v>17</v>
      </c>
    </row>
    <row r="3588" spans="1:7" x14ac:dyDescent="0.2">
      <c r="A3588" s="2" t="s">
        <v>4698</v>
      </c>
      <c r="B3588" s="2" t="s">
        <v>4702</v>
      </c>
      <c r="C3588" s="2" t="s">
        <v>1191</v>
      </c>
      <c r="D3588" s="2" t="s">
        <v>10</v>
      </c>
      <c r="E3588" s="2" t="s">
        <v>52</v>
      </c>
      <c r="F3588" s="2">
        <v>2</v>
      </c>
      <c r="G3588" s="2" t="s">
        <v>12</v>
      </c>
    </row>
    <row r="3589" spans="1:7" x14ac:dyDescent="0.2">
      <c r="A3589" s="2" t="s">
        <v>4698</v>
      </c>
      <c r="B3589" s="2" t="s">
        <v>672</v>
      </c>
      <c r="C3589" s="2" t="s">
        <v>593</v>
      </c>
      <c r="D3589" s="2" t="s">
        <v>56</v>
      </c>
      <c r="E3589" s="2" t="s">
        <v>52</v>
      </c>
      <c r="F3589" s="2">
        <v>2</v>
      </c>
      <c r="G3589" s="2" t="s">
        <v>12</v>
      </c>
    </row>
    <row r="3590" spans="1:7" x14ac:dyDescent="0.2">
      <c r="A3590" s="2" t="s">
        <v>4703</v>
      </c>
      <c r="B3590" s="2" t="s">
        <v>4704</v>
      </c>
      <c r="C3590" s="2" t="s">
        <v>4705</v>
      </c>
      <c r="D3590" s="2" t="s">
        <v>10</v>
      </c>
      <c r="E3590" s="2" t="s">
        <v>16</v>
      </c>
      <c r="F3590" s="2">
        <v>1</v>
      </c>
      <c r="G3590" s="2" t="s">
        <v>17</v>
      </c>
    </row>
    <row r="3591" spans="1:7" x14ac:dyDescent="0.2">
      <c r="A3591" s="2" t="s">
        <v>4706</v>
      </c>
      <c r="B3591" s="2" t="s">
        <v>4707</v>
      </c>
      <c r="C3591" s="2" t="s">
        <v>1318</v>
      </c>
      <c r="D3591" s="2" t="s">
        <v>10</v>
      </c>
      <c r="E3591" s="2" t="s">
        <v>16</v>
      </c>
      <c r="F3591" s="2">
        <v>1</v>
      </c>
      <c r="G3591" s="2" t="s">
        <v>17</v>
      </c>
    </row>
    <row r="3592" spans="1:7" x14ac:dyDescent="0.2">
      <c r="A3592" s="2" t="s">
        <v>4706</v>
      </c>
      <c r="B3592" s="2" t="s">
        <v>4708</v>
      </c>
      <c r="C3592" s="2" t="s">
        <v>1318</v>
      </c>
      <c r="D3592" s="2" t="s">
        <v>10</v>
      </c>
      <c r="E3592" s="2" t="s">
        <v>16</v>
      </c>
      <c r="F3592" s="2">
        <v>1</v>
      </c>
      <c r="G3592" s="2" t="s">
        <v>17</v>
      </c>
    </row>
    <row r="3593" spans="1:7" x14ac:dyDescent="0.2">
      <c r="A3593" s="2" t="s">
        <v>4706</v>
      </c>
      <c r="B3593" s="2" t="s">
        <v>4709</v>
      </c>
      <c r="C3593" s="2" t="s">
        <v>4710</v>
      </c>
      <c r="D3593" s="2" t="s">
        <v>10</v>
      </c>
      <c r="E3593" s="2" t="s">
        <v>16</v>
      </c>
      <c r="F3593" s="2">
        <v>1</v>
      </c>
      <c r="G3593" s="2" t="s">
        <v>17</v>
      </c>
    </row>
    <row r="3594" spans="1:7" x14ac:dyDescent="0.2">
      <c r="A3594" s="2" t="s">
        <v>4706</v>
      </c>
      <c r="B3594" s="2" t="s">
        <v>4711</v>
      </c>
      <c r="C3594" s="2" t="s">
        <v>4710</v>
      </c>
      <c r="D3594" s="2" t="s">
        <v>10</v>
      </c>
      <c r="E3594" s="2" t="s">
        <v>16</v>
      </c>
      <c r="F3594" s="2">
        <v>1</v>
      </c>
      <c r="G3594" s="2" t="s">
        <v>17</v>
      </c>
    </row>
    <row r="3595" spans="1:7" x14ac:dyDescent="0.2">
      <c r="A3595" s="2" t="s">
        <v>4712</v>
      </c>
      <c r="B3595" s="2" t="s">
        <v>96</v>
      </c>
      <c r="C3595" s="2" t="s">
        <v>97</v>
      </c>
      <c r="D3595" s="2" t="s">
        <v>10</v>
      </c>
      <c r="E3595" s="2" t="s">
        <v>16</v>
      </c>
      <c r="F3595" s="2">
        <v>1</v>
      </c>
      <c r="G3595" s="2" t="s">
        <v>17</v>
      </c>
    </row>
    <row r="3596" spans="1:7" x14ac:dyDescent="0.2">
      <c r="A3596" s="2" t="s">
        <v>4713</v>
      </c>
      <c r="B3596" s="2" t="s">
        <v>4714</v>
      </c>
      <c r="C3596" s="2" t="s">
        <v>4715</v>
      </c>
      <c r="D3596" s="2" t="s">
        <v>10</v>
      </c>
      <c r="E3596" s="2" t="s">
        <v>16</v>
      </c>
      <c r="F3596" s="2">
        <v>1</v>
      </c>
      <c r="G3596" s="2" t="s">
        <v>17</v>
      </c>
    </row>
    <row r="3597" spans="1:7" x14ac:dyDescent="0.2">
      <c r="A3597" s="2" t="s">
        <v>4713</v>
      </c>
      <c r="B3597" s="2" t="s">
        <v>4716</v>
      </c>
      <c r="C3597" s="2" t="s">
        <v>4715</v>
      </c>
      <c r="D3597" s="2" t="s">
        <v>10</v>
      </c>
      <c r="E3597" s="2" t="s">
        <v>16</v>
      </c>
      <c r="F3597" s="2">
        <v>1</v>
      </c>
      <c r="G3597" s="2" t="s">
        <v>17</v>
      </c>
    </row>
    <row r="3598" spans="1:7" x14ac:dyDescent="0.2">
      <c r="A3598" s="2" t="s">
        <v>4713</v>
      </c>
      <c r="B3598" s="2" t="s">
        <v>4717</v>
      </c>
      <c r="C3598" s="2" t="s">
        <v>4715</v>
      </c>
      <c r="D3598" s="2" t="s">
        <v>10</v>
      </c>
      <c r="E3598" s="2" t="s">
        <v>16</v>
      </c>
      <c r="F3598" s="2">
        <v>1</v>
      </c>
      <c r="G3598" s="2" t="s">
        <v>17</v>
      </c>
    </row>
    <row r="3599" spans="1:7" x14ac:dyDescent="0.2">
      <c r="A3599" s="2" t="s">
        <v>4713</v>
      </c>
      <c r="B3599" s="2" t="s">
        <v>4718</v>
      </c>
      <c r="C3599" s="2" t="s">
        <v>4715</v>
      </c>
      <c r="D3599" s="2" t="s">
        <v>10</v>
      </c>
      <c r="E3599" s="2" t="s">
        <v>16</v>
      </c>
      <c r="F3599" s="2">
        <v>1</v>
      </c>
      <c r="G3599" s="2" t="s">
        <v>17</v>
      </c>
    </row>
    <row r="3600" spans="1:7" x14ac:dyDescent="0.2">
      <c r="A3600" s="2" t="s">
        <v>4713</v>
      </c>
      <c r="B3600" s="2" t="s">
        <v>4719</v>
      </c>
      <c r="C3600" s="2" t="s">
        <v>4715</v>
      </c>
      <c r="D3600" s="2" t="s">
        <v>10</v>
      </c>
      <c r="E3600" s="2" t="s">
        <v>16</v>
      </c>
      <c r="F3600" s="2">
        <v>1</v>
      </c>
      <c r="G3600" s="2" t="s">
        <v>17</v>
      </c>
    </row>
    <row r="3601" spans="1:7" x14ac:dyDescent="0.2">
      <c r="A3601" s="2" t="s">
        <v>4713</v>
      </c>
      <c r="B3601" s="2" t="s">
        <v>4720</v>
      </c>
      <c r="C3601" s="2" t="s">
        <v>4715</v>
      </c>
      <c r="D3601" s="2" t="s">
        <v>10</v>
      </c>
      <c r="E3601" s="2" t="s">
        <v>16</v>
      </c>
      <c r="F3601" s="2">
        <v>1</v>
      </c>
      <c r="G3601" s="2" t="s">
        <v>17</v>
      </c>
    </row>
    <row r="3602" spans="1:7" x14ac:dyDescent="0.2">
      <c r="A3602" s="2" t="s">
        <v>4713</v>
      </c>
      <c r="B3602" s="2" t="s">
        <v>4721</v>
      </c>
      <c r="C3602" s="2" t="s">
        <v>4715</v>
      </c>
      <c r="D3602" s="2" t="s">
        <v>10</v>
      </c>
      <c r="E3602" s="2" t="s">
        <v>16</v>
      </c>
      <c r="F3602" s="2">
        <v>1</v>
      </c>
      <c r="G3602" s="2" t="s">
        <v>17</v>
      </c>
    </row>
    <row r="3603" spans="1:7" x14ac:dyDescent="0.2">
      <c r="A3603" s="2" t="s">
        <v>4713</v>
      </c>
      <c r="B3603" s="2" t="s">
        <v>4722</v>
      </c>
      <c r="C3603" s="2" t="s">
        <v>4715</v>
      </c>
      <c r="D3603" s="2" t="s">
        <v>10</v>
      </c>
      <c r="E3603" s="2" t="s">
        <v>16</v>
      </c>
      <c r="F3603" s="2">
        <v>1</v>
      </c>
      <c r="G3603" s="2" t="s">
        <v>17</v>
      </c>
    </row>
    <row r="3604" spans="1:7" x14ac:dyDescent="0.2">
      <c r="A3604" s="2" t="s">
        <v>4723</v>
      </c>
      <c r="B3604" s="2" t="s">
        <v>4724</v>
      </c>
      <c r="C3604" s="2" t="s">
        <v>4725</v>
      </c>
      <c r="D3604" s="2" t="s">
        <v>29</v>
      </c>
      <c r="E3604" s="2" t="s">
        <v>16</v>
      </c>
      <c r="F3604" s="2">
        <v>1</v>
      </c>
      <c r="G3604" s="2" t="s">
        <v>17</v>
      </c>
    </row>
    <row r="3605" spans="1:7" x14ac:dyDescent="0.2">
      <c r="A3605" s="2" t="s">
        <v>4723</v>
      </c>
      <c r="B3605" s="2" t="s">
        <v>4726</v>
      </c>
      <c r="C3605" s="2" t="s">
        <v>4727</v>
      </c>
      <c r="D3605" s="2" t="s">
        <v>10</v>
      </c>
      <c r="E3605" s="2" t="s">
        <v>52</v>
      </c>
      <c r="F3605" s="2">
        <v>2</v>
      </c>
      <c r="G3605" s="2" t="s">
        <v>12</v>
      </c>
    </row>
    <row r="3606" spans="1:7" x14ac:dyDescent="0.2">
      <c r="A3606" s="2" t="s">
        <v>4723</v>
      </c>
      <c r="B3606" s="2" t="s">
        <v>4728</v>
      </c>
      <c r="C3606" s="2" t="s">
        <v>4727</v>
      </c>
      <c r="D3606" s="2" t="s">
        <v>10</v>
      </c>
      <c r="E3606" s="2" t="s">
        <v>52</v>
      </c>
      <c r="F3606" s="2">
        <v>2</v>
      </c>
      <c r="G3606" s="2" t="s">
        <v>12</v>
      </c>
    </row>
    <row r="3607" spans="1:7" x14ac:dyDescent="0.2">
      <c r="A3607" s="2" t="s">
        <v>4723</v>
      </c>
      <c r="B3607" s="2" t="s">
        <v>4729</v>
      </c>
      <c r="C3607" s="2" t="s">
        <v>207</v>
      </c>
      <c r="D3607" s="2" t="s">
        <v>10</v>
      </c>
      <c r="E3607" s="2" t="s">
        <v>16</v>
      </c>
      <c r="F3607" s="2">
        <v>1</v>
      </c>
      <c r="G3607" s="2" t="s">
        <v>17</v>
      </c>
    </row>
    <row r="3608" spans="1:7" x14ac:dyDescent="0.2">
      <c r="A3608" s="2" t="s">
        <v>4723</v>
      </c>
      <c r="B3608" s="2" t="s">
        <v>4730</v>
      </c>
      <c r="C3608" s="2" t="s">
        <v>4731</v>
      </c>
      <c r="D3608" s="2" t="s">
        <v>10</v>
      </c>
      <c r="E3608" s="2" t="s">
        <v>16</v>
      </c>
      <c r="F3608" s="2">
        <v>2</v>
      </c>
      <c r="G3608" s="2" t="s">
        <v>17</v>
      </c>
    </row>
    <row r="3609" spans="1:7" x14ac:dyDescent="0.2">
      <c r="A3609" s="2" t="s">
        <v>4723</v>
      </c>
      <c r="B3609" s="2" t="s">
        <v>4732</v>
      </c>
      <c r="C3609" s="2" t="s">
        <v>4733</v>
      </c>
      <c r="D3609" s="2" t="s">
        <v>10</v>
      </c>
      <c r="E3609" s="2" t="s">
        <v>52</v>
      </c>
      <c r="F3609" s="2">
        <v>2</v>
      </c>
      <c r="G3609" s="2" t="s">
        <v>17</v>
      </c>
    </row>
    <row r="3610" spans="1:7" x14ac:dyDescent="0.2">
      <c r="A3610" s="2" t="s">
        <v>4723</v>
      </c>
      <c r="B3610" s="2" t="s">
        <v>1002</v>
      </c>
      <c r="C3610" s="2" t="s">
        <v>794</v>
      </c>
      <c r="D3610" s="2" t="s">
        <v>56</v>
      </c>
      <c r="E3610" s="2" t="s">
        <v>52</v>
      </c>
      <c r="F3610" s="2">
        <v>1</v>
      </c>
      <c r="G3610" s="2" t="s">
        <v>17</v>
      </c>
    </row>
    <row r="3611" spans="1:7" x14ac:dyDescent="0.2">
      <c r="A3611" s="2" t="s">
        <v>4723</v>
      </c>
      <c r="B3611" s="2" t="s">
        <v>4734</v>
      </c>
      <c r="C3611" s="2" t="s">
        <v>4731</v>
      </c>
      <c r="D3611" s="2" t="s">
        <v>10</v>
      </c>
      <c r="E3611" s="2" t="s">
        <v>16</v>
      </c>
      <c r="F3611" s="2">
        <v>2</v>
      </c>
      <c r="G3611" s="2" t="s">
        <v>17</v>
      </c>
    </row>
    <row r="3612" spans="1:7" x14ac:dyDescent="0.2">
      <c r="A3612" s="2" t="s">
        <v>4723</v>
      </c>
      <c r="B3612" s="2" t="s">
        <v>4735</v>
      </c>
      <c r="C3612" s="2" t="s">
        <v>4733</v>
      </c>
      <c r="D3612" s="2" t="s">
        <v>10</v>
      </c>
      <c r="E3612" s="2" t="s">
        <v>52</v>
      </c>
      <c r="F3612" s="2">
        <v>2</v>
      </c>
      <c r="G3612" s="2" t="s">
        <v>17</v>
      </c>
    </row>
    <row r="3613" spans="1:7" x14ac:dyDescent="0.2">
      <c r="A3613" s="2" t="s">
        <v>4723</v>
      </c>
      <c r="B3613" s="2">
        <v>228</v>
      </c>
      <c r="C3613" s="2" t="s">
        <v>4736</v>
      </c>
      <c r="D3613" s="2" t="s">
        <v>10</v>
      </c>
      <c r="E3613" s="2" t="s">
        <v>52</v>
      </c>
      <c r="F3613" s="2">
        <v>2</v>
      </c>
      <c r="G3613" s="2" t="s">
        <v>17</v>
      </c>
    </row>
    <row r="3614" spans="1:7" x14ac:dyDescent="0.2">
      <c r="A3614" s="2" t="s">
        <v>4723</v>
      </c>
      <c r="B3614" s="2">
        <v>328</v>
      </c>
      <c r="C3614" s="2" t="s">
        <v>4727</v>
      </c>
      <c r="D3614" s="2" t="s">
        <v>10</v>
      </c>
      <c r="E3614" s="2" t="s">
        <v>52</v>
      </c>
      <c r="F3614" s="2">
        <v>2</v>
      </c>
      <c r="G3614" s="2" t="s">
        <v>12</v>
      </c>
    </row>
    <row r="3615" spans="1:7" x14ac:dyDescent="0.2">
      <c r="A3615" s="2" t="s">
        <v>4723</v>
      </c>
      <c r="B3615" s="2" t="s">
        <v>4737</v>
      </c>
      <c r="C3615" s="2" t="s">
        <v>4738</v>
      </c>
      <c r="D3615" s="2" t="s">
        <v>10</v>
      </c>
      <c r="E3615" s="2" t="s">
        <v>16</v>
      </c>
      <c r="F3615" s="2">
        <v>2</v>
      </c>
      <c r="G3615" s="2" t="s">
        <v>17</v>
      </c>
    </row>
    <row r="3616" spans="1:7" x14ac:dyDescent="0.2">
      <c r="A3616" s="2" t="s">
        <v>4723</v>
      </c>
      <c r="B3616" s="2" t="s">
        <v>4739</v>
      </c>
      <c r="C3616" s="2" t="s">
        <v>3409</v>
      </c>
      <c r="D3616" s="2" t="s">
        <v>10</v>
      </c>
      <c r="E3616" s="2" t="s">
        <v>16</v>
      </c>
      <c r="F3616" s="2">
        <v>1</v>
      </c>
      <c r="G3616" s="2" t="s">
        <v>17</v>
      </c>
    </row>
    <row r="3617" spans="1:7" x14ac:dyDescent="0.2">
      <c r="A3617" s="2" t="s">
        <v>4723</v>
      </c>
      <c r="B3617" s="2" t="s">
        <v>4740</v>
      </c>
      <c r="C3617" s="2" t="s">
        <v>4738</v>
      </c>
      <c r="D3617" s="2" t="s">
        <v>10</v>
      </c>
      <c r="E3617" s="2" t="s">
        <v>16</v>
      </c>
      <c r="F3617" s="2">
        <v>2</v>
      </c>
      <c r="G3617" s="2" t="s">
        <v>17</v>
      </c>
    </row>
    <row r="3618" spans="1:7" x14ac:dyDescent="0.2">
      <c r="A3618" s="2" t="s">
        <v>4723</v>
      </c>
      <c r="B3618" s="2" t="s">
        <v>4741</v>
      </c>
      <c r="C3618" s="2" t="s">
        <v>4738</v>
      </c>
      <c r="D3618" s="2" t="s">
        <v>10</v>
      </c>
      <c r="E3618" s="2" t="s">
        <v>16</v>
      </c>
      <c r="F3618" s="2">
        <v>2</v>
      </c>
      <c r="G3618" s="2" t="s">
        <v>17</v>
      </c>
    </row>
    <row r="3619" spans="1:7" x14ac:dyDescent="0.2">
      <c r="A3619" s="2" t="s">
        <v>4723</v>
      </c>
      <c r="B3619" s="2" t="s">
        <v>4742</v>
      </c>
      <c r="C3619" s="2" t="s">
        <v>4738</v>
      </c>
      <c r="D3619" s="2" t="s">
        <v>10</v>
      </c>
      <c r="E3619" s="2" t="s">
        <v>16</v>
      </c>
      <c r="F3619" s="2">
        <v>2</v>
      </c>
      <c r="G3619" s="2" t="s">
        <v>17</v>
      </c>
    </row>
    <row r="3620" spans="1:7" x14ac:dyDescent="0.2">
      <c r="A3620" s="2" t="s">
        <v>4723</v>
      </c>
      <c r="B3620" s="2" t="s">
        <v>4743</v>
      </c>
      <c r="C3620" s="2" t="s">
        <v>4731</v>
      </c>
      <c r="D3620" s="2" t="s">
        <v>10</v>
      </c>
      <c r="E3620" s="2" t="s">
        <v>16</v>
      </c>
      <c r="F3620" s="2">
        <v>2</v>
      </c>
      <c r="G3620" s="2" t="s">
        <v>17</v>
      </c>
    </row>
    <row r="3621" spans="1:7" x14ac:dyDescent="0.2">
      <c r="A3621" s="2" t="s">
        <v>4723</v>
      </c>
      <c r="B3621" s="2" t="s">
        <v>4744</v>
      </c>
      <c r="C3621" s="2" t="s">
        <v>4731</v>
      </c>
      <c r="D3621" s="2" t="s">
        <v>10</v>
      </c>
      <c r="E3621" s="2" t="s">
        <v>16</v>
      </c>
      <c r="F3621" s="2">
        <v>2</v>
      </c>
      <c r="G3621" s="2" t="s">
        <v>17</v>
      </c>
    </row>
    <row r="3622" spans="1:7" x14ac:dyDescent="0.2">
      <c r="A3622" s="2" t="s">
        <v>4723</v>
      </c>
      <c r="B3622" s="2" t="s">
        <v>4745</v>
      </c>
      <c r="C3622" s="2" t="s">
        <v>4733</v>
      </c>
      <c r="D3622" s="2" t="s">
        <v>10</v>
      </c>
      <c r="E3622" s="2" t="s">
        <v>52</v>
      </c>
      <c r="F3622" s="2">
        <v>2</v>
      </c>
      <c r="G3622" s="2" t="s">
        <v>17</v>
      </c>
    </row>
    <row r="3623" spans="1:7" x14ac:dyDescent="0.2">
      <c r="A3623" s="2" t="s">
        <v>4723</v>
      </c>
      <c r="B3623" s="2" t="s">
        <v>4746</v>
      </c>
      <c r="C3623" s="2" t="s">
        <v>4731</v>
      </c>
      <c r="D3623" s="2" t="s">
        <v>10</v>
      </c>
      <c r="E3623" s="2" t="s">
        <v>16</v>
      </c>
      <c r="F3623" s="2">
        <v>2</v>
      </c>
      <c r="G3623" s="2" t="s">
        <v>17</v>
      </c>
    </row>
    <row r="3624" spans="1:7" x14ac:dyDescent="0.2">
      <c r="A3624" s="2" t="s">
        <v>4723</v>
      </c>
      <c r="B3624" s="2" t="s">
        <v>4747</v>
      </c>
      <c r="C3624" s="2" t="s">
        <v>207</v>
      </c>
      <c r="D3624" s="2" t="s">
        <v>10</v>
      </c>
      <c r="E3624" s="2" t="s">
        <v>16</v>
      </c>
      <c r="F3624" s="2">
        <v>1</v>
      </c>
      <c r="G3624" s="2" t="s">
        <v>17</v>
      </c>
    </row>
    <row r="3625" spans="1:7" x14ac:dyDescent="0.2">
      <c r="A3625" s="2" t="s">
        <v>4723</v>
      </c>
      <c r="B3625" s="2" t="s">
        <v>4748</v>
      </c>
      <c r="C3625" s="2" t="s">
        <v>207</v>
      </c>
      <c r="D3625" s="2" t="s">
        <v>10</v>
      </c>
      <c r="E3625" s="2" t="s">
        <v>16</v>
      </c>
      <c r="F3625" s="2">
        <v>1</v>
      </c>
      <c r="G3625" s="2" t="s">
        <v>17</v>
      </c>
    </row>
    <row r="3626" spans="1:7" x14ac:dyDescent="0.2">
      <c r="A3626" s="2" t="s">
        <v>4723</v>
      </c>
      <c r="B3626" s="2" t="s">
        <v>4749</v>
      </c>
      <c r="C3626" s="2" t="s">
        <v>2645</v>
      </c>
      <c r="D3626" s="2" t="s">
        <v>10</v>
      </c>
      <c r="E3626" s="2" t="s">
        <v>16</v>
      </c>
      <c r="F3626" s="2">
        <v>1</v>
      </c>
      <c r="G3626" s="2" t="s">
        <v>17</v>
      </c>
    </row>
    <row r="3627" spans="1:7" x14ac:dyDescent="0.2">
      <c r="A3627" s="2" t="s">
        <v>4723</v>
      </c>
      <c r="B3627" s="2" t="s">
        <v>4750</v>
      </c>
      <c r="C3627" s="2" t="s">
        <v>207</v>
      </c>
      <c r="D3627" s="2" t="s">
        <v>10</v>
      </c>
      <c r="E3627" s="2" t="s">
        <v>16</v>
      </c>
      <c r="F3627" s="2">
        <v>1</v>
      </c>
      <c r="G3627" s="2" t="s">
        <v>17</v>
      </c>
    </row>
    <row r="3628" spans="1:7" x14ac:dyDescent="0.2">
      <c r="A3628" s="2" t="s">
        <v>4723</v>
      </c>
      <c r="B3628" s="2" t="s">
        <v>4751</v>
      </c>
      <c r="C3628" s="2" t="s">
        <v>207</v>
      </c>
      <c r="D3628" s="2" t="s">
        <v>10</v>
      </c>
      <c r="E3628" s="2" t="s">
        <v>16</v>
      </c>
      <c r="F3628" s="2">
        <v>1</v>
      </c>
      <c r="G3628" s="2" t="s">
        <v>17</v>
      </c>
    </row>
    <row r="3629" spans="1:7" x14ac:dyDescent="0.2">
      <c r="A3629" s="2" t="s">
        <v>4723</v>
      </c>
      <c r="B3629" s="2" t="s">
        <v>4752</v>
      </c>
      <c r="C3629" s="2" t="s">
        <v>3409</v>
      </c>
      <c r="D3629" s="2" t="s">
        <v>10</v>
      </c>
      <c r="E3629" s="2" t="s">
        <v>16</v>
      </c>
      <c r="F3629" s="2">
        <v>1</v>
      </c>
      <c r="G3629" s="2" t="s">
        <v>17</v>
      </c>
    </row>
    <row r="3630" spans="1:7" x14ac:dyDescent="0.2">
      <c r="A3630" s="2" t="s">
        <v>4723</v>
      </c>
      <c r="B3630" s="2" t="s">
        <v>3181</v>
      </c>
      <c r="C3630" s="2" t="s">
        <v>207</v>
      </c>
      <c r="D3630" s="2" t="s">
        <v>10</v>
      </c>
      <c r="E3630" s="2" t="s">
        <v>16</v>
      </c>
      <c r="F3630" s="2">
        <v>1</v>
      </c>
      <c r="G3630" s="2" t="s">
        <v>17</v>
      </c>
    </row>
    <row r="3631" spans="1:7" x14ac:dyDescent="0.2">
      <c r="A3631" s="2" t="s">
        <v>4723</v>
      </c>
      <c r="B3631" s="2" t="s">
        <v>2646</v>
      </c>
      <c r="C3631" s="2" t="s">
        <v>2645</v>
      </c>
      <c r="D3631" s="2" t="s">
        <v>10</v>
      </c>
      <c r="E3631" s="2" t="s">
        <v>16</v>
      </c>
      <c r="F3631" s="2">
        <v>1</v>
      </c>
      <c r="G3631" s="2" t="s">
        <v>17</v>
      </c>
    </row>
    <row r="3632" spans="1:7" x14ac:dyDescent="0.2">
      <c r="A3632" s="2" t="s">
        <v>4753</v>
      </c>
      <c r="B3632" s="2" t="s">
        <v>4754</v>
      </c>
      <c r="C3632" s="2" t="s">
        <v>4755</v>
      </c>
      <c r="D3632" s="2" t="s">
        <v>10</v>
      </c>
      <c r="E3632" s="2" t="s">
        <v>11</v>
      </c>
      <c r="F3632" s="2">
        <v>2</v>
      </c>
      <c r="G3632" s="2" t="s">
        <v>12</v>
      </c>
    </row>
    <row r="3633" spans="1:7" x14ac:dyDescent="0.2">
      <c r="A3633" s="2" t="s">
        <v>4753</v>
      </c>
      <c r="B3633" s="2" t="s">
        <v>4756</v>
      </c>
      <c r="C3633" s="2" t="s">
        <v>4757</v>
      </c>
      <c r="D3633" s="2" t="s">
        <v>10</v>
      </c>
      <c r="E3633" s="2" t="s">
        <v>11</v>
      </c>
      <c r="F3633" s="2">
        <v>1</v>
      </c>
      <c r="G3633" s="2" t="s">
        <v>12</v>
      </c>
    </row>
    <row r="3634" spans="1:7" x14ac:dyDescent="0.2">
      <c r="A3634" s="2" t="s">
        <v>4753</v>
      </c>
      <c r="B3634" s="2" t="s">
        <v>4758</v>
      </c>
      <c r="C3634" s="2" t="s">
        <v>4759</v>
      </c>
      <c r="D3634" s="2" t="s">
        <v>10</v>
      </c>
      <c r="E3634" s="2" t="s">
        <v>16</v>
      </c>
      <c r="F3634" s="2">
        <v>2</v>
      </c>
      <c r="G3634" s="2" t="s">
        <v>12</v>
      </c>
    </row>
    <row r="3635" spans="1:7" x14ac:dyDescent="0.2">
      <c r="A3635" s="2" t="s">
        <v>4753</v>
      </c>
      <c r="B3635" s="2" t="s">
        <v>4760</v>
      </c>
      <c r="C3635" s="2" t="s">
        <v>4761</v>
      </c>
      <c r="D3635" s="2" t="s">
        <v>10</v>
      </c>
      <c r="E3635" s="2" t="s">
        <v>16</v>
      </c>
      <c r="F3635" s="2">
        <v>1</v>
      </c>
      <c r="G3635" s="2" t="s">
        <v>17</v>
      </c>
    </row>
    <row r="3636" spans="1:7" x14ac:dyDescent="0.2">
      <c r="A3636" s="2" t="s">
        <v>4753</v>
      </c>
      <c r="B3636" s="2" t="s">
        <v>4762</v>
      </c>
      <c r="C3636" s="2" t="s">
        <v>4763</v>
      </c>
      <c r="D3636" s="2" t="s">
        <v>10</v>
      </c>
      <c r="E3636" s="2" t="s">
        <v>16</v>
      </c>
      <c r="F3636" s="2">
        <v>2</v>
      </c>
      <c r="G3636" s="2" t="s">
        <v>12</v>
      </c>
    </row>
    <row r="3637" spans="1:7" x14ac:dyDescent="0.2">
      <c r="A3637" s="2" t="s">
        <v>4753</v>
      </c>
      <c r="B3637" s="2" t="s">
        <v>4764</v>
      </c>
      <c r="C3637" s="2" t="s">
        <v>4765</v>
      </c>
      <c r="D3637" s="2" t="s">
        <v>10</v>
      </c>
      <c r="E3637" s="2" t="s">
        <v>16</v>
      </c>
      <c r="F3637" s="2">
        <v>2</v>
      </c>
      <c r="G3637" s="2" t="s">
        <v>12</v>
      </c>
    </row>
    <row r="3638" spans="1:7" x14ac:dyDescent="0.2">
      <c r="A3638" s="2" t="s">
        <v>4753</v>
      </c>
      <c r="B3638" s="2" t="s">
        <v>4766</v>
      </c>
      <c r="C3638" s="2" t="s">
        <v>4767</v>
      </c>
      <c r="D3638" s="2" t="s">
        <v>10</v>
      </c>
      <c r="E3638" s="2" t="s">
        <v>16</v>
      </c>
      <c r="F3638" s="2">
        <v>1</v>
      </c>
      <c r="G3638" s="2" t="s">
        <v>12</v>
      </c>
    </row>
    <row r="3639" spans="1:7" x14ac:dyDescent="0.2">
      <c r="A3639" s="2" t="s">
        <v>4753</v>
      </c>
      <c r="B3639" s="2" t="s">
        <v>4768</v>
      </c>
      <c r="C3639" s="2" t="s">
        <v>4769</v>
      </c>
      <c r="D3639" s="2" t="s">
        <v>10</v>
      </c>
      <c r="E3639" s="2" t="s">
        <v>16</v>
      </c>
      <c r="F3639" s="2">
        <v>2</v>
      </c>
      <c r="G3639" s="2" t="s">
        <v>12</v>
      </c>
    </row>
    <row r="3640" spans="1:7" x14ac:dyDescent="0.2">
      <c r="A3640" s="2" t="s">
        <v>4753</v>
      </c>
      <c r="B3640" s="2" t="s">
        <v>4770</v>
      </c>
      <c r="C3640" s="2" t="s">
        <v>4763</v>
      </c>
      <c r="D3640" s="2" t="s">
        <v>10</v>
      </c>
      <c r="E3640" s="2" t="s">
        <v>16</v>
      </c>
      <c r="F3640" s="2">
        <v>2</v>
      </c>
      <c r="G3640" s="2" t="s">
        <v>12</v>
      </c>
    </row>
    <row r="3641" spans="1:7" x14ac:dyDescent="0.2">
      <c r="A3641" s="2" t="s">
        <v>4753</v>
      </c>
      <c r="B3641" s="2" t="s">
        <v>4771</v>
      </c>
      <c r="C3641" s="2" t="s">
        <v>4765</v>
      </c>
      <c r="D3641" s="2" t="s">
        <v>10</v>
      </c>
      <c r="E3641" s="2" t="s">
        <v>16</v>
      </c>
      <c r="F3641" s="2">
        <v>2</v>
      </c>
      <c r="G3641" s="2" t="s">
        <v>12</v>
      </c>
    </row>
    <row r="3642" spans="1:7" x14ac:dyDescent="0.2">
      <c r="A3642" s="2" t="s">
        <v>4753</v>
      </c>
      <c r="B3642" s="2" t="s">
        <v>4772</v>
      </c>
      <c r="C3642" s="2" t="s">
        <v>4765</v>
      </c>
      <c r="D3642" s="2" t="s">
        <v>10</v>
      </c>
      <c r="E3642" s="2" t="s">
        <v>16</v>
      </c>
      <c r="F3642" s="2">
        <v>2</v>
      </c>
      <c r="G3642" s="2" t="s">
        <v>12</v>
      </c>
    </row>
    <row r="3643" spans="1:7" x14ac:dyDescent="0.2">
      <c r="A3643" s="2" t="s">
        <v>4753</v>
      </c>
      <c r="B3643" s="2" t="s">
        <v>4773</v>
      </c>
      <c r="C3643" s="2" t="s">
        <v>4765</v>
      </c>
      <c r="D3643" s="2" t="s">
        <v>10</v>
      </c>
      <c r="E3643" s="2" t="s">
        <v>16</v>
      </c>
      <c r="F3643" s="2">
        <v>2</v>
      </c>
      <c r="G3643" s="2" t="s">
        <v>12</v>
      </c>
    </row>
    <row r="3644" spans="1:7" x14ac:dyDescent="0.2">
      <c r="A3644" s="2" t="s">
        <v>4753</v>
      </c>
      <c r="B3644" s="2" t="s">
        <v>4774</v>
      </c>
      <c r="C3644" s="2" t="s">
        <v>4765</v>
      </c>
      <c r="D3644" s="2" t="s">
        <v>10</v>
      </c>
      <c r="E3644" s="2" t="s">
        <v>16</v>
      </c>
      <c r="F3644" s="2">
        <v>2</v>
      </c>
      <c r="G3644" s="2" t="s">
        <v>12</v>
      </c>
    </row>
    <row r="3645" spans="1:7" x14ac:dyDescent="0.2">
      <c r="A3645" s="2" t="s">
        <v>4753</v>
      </c>
      <c r="B3645" s="2" t="s">
        <v>4775</v>
      </c>
      <c r="C3645" s="2" t="s">
        <v>4765</v>
      </c>
      <c r="D3645" s="2" t="s">
        <v>10</v>
      </c>
      <c r="E3645" s="2" t="s">
        <v>16</v>
      </c>
      <c r="F3645" s="2">
        <v>2</v>
      </c>
      <c r="G3645" s="2" t="s">
        <v>12</v>
      </c>
    </row>
    <row r="3646" spans="1:7" x14ac:dyDescent="0.2">
      <c r="A3646" s="2" t="s">
        <v>4753</v>
      </c>
      <c r="B3646" s="2" t="s">
        <v>4776</v>
      </c>
      <c r="C3646" s="2" t="s">
        <v>4765</v>
      </c>
      <c r="D3646" s="2" t="s">
        <v>10</v>
      </c>
      <c r="E3646" s="2" t="s">
        <v>16</v>
      </c>
      <c r="F3646" s="2">
        <v>2</v>
      </c>
      <c r="G3646" s="2" t="s">
        <v>12</v>
      </c>
    </row>
    <row r="3647" spans="1:7" x14ac:dyDescent="0.2">
      <c r="A3647" s="2" t="s">
        <v>4753</v>
      </c>
      <c r="B3647" s="2" t="s">
        <v>4777</v>
      </c>
      <c r="C3647" s="2" t="s">
        <v>4765</v>
      </c>
      <c r="D3647" s="2" t="s">
        <v>10</v>
      </c>
      <c r="E3647" s="2" t="s">
        <v>16</v>
      </c>
      <c r="F3647" s="2">
        <v>2</v>
      </c>
      <c r="G3647" s="2" t="s">
        <v>12</v>
      </c>
    </row>
    <row r="3648" spans="1:7" x14ac:dyDescent="0.2">
      <c r="A3648" s="2" t="s">
        <v>4753</v>
      </c>
      <c r="B3648" s="2" t="s">
        <v>4778</v>
      </c>
      <c r="C3648" s="2" t="s">
        <v>4765</v>
      </c>
      <c r="D3648" s="2" t="s">
        <v>10</v>
      </c>
      <c r="E3648" s="2" t="s">
        <v>16</v>
      </c>
      <c r="F3648" s="2">
        <v>2</v>
      </c>
      <c r="G3648" s="2" t="s">
        <v>12</v>
      </c>
    </row>
    <row r="3649" spans="1:7" x14ac:dyDescent="0.2">
      <c r="A3649" s="2" t="s">
        <v>4753</v>
      </c>
      <c r="B3649" s="2" t="s">
        <v>4779</v>
      </c>
      <c r="C3649" s="2" t="s">
        <v>4780</v>
      </c>
      <c r="D3649" s="2" t="s">
        <v>10</v>
      </c>
      <c r="E3649" s="2" t="s">
        <v>16</v>
      </c>
      <c r="F3649" s="2">
        <v>4</v>
      </c>
      <c r="G3649" s="2" t="s">
        <v>12</v>
      </c>
    </row>
    <row r="3650" spans="1:7" x14ac:dyDescent="0.2">
      <c r="A3650" s="2" t="s">
        <v>4753</v>
      </c>
      <c r="B3650" s="2" t="s">
        <v>4781</v>
      </c>
      <c r="C3650" s="2" t="s">
        <v>4765</v>
      </c>
      <c r="D3650" s="2" t="s">
        <v>10</v>
      </c>
      <c r="E3650" s="2" t="s">
        <v>16</v>
      </c>
      <c r="F3650" s="2">
        <v>2</v>
      </c>
      <c r="G3650" s="2" t="s">
        <v>12</v>
      </c>
    </row>
    <row r="3651" spans="1:7" x14ac:dyDescent="0.2">
      <c r="A3651" s="2" t="s">
        <v>4753</v>
      </c>
      <c r="B3651" s="2" t="s">
        <v>4782</v>
      </c>
      <c r="C3651" s="2" t="s">
        <v>4765</v>
      </c>
      <c r="D3651" s="2" t="s">
        <v>10</v>
      </c>
      <c r="E3651" s="2" t="s">
        <v>16</v>
      </c>
      <c r="F3651" s="2">
        <v>2</v>
      </c>
      <c r="G3651" s="2" t="s">
        <v>12</v>
      </c>
    </row>
    <row r="3652" spans="1:7" x14ac:dyDescent="0.2">
      <c r="A3652" s="2" t="s">
        <v>4753</v>
      </c>
      <c r="B3652" s="2" t="s">
        <v>4783</v>
      </c>
      <c r="C3652" s="2" t="s">
        <v>4765</v>
      </c>
      <c r="D3652" s="2" t="s">
        <v>10</v>
      </c>
      <c r="E3652" s="2" t="s">
        <v>16</v>
      </c>
      <c r="F3652" s="2">
        <v>2</v>
      </c>
      <c r="G3652" s="2" t="s">
        <v>12</v>
      </c>
    </row>
    <row r="3653" spans="1:7" x14ac:dyDescent="0.2">
      <c r="A3653" s="2" t="s">
        <v>4753</v>
      </c>
      <c r="B3653" s="2" t="s">
        <v>4784</v>
      </c>
      <c r="C3653" s="2" t="s">
        <v>4785</v>
      </c>
      <c r="D3653" s="2" t="s">
        <v>10</v>
      </c>
      <c r="E3653" s="2" t="s">
        <v>16</v>
      </c>
      <c r="F3653" s="2">
        <v>2</v>
      </c>
      <c r="G3653" s="2" t="s">
        <v>12</v>
      </c>
    </row>
    <row r="3654" spans="1:7" x14ac:dyDescent="0.2">
      <c r="A3654" s="2" t="s">
        <v>4753</v>
      </c>
      <c r="B3654" s="2" t="s">
        <v>4786</v>
      </c>
      <c r="C3654" s="2" t="s">
        <v>4787</v>
      </c>
      <c r="D3654" s="2" t="s">
        <v>10</v>
      </c>
      <c r="E3654" s="2" t="s">
        <v>16</v>
      </c>
      <c r="F3654" s="2">
        <v>4</v>
      </c>
      <c r="G3654" s="2" t="s">
        <v>12</v>
      </c>
    </row>
    <row r="3655" spans="1:7" x14ac:dyDescent="0.2">
      <c r="A3655" s="2" t="s">
        <v>4753</v>
      </c>
      <c r="B3655" s="2" t="s">
        <v>4788</v>
      </c>
      <c r="C3655" s="2" t="s">
        <v>4763</v>
      </c>
      <c r="D3655" s="2" t="s">
        <v>10</v>
      </c>
      <c r="E3655" s="2" t="s">
        <v>16</v>
      </c>
      <c r="F3655" s="2">
        <v>2</v>
      </c>
      <c r="G3655" s="2" t="s">
        <v>12</v>
      </c>
    </row>
    <row r="3656" spans="1:7" x14ac:dyDescent="0.2">
      <c r="A3656" s="2" t="s">
        <v>4753</v>
      </c>
      <c r="B3656" s="2" t="s">
        <v>922</v>
      </c>
      <c r="C3656" s="2" t="s">
        <v>4765</v>
      </c>
      <c r="D3656" s="2" t="s">
        <v>10</v>
      </c>
      <c r="E3656" s="2" t="s">
        <v>16</v>
      </c>
      <c r="F3656" s="2">
        <v>2</v>
      </c>
      <c r="G3656" s="2" t="s">
        <v>12</v>
      </c>
    </row>
    <row r="3657" spans="1:7" x14ac:dyDescent="0.2">
      <c r="A3657" s="2" t="s">
        <v>4753</v>
      </c>
      <c r="B3657" s="2" t="s">
        <v>4789</v>
      </c>
      <c r="C3657" s="2" t="s">
        <v>4761</v>
      </c>
      <c r="D3657" s="2" t="s">
        <v>10</v>
      </c>
      <c r="E3657" s="2" t="s">
        <v>16</v>
      </c>
      <c r="F3657" s="2">
        <v>1</v>
      </c>
      <c r="G3657" s="2" t="s">
        <v>17</v>
      </c>
    </row>
    <row r="3658" spans="1:7" x14ac:dyDescent="0.2">
      <c r="A3658" s="2" t="s">
        <v>4753</v>
      </c>
      <c r="B3658" s="2" t="s">
        <v>4790</v>
      </c>
      <c r="C3658" s="2" t="s">
        <v>4791</v>
      </c>
      <c r="D3658" s="2" t="s">
        <v>10</v>
      </c>
      <c r="E3658" s="2" t="s">
        <v>16</v>
      </c>
      <c r="F3658" s="2">
        <v>2</v>
      </c>
      <c r="G3658" s="2" t="s">
        <v>12</v>
      </c>
    </row>
    <row r="3659" spans="1:7" x14ac:dyDescent="0.2">
      <c r="A3659" s="2" t="s">
        <v>4753</v>
      </c>
      <c r="B3659" s="2" t="s">
        <v>4792</v>
      </c>
      <c r="C3659" s="2" t="s">
        <v>4765</v>
      </c>
      <c r="D3659" s="2" t="s">
        <v>10</v>
      </c>
      <c r="E3659" s="2" t="s">
        <v>16</v>
      </c>
      <c r="F3659" s="2">
        <v>2</v>
      </c>
      <c r="G3659" s="2" t="s">
        <v>12</v>
      </c>
    </row>
    <row r="3660" spans="1:7" x14ac:dyDescent="0.2">
      <c r="A3660" s="2" t="s">
        <v>4753</v>
      </c>
      <c r="B3660" s="2" t="s">
        <v>4793</v>
      </c>
      <c r="C3660" s="2" t="s">
        <v>2133</v>
      </c>
      <c r="D3660" s="2" t="s">
        <v>10</v>
      </c>
      <c r="E3660" s="2" t="s">
        <v>52</v>
      </c>
      <c r="F3660" s="2">
        <v>2</v>
      </c>
      <c r="G3660" s="2" t="s">
        <v>12</v>
      </c>
    </row>
    <row r="3661" spans="1:7" x14ac:dyDescent="0.2">
      <c r="A3661" s="2" t="s">
        <v>4753</v>
      </c>
      <c r="B3661" s="2" t="s">
        <v>4794</v>
      </c>
      <c r="C3661" s="2" t="s">
        <v>4780</v>
      </c>
      <c r="D3661" s="2" t="s">
        <v>10</v>
      </c>
      <c r="E3661" s="2" t="s">
        <v>16</v>
      </c>
      <c r="F3661" s="2">
        <v>4</v>
      </c>
      <c r="G3661" s="2" t="s">
        <v>12</v>
      </c>
    </row>
    <row r="3662" spans="1:7" x14ac:dyDescent="0.2">
      <c r="A3662" s="2" t="s">
        <v>4753</v>
      </c>
      <c r="B3662" s="2" t="s">
        <v>3744</v>
      </c>
      <c r="C3662" s="2" t="s">
        <v>4787</v>
      </c>
      <c r="D3662" s="2" t="s">
        <v>10</v>
      </c>
      <c r="E3662" s="2" t="s">
        <v>16</v>
      </c>
      <c r="F3662" s="2">
        <v>4</v>
      </c>
      <c r="G3662" s="2" t="s">
        <v>12</v>
      </c>
    </row>
    <row r="3663" spans="1:7" x14ac:dyDescent="0.2">
      <c r="A3663" s="2" t="s">
        <v>4753</v>
      </c>
      <c r="B3663" s="2" t="s">
        <v>4795</v>
      </c>
      <c r="C3663" s="2" t="s">
        <v>4796</v>
      </c>
      <c r="D3663" s="2" t="s">
        <v>10</v>
      </c>
      <c r="E3663" s="2" t="s">
        <v>16</v>
      </c>
      <c r="F3663" s="2">
        <v>4</v>
      </c>
      <c r="G3663" s="2" t="s">
        <v>12</v>
      </c>
    </row>
    <row r="3664" spans="1:7" x14ac:dyDescent="0.2">
      <c r="A3664" s="2" t="s">
        <v>4753</v>
      </c>
      <c r="B3664" s="2" t="s">
        <v>4797</v>
      </c>
      <c r="C3664" s="2" t="s">
        <v>4796</v>
      </c>
      <c r="D3664" s="2" t="s">
        <v>10</v>
      </c>
      <c r="E3664" s="2" t="s">
        <v>16</v>
      </c>
      <c r="F3664" s="2">
        <v>4</v>
      </c>
      <c r="G3664" s="2" t="s">
        <v>12</v>
      </c>
    </row>
    <row r="3665" spans="1:7" x14ac:dyDescent="0.2">
      <c r="A3665" s="2" t="s">
        <v>4753</v>
      </c>
      <c r="B3665" s="2" t="s">
        <v>4798</v>
      </c>
      <c r="C3665" s="2" t="s">
        <v>4799</v>
      </c>
      <c r="D3665" s="2" t="s">
        <v>10</v>
      </c>
      <c r="E3665" s="2" t="s">
        <v>11</v>
      </c>
      <c r="F3665" s="2">
        <v>4</v>
      </c>
      <c r="G3665" s="2" t="s">
        <v>1069</v>
      </c>
    </row>
    <row r="3666" spans="1:7" x14ac:dyDescent="0.2">
      <c r="A3666" s="2" t="s">
        <v>4753</v>
      </c>
      <c r="B3666" s="2" t="s">
        <v>4800</v>
      </c>
      <c r="C3666" s="2" t="s">
        <v>4799</v>
      </c>
      <c r="D3666" s="2" t="s">
        <v>10</v>
      </c>
      <c r="E3666" s="2" t="s">
        <v>11</v>
      </c>
      <c r="F3666" s="2">
        <v>4</v>
      </c>
      <c r="G3666" s="2" t="s">
        <v>1069</v>
      </c>
    </row>
    <row r="3667" spans="1:7" x14ac:dyDescent="0.2">
      <c r="A3667" s="2" t="s">
        <v>4753</v>
      </c>
      <c r="B3667" s="2" t="s">
        <v>4801</v>
      </c>
      <c r="C3667" s="2" t="s">
        <v>4802</v>
      </c>
      <c r="D3667" s="2" t="s">
        <v>10</v>
      </c>
      <c r="E3667" s="2" t="s">
        <v>11</v>
      </c>
      <c r="F3667" s="2">
        <v>4</v>
      </c>
      <c r="G3667" s="2" t="s">
        <v>1069</v>
      </c>
    </row>
    <row r="3668" spans="1:7" x14ac:dyDescent="0.2">
      <c r="A3668" s="2" t="s">
        <v>4753</v>
      </c>
      <c r="B3668" s="2" t="s">
        <v>4803</v>
      </c>
      <c r="C3668" s="2" t="s">
        <v>4804</v>
      </c>
      <c r="D3668" s="2" t="s">
        <v>10</v>
      </c>
      <c r="E3668" s="2" t="s">
        <v>11</v>
      </c>
      <c r="F3668" s="2">
        <v>4</v>
      </c>
      <c r="G3668" s="2" t="s">
        <v>1069</v>
      </c>
    </row>
    <row r="3669" spans="1:7" x14ac:dyDescent="0.2">
      <c r="A3669" s="2" t="s">
        <v>4753</v>
      </c>
      <c r="B3669" s="2" t="s">
        <v>4805</v>
      </c>
      <c r="C3669" s="2" t="s">
        <v>4806</v>
      </c>
      <c r="D3669" s="2" t="s">
        <v>10</v>
      </c>
      <c r="E3669" s="2" t="s">
        <v>11</v>
      </c>
      <c r="F3669" s="2">
        <v>2</v>
      </c>
      <c r="G3669" s="2" t="s">
        <v>12</v>
      </c>
    </row>
    <row r="3670" spans="1:7" x14ac:dyDescent="0.2">
      <c r="A3670" s="2" t="s">
        <v>4753</v>
      </c>
      <c r="B3670" s="2" t="s">
        <v>4807</v>
      </c>
      <c r="C3670" s="2" t="s">
        <v>4808</v>
      </c>
      <c r="D3670" s="2" t="s">
        <v>10</v>
      </c>
      <c r="E3670" s="2" t="s">
        <v>11</v>
      </c>
      <c r="F3670" s="2">
        <v>2</v>
      </c>
      <c r="G3670" s="2" t="s">
        <v>12</v>
      </c>
    </row>
    <row r="3671" spans="1:7" x14ac:dyDescent="0.2">
      <c r="A3671" s="2" t="s">
        <v>4753</v>
      </c>
      <c r="B3671" s="2" t="s">
        <v>4809</v>
      </c>
      <c r="C3671" s="2" t="s">
        <v>4810</v>
      </c>
      <c r="D3671" s="2" t="s">
        <v>10</v>
      </c>
      <c r="E3671" s="2" t="s">
        <v>11</v>
      </c>
      <c r="F3671" s="2">
        <v>2</v>
      </c>
      <c r="G3671" s="2" t="s">
        <v>12</v>
      </c>
    </row>
    <row r="3672" spans="1:7" x14ac:dyDescent="0.2">
      <c r="A3672" s="2" t="s">
        <v>4753</v>
      </c>
      <c r="B3672" s="2" t="s">
        <v>4811</v>
      </c>
      <c r="C3672" s="2" t="s">
        <v>4812</v>
      </c>
      <c r="D3672" s="2" t="s">
        <v>10</v>
      </c>
      <c r="E3672" s="2" t="s">
        <v>11</v>
      </c>
      <c r="F3672" s="2">
        <v>2</v>
      </c>
      <c r="G3672" s="2" t="s">
        <v>12</v>
      </c>
    </row>
    <row r="3673" spans="1:7" x14ac:dyDescent="0.2">
      <c r="A3673" s="2" t="s">
        <v>4753</v>
      </c>
      <c r="B3673" s="2" t="s">
        <v>4813</v>
      </c>
      <c r="C3673" s="2" t="s">
        <v>4814</v>
      </c>
      <c r="D3673" s="2" t="s">
        <v>10</v>
      </c>
      <c r="E3673" s="2" t="s">
        <v>11</v>
      </c>
      <c r="F3673" s="2">
        <v>2</v>
      </c>
      <c r="G3673" s="2" t="s">
        <v>12</v>
      </c>
    </row>
    <row r="3674" spans="1:7" x14ac:dyDescent="0.2">
      <c r="A3674" s="2" t="s">
        <v>4753</v>
      </c>
      <c r="B3674" s="2" t="s">
        <v>515</v>
      </c>
      <c r="C3674" s="2" t="s">
        <v>4769</v>
      </c>
      <c r="D3674" s="2" t="s">
        <v>10</v>
      </c>
      <c r="E3674" s="2" t="s">
        <v>16</v>
      </c>
      <c r="F3674" s="2">
        <v>2</v>
      </c>
      <c r="G3674" s="2" t="s">
        <v>12</v>
      </c>
    </row>
    <row r="3675" spans="1:7" x14ac:dyDescent="0.2">
      <c r="A3675" s="2" t="s">
        <v>4753</v>
      </c>
      <c r="B3675" s="2" t="s">
        <v>4815</v>
      </c>
      <c r="C3675" s="2" t="s">
        <v>4765</v>
      </c>
      <c r="D3675" s="2" t="s">
        <v>10</v>
      </c>
      <c r="E3675" s="2" t="s">
        <v>16</v>
      </c>
      <c r="F3675" s="2">
        <v>2</v>
      </c>
      <c r="G3675" s="2" t="s">
        <v>12</v>
      </c>
    </row>
    <row r="3676" spans="1:7" x14ac:dyDescent="0.2">
      <c r="A3676" s="2" t="s">
        <v>4753</v>
      </c>
      <c r="B3676" s="2" t="s">
        <v>4816</v>
      </c>
      <c r="C3676" s="2" t="s">
        <v>4767</v>
      </c>
      <c r="D3676" s="2" t="s">
        <v>10</v>
      </c>
      <c r="E3676" s="2" t="s">
        <v>16</v>
      </c>
      <c r="F3676" s="2">
        <v>1</v>
      </c>
      <c r="G3676" s="2" t="s">
        <v>12</v>
      </c>
    </row>
    <row r="3677" spans="1:7" x14ac:dyDescent="0.2">
      <c r="A3677" s="2" t="s">
        <v>4753</v>
      </c>
      <c r="B3677" s="2" t="s">
        <v>4817</v>
      </c>
      <c r="C3677" s="2" t="s">
        <v>4765</v>
      </c>
      <c r="D3677" s="2" t="s">
        <v>10</v>
      </c>
      <c r="E3677" s="2" t="s">
        <v>16</v>
      </c>
      <c r="F3677" s="2">
        <v>2</v>
      </c>
      <c r="G3677" s="2" t="s">
        <v>12</v>
      </c>
    </row>
    <row r="3678" spans="1:7" x14ac:dyDescent="0.2">
      <c r="A3678" s="2" t="s">
        <v>4753</v>
      </c>
      <c r="B3678" s="2" t="s">
        <v>4818</v>
      </c>
      <c r="C3678" s="2" t="s">
        <v>4780</v>
      </c>
      <c r="D3678" s="2" t="s">
        <v>10</v>
      </c>
      <c r="E3678" s="2" t="s">
        <v>16</v>
      </c>
      <c r="F3678" s="2">
        <v>4</v>
      </c>
      <c r="G3678" s="2" t="s">
        <v>12</v>
      </c>
    </row>
    <row r="3679" spans="1:7" x14ac:dyDescent="0.2">
      <c r="A3679" s="2" t="s">
        <v>4753</v>
      </c>
      <c r="B3679" s="2" t="s">
        <v>4819</v>
      </c>
      <c r="C3679" s="2" t="s">
        <v>4755</v>
      </c>
      <c r="D3679" s="2" t="s">
        <v>10</v>
      </c>
      <c r="E3679" s="2" t="s">
        <v>11</v>
      </c>
      <c r="F3679" s="2">
        <v>2</v>
      </c>
      <c r="G3679" s="2" t="s">
        <v>12</v>
      </c>
    </row>
    <row r="3680" spans="1:7" x14ac:dyDescent="0.2">
      <c r="A3680" s="2" t="s">
        <v>4753</v>
      </c>
      <c r="B3680" s="2" t="s">
        <v>4820</v>
      </c>
      <c r="C3680" s="2" t="s">
        <v>4759</v>
      </c>
      <c r="D3680" s="2" t="s">
        <v>10</v>
      </c>
      <c r="E3680" s="2" t="s">
        <v>16</v>
      </c>
      <c r="F3680" s="2">
        <v>2</v>
      </c>
      <c r="G3680" s="2" t="s">
        <v>12</v>
      </c>
    </row>
    <row r="3681" spans="1:7" x14ac:dyDescent="0.2">
      <c r="A3681" s="2" t="s">
        <v>4753</v>
      </c>
      <c r="B3681" s="2" t="s">
        <v>4821</v>
      </c>
      <c r="C3681" s="2" t="s">
        <v>4765</v>
      </c>
      <c r="D3681" s="2" t="s">
        <v>10</v>
      </c>
      <c r="E3681" s="2" t="s">
        <v>16</v>
      </c>
      <c r="F3681" s="2">
        <v>2</v>
      </c>
      <c r="G3681" s="2" t="s">
        <v>12</v>
      </c>
    </row>
    <row r="3682" spans="1:7" x14ac:dyDescent="0.2">
      <c r="A3682" s="2" t="s">
        <v>4753</v>
      </c>
      <c r="B3682" s="2" t="s">
        <v>4822</v>
      </c>
      <c r="C3682" s="2" t="s">
        <v>4780</v>
      </c>
      <c r="D3682" s="2" t="s">
        <v>10</v>
      </c>
      <c r="E3682" s="2" t="s">
        <v>16</v>
      </c>
      <c r="F3682" s="2">
        <v>4</v>
      </c>
      <c r="G3682" s="2" t="s">
        <v>12</v>
      </c>
    </row>
    <row r="3683" spans="1:7" x14ac:dyDescent="0.2">
      <c r="A3683" s="2" t="s">
        <v>4753</v>
      </c>
      <c r="B3683" s="2" t="s">
        <v>4823</v>
      </c>
      <c r="C3683" s="2" t="s">
        <v>4763</v>
      </c>
      <c r="D3683" s="2" t="s">
        <v>10</v>
      </c>
      <c r="E3683" s="2" t="s">
        <v>16</v>
      </c>
      <c r="F3683" s="2">
        <v>2</v>
      </c>
      <c r="G3683" s="2" t="s">
        <v>12</v>
      </c>
    </row>
    <row r="3684" spans="1:7" x14ac:dyDescent="0.2">
      <c r="A3684" s="2" t="s">
        <v>4753</v>
      </c>
      <c r="B3684" s="2" t="s">
        <v>4824</v>
      </c>
      <c r="C3684" s="2" t="s">
        <v>4799</v>
      </c>
      <c r="D3684" s="2" t="s">
        <v>10</v>
      </c>
      <c r="E3684" s="2" t="s">
        <v>11</v>
      </c>
      <c r="F3684" s="2">
        <v>4</v>
      </c>
      <c r="G3684" s="2" t="s">
        <v>1069</v>
      </c>
    </row>
    <row r="3685" spans="1:7" x14ac:dyDescent="0.2">
      <c r="A3685" s="2" t="s">
        <v>4753</v>
      </c>
      <c r="B3685" s="2" t="s">
        <v>4825</v>
      </c>
      <c r="C3685" s="2" t="s">
        <v>4765</v>
      </c>
      <c r="D3685" s="2" t="s">
        <v>10</v>
      </c>
      <c r="E3685" s="2" t="s">
        <v>16</v>
      </c>
      <c r="F3685" s="2">
        <v>2</v>
      </c>
      <c r="G3685" s="2" t="s">
        <v>12</v>
      </c>
    </row>
    <row r="3686" spans="1:7" x14ac:dyDescent="0.2">
      <c r="A3686" s="2" t="s">
        <v>4753</v>
      </c>
      <c r="B3686" s="2" t="s">
        <v>4826</v>
      </c>
      <c r="C3686" s="2" t="s">
        <v>4785</v>
      </c>
      <c r="D3686" s="2" t="s">
        <v>10</v>
      </c>
      <c r="E3686" s="2" t="s">
        <v>16</v>
      </c>
      <c r="F3686" s="2">
        <v>2</v>
      </c>
      <c r="G3686" s="2" t="s">
        <v>12</v>
      </c>
    </row>
    <row r="3687" spans="1:7" x14ac:dyDescent="0.2">
      <c r="A3687" s="2" t="s">
        <v>4753</v>
      </c>
      <c r="B3687" s="2" t="s">
        <v>4827</v>
      </c>
      <c r="C3687" s="2" t="s">
        <v>4787</v>
      </c>
      <c r="D3687" s="2" t="s">
        <v>10</v>
      </c>
      <c r="E3687" s="2" t="s">
        <v>16</v>
      </c>
      <c r="F3687" s="2">
        <v>4</v>
      </c>
      <c r="G3687" s="2" t="s">
        <v>12</v>
      </c>
    </row>
    <row r="3688" spans="1:7" x14ac:dyDescent="0.2">
      <c r="A3688" s="2" t="s">
        <v>4753</v>
      </c>
      <c r="B3688" s="2" t="s">
        <v>4828</v>
      </c>
      <c r="C3688" s="2" t="s">
        <v>4755</v>
      </c>
      <c r="D3688" s="2" t="s">
        <v>10</v>
      </c>
      <c r="E3688" s="2" t="s">
        <v>11</v>
      </c>
      <c r="F3688" s="2">
        <v>2</v>
      </c>
      <c r="G3688" s="2" t="s">
        <v>12</v>
      </c>
    </row>
    <row r="3689" spans="1:7" x14ac:dyDescent="0.2">
      <c r="A3689" s="2" t="s">
        <v>4753</v>
      </c>
      <c r="B3689" s="2" t="s">
        <v>4829</v>
      </c>
      <c r="C3689" s="2" t="s">
        <v>4765</v>
      </c>
      <c r="D3689" s="2" t="s">
        <v>10</v>
      </c>
      <c r="E3689" s="2" t="s">
        <v>16</v>
      </c>
      <c r="F3689" s="2">
        <v>2</v>
      </c>
      <c r="G3689" s="2" t="s">
        <v>12</v>
      </c>
    </row>
    <row r="3690" spans="1:7" x14ac:dyDescent="0.2">
      <c r="A3690" s="2" t="s">
        <v>4753</v>
      </c>
      <c r="B3690" s="2" t="s">
        <v>4830</v>
      </c>
      <c r="C3690" s="2" t="s">
        <v>4765</v>
      </c>
      <c r="D3690" s="2" t="s">
        <v>10</v>
      </c>
      <c r="E3690" s="2" t="s">
        <v>16</v>
      </c>
      <c r="F3690" s="2">
        <v>2</v>
      </c>
      <c r="G3690" s="2" t="s">
        <v>12</v>
      </c>
    </row>
    <row r="3691" spans="1:7" x14ac:dyDescent="0.2">
      <c r="A3691" s="2" t="s">
        <v>4753</v>
      </c>
      <c r="B3691" s="2" t="s">
        <v>4831</v>
      </c>
      <c r="C3691" s="2" t="s">
        <v>4765</v>
      </c>
      <c r="D3691" s="2" t="s">
        <v>10</v>
      </c>
      <c r="E3691" s="2" t="s">
        <v>16</v>
      </c>
      <c r="F3691" s="2">
        <v>2</v>
      </c>
      <c r="G3691" s="2" t="s">
        <v>12</v>
      </c>
    </row>
    <row r="3692" spans="1:7" x14ac:dyDescent="0.2">
      <c r="A3692" s="2" t="s">
        <v>4753</v>
      </c>
      <c r="B3692" s="2" t="s">
        <v>4832</v>
      </c>
      <c r="C3692" s="2" t="s">
        <v>4765</v>
      </c>
      <c r="D3692" s="2" t="s">
        <v>10</v>
      </c>
      <c r="E3692" s="2" t="s">
        <v>16</v>
      </c>
      <c r="F3692" s="2">
        <v>2</v>
      </c>
      <c r="G3692" s="2" t="s">
        <v>12</v>
      </c>
    </row>
    <row r="3693" spans="1:7" x14ac:dyDescent="0.2">
      <c r="A3693" s="2" t="s">
        <v>4753</v>
      </c>
      <c r="B3693" s="2" t="s">
        <v>4833</v>
      </c>
      <c r="C3693" s="2" t="s">
        <v>4765</v>
      </c>
      <c r="D3693" s="2" t="s">
        <v>10</v>
      </c>
      <c r="E3693" s="2" t="s">
        <v>16</v>
      </c>
      <c r="F3693" s="2">
        <v>2</v>
      </c>
      <c r="G3693" s="2" t="s">
        <v>12</v>
      </c>
    </row>
    <row r="3694" spans="1:7" x14ac:dyDescent="0.2">
      <c r="A3694" s="2" t="s">
        <v>4753</v>
      </c>
      <c r="B3694" s="2" t="s">
        <v>4834</v>
      </c>
      <c r="C3694" s="2" t="s">
        <v>4785</v>
      </c>
      <c r="D3694" s="2" t="s">
        <v>10</v>
      </c>
      <c r="E3694" s="2" t="s">
        <v>16</v>
      </c>
      <c r="F3694" s="2">
        <v>2</v>
      </c>
      <c r="G3694" s="2" t="s">
        <v>12</v>
      </c>
    </row>
    <row r="3695" spans="1:7" x14ac:dyDescent="0.2">
      <c r="A3695" s="2" t="s">
        <v>4753</v>
      </c>
      <c r="B3695" s="2" t="s">
        <v>4835</v>
      </c>
      <c r="C3695" s="2" t="s">
        <v>4780</v>
      </c>
      <c r="D3695" s="2" t="s">
        <v>10</v>
      </c>
      <c r="E3695" s="2" t="s">
        <v>16</v>
      </c>
      <c r="F3695" s="2">
        <v>4</v>
      </c>
      <c r="G3695" s="2" t="s">
        <v>12</v>
      </c>
    </row>
    <row r="3696" spans="1:7" x14ac:dyDescent="0.2">
      <c r="A3696" s="2" t="s">
        <v>4753</v>
      </c>
      <c r="B3696" s="2" t="s">
        <v>4836</v>
      </c>
      <c r="C3696" s="2" t="s">
        <v>4787</v>
      </c>
      <c r="D3696" s="2" t="s">
        <v>10</v>
      </c>
      <c r="E3696" s="2" t="s">
        <v>16</v>
      </c>
      <c r="F3696" s="2">
        <v>4</v>
      </c>
      <c r="G3696" s="2" t="s">
        <v>12</v>
      </c>
    </row>
    <row r="3697" spans="1:7" x14ac:dyDescent="0.2">
      <c r="A3697" s="2" t="s">
        <v>4753</v>
      </c>
      <c r="B3697" s="2" t="s">
        <v>4837</v>
      </c>
      <c r="C3697" s="2" t="s">
        <v>4763</v>
      </c>
      <c r="D3697" s="2" t="s">
        <v>10</v>
      </c>
      <c r="E3697" s="2" t="s">
        <v>16</v>
      </c>
      <c r="F3697" s="2">
        <v>2</v>
      </c>
      <c r="G3697" s="2" t="s">
        <v>12</v>
      </c>
    </row>
    <row r="3698" spans="1:7" x14ac:dyDescent="0.2">
      <c r="A3698" s="2" t="s">
        <v>4753</v>
      </c>
      <c r="B3698" s="2" t="s">
        <v>4838</v>
      </c>
      <c r="C3698" s="2" t="s">
        <v>4765</v>
      </c>
      <c r="D3698" s="2" t="s">
        <v>10</v>
      </c>
      <c r="E3698" s="2" t="s">
        <v>16</v>
      </c>
      <c r="F3698" s="2">
        <v>2</v>
      </c>
      <c r="G3698" s="2" t="s">
        <v>12</v>
      </c>
    </row>
    <row r="3699" spans="1:7" x14ac:dyDescent="0.2">
      <c r="A3699" s="2" t="s">
        <v>4753</v>
      </c>
      <c r="B3699" s="2" t="s">
        <v>4839</v>
      </c>
      <c r="C3699" s="2" t="s">
        <v>4761</v>
      </c>
      <c r="D3699" s="2" t="s">
        <v>10</v>
      </c>
      <c r="E3699" s="2" t="s">
        <v>16</v>
      </c>
      <c r="F3699" s="2">
        <v>1</v>
      </c>
      <c r="G3699" s="2" t="s">
        <v>17</v>
      </c>
    </row>
    <row r="3700" spans="1:7" x14ac:dyDescent="0.2">
      <c r="A3700" s="2" t="s">
        <v>4753</v>
      </c>
      <c r="B3700" s="2" t="s">
        <v>4840</v>
      </c>
      <c r="C3700" s="2" t="s">
        <v>4796</v>
      </c>
      <c r="D3700" s="2" t="s">
        <v>10</v>
      </c>
      <c r="E3700" s="2" t="s">
        <v>16</v>
      </c>
      <c r="F3700" s="2">
        <v>4</v>
      </c>
      <c r="G3700" s="2" t="s">
        <v>12</v>
      </c>
    </row>
    <row r="3701" spans="1:7" x14ac:dyDescent="0.2">
      <c r="A3701" s="2" t="s">
        <v>4753</v>
      </c>
      <c r="B3701" s="2" t="s">
        <v>3779</v>
      </c>
      <c r="C3701" s="2" t="s">
        <v>4757</v>
      </c>
      <c r="D3701" s="2" t="s">
        <v>10</v>
      </c>
      <c r="E3701" s="2" t="s">
        <v>11</v>
      </c>
      <c r="F3701" s="2">
        <v>1</v>
      </c>
      <c r="G3701" s="2" t="s">
        <v>12</v>
      </c>
    </row>
    <row r="3702" spans="1:7" x14ac:dyDescent="0.2">
      <c r="A3702" s="2" t="s">
        <v>4753</v>
      </c>
      <c r="B3702" s="2" t="s">
        <v>3784</v>
      </c>
      <c r="C3702" s="2" t="s">
        <v>4780</v>
      </c>
      <c r="D3702" s="2" t="s">
        <v>10</v>
      </c>
      <c r="E3702" s="2" t="s">
        <v>16</v>
      </c>
      <c r="F3702" s="2">
        <v>4</v>
      </c>
      <c r="G3702" s="2" t="s">
        <v>12</v>
      </c>
    </row>
    <row r="3703" spans="1:7" x14ac:dyDescent="0.2">
      <c r="A3703" s="2" t="s">
        <v>4753</v>
      </c>
      <c r="B3703" s="2" t="s">
        <v>4841</v>
      </c>
      <c r="C3703" s="2" t="s">
        <v>4767</v>
      </c>
      <c r="D3703" s="2" t="s">
        <v>10</v>
      </c>
      <c r="E3703" s="2" t="s">
        <v>16</v>
      </c>
      <c r="F3703" s="2">
        <v>1</v>
      </c>
      <c r="G3703" s="2" t="s">
        <v>12</v>
      </c>
    </row>
    <row r="3704" spans="1:7" x14ac:dyDescent="0.2">
      <c r="A3704" s="2" t="s">
        <v>4753</v>
      </c>
      <c r="B3704" s="2" t="s">
        <v>4842</v>
      </c>
      <c r="C3704" s="2" t="s">
        <v>4765</v>
      </c>
      <c r="D3704" s="2" t="s">
        <v>10</v>
      </c>
      <c r="E3704" s="2" t="s">
        <v>16</v>
      </c>
      <c r="F3704" s="2">
        <v>2</v>
      </c>
      <c r="G3704" s="2" t="s">
        <v>12</v>
      </c>
    </row>
    <row r="3705" spans="1:7" x14ac:dyDescent="0.2">
      <c r="A3705" s="2" t="s">
        <v>4753</v>
      </c>
      <c r="B3705" s="2" t="s">
        <v>4843</v>
      </c>
      <c r="C3705" s="2" t="s">
        <v>4765</v>
      </c>
      <c r="D3705" s="2" t="s">
        <v>10</v>
      </c>
      <c r="E3705" s="2" t="s">
        <v>16</v>
      </c>
      <c r="F3705" s="2">
        <v>2</v>
      </c>
      <c r="G3705" s="2" t="s">
        <v>12</v>
      </c>
    </row>
    <row r="3706" spans="1:7" x14ac:dyDescent="0.2">
      <c r="A3706" s="2" t="s">
        <v>4753</v>
      </c>
      <c r="B3706" s="2" t="s">
        <v>4844</v>
      </c>
      <c r="C3706" s="2" t="s">
        <v>4755</v>
      </c>
      <c r="D3706" s="2" t="s">
        <v>10</v>
      </c>
      <c r="E3706" s="2" t="s">
        <v>11</v>
      </c>
      <c r="F3706" s="2">
        <v>2</v>
      </c>
      <c r="G3706" s="2" t="s">
        <v>12</v>
      </c>
    </row>
    <row r="3707" spans="1:7" x14ac:dyDescent="0.2">
      <c r="A3707" s="2" t="s">
        <v>4753</v>
      </c>
      <c r="B3707" s="2" t="s">
        <v>4845</v>
      </c>
      <c r="C3707" s="2" t="s">
        <v>4785</v>
      </c>
      <c r="D3707" s="2" t="s">
        <v>10</v>
      </c>
      <c r="E3707" s="2" t="s">
        <v>16</v>
      </c>
      <c r="F3707" s="2">
        <v>2</v>
      </c>
      <c r="G3707" s="2" t="s">
        <v>12</v>
      </c>
    </row>
    <row r="3708" spans="1:7" x14ac:dyDescent="0.2">
      <c r="A3708" s="2" t="s">
        <v>4753</v>
      </c>
      <c r="B3708" s="2" t="s">
        <v>4846</v>
      </c>
      <c r="C3708" s="2" t="s">
        <v>4755</v>
      </c>
      <c r="D3708" s="2" t="s">
        <v>10</v>
      </c>
      <c r="E3708" s="2" t="s">
        <v>11</v>
      </c>
      <c r="F3708" s="2">
        <v>2</v>
      </c>
      <c r="G3708" s="2" t="s">
        <v>12</v>
      </c>
    </row>
    <row r="3709" spans="1:7" x14ac:dyDescent="0.2">
      <c r="A3709" s="2" t="s">
        <v>4753</v>
      </c>
      <c r="B3709" s="2" t="s">
        <v>4847</v>
      </c>
      <c r="C3709" s="2" t="s">
        <v>4757</v>
      </c>
      <c r="D3709" s="2" t="s">
        <v>10</v>
      </c>
      <c r="E3709" s="2" t="s">
        <v>11</v>
      </c>
      <c r="F3709" s="2">
        <v>1</v>
      </c>
      <c r="G3709" s="2" t="s">
        <v>12</v>
      </c>
    </row>
    <row r="3710" spans="1:7" x14ac:dyDescent="0.2">
      <c r="A3710" s="2" t="s">
        <v>4753</v>
      </c>
      <c r="B3710" s="2" t="s">
        <v>4848</v>
      </c>
      <c r="C3710" s="2" t="s">
        <v>4763</v>
      </c>
      <c r="D3710" s="2" t="s">
        <v>10</v>
      </c>
      <c r="E3710" s="2" t="s">
        <v>16</v>
      </c>
      <c r="F3710" s="2">
        <v>2</v>
      </c>
      <c r="G3710" s="2" t="s">
        <v>12</v>
      </c>
    </row>
    <row r="3711" spans="1:7" x14ac:dyDescent="0.2">
      <c r="A3711" s="2" t="s">
        <v>4753</v>
      </c>
      <c r="B3711" s="2" t="s">
        <v>4849</v>
      </c>
      <c r="C3711" s="2" t="s">
        <v>4765</v>
      </c>
      <c r="D3711" s="2" t="s">
        <v>10</v>
      </c>
      <c r="E3711" s="2" t="s">
        <v>16</v>
      </c>
      <c r="F3711" s="2">
        <v>2</v>
      </c>
      <c r="G3711" s="2" t="s">
        <v>12</v>
      </c>
    </row>
    <row r="3712" spans="1:7" x14ac:dyDescent="0.2">
      <c r="A3712" s="2" t="s">
        <v>4753</v>
      </c>
      <c r="B3712" s="2" t="s">
        <v>4850</v>
      </c>
      <c r="C3712" s="2" t="s">
        <v>4780</v>
      </c>
      <c r="D3712" s="2" t="s">
        <v>10</v>
      </c>
      <c r="E3712" s="2" t="s">
        <v>16</v>
      </c>
      <c r="F3712" s="2">
        <v>4</v>
      </c>
      <c r="G3712" s="2" t="s">
        <v>12</v>
      </c>
    </row>
    <row r="3713" spans="1:7" x14ac:dyDescent="0.2">
      <c r="A3713" s="2" t="s">
        <v>4753</v>
      </c>
      <c r="B3713" s="2" t="s">
        <v>4851</v>
      </c>
      <c r="C3713" s="2" t="s">
        <v>4785</v>
      </c>
      <c r="D3713" s="2" t="s">
        <v>10</v>
      </c>
      <c r="E3713" s="2" t="s">
        <v>16</v>
      </c>
      <c r="F3713" s="2">
        <v>2</v>
      </c>
      <c r="G3713" s="2" t="s">
        <v>12</v>
      </c>
    </row>
    <row r="3714" spans="1:7" x14ac:dyDescent="0.2">
      <c r="A3714" s="2" t="s">
        <v>4753</v>
      </c>
      <c r="B3714" s="2" t="s">
        <v>4852</v>
      </c>
      <c r="C3714" s="2" t="s">
        <v>4763</v>
      </c>
      <c r="D3714" s="2" t="s">
        <v>10</v>
      </c>
      <c r="E3714" s="2" t="s">
        <v>16</v>
      </c>
      <c r="F3714" s="2">
        <v>2</v>
      </c>
      <c r="G3714" s="2" t="s">
        <v>12</v>
      </c>
    </row>
    <row r="3715" spans="1:7" x14ac:dyDescent="0.2">
      <c r="A3715" s="2" t="s">
        <v>4753</v>
      </c>
      <c r="B3715" s="2" t="s">
        <v>4853</v>
      </c>
      <c r="C3715" s="2" t="s">
        <v>4769</v>
      </c>
      <c r="D3715" s="2" t="s">
        <v>10</v>
      </c>
      <c r="E3715" s="2" t="s">
        <v>16</v>
      </c>
      <c r="F3715" s="2">
        <v>2</v>
      </c>
      <c r="G3715" s="2" t="s">
        <v>12</v>
      </c>
    </row>
    <row r="3716" spans="1:7" x14ac:dyDescent="0.2">
      <c r="A3716" s="2" t="s">
        <v>4753</v>
      </c>
      <c r="B3716" s="2" t="s">
        <v>4854</v>
      </c>
      <c r="C3716" s="2" t="s">
        <v>4763</v>
      </c>
      <c r="D3716" s="2" t="s">
        <v>10</v>
      </c>
      <c r="E3716" s="2" t="s">
        <v>16</v>
      </c>
      <c r="F3716" s="2">
        <v>2</v>
      </c>
      <c r="G3716" s="2" t="s">
        <v>12</v>
      </c>
    </row>
    <row r="3717" spans="1:7" x14ac:dyDescent="0.2">
      <c r="A3717" s="2" t="s">
        <v>4753</v>
      </c>
      <c r="B3717" s="2" t="s">
        <v>4855</v>
      </c>
      <c r="C3717" s="2" t="s">
        <v>4765</v>
      </c>
      <c r="D3717" s="2" t="s">
        <v>10</v>
      </c>
      <c r="E3717" s="2" t="s">
        <v>16</v>
      </c>
      <c r="F3717" s="2">
        <v>2</v>
      </c>
      <c r="G3717" s="2" t="s">
        <v>12</v>
      </c>
    </row>
    <row r="3718" spans="1:7" x14ac:dyDescent="0.2">
      <c r="A3718" s="2" t="s">
        <v>4753</v>
      </c>
      <c r="B3718" s="2" t="s">
        <v>4856</v>
      </c>
      <c r="C3718" s="2" t="s">
        <v>4780</v>
      </c>
      <c r="D3718" s="2" t="s">
        <v>10</v>
      </c>
      <c r="E3718" s="2" t="s">
        <v>16</v>
      </c>
      <c r="F3718" s="2">
        <v>4</v>
      </c>
      <c r="G3718" s="2" t="s">
        <v>12</v>
      </c>
    </row>
    <row r="3719" spans="1:7" x14ac:dyDescent="0.2">
      <c r="A3719" s="2" t="s">
        <v>4753</v>
      </c>
      <c r="B3719" s="2" t="s">
        <v>4857</v>
      </c>
      <c r="C3719" s="2" t="s">
        <v>4785</v>
      </c>
      <c r="D3719" s="2" t="s">
        <v>10</v>
      </c>
      <c r="E3719" s="2" t="s">
        <v>16</v>
      </c>
      <c r="F3719" s="2">
        <v>2</v>
      </c>
      <c r="G3719" s="2" t="s">
        <v>12</v>
      </c>
    </row>
    <row r="3720" spans="1:7" x14ac:dyDescent="0.2">
      <c r="A3720" s="2" t="s">
        <v>4753</v>
      </c>
      <c r="B3720" s="2" t="s">
        <v>4858</v>
      </c>
      <c r="C3720" s="2" t="s">
        <v>4787</v>
      </c>
      <c r="D3720" s="2" t="s">
        <v>10</v>
      </c>
      <c r="E3720" s="2" t="s">
        <v>16</v>
      </c>
      <c r="F3720" s="2">
        <v>4</v>
      </c>
      <c r="G3720" s="2" t="s">
        <v>12</v>
      </c>
    </row>
    <row r="3721" spans="1:7" x14ac:dyDescent="0.2">
      <c r="A3721" s="2" t="s">
        <v>4753</v>
      </c>
      <c r="B3721" s="2" t="s">
        <v>4859</v>
      </c>
      <c r="C3721" s="2" t="s">
        <v>4767</v>
      </c>
      <c r="D3721" s="2" t="s">
        <v>10</v>
      </c>
      <c r="E3721" s="2" t="s">
        <v>16</v>
      </c>
      <c r="F3721" s="2">
        <v>1</v>
      </c>
      <c r="G3721" s="2" t="s">
        <v>12</v>
      </c>
    </row>
    <row r="3722" spans="1:7" x14ac:dyDescent="0.2">
      <c r="A3722" s="2" t="s">
        <v>4860</v>
      </c>
      <c r="B3722" s="2" t="s">
        <v>4861</v>
      </c>
      <c r="C3722" s="2" t="s">
        <v>4862</v>
      </c>
      <c r="D3722" s="2" t="s">
        <v>10</v>
      </c>
      <c r="E3722" s="2" t="s">
        <v>16</v>
      </c>
      <c r="F3722" s="2">
        <v>1</v>
      </c>
      <c r="G3722" s="2" t="s">
        <v>17</v>
      </c>
    </row>
    <row r="3723" spans="1:7" x14ac:dyDescent="0.2">
      <c r="A3723" s="2" t="s">
        <v>4860</v>
      </c>
      <c r="B3723" s="2" t="s">
        <v>4863</v>
      </c>
      <c r="C3723" s="2" t="s">
        <v>4862</v>
      </c>
      <c r="D3723" s="2" t="s">
        <v>10</v>
      </c>
      <c r="E3723" s="2" t="s">
        <v>16</v>
      </c>
      <c r="F3723" s="2">
        <v>1</v>
      </c>
      <c r="G3723" s="2" t="s">
        <v>17</v>
      </c>
    </row>
    <row r="3724" spans="1:7" x14ac:dyDescent="0.2">
      <c r="A3724" s="2" t="s">
        <v>4860</v>
      </c>
      <c r="B3724" s="2" t="s">
        <v>4864</v>
      </c>
      <c r="C3724" s="2" t="s">
        <v>4865</v>
      </c>
      <c r="D3724" s="2" t="s">
        <v>10</v>
      </c>
      <c r="E3724" s="2" t="s">
        <v>16</v>
      </c>
      <c r="F3724" s="2">
        <v>1</v>
      </c>
      <c r="G3724" s="2" t="s">
        <v>17</v>
      </c>
    </row>
    <row r="3725" spans="1:7" x14ac:dyDescent="0.2">
      <c r="A3725" s="2" t="s">
        <v>4860</v>
      </c>
      <c r="B3725" s="2" t="s">
        <v>3783</v>
      </c>
      <c r="C3725" s="2" t="s">
        <v>4865</v>
      </c>
      <c r="D3725" s="2" t="s">
        <v>10</v>
      </c>
      <c r="E3725" s="2" t="s">
        <v>16</v>
      </c>
      <c r="F3725" s="2">
        <v>1</v>
      </c>
      <c r="G3725" s="2" t="s">
        <v>17</v>
      </c>
    </row>
    <row r="3726" spans="1:7" x14ac:dyDescent="0.2">
      <c r="A3726" s="2" t="s">
        <v>4866</v>
      </c>
      <c r="B3726" s="2" t="s">
        <v>4867</v>
      </c>
      <c r="C3726" s="2" t="s">
        <v>4868</v>
      </c>
      <c r="D3726" s="2" t="s">
        <v>10</v>
      </c>
      <c r="E3726" s="2" t="s">
        <v>16</v>
      </c>
      <c r="F3726" s="2">
        <v>1</v>
      </c>
      <c r="G3726" s="2" t="s">
        <v>17</v>
      </c>
    </row>
    <row r="3727" spans="1:7" x14ac:dyDescent="0.2">
      <c r="A3727" s="2" t="s">
        <v>4866</v>
      </c>
      <c r="B3727" s="2" t="s">
        <v>2551</v>
      </c>
      <c r="C3727" s="2" t="s">
        <v>2552</v>
      </c>
      <c r="D3727" s="2" t="s">
        <v>10</v>
      </c>
      <c r="E3727" s="2" t="s">
        <v>16</v>
      </c>
      <c r="F3727" s="2">
        <v>1</v>
      </c>
      <c r="G3727" s="2" t="s">
        <v>17</v>
      </c>
    </row>
    <row r="3728" spans="1:7" x14ac:dyDescent="0.2">
      <c r="A3728" s="2" t="s">
        <v>4866</v>
      </c>
      <c r="B3728" s="2" t="s">
        <v>2558</v>
      </c>
      <c r="C3728" s="2" t="s">
        <v>2556</v>
      </c>
      <c r="D3728" s="2" t="s">
        <v>10</v>
      </c>
      <c r="E3728" s="2" t="s">
        <v>16</v>
      </c>
      <c r="F3728" s="2">
        <v>1</v>
      </c>
      <c r="G3728" s="2" t="s">
        <v>17</v>
      </c>
    </row>
    <row r="3729" spans="1:7" x14ac:dyDescent="0.2">
      <c r="A3729" s="2" t="s">
        <v>4866</v>
      </c>
      <c r="B3729" s="2" t="s">
        <v>4869</v>
      </c>
      <c r="C3729" s="2" t="s">
        <v>4868</v>
      </c>
      <c r="D3729" s="2" t="s">
        <v>10</v>
      </c>
      <c r="E3729" s="2" t="s">
        <v>16</v>
      </c>
      <c r="F3729" s="2">
        <v>1</v>
      </c>
      <c r="G3729" s="2" t="s">
        <v>17</v>
      </c>
    </row>
    <row r="3730" spans="1:7" x14ac:dyDescent="0.2">
      <c r="A3730" s="2" t="s">
        <v>4866</v>
      </c>
      <c r="B3730" s="2" t="s">
        <v>2563</v>
      </c>
      <c r="C3730" s="2" t="s">
        <v>2552</v>
      </c>
      <c r="D3730" s="2" t="s">
        <v>10</v>
      </c>
      <c r="E3730" s="2" t="s">
        <v>16</v>
      </c>
      <c r="F3730" s="2">
        <v>1</v>
      </c>
      <c r="G3730" s="2" t="s">
        <v>17</v>
      </c>
    </row>
    <row r="3731" spans="1:7" x14ac:dyDescent="0.2">
      <c r="A3731" s="2" t="s">
        <v>4866</v>
      </c>
      <c r="B3731" s="2" t="s">
        <v>2570</v>
      </c>
      <c r="C3731" s="2" t="s">
        <v>2556</v>
      </c>
      <c r="D3731" s="2" t="s">
        <v>10</v>
      </c>
      <c r="E3731" s="2" t="s">
        <v>16</v>
      </c>
      <c r="F3731" s="2">
        <v>1</v>
      </c>
      <c r="G3731" s="2" t="s">
        <v>17</v>
      </c>
    </row>
    <row r="3732" spans="1:7" x14ac:dyDescent="0.2">
      <c r="A3732" s="2" t="s">
        <v>4870</v>
      </c>
      <c r="B3732" s="2" t="s">
        <v>4236</v>
      </c>
      <c r="C3732" s="2" t="s">
        <v>4237</v>
      </c>
      <c r="D3732" s="2" t="s">
        <v>56</v>
      </c>
      <c r="E3732" s="2" t="s">
        <v>16</v>
      </c>
      <c r="F3732" s="2">
        <v>1</v>
      </c>
      <c r="G3732" s="2" t="s">
        <v>17</v>
      </c>
    </row>
    <row r="3733" spans="1:7" x14ac:dyDescent="0.2">
      <c r="A3733" s="2" t="s">
        <v>4871</v>
      </c>
      <c r="B3733" s="2" t="s">
        <v>4872</v>
      </c>
      <c r="C3733" s="2" t="s">
        <v>4873</v>
      </c>
      <c r="D3733" s="2" t="s">
        <v>10</v>
      </c>
      <c r="E3733" s="2" t="s">
        <v>16</v>
      </c>
      <c r="F3733" s="2">
        <v>1</v>
      </c>
      <c r="G3733" s="2" t="s">
        <v>17</v>
      </c>
    </row>
    <row r="3734" spans="1:7" x14ac:dyDescent="0.2">
      <c r="A3734" s="2" t="s">
        <v>4874</v>
      </c>
      <c r="B3734" s="2" t="s">
        <v>3783</v>
      </c>
      <c r="C3734" s="2" t="s">
        <v>4875</v>
      </c>
      <c r="D3734" s="2" t="s">
        <v>10</v>
      </c>
      <c r="E3734" s="2" t="s">
        <v>16</v>
      </c>
      <c r="F3734" s="2">
        <v>1</v>
      </c>
      <c r="G3734" s="2" t="s">
        <v>17</v>
      </c>
    </row>
    <row r="3735" spans="1:7" x14ac:dyDescent="0.2">
      <c r="A3735" s="2" t="s">
        <v>4876</v>
      </c>
      <c r="B3735" s="2" t="s">
        <v>4877</v>
      </c>
      <c r="C3735" s="2" t="s">
        <v>4878</v>
      </c>
      <c r="D3735" s="2" t="s">
        <v>10</v>
      </c>
      <c r="E3735" s="2" t="s">
        <v>16</v>
      </c>
      <c r="F3735" s="2">
        <v>1</v>
      </c>
      <c r="G3735" s="2" t="s">
        <v>17</v>
      </c>
    </row>
    <row r="3736" spans="1:7" x14ac:dyDescent="0.2">
      <c r="A3736" s="2" t="s">
        <v>4876</v>
      </c>
      <c r="B3736" s="2" t="s">
        <v>4879</v>
      </c>
      <c r="C3736" s="2" t="s">
        <v>4880</v>
      </c>
      <c r="D3736" s="2" t="s">
        <v>10</v>
      </c>
      <c r="E3736" s="2" t="s">
        <v>16</v>
      </c>
      <c r="F3736" s="2">
        <v>1</v>
      </c>
      <c r="G3736" s="2" t="s">
        <v>17</v>
      </c>
    </row>
    <row r="3737" spans="1:7" x14ac:dyDescent="0.2">
      <c r="A3737" s="2" t="s">
        <v>4876</v>
      </c>
      <c r="B3737" s="2" t="s">
        <v>4881</v>
      </c>
      <c r="C3737" s="2" t="s">
        <v>4882</v>
      </c>
      <c r="D3737" s="2" t="s">
        <v>10</v>
      </c>
      <c r="E3737" s="2" t="s">
        <v>16</v>
      </c>
      <c r="F3737" s="2">
        <v>1</v>
      </c>
      <c r="G3737" s="2" t="s">
        <v>17</v>
      </c>
    </row>
    <row r="3738" spans="1:7" x14ac:dyDescent="0.2">
      <c r="A3738" s="2" t="s">
        <v>4876</v>
      </c>
      <c r="B3738" s="2" t="s">
        <v>4883</v>
      </c>
      <c r="C3738" s="2" t="s">
        <v>4878</v>
      </c>
      <c r="D3738" s="2" t="s">
        <v>10</v>
      </c>
      <c r="E3738" s="2" t="s">
        <v>16</v>
      </c>
      <c r="F3738" s="2">
        <v>1</v>
      </c>
      <c r="G3738" s="2" t="s">
        <v>17</v>
      </c>
    </row>
    <row r="3739" spans="1:7" x14ac:dyDescent="0.2">
      <c r="A3739" s="2" t="s">
        <v>4876</v>
      </c>
      <c r="B3739" s="2" t="s">
        <v>4884</v>
      </c>
      <c r="C3739" s="2" t="s">
        <v>4878</v>
      </c>
      <c r="D3739" s="2" t="s">
        <v>10</v>
      </c>
      <c r="E3739" s="2" t="s">
        <v>16</v>
      </c>
      <c r="F3739" s="2">
        <v>1</v>
      </c>
      <c r="G3739" s="2" t="s">
        <v>17</v>
      </c>
    </row>
    <row r="3740" spans="1:7" x14ac:dyDescent="0.2">
      <c r="A3740" s="2" t="s">
        <v>4876</v>
      </c>
      <c r="B3740" s="2" t="s">
        <v>4885</v>
      </c>
      <c r="C3740" s="2" t="s">
        <v>4878</v>
      </c>
      <c r="D3740" s="2" t="s">
        <v>10</v>
      </c>
      <c r="E3740" s="2" t="s">
        <v>16</v>
      </c>
      <c r="F3740" s="2">
        <v>1</v>
      </c>
      <c r="G3740" s="2" t="s">
        <v>17</v>
      </c>
    </row>
    <row r="3741" spans="1:7" x14ac:dyDescent="0.2">
      <c r="A3741" s="2" t="s">
        <v>4876</v>
      </c>
      <c r="B3741" s="2" t="s">
        <v>4886</v>
      </c>
      <c r="C3741" s="2" t="s">
        <v>4880</v>
      </c>
      <c r="D3741" s="2" t="s">
        <v>10</v>
      </c>
      <c r="E3741" s="2" t="s">
        <v>16</v>
      </c>
      <c r="F3741" s="2">
        <v>1</v>
      </c>
      <c r="G3741" s="2" t="s">
        <v>17</v>
      </c>
    </row>
    <row r="3742" spans="1:7" x14ac:dyDescent="0.2">
      <c r="A3742" s="2" t="s">
        <v>4876</v>
      </c>
      <c r="B3742" s="2" t="s">
        <v>4887</v>
      </c>
      <c r="C3742" s="2" t="s">
        <v>4882</v>
      </c>
      <c r="D3742" s="2" t="s">
        <v>10</v>
      </c>
      <c r="E3742" s="2" t="s">
        <v>16</v>
      </c>
      <c r="F3742" s="2">
        <v>1</v>
      </c>
      <c r="G3742" s="2" t="s">
        <v>17</v>
      </c>
    </row>
    <row r="3743" spans="1:7" x14ac:dyDescent="0.2">
      <c r="A3743" s="2" t="s">
        <v>4888</v>
      </c>
      <c r="B3743" s="2" t="s">
        <v>4889</v>
      </c>
      <c r="C3743" s="2" t="s">
        <v>4890</v>
      </c>
      <c r="D3743" s="2" t="s">
        <v>10</v>
      </c>
      <c r="E3743" s="2" t="s">
        <v>16</v>
      </c>
      <c r="F3743" s="2">
        <v>1</v>
      </c>
      <c r="G3743" s="2" t="s">
        <v>17</v>
      </c>
    </row>
    <row r="3744" spans="1:7" x14ac:dyDescent="0.2">
      <c r="A3744" s="2" t="s">
        <v>4888</v>
      </c>
      <c r="B3744" s="2" t="s">
        <v>4891</v>
      </c>
      <c r="C3744" s="2" t="s">
        <v>4890</v>
      </c>
      <c r="D3744" s="2" t="s">
        <v>10</v>
      </c>
      <c r="E3744" s="2" t="s">
        <v>16</v>
      </c>
      <c r="F3744" s="2">
        <v>1</v>
      </c>
      <c r="G3744" s="2" t="s">
        <v>17</v>
      </c>
    </row>
    <row r="3745" spans="1:7" x14ac:dyDescent="0.2">
      <c r="A3745" s="2" t="s">
        <v>4892</v>
      </c>
      <c r="B3745" s="2" t="s">
        <v>4893</v>
      </c>
      <c r="C3745" s="2" t="s">
        <v>4894</v>
      </c>
      <c r="D3745" s="2" t="s">
        <v>10</v>
      </c>
      <c r="E3745" s="2" t="s">
        <v>16</v>
      </c>
      <c r="F3745" s="2">
        <v>1</v>
      </c>
      <c r="G3745" s="2" t="s">
        <v>17</v>
      </c>
    </row>
    <row r="3746" spans="1:7" x14ac:dyDescent="0.2">
      <c r="A3746" s="2" t="s">
        <v>4895</v>
      </c>
      <c r="B3746" s="2" t="s">
        <v>4896</v>
      </c>
      <c r="C3746" s="2" t="s">
        <v>4897</v>
      </c>
      <c r="D3746" s="2" t="s">
        <v>10</v>
      </c>
      <c r="E3746" s="2" t="s">
        <v>16</v>
      </c>
      <c r="F3746" s="2">
        <v>1</v>
      </c>
      <c r="G3746" s="2" t="s">
        <v>17</v>
      </c>
    </row>
    <row r="3747" spans="1:7" x14ac:dyDescent="0.2">
      <c r="A3747" s="2" t="s">
        <v>4895</v>
      </c>
      <c r="B3747" s="2" t="s">
        <v>4898</v>
      </c>
      <c r="C3747" s="2" t="s">
        <v>4897</v>
      </c>
      <c r="D3747" s="2" t="s">
        <v>10</v>
      </c>
      <c r="E3747" s="2" t="s">
        <v>16</v>
      </c>
      <c r="F3747" s="2">
        <v>1</v>
      </c>
      <c r="G3747" s="2" t="s">
        <v>17</v>
      </c>
    </row>
    <row r="3748" spans="1:7" x14ac:dyDescent="0.2">
      <c r="A3748" s="2" t="s">
        <v>4899</v>
      </c>
      <c r="B3748" s="2" t="s">
        <v>4900</v>
      </c>
      <c r="C3748" s="2" t="s">
        <v>4901</v>
      </c>
      <c r="D3748" s="2" t="s">
        <v>10</v>
      </c>
      <c r="E3748" s="2" t="s">
        <v>16</v>
      </c>
      <c r="F3748" s="2">
        <v>1</v>
      </c>
      <c r="G3748" s="2" t="s">
        <v>17</v>
      </c>
    </row>
    <row r="3749" spans="1:7" x14ac:dyDescent="0.2">
      <c r="A3749" s="2" t="s">
        <v>4899</v>
      </c>
      <c r="B3749" s="2" t="s">
        <v>4902</v>
      </c>
      <c r="C3749" s="2" t="s">
        <v>4901</v>
      </c>
      <c r="D3749" s="2" t="s">
        <v>10</v>
      </c>
      <c r="E3749" s="2" t="s">
        <v>16</v>
      </c>
      <c r="F3749" s="2">
        <v>1</v>
      </c>
      <c r="G3749" s="2" t="s">
        <v>17</v>
      </c>
    </row>
    <row r="3750" spans="1:7" x14ac:dyDescent="0.2">
      <c r="A3750" s="2" t="s">
        <v>4903</v>
      </c>
      <c r="B3750" s="2" t="s">
        <v>4904</v>
      </c>
      <c r="C3750" s="2" t="s">
        <v>4905</v>
      </c>
      <c r="D3750" s="2" t="s">
        <v>10</v>
      </c>
      <c r="E3750" s="2" t="s">
        <v>16</v>
      </c>
      <c r="F3750" s="2">
        <v>1</v>
      </c>
      <c r="G3750" s="2" t="s">
        <v>17</v>
      </c>
    </row>
    <row r="3751" spans="1:7" x14ac:dyDescent="0.2">
      <c r="A3751" s="2" t="s">
        <v>4903</v>
      </c>
      <c r="B3751" s="2" t="s">
        <v>4906</v>
      </c>
      <c r="C3751" s="2" t="s">
        <v>4905</v>
      </c>
      <c r="D3751" s="2" t="s">
        <v>10</v>
      </c>
      <c r="E3751" s="2" t="s">
        <v>16</v>
      </c>
      <c r="F3751" s="2">
        <v>1</v>
      </c>
      <c r="G3751" s="2" t="s">
        <v>17</v>
      </c>
    </row>
    <row r="3752" spans="1:7" x14ac:dyDescent="0.2">
      <c r="A3752" s="2" t="s">
        <v>4903</v>
      </c>
      <c r="B3752" s="2" t="s">
        <v>4907</v>
      </c>
      <c r="C3752" s="2" t="s">
        <v>4905</v>
      </c>
      <c r="D3752" s="2" t="s">
        <v>10</v>
      </c>
      <c r="E3752" s="2" t="s">
        <v>16</v>
      </c>
      <c r="F3752" s="2">
        <v>1</v>
      </c>
      <c r="G3752" s="2" t="s">
        <v>17</v>
      </c>
    </row>
    <row r="3753" spans="1:7" x14ac:dyDescent="0.2">
      <c r="A3753" s="2" t="s">
        <v>4903</v>
      </c>
      <c r="B3753" s="2" t="s">
        <v>4908</v>
      </c>
      <c r="C3753" s="2" t="s">
        <v>4086</v>
      </c>
      <c r="D3753" s="2" t="s">
        <v>10</v>
      </c>
      <c r="E3753" s="2" t="s">
        <v>16</v>
      </c>
      <c r="F3753" s="2">
        <v>1</v>
      </c>
      <c r="G3753" s="2" t="s">
        <v>17</v>
      </c>
    </row>
    <row r="3754" spans="1:7" x14ac:dyDescent="0.2">
      <c r="A3754" s="2" t="s">
        <v>4903</v>
      </c>
      <c r="B3754" s="2" t="s">
        <v>4909</v>
      </c>
      <c r="C3754" s="2" t="s">
        <v>4086</v>
      </c>
      <c r="D3754" s="2" t="s">
        <v>10</v>
      </c>
      <c r="E3754" s="2" t="s">
        <v>16</v>
      </c>
      <c r="F3754" s="2">
        <v>1</v>
      </c>
      <c r="G3754" s="2" t="s">
        <v>17</v>
      </c>
    </row>
    <row r="3755" spans="1:7" x14ac:dyDescent="0.2">
      <c r="A3755" s="2" t="s">
        <v>4903</v>
      </c>
      <c r="B3755" s="2" t="s">
        <v>4910</v>
      </c>
      <c r="C3755" s="2" t="s">
        <v>4911</v>
      </c>
      <c r="D3755" s="2" t="s">
        <v>10</v>
      </c>
      <c r="E3755" s="2" t="s">
        <v>16</v>
      </c>
      <c r="F3755" s="2">
        <v>1</v>
      </c>
      <c r="G3755" s="2" t="s">
        <v>17</v>
      </c>
    </row>
    <row r="3756" spans="1:7" x14ac:dyDescent="0.2">
      <c r="A3756" s="2" t="s">
        <v>4903</v>
      </c>
      <c r="B3756" s="2" t="s">
        <v>4912</v>
      </c>
      <c r="C3756" s="2" t="s">
        <v>4911</v>
      </c>
      <c r="D3756" s="2" t="s">
        <v>10</v>
      </c>
      <c r="E3756" s="2" t="s">
        <v>16</v>
      </c>
      <c r="F3756" s="2">
        <v>1</v>
      </c>
      <c r="G3756" s="2" t="s">
        <v>17</v>
      </c>
    </row>
    <row r="3757" spans="1:7" x14ac:dyDescent="0.2">
      <c r="A3757" s="2" t="s">
        <v>4903</v>
      </c>
      <c r="B3757" s="2" t="s">
        <v>4913</v>
      </c>
      <c r="C3757" s="2" t="s">
        <v>4086</v>
      </c>
      <c r="D3757" s="2" t="s">
        <v>10</v>
      </c>
      <c r="E3757" s="2" t="s">
        <v>16</v>
      </c>
      <c r="F3757" s="2">
        <v>1</v>
      </c>
      <c r="G3757" s="2" t="s">
        <v>17</v>
      </c>
    </row>
    <row r="3758" spans="1:7" x14ac:dyDescent="0.2">
      <c r="A3758" s="2" t="s">
        <v>4903</v>
      </c>
      <c r="B3758" s="2" t="s">
        <v>4914</v>
      </c>
      <c r="C3758" s="2" t="s">
        <v>4911</v>
      </c>
      <c r="D3758" s="2" t="s">
        <v>10</v>
      </c>
      <c r="E3758" s="2" t="s">
        <v>16</v>
      </c>
      <c r="F3758" s="2">
        <v>1</v>
      </c>
      <c r="G3758" s="2" t="s">
        <v>17</v>
      </c>
    </row>
    <row r="3759" spans="1:7" x14ac:dyDescent="0.2">
      <c r="A3759" s="2" t="s">
        <v>4903</v>
      </c>
      <c r="B3759" s="2" t="s">
        <v>4915</v>
      </c>
      <c r="C3759" s="2" t="s">
        <v>4916</v>
      </c>
      <c r="D3759" s="2" t="s">
        <v>10</v>
      </c>
      <c r="E3759" s="2" t="s">
        <v>16</v>
      </c>
      <c r="F3759" s="2">
        <v>1</v>
      </c>
      <c r="G3759" s="2" t="s">
        <v>17</v>
      </c>
    </row>
    <row r="3760" spans="1:7" x14ac:dyDescent="0.2">
      <c r="A3760" s="2" t="s">
        <v>4903</v>
      </c>
      <c r="B3760" s="2" t="s">
        <v>4917</v>
      </c>
      <c r="C3760" s="2" t="s">
        <v>4918</v>
      </c>
      <c r="D3760" s="2" t="s">
        <v>10</v>
      </c>
      <c r="E3760" s="2" t="s">
        <v>16</v>
      </c>
      <c r="F3760" s="2">
        <v>2</v>
      </c>
      <c r="G3760" s="2" t="s">
        <v>17</v>
      </c>
    </row>
    <row r="3761" spans="1:7" x14ac:dyDescent="0.2">
      <c r="A3761" s="2" t="s">
        <v>4919</v>
      </c>
      <c r="B3761" s="2" t="s">
        <v>4920</v>
      </c>
      <c r="C3761" s="2" t="s">
        <v>4921</v>
      </c>
      <c r="D3761" s="2" t="s">
        <v>56</v>
      </c>
      <c r="E3761" s="2" t="s">
        <v>16</v>
      </c>
      <c r="F3761" s="2">
        <v>1</v>
      </c>
      <c r="G3761" s="2" t="s">
        <v>17</v>
      </c>
    </row>
    <row r="3762" spans="1:7" x14ac:dyDescent="0.2">
      <c r="A3762" s="2" t="s">
        <v>4922</v>
      </c>
      <c r="B3762" s="2" t="s">
        <v>4923</v>
      </c>
      <c r="C3762" s="2" t="s">
        <v>4924</v>
      </c>
      <c r="D3762" s="2" t="s">
        <v>10</v>
      </c>
      <c r="E3762" s="2" t="s">
        <v>16</v>
      </c>
      <c r="F3762" s="2">
        <v>1</v>
      </c>
      <c r="G3762" s="2" t="s">
        <v>17</v>
      </c>
    </row>
    <row r="3763" spans="1:7" x14ac:dyDescent="0.2">
      <c r="A3763" s="2" t="s">
        <v>4922</v>
      </c>
      <c r="B3763" s="2" t="s">
        <v>4925</v>
      </c>
      <c r="C3763" s="2" t="s">
        <v>4924</v>
      </c>
      <c r="D3763" s="2" t="s">
        <v>10</v>
      </c>
      <c r="E3763" s="2" t="s">
        <v>16</v>
      </c>
      <c r="F3763" s="2">
        <v>1</v>
      </c>
      <c r="G3763" s="2" t="s">
        <v>17</v>
      </c>
    </row>
    <row r="3764" spans="1:7" x14ac:dyDescent="0.2">
      <c r="A3764" s="2" t="s">
        <v>4926</v>
      </c>
      <c r="B3764" s="2" t="s">
        <v>4927</v>
      </c>
      <c r="C3764" s="2" t="s">
        <v>4928</v>
      </c>
      <c r="D3764" s="2" t="s">
        <v>10</v>
      </c>
      <c r="E3764" s="2" t="s">
        <v>16</v>
      </c>
      <c r="F3764" s="2">
        <v>1</v>
      </c>
      <c r="G3764" s="2" t="s">
        <v>17</v>
      </c>
    </row>
    <row r="3765" spans="1:7" x14ac:dyDescent="0.2">
      <c r="A3765" s="2" t="s">
        <v>4926</v>
      </c>
      <c r="B3765" s="2" t="s">
        <v>4929</v>
      </c>
      <c r="C3765" s="2" t="s">
        <v>4928</v>
      </c>
      <c r="D3765" s="2" t="s">
        <v>10</v>
      </c>
      <c r="E3765" s="2" t="s">
        <v>16</v>
      </c>
      <c r="F3765" s="2">
        <v>1</v>
      </c>
      <c r="G3765" s="2" t="s">
        <v>17</v>
      </c>
    </row>
    <row r="3766" spans="1:7" x14ac:dyDescent="0.2">
      <c r="A3766" s="2" t="s">
        <v>4930</v>
      </c>
      <c r="B3766" s="2" t="s">
        <v>84</v>
      </c>
      <c r="C3766" s="2" t="s">
        <v>85</v>
      </c>
      <c r="D3766" s="2" t="s">
        <v>10</v>
      </c>
      <c r="E3766" s="2" t="s">
        <v>16</v>
      </c>
      <c r="F3766" s="2">
        <v>1</v>
      </c>
      <c r="G3766" s="2" t="s">
        <v>17</v>
      </c>
    </row>
    <row r="3767" spans="1:7" x14ac:dyDescent="0.2">
      <c r="A3767" s="2" t="s">
        <v>4930</v>
      </c>
      <c r="B3767" s="2" t="s">
        <v>86</v>
      </c>
      <c r="C3767" s="2" t="s">
        <v>87</v>
      </c>
      <c r="D3767" s="2" t="s">
        <v>10</v>
      </c>
      <c r="E3767" s="2" t="s">
        <v>16</v>
      </c>
      <c r="F3767" s="2">
        <v>1</v>
      </c>
      <c r="G3767" s="2" t="s">
        <v>17</v>
      </c>
    </row>
    <row r="3768" spans="1:7" x14ac:dyDescent="0.2">
      <c r="A3768" s="2" t="s">
        <v>4930</v>
      </c>
      <c r="B3768" s="2" t="s">
        <v>4931</v>
      </c>
      <c r="C3768" s="2" t="s">
        <v>4932</v>
      </c>
      <c r="D3768" s="2" t="s">
        <v>10</v>
      </c>
      <c r="E3768" s="2" t="s">
        <v>16</v>
      </c>
      <c r="F3768" s="2">
        <v>1</v>
      </c>
      <c r="G3768" s="2" t="s">
        <v>17</v>
      </c>
    </row>
    <row r="3769" spans="1:7" x14ac:dyDescent="0.2">
      <c r="A3769" s="2" t="s">
        <v>4930</v>
      </c>
      <c r="B3769" s="2" t="s">
        <v>88</v>
      </c>
      <c r="C3769" s="2" t="s">
        <v>89</v>
      </c>
      <c r="D3769" s="2" t="s">
        <v>10</v>
      </c>
      <c r="E3769" s="2" t="s">
        <v>16</v>
      </c>
      <c r="F3769" s="2">
        <v>1</v>
      </c>
      <c r="G3769" s="2" t="s">
        <v>17</v>
      </c>
    </row>
    <row r="3770" spans="1:7" x14ac:dyDescent="0.2">
      <c r="A3770" s="2" t="s">
        <v>4930</v>
      </c>
      <c r="B3770" s="2" t="s">
        <v>90</v>
      </c>
      <c r="C3770" s="2" t="s">
        <v>85</v>
      </c>
      <c r="D3770" s="2" t="s">
        <v>10</v>
      </c>
      <c r="E3770" s="2" t="s">
        <v>16</v>
      </c>
      <c r="F3770" s="2">
        <v>1</v>
      </c>
      <c r="G3770" s="2" t="s">
        <v>17</v>
      </c>
    </row>
    <row r="3771" spans="1:7" x14ac:dyDescent="0.2">
      <c r="A3771" s="2" t="s">
        <v>4933</v>
      </c>
      <c r="B3771" s="2" t="s">
        <v>4934</v>
      </c>
      <c r="C3771" s="2" t="s">
        <v>325</v>
      </c>
      <c r="D3771" s="2" t="s">
        <v>10</v>
      </c>
      <c r="E3771" s="2" t="s">
        <v>16</v>
      </c>
      <c r="F3771" s="2">
        <v>1</v>
      </c>
      <c r="G3771" s="2" t="s">
        <v>17</v>
      </c>
    </row>
    <row r="3772" spans="1:7" x14ac:dyDescent="0.2">
      <c r="A3772" s="2" t="s">
        <v>4933</v>
      </c>
      <c r="B3772" s="2" t="s">
        <v>4935</v>
      </c>
      <c r="C3772" s="2" t="s">
        <v>325</v>
      </c>
      <c r="D3772" s="2" t="s">
        <v>10</v>
      </c>
      <c r="E3772" s="2" t="s">
        <v>16</v>
      </c>
      <c r="F3772" s="2">
        <v>1</v>
      </c>
      <c r="G3772" s="2" t="s">
        <v>17</v>
      </c>
    </row>
    <row r="3773" spans="1:7" x14ac:dyDescent="0.2">
      <c r="A3773" s="2" t="s">
        <v>4936</v>
      </c>
      <c r="B3773" s="2" t="s">
        <v>2572</v>
      </c>
      <c r="C3773" s="2" t="s">
        <v>2573</v>
      </c>
      <c r="D3773" s="2" t="s">
        <v>10</v>
      </c>
      <c r="E3773" s="2" t="s">
        <v>16</v>
      </c>
      <c r="F3773" s="2">
        <v>1</v>
      </c>
      <c r="G3773" s="2" t="s">
        <v>17</v>
      </c>
    </row>
    <row r="3774" spans="1:7" x14ac:dyDescent="0.2">
      <c r="A3774" s="2" t="s">
        <v>4936</v>
      </c>
      <c r="B3774" s="2" t="s">
        <v>1925</v>
      </c>
      <c r="C3774" s="2" t="s">
        <v>2573</v>
      </c>
      <c r="D3774" s="2" t="s">
        <v>10</v>
      </c>
      <c r="E3774" s="2" t="s">
        <v>16</v>
      </c>
      <c r="F3774" s="2">
        <v>1</v>
      </c>
      <c r="G3774" s="2" t="s">
        <v>17</v>
      </c>
    </row>
    <row r="3775" spans="1:7" x14ac:dyDescent="0.2">
      <c r="A3775" s="2" t="s">
        <v>4937</v>
      </c>
      <c r="B3775" s="2" t="s">
        <v>4938</v>
      </c>
      <c r="C3775" s="2" t="s">
        <v>4267</v>
      </c>
      <c r="D3775" s="2" t="s">
        <v>10</v>
      </c>
      <c r="E3775" s="2" t="s">
        <v>16</v>
      </c>
      <c r="F3775" s="2">
        <v>1</v>
      </c>
      <c r="G3775" s="2" t="s">
        <v>17</v>
      </c>
    </row>
    <row r="3776" spans="1:7" x14ac:dyDescent="0.2">
      <c r="A3776" s="2" t="s">
        <v>4937</v>
      </c>
      <c r="B3776" s="2" t="s">
        <v>4266</v>
      </c>
      <c r="C3776" s="2" t="s">
        <v>4267</v>
      </c>
      <c r="D3776" s="2" t="s">
        <v>10</v>
      </c>
      <c r="E3776" s="2" t="s">
        <v>16</v>
      </c>
      <c r="F3776" s="2">
        <v>1</v>
      </c>
      <c r="G3776" s="2" t="s">
        <v>17</v>
      </c>
    </row>
    <row r="3777" spans="1:7" x14ac:dyDescent="0.2">
      <c r="A3777" s="2" t="s">
        <v>4937</v>
      </c>
      <c r="B3777" s="2" t="s">
        <v>4939</v>
      </c>
      <c r="C3777" s="2" t="s">
        <v>4267</v>
      </c>
      <c r="D3777" s="2" t="s">
        <v>10</v>
      </c>
      <c r="E3777" s="2" t="s">
        <v>16</v>
      </c>
      <c r="F3777" s="2">
        <v>1</v>
      </c>
      <c r="G3777" s="2" t="s">
        <v>17</v>
      </c>
    </row>
    <row r="3778" spans="1:7" x14ac:dyDescent="0.2">
      <c r="A3778" s="2" t="s">
        <v>4940</v>
      </c>
      <c r="B3778" s="2" t="s">
        <v>4941</v>
      </c>
      <c r="C3778" s="2" t="s">
        <v>4942</v>
      </c>
      <c r="D3778" s="2" t="s">
        <v>10</v>
      </c>
      <c r="E3778" s="2" t="s">
        <v>16</v>
      </c>
      <c r="F3778" s="2">
        <v>1</v>
      </c>
      <c r="G3778" s="2" t="s">
        <v>17</v>
      </c>
    </row>
    <row r="3779" spans="1:7" x14ac:dyDescent="0.2">
      <c r="A3779" s="2" t="s">
        <v>4943</v>
      </c>
      <c r="B3779" s="2" t="s">
        <v>4054</v>
      </c>
      <c r="C3779" s="2" t="s">
        <v>4055</v>
      </c>
      <c r="D3779" s="2" t="s">
        <v>10</v>
      </c>
      <c r="E3779" s="2" t="s">
        <v>16</v>
      </c>
      <c r="F3779" s="2">
        <v>1</v>
      </c>
      <c r="G3779" s="2" t="s">
        <v>17</v>
      </c>
    </row>
    <row r="3780" spans="1:7" x14ac:dyDescent="0.2">
      <c r="A3780" s="2" t="s">
        <v>4944</v>
      </c>
      <c r="B3780" s="2" t="s">
        <v>4945</v>
      </c>
      <c r="C3780" s="2" t="s">
        <v>4946</v>
      </c>
      <c r="D3780" s="2" t="s">
        <v>10</v>
      </c>
      <c r="E3780" s="2" t="s">
        <v>11</v>
      </c>
      <c r="F3780" s="2">
        <v>2</v>
      </c>
      <c r="G3780" s="2" t="s">
        <v>17</v>
      </c>
    </row>
    <row r="3781" spans="1:7" x14ac:dyDescent="0.2">
      <c r="A3781" s="2" t="s">
        <v>4944</v>
      </c>
      <c r="B3781" s="2" t="s">
        <v>4947</v>
      </c>
      <c r="C3781" s="2" t="s">
        <v>4948</v>
      </c>
      <c r="D3781" s="2" t="s">
        <v>10</v>
      </c>
      <c r="E3781" s="2" t="s">
        <v>11</v>
      </c>
      <c r="F3781" s="2">
        <v>1</v>
      </c>
      <c r="G3781" s="2" t="s">
        <v>17</v>
      </c>
    </row>
    <row r="3782" spans="1:7" x14ac:dyDescent="0.2">
      <c r="A3782" s="2" t="s">
        <v>4944</v>
      </c>
      <c r="B3782" s="2" t="s">
        <v>4949</v>
      </c>
      <c r="C3782" s="2" t="s">
        <v>4946</v>
      </c>
      <c r="D3782" s="2" t="s">
        <v>10</v>
      </c>
      <c r="E3782" s="2" t="s">
        <v>11</v>
      </c>
      <c r="F3782" s="2">
        <v>2</v>
      </c>
      <c r="G3782" s="2" t="s">
        <v>17</v>
      </c>
    </row>
    <row r="3783" spans="1:7" x14ac:dyDescent="0.2">
      <c r="A3783" s="2" t="s">
        <v>4950</v>
      </c>
      <c r="B3783" s="2" t="s">
        <v>4951</v>
      </c>
      <c r="C3783" s="2" t="s">
        <v>3550</v>
      </c>
      <c r="D3783" s="2" t="s">
        <v>10</v>
      </c>
      <c r="E3783" s="2" t="s">
        <v>16</v>
      </c>
      <c r="F3783" s="2">
        <v>1</v>
      </c>
      <c r="G3783" s="2" t="s">
        <v>17</v>
      </c>
    </row>
    <row r="3784" spans="1:7" x14ac:dyDescent="0.2">
      <c r="A3784" s="2" t="s">
        <v>4950</v>
      </c>
      <c r="B3784" s="2" t="s">
        <v>4952</v>
      </c>
      <c r="C3784" s="2" t="s">
        <v>3550</v>
      </c>
      <c r="D3784" s="2" t="s">
        <v>10</v>
      </c>
      <c r="E3784" s="2" t="s">
        <v>16</v>
      </c>
      <c r="F3784" s="2">
        <v>1</v>
      </c>
      <c r="G3784" s="2" t="s">
        <v>17</v>
      </c>
    </row>
    <row r="3785" spans="1:7" x14ac:dyDescent="0.2">
      <c r="A3785" s="2" t="s">
        <v>4950</v>
      </c>
      <c r="B3785" s="2" t="s">
        <v>4953</v>
      </c>
      <c r="C3785" s="2" t="s">
        <v>3550</v>
      </c>
      <c r="D3785" s="2" t="s">
        <v>10</v>
      </c>
      <c r="E3785" s="2" t="s">
        <v>16</v>
      </c>
      <c r="F3785" s="2">
        <v>1</v>
      </c>
      <c r="G3785" s="2" t="s">
        <v>17</v>
      </c>
    </row>
    <row r="3786" spans="1:7" x14ac:dyDescent="0.2">
      <c r="A3786" s="2" t="s">
        <v>4950</v>
      </c>
      <c r="B3786" s="2" t="s">
        <v>4954</v>
      </c>
      <c r="C3786" s="2" t="s">
        <v>3550</v>
      </c>
      <c r="D3786" s="2" t="s">
        <v>10</v>
      </c>
      <c r="E3786" s="2" t="s">
        <v>16</v>
      </c>
      <c r="F3786" s="2">
        <v>1</v>
      </c>
      <c r="G3786" s="2" t="s">
        <v>17</v>
      </c>
    </row>
    <row r="3787" spans="1:7" x14ac:dyDescent="0.2">
      <c r="A3787" s="2" t="s">
        <v>4955</v>
      </c>
      <c r="B3787" s="2" t="s">
        <v>4956</v>
      </c>
      <c r="C3787" s="2" t="s">
        <v>4957</v>
      </c>
      <c r="D3787" s="2" t="s">
        <v>10</v>
      </c>
      <c r="E3787" s="2" t="s">
        <v>16</v>
      </c>
      <c r="F3787" s="2">
        <v>1</v>
      </c>
      <c r="G3787" s="2" t="s">
        <v>17</v>
      </c>
    </row>
    <row r="3788" spans="1:7" x14ac:dyDescent="0.2">
      <c r="A3788" s="2" t="s">
        <v>4958</v>
      </c>
      <c r="B3788" s="2" t="s">
        <v>4959</v>
      </c>
      <c r="C3788" s="2" t="s">
        <v>3165</v>
      </c>
      <c r="D3788" s="2" t="s">
        <v>10</v>
      </c>
      <c r="E3788" s="2" t="s">
        <v>16</v>
      </c>
      <c r="F3788" s="2">
        <v>1</v>
      </c>
      <c r="G3788" s="2" t="s">
        <v>17</v>
      </c>
    </row>
    <row r="3789" spans="1:7" x14ac:dyDescent="0.2">
      <c r="A3789" s="2" t="s">
        <v>4958</v>
      </c>
      <c r="B3789" s="2" t="s">
        <v>4960</v>
      </c>
      <c r="C3789" s="2" t="s">
        <v>3165</v>
      </c>
      <c r="D3789" s="2" t="s">
        <v>10</v>
      </c>
      <c r="E3789" s="2" t="s">
        <v>16</v>
      </c>
      <c r="F3789" s="2">
        <v>1</v>
      </c>
      <c r="G3789" s="2" t="s">
        <v>17</v>
      </c>
    </row>
    <row r="3790" spans="1:7" x14ac:dyDescent="0.2">
      <c r="A3790" s="2" t="s">
        <v>4961</v>
      </c>
      <c r="B3790" s="2" t="s">
        <v>4962</v>
      </c>
      <c r="C3790" s="2" t="s">
        <v>35</v>
      </c>
      <c r="D3790" s="2" t="s">
        <v>29</v>
      </c>
      <c r="E3790" s="2" t="s">
        <v>16</v>
      </c>
      <c r="F3790" s="2">
        <v>1</v>
      </c>
      <c r="G3790" s="2" t="s">
        <v>17</v>
      </c>
    </row>
    <row r="3791" spans="1:7" x14ac:dyDescent="0.2">
      <c r="A3791" s="2" t="s">
        <v>4961</v>
      </c>
      <c r="B3791" s="2" t="s">
        <v>34</v>
      </c>
      <c r="C3791" s="2" t="s">
        <v>35</v>
      </c>
      <c r="D3791" s="2" t="s">
        <v>29</v>
      </c>
      <c r="E3791" s="2" t="s">
        <v>16</v>
      </c>
      <c r="F3791" s="2">
        <v>1</v>
      </c>
      <c r="G3791" s="2" t="s">
        <v>17</v>
      </c>
    </row>
    <row r="3792" spans="1:7" x14ac:dyDescent="0.2">
      <c r="A3792" s="2" t="s">
        <v>4961</v>
      </c>
      <c r="B3792" s="2" t="s">
        <v>4963</v>
      </c>
      <c r="C3792" s="2" t="s">
        <v>35</v>
      </c>
      <c r="D3792" s="2" t="s">
        <v>29</v>
      </c>
      <c r="E3792" s="2" t="s">
        <v>16</v>
      </c>
      <c r="F3792" s="2">
        <v>1</v>
      </c>
      <c r="G3792" s="2" t="s">
        <v>17</v>
      </c>
    </row>
    <row r="3793" spans="1:7" x14ac:dyDescent="0.2">
      <c r="A3793" s="2" t="s">
        <v>4964</v>
      </c>
      <c r="B3793" s="2" t="s">
        <v>4965</v>
      </c>
      <c r="C3793" s="2" t="s">
        <v>4966</v>
      </c>
      <c r="D3793" s="2" t="s">
        <v>10</v>
      </c>
      <c r="E3793" s="2" t="s">
        <v>16</v>
      </c>
      <c r="F3793" s="2">
        <v>1</v>
      </c>
      <c r="G3793" s="2" t="s">
        <v>17</v>
      </c>
    </row>
    <row r="3794" spans="1:7" x14ac:dyDescent="0.2">
      <c r="A3794" s="2" t="s">
        <v>4964</v>
      </c>
      <c r="B3794" s="2" t="s">
        <v>4967</v>
      </c>
      <c r="C3794" s="2" t="s">
        <v>4966</v>
      </c>
      <c r="D3794" s="2" t="s">
        <v>10</v>
      </c>
      <c r="E3794" s="2" t="s">
        <v>16</v>
      </c>
      <c r="F3794" s="2">
        <v>1</v>
      </c>
      <c r="G3794" s="2" t="s">
        <v>17</v>
      </c>
    </row>
    <row r="3795" spans="1:7" x14ac:dyDescent="0.2">
      <c r="A3795" s="2" t="s">
        <v>4968</v>
      </c>
      <c r="B3795" s="2" t="s">
        <v>850</v>
      </c>
      <c r="C3795" s="2" t="s">
        <v>849</v>
      </c>
      <c r="D3795" s="2" t="s">
        <v>56</v>
      </c>
      <c r="E3795" s="2" t="s">
        <v>52</v>
      </c>
      <c r="F3795" s="2">
        <v>3</v>
      </c>
      <c r="G3795" s="2" t="s">
        <v>12</v>
      </c>
    </row>
    <row r="3796" spans="1:7" x14ac:dyDescent="0.2">
      <c r="A3796" s="2" t="s">
        <v>4968</v>
      </c>
      <c r="B3796" s="2" t="s">
        <v>851</v>
      </c>
      <c r="C3796" s="2" t="s">
        <v>849</v>
      </c>
      <c r="D3796" s="2" t="s">
        <v>56</v>
      </c>
      <c r="E3796" s="2" t="s">
        <v>52</v>
      </c>
      <c r="F3796" s="2">
        <v>3</v>
      </c>
      <c r="G3796" s="2" t="s">
        <v>12</v>
      </c>
    </row>
    <row r="3797" spans="1:7" x14ac:dyDescent="0.2">
      <c r="A3797" s="2" t="s">
        <v>4968</v>
      </c>
      <c r="B3797" s="2" t="s">
        <v>4969</v>
      </c>
      <c r="C3797" s="2" t="s">
        <v>849</v>
      </c>
      <c r="D3797" s="2" t="s">
        <v>56</v>
      </c>
      <c r="E3797" s="2" t="s">
        <v>52</v>
      </c>
      <c r="F3797" s="2">
        <v>3</v>
      </c>
      <c r="G3797" s="2" t="s">
        <v>12</v>
      </c>
    </row>
    <row r="3798" spans="1:7" x14ac:dyDescent="0.2">
      <c r="A3798" s="2" t="s">
        <v>4968</v>
      </c>
      <c r="B3798" s="2" t="s">
        <v>4970</v>
      </c>
      <c r="C3798" s="2" t="s">
        <v>849</v>
      </c>
      <c r="D3798" s="2" t="s">
        <v>56</v>
      </c>
      <c r="E3798" s="2" t="s">
        <v>52</v>
      </c>
      <c r="F3798" s="2">
        <v>3</v>
      </c>
      <c r="G3798" s="2" t="s">
        <v>12</v>
      </c>
    </row>
    <row r="3799" spans="1:7" x14ac:dyDescent="0.2">
      <c r="A3799" s="2" t="s">
        <v>4968</v>
      </c>
      <c r="B3799" s="2" t="s">
        <v>864</v>
      </c>
      <c r="C3799" s="2" t="s">
        <v>849</v>
      </c>
      <c r="D3799" s="2" t="s">
        <v>56</v>
      </c>
      <c r="E3799" s="2" t="s">
        <v>52</v>
      </c>
      <c r="F3799" s="2">
        <v>3</v>
      </c>
      <c r="G3799" s="2" t="s">
        <v>12</v>
      </c>
    </row>
    <row r="3800" spans="1:7" x14ac:dyDescent="0.2">
      <c r="A3800" s="2" t="s">
        <v>4968</v>
      </c>
      <c r="B3800" s="2" t="s">
        <v>407</v>
      </c>
      <c r="C3800" s="2" t="s">
        <v>849</v>
      </c>
      <c r="D3800" s="2" t="s">
        <v>56</v>
      </c>
      <c r="E3800" s="2" t="s">
        <v>52</v>
      </c>
      <c r="F3800" s="2">
        <v>3</v>
      </c>
      <c r="G3800" s="2" t="s">
        <v>12</v>
      </c>
    </row>
    <row r="3801" spans="1:7" x14ac:dyDescent="0.2">
      <c r="A3801" s="2" t="s">
        <v>4968</v>
      </c>
      <c r="B3801" s="2" t="s">
        <v>848</v>
      </c>
      <c r="C3801" s="2" t="s">
        <v>849</v>
      </c>
      <c r="D3801" s="2" t="s">
        <v>56</v>
      </c>
      <c r="E3801" s="2" t="s">
        <v>52</v>
      </c>
      <c r="F3801" s="2">
        <v>3</v>
      </c>
      <c r="G3801" s="2" t="s">
        <v>12</v>
      </c>
    </row>
    <row r="3802" spans="1:7" x14ac:dyDescent="0.2">
      <c r="A3802" s="2" t="s">
        <v>4971</v>
      </c>
      <c r="B3802" s="2" t="s">
        <v>4972</v>
      </c>
      <c r="C3802" s="2" t="s">
        <v>4973</v>
      </c>
      <c r="D3802" s="2" t="s">
        <v>64</v>
      </c>
      <c r="E3802" s="2" t="s">
        <v>16</v>
      </c>
      <c r="F3802" s="2">
        <v>1</v>
      </c>
      <c r="G3802" s="2" t="s">
        <v>17</v>
      </c>
    </row>
    <row r="3803" spans="1:7" x14ac:dyDescent="0.2">
      <c r="A3803" s="2" t="s">
        <v>4971</v>
      </c>
      <c r="B3803" s="2" t="s">
        <v>4974</v>
      </c>
      <c r="C3803" s="2" t="s">
        <v>4973</v>
      </c>
      <c r="D3803" s="2" t="s">
        <v>64</v>
      </c>
      <c r="E3803" s="2" t="s">
        <v>16</v>
      </c>
      <c r="F3803" s="2">
        <v>1</v>
      </c>
      <c r="G3803" s="2" t="s">
        <v>17</v>
      </c>
    </row>
    <row r="3804" spans="1:7" x14ac:dyDescent="0.2">
      <c r="A3804" s="2" t="s">
        <v>4975</v>
      </c>
      <c r="B3804" s="2" t="s">
        <v>4976</v>
      </c>
      <c r="C3804" s="2" t="s">
        <v>4977</v>
      </c>
      <c r="D3804" s="2" t="s">
        <v>10</v>
      </c>
      <c r="E3804" s="2" t="s">
        <v>16</v>
      </c>
      <c r="F3804" s="2">
        <v>1</v>
      </c>
      <c r="G3804" s="2" t="s">
        <v>17</v>
      </c>
    </row>
    <row r="3805" spans="1:7" x14ac:dyDescent="0.2">
      <c r="A3805" s="2" t="s">
        <v>4978</v>
      </c>
      <c r="B3805" s="2" t="s">
        <v>59</v>
      </c>
      <c r="C3805" s="2" t="s">
        <v>60</v>
      </c>
      <c r="D3805" s="2" t="s">
        <v>10</v>
      </c>
      <c r="E3805" s="2" t="s">
        <v>16</v>
      </c>
      <c r="F3805" s="2">
        <v>1</v>
      </c>
      <c r="G3805" s="2" t="s">
        <v>17</v>
      </c>
    </row>
    <row r="3806" spans="1:7" x14ac:dyDescent="0.2">
      <c r="A3806" s="2" t="s">
        <v>4979</v>
      </c>
      <c r="B3806" s="2" t="s">
        <v>4980</v>
      </c>
      <c r="C3806" s="2" t="s">
        <v>4981</v>
      </c>
      <c r="D3806" s="2" t="s">
        <v>10</v>
      </c>
      <c r="E3806" s="2" t="s">
        <v>16</v>
      </c>
      <c r="F3806" s="2">
        <v>1</v>
      </c>
      <c r="G3806" s="2" t="s">
        <v>17</v>
      </c>
    </row>
    <row r="3807" spans="1:7" x14ac:dyDescent="0.2">
      <c r="A3807" s="2" t="s">
        <v>4979</v>
      </c>
      <c r="B3807" s="2" t="s">
        <v>4982</v>
      </c>
      <c r="C3807" s="2" t="s">
        <v>4981</v>
      </c>
      <c r="D3807" s="2" t="s">
        <v>10</v>
      </c>
      <c r="E3807" s="2" t="s">
        <v>16</v>
      </c>
      <c r="F3807" s="2">
        <v>1</v>
      </c>
      <c r="G3807" s="2" t="s">
        <v>17</v>
      </c>
    </row>
    <row r="3808" spans="1:7" x14ac:dyDescent="0.2">
      <c r="A3808" s="2" t="s">
        <v>4979</v>
      </c>
      <c r="B3808" s="2" t="s">
        <v>4983</v>
      </c>
      <c r="C3808" s="2" t="s">
        <v>4981</v>
      </c>
      <c r="D3808" s="2" t="s">
        <v>10</v>
      </c>
      <c r="E3808" s="2" t="s">
        <v>16</v>
      </c>
      <c r="F3808" s="2">
        <v>1</v>
      </c>
      <c r="G3808" s="2" t="s">
        <v>17</v>
      </c>
    </row>
    <row r="3809" spans="1:7" x14ac:dyDescent="0.2">
      <c r="A3809" s="2" t="s">
        <v>4979</v>
      </c>
      <c r="B3809" s="2" t="s">
        <v>4984</v>
      </c>
      <c r="C3809" s="2" t="s">
        <v>4981</v>
      </c>
      <c r="D3809" s="2" t="s">
        <v>10</v>
      </c>
      <c r="E3809" s="2" t="s">
        <v>16</v>
      </c>
      <c r="F3809" s="2">
        <v>1</v>
      </c>
      <c r="G3809" s="2" t="s">
        <v>17</v>
      </c>
    </row>
    <row r="3810" spans="1:7" x14ac:dyDescent="0.2">
      <c r="A3810" s="2" t="s">
        <v>4979</v>
      </c>
      <c r="B3810" s="2" t="s">
        <v>4985</v>
      </c>
      <c r="C3810" s="2" t="s">
        <v>4986</v>
      </c>
      <c r="D3810" s="2" t="s">
        <v>10</v>
      </c>
      <c r="E3810" s="2" t="s">
        <v>16</v>
      </c>
      <c r="F3810" s="2">
        <v>1</v>
      </c>
      <c r="G3810" s="2" t="s">
        <v>17</v>
      </c>
    </row>
    <row r="3811" spans="1:7" x14ac:dyDescent="0.2">
      <c r="A3811" s="2" t="s">
        <v>4979</v>
      </c>
      <c r="B3811" s="2" t="s">
        <v>4987</v>
      </c>
      <c r="C3811" s="2" t="s">
        <v>4986</v>
      </c>
      <c r="D3811" s="2" t="s">
        <v>10</v>
      </c>
      <c r="E3811" s="2" t="s">
        <v>16</v>
      </c>
      <c r="F3811" s="2">
        <v>1</v>
      </c>
      <c r="G3811" s="2" t="s">
        <v>17</v>
      </c>
    </row>
    <row r="3812" spans="1:7" x14ac:dyDescent="0.2">
      <c r="A3812" s="2" t="s">
        <v>4979</v>
      </c>
      <c r="B3812" s="2" t="s">
        <v>4988</v>
      </c>
      <c r="C3812" s="2" t="s">
        <v>4981</v>
      </c>
      <c r="D3812" s="2" t="s">
        <v>10</v>
      </c>
      <c r="E3812" s="2" t="s">
        <v>16</v>
      </c>
      <c r="F3812" s="2">
        <v>1</v>
      </c>
      <c r="G3812" s="2" t="s">
        <v>17</v>
      </c>
    </row>
    <row r="3813" spans="1:7" x14ac:dyDescent="0.2">
      <c r="A3813" s="2" t="s">
        <v>4979</v>
      </c>
      <c r="B3813" s="2" t="s">
        <v>2574</v>
      </c>
      <c r="C3813" s="2" t="s">
        <v>4981</v>
      </c>
      <c r="D3813" s="2" t="s">
        <v>10</v>
      </c>
      <c r="E3813" s="2" t="s">
        <v>16</v>
      </c>
      <c r="F3813" s="2">
        <v>1</v>
      </c>
      <c r="G3813" s="2" t="s">
        <v>17</v>
      </c>
    </row>
    <row r="3814" spans="1:7" x14ac:dyDescent="0.2">
      <c r="A3814" s="2" t="s">
        <v>4989</v>
      </c>
      <c r="B3814" s="2" t="s">
        <v>4990</v>
      </c>
      <c r="C3814" s="2" t="s">
        <v>4991</v>
      </c>
      <c r="D3814" s="2" t="s">
        <v>10</v>
      </c>
      <c r="E3814" s="2" t="s">
        <v>52</v>
      </c>
      <c r="F3814" s="2">
        <v>1</v>
      </c>
      <c r="G3814" s="2" t="s">
        <v>17</v>
      </c>
    </row>
    <row r="3815" spans="1:7" x14ac:dyDescent="0.2">
      <c r="A3815" s="2" t="s">
        <v>4989</v>
      </c>
      <c r="B3815" s="2" t="s">
        <v>4605</v>
      </c>
      <c r="C3815" s="2" t="s">
        <v>4606</v>
      </c>
      <c r="D3815" s="2" t="s">
        <v>10</v>
      </c>
      <c r="E3815" s="2" t="s">
        <v>16</v>
      </c>
      <c r="F3815" s="2">
        <v>1</v>
      </c>
      <c r="G3815" s="2" t="s">
        <v>17</v>
      </c>
    </row>
    <row r="3816" spans="1:7" x14ac:dyDescent="0.2">
      <c r="A3816" s="2" t="s">
        <v>4989</v>
      </c>
      <c r="B3816" s="2" t="s">
        <v>4607</v>
      </c>
      <c r="C3816" s="2" t="s">
        <v>4606</v>
      </c>
      <c r="D3816" s="2" t="s">
        <v>10</v>
      </c>
      <c r="E3816" s="2" t="s">
        <v>16</v>
      </c>
      <c r="F3816" s="2">
        <v>1</v>
      </c>
      <c r="G3816" s="2" t="s">
        <v>17</v>
      </c>
    </row>
    <row r="3817" spans="1:7" x14ac:dyDescent="0.2">
      <c r="A3817" s="2" t="s">
        <v>4992</v>
      </c>
      <c r="B3817" s="2" t="s">
        <v>4993</v>
      </c>
      <c r="C3817" s="2" t="s">
        <v>4994</v>
      </c>
      <c r="D3817" s="2" t="s">
        <v>64</v>
      </c>
      <c r="E3817" s="2" t="s">
        <v>16</v>
      </c>
      <c r="F3817" s="2">
        <v>1</v>
      </c>
      <c r="G3817" s="2" t="s">
        <v>17</v>
      </c>
    </row>
    <row r="3818" spans="1:7" x14ac:dyDescent="0.2">
      <c r="A3818" s="2" t="s">
        <v>4992</v>
      </c>
      <c r="B3818" s="2" t="s">
        <v>4995</v>
      </c>
      <c r="C3818" s="2" t="s">
        <v>4994</v>
      </c>
      <c r="D3818" s="2" t="s">
        <v>64</v>
      </c>
      <c r="E3818" s="2" t="s">
        <v>16</v>
      </c>
      <c r="F3818" s="2">
        <v>1</v>
      </c>
      <c r="G3818" s="2" t="s">
        <v>17</v>
      </c>
    </row>
    <row r="3819" spans="1:7" x14ac:dyDescent="0.2">
      <c r="A3819" s="2" t="s">
        <v>4992</v>
      </c>
      <c r="B3819" s="2" t="s">
        <v>88</v>
      </c>
      <c r="C3819" s="2" t="s">
        <v>4994</v>
      </c>
      <c r="D3819" s="2" t="s">
        <v>64</v>
      </c>
      <c r="E3819" s="2" t="s">
        <v>16</v>
      </c>
      <c r="F3819" s="2">
        <v>1</v>
      </c>
      <c r="G3819" s="2" t="s">
        <v>17</v>
      </c>
    </row>
    <row r="3820" spans="1:7" x14ac:dyDescent="0.2">
      <c r="A3820" s="2" t="s">
        <v>4992</v>
      </c>
      <c r="B3820" s="2" t="s">
        <v>4996</v>
      </c>
      <c r="C3820" s="2" t="s">
        <v>4994</v>
      </c>
      <c r="D3820" s="2" t="s">
        <v>64</v>
      </c>
      <c r="E3820" s="2" t="s">
        <v>16</v>
      </c>
      <c r="F3820" s="2">
        <v>1</v>
      </c>
      <c r="G3820" s="2" t="s">
        <v>17</v>
      </c>
    </row>
    <row r="3821" spans="1:7" x14ac:dyDescent="0.2">
      <c r="A3821" s="2" t="s">
        <v>4992</v>
      </c>
      <c r="B3821" s="2" t="s">
        <v>3841</v>
      </c>
      <c r="C3821" s="2" t="s">
        <v>4994</v>
      </c>
      <c r="D3821" s="2" t="s">
        <v>64</v>
      </c>
      <c r="E3821" s="2" t="s">
        <v>16</v>
      </c>
      <c r="F3821" s="2">
        <v>1</v>
      </c>
      <c r="G3821" s="2" t="s">
        <v>17</v>
      </c>
    </row>
    <row r="3822" spans="1:7" x14ac:dyDescent="0.2">
      <c r="A3822" s="2" t="s">
        <v>4992</v>
      </c>
      <c r="B3822" s="2" t="s">
        <v>4997</v>
      </c>
      <c r="C3822" s="2" t="s">
        <v>4994</v>
      </c>
      <c r="D3822" s="2" t="s">
        <v>64</v>
      </c>
      <c r="E3822" s="2" t="s">
        <v>16</v>
      </c>
      <c r="F3822" s="2">
        <v>1</v>
      </c>
      <c r="G3822" s="2" t="s">
        <v>17</v>
      </c>
    </row>
    <row r="3823" spans="1:7" x14ac:dyDescent="0.2">
      <c r="A3823" s="2" t="s">
        <v>4992</v>
      </c>
      <c r="B3823" s="2" t="s">
        <v>4998</v>
      </c>
      <c r="C3823" s="2" t="s">
        <v>4994</v>
      </c>
      <c r="D3823" s="2" t="s">
        <v>64</v>
      </c>
      <c r="E3823" s="2" t="s">
        <v>16</v>
      </c>
      <c r="F3823" s="2">
        <v>1</v>
      </c>
      <c r="G3823" s="2" t="s">
        <v>17</v>
      </c>
    </row>
    <row r="3824" spans="1:7" x14ac:dyDescent="0.2">
      <c r="A3824" s="2" t="s">
        <v>4992</v>
      </c>
      <c r="B3824" s="2" t="s">
        <v>4999</v>
      </c>
      <c r="C3824" s="2" t="s">
        <v>5000</v>
      </c>
      <c r="D3824" s="2" t="s">
        <v>64</v>
      </c>
      <c r="E3824" s="2" t="s">
        <v>16</v>
      </c>
      <c r="F3824" s="2">
        <v>1</v>
      </c>
      <c r="G3824" s="2" t="s">
        <v>17</v>
      </c>
    </row>
    <row r="3825" spans="1:7" x14ac:dyDescent="0.2">
      <c r="A3825" s="2" t="s">
        <v>4992</v>
      </c>
      <c r="B3825" s="2" t="s">
        <v>584</v>
      </c>
      <c r="C3825" s="2" t="s">
        <v>5000</v>
      </c>
      <c r="D3825" s="2" t="s">
        <v>64</v>
      </c>
      <c r="E3825" s="2" t="s">
        <v>16</v>
      </c>
      <c r="F3825" s="2">
        <v>1</v>
      </c>
      <c r="G3825" s="2" t="s">
        <v>17</v>
      </c>
    </row>
    <row r="3826" spans="1:7" x14ac:dyDescent="0.2">
      <c r="A3826" s="2" t="s">
        <v>4992</v>
      </c>
      <c r="B3826" s="2" t="s">
        <v>5001</v>
      </c>
      <c r="C3826" s="2" t="s">
        <v>4994</v>
      </c>
      <c r="D3826" s="2" t="s">
        <v>64</v>
      </c>
      <c r="E3826" s="2" t="s">
        <v>16</v>
      </c>
      <c r="F3826" s="2">
        <v>1</v>
      </c>
      <c r="G3826" s="2" t="s">
        <v>17</v>
      </c>
    </row>
    <row r="3827" spans="1:7" x14ac:dyDescent="0.2">
      <c r="A3827" s="2" t="s">
        <v>4992</v>
      </c>
      <c r="B3827" s="2" t="s">
        <v>5002</v>
      </c>
      <c r="C3827" s="2" t="s">
        <v>4994</v>
      </c>
      <c r="D3827" s="2" t="s">
        <v>64</v>
      </c>
      <c r="E3827" s="2" t="s">
        <v>16</v>
      </c>
      <c r="F3827" s="2">
        <v>1</v>
      </c>
      <c r="G3827" s="2" t="s">
        <v>17</v>
      </c>
    </row>
    <row r="3828" spans="1:7" x14ac:dyDescent="0.2">
      <c r="A3828" s="2" t="s">
        <v>4992</v>
      </c>
      <c r="B3828" s="2" t="s">
        <v>5003</v>
      </c>
      <c r="C3828" s="2" t="s">
        <v>4994</v>
      </c>
      <c r="D3828" s="2" t="s">
        <v>64</v>
      </c>
      <c r="E3828" s="2" t="s">
        <v>16</v>
      </c>
      <c r="F3828" s="2">
        <v>1</v>
      </c>
      <c r="G3828" s="2" t="s">
        <v>17</v>
      </c>
    </row>
    <row r="3829" spans="1:7" x14ac:dyDescent="0.2">
      <c r="A3829" s="2" t="s">
        <v>5004</v>
      </c>
      <c r="B3829" s="2" t="s">
        <v>5005</v>
      </c>
      <c r="C3829" s="2" t="s">
        <v>5006</v>
      </c>
      <c r="D3829" s="2" t="s">
        <v>10</v>
      </c>
      <c r="E3829" s="2" t="s">
        <v>16</v>
      </c>
      <c r="F3829" s="2">
        <v>1</v>
      </c>
      <c r="G3829" s="2" t="s">
        <v>17</v>
      </c>
    </row>
    <row r="3830" spans="1:7" x14ac:dyDescent="0.2">
      <c r="A3830" s="2" t="s">
        <v>5004</v>
      </c>
      <c r="B3830" s="2" t="s">
        <v>5007</v>
      </c>
      <c r="C3830" s="2" t="s">
        <v>5006</v>
      </c>
      <c r="D3830" s="2" t="s">
        <v>10</v>
      </c>
      <c r="E3830" s="2" t="s">
        <v>16</v>
      </c>
      <c r="F3830" s="2">
        <v>1</v>
      </c>
      <c r="G3830" s="2" t="s">
        <v>17</v>
      </c>
    </row>
    <row r="3831" spans="1:7" x14ac:dyDescent="0.2">
      <c r="A3831" s="2" t="s">
        <v>5004</v>
      </c>
      <c r="B3831" s="2" t="s">
        <v>702</v>
      </c>
      <c r="C3831" s="2" t="s">
        <v>703</v>
      </c>
      <c r="D3831" s="2" t="s">
        <v>10</v>
      </c>
      <c r="E3831" s="2" t="s">
        <v>11</v>
      </c>
      <c r="F3831" s="2">
        <v>1</v>
      </c>
      <c r="G3831" s="2" t="s">
        <v>12</v>
      </c>
    </row>
    <row r="3832" spans="1:7" x14ac:dyDescent="0.2">
      <c r="A3832" s="2" t="s">
        <v>5004</v>
      </c>
      <c r="B3832" s="2" t="s">
        <v>704</v>
      </c>
      <c r="C3832" s="2" t="s">
        <v>703</v>
      </c>
      <c r="D3832" s="2" t="s">
        <v>10</v>
      </c>
      <c r="E3832" s="2" t="s">
        <v>11</v>
      </c>
      <c r="F3832" s="2">
        <v>1</v>
      </c>
      <c r="G3832" s="2" t="s">
        <v>12</v>
      </c>
    </row>
    <row r="3833" spans="1:7" x14ac:dyDescent="0.2">
      <c r="A3833" s="2" t="s">
        <v>5008</v>
      </c>
      <c r="B3833" s="2" t="s">
        <v>5009</v>
      </c>
      <c r="C3833" s="2" t="s">
        <v>5009</v>
      </c>
      <c r="D3833" s="2" t="s">
        <v>10</v>
      </c>
      <c r="E3833" s="2" t="s">
        <v>1080</v>
      </c>
      <c r="F3833" s="2">
        <v>1</v>
      </c>
      <c r="G3833" s="2" t="s">
        <v>17</v>
      </c>
    </row>
    <row r="3834" spans="1:7" x14ac:dyDescent="0.2">
      <c r="A3834" s="2" t="s">
        <v>5010</v>
      </c>
      <c r="B3834" s="2" t="s">
        <v>5011</v>
      </c>
      <c r="C3834" s="2" t="s">
        <v>5012</v>
      </c>
      <c r="D3834" s="2" t="s">
        <v>10</v>
      </c>
      <c r="E3834" s="2" t="s">
        <v>16</v>
      </c>
      <c r="F3834" s="2">
        <v>1</v>
      </c>
      <c r="G3834" s="2" t="s">
        <v>17</v>
      </c>
    </row>
    <row r="3835" spans="1:7" x14ac:dyDescent="0.2">
      <c r="A3835" s="2" t="s">
        <v>5010</v>
      </c>
      <c r="B3835" s="2" t="s">
        <v>5013</v>
      </c>
      <c r="C3835" s="2" t="s">
        <v>5012</v>
      </c>
      <c r="D3835" s="2" t="s">
        <v>10</v>
      </c>
      <c r="E3835" s="2" t="s">
        <v>16</v>
      </c>
      <c r="F3835" s="2">
        <v>1</v>
      </c>
      <c r="G3835" s="2" t="s">
        <v>17</v>
      </c>
    </row>
    <row r="3836" spans="1:7" x14ac:dyDescent="0.2">
      <c r="A3836" s="2" t="s">
        <v>5010</v>
      </c>
      <c r="B3836" s="2" t="s">
        <v>5014</v>
      </c>
      <c r="C3836" s="2" t="s">
        <v>5015</v>
      </c>
      <c r="D3836" s="2" t="s">
        <v>10</v>
      </c>
      <c r="E3836" s="2" t="s">
        <v>16</v>
      </c>
      <c r="F3836" s="2">
        <v>1</v>
      </c>
      <c r="G3836" s="2" t="s">
        <v>17</v>
      </c>
    </row>
    <row r="3837" spans="1:7" x14ac:dyDescent="0.2">
      <c r="A3837" s="2" t="s">
        <v>5010</v>
      </c>
      <c r="B3837" s="2" t="s">
        <v>5016</v>
      </c>
      <c r="C3837" s="2" t="s">
        <v>5017</v>
      </c>
      <c r="D3837" s="2" t="s">
        <v>10</v>
      </c>
      <c r="E3837" s="2" t="s">
        <v>16</v>
      </c>
      <c r="F3837" s="2">
        <v>1</v>
      </c>
      <c r="G3837" s="2" t="s">
        <v>17</v>
      </c>
    </row>
    <row r="3838" spans="1:7" x14ac:dyDescent="0.2">
      <c r="A3838" s="2" t="s">
        <v>5018</v>
      </c>
      <c r="B3838" s="2" t="s">
        <v>5019</v>
      </c>
      <c r="C3838" s="2" t="s">
        <v>5020</v>
      </c>
      <c r="D3838" s="2" t="s">
        <v>10</v>
      </c>
      <c r="E3838" s="2" t="s">
        <v>16</v>
      </c>
      <c r="F3838" s="2">
        <v>1</v>
      </c>
      <c r="G3838" s="2" t="s">
        <v>17</v>
      </c>
    </row>
    <row r="3839" spans="1:7" x14ac:dyDescent="0.2">
      <c r="A3839" s="2" t="s">
        <v>5021</v>
      </c>
      <c r="B3839" s="2" t="s">
        <v>5022</v>
      </c>
      <c r="C3839" s="2" t="s">
        <v>5023</v>
      </c>
      <c r="D3839" s="2" t="s">
        <v>29</v>
      </c>
      <c r="E3839" s="2" t="s">
        <v>16</v>
      </c>
      <c r="F3839" s="2">
        <v>2</v>
      </c>
      <c r="G3839" s="2" t="s">
        <v>17</v>
      </c>
    </row>
    <row r="3840" spans="1:7" x14ac:dyDescent="0.2">
      <c r="A3840" s="2" t="s">
        <v>5024</v>
      </c>
      <c r="B3840" s="2" t="s">
        <v>5025</v>
      </c>
      <c r="C3840" s="2" t="s">
        <v>5026</v>
      </c>
      <c r="D3840" s="2" t="s">
        <v>10</v>
      </c>
      <c r="E3840" s="2" t="s">
        <v>16</v>
      </c>
      <c r="F3840" s="2">
        <v>1</v>
      </c>
      <c r="G3840" s="2" t="s">
        <v>17</v>
      </c>
    </row>
    <row r="3841" spans="1:7" x14ac:dyDescent="0.2">
      <c r="A3841" s="2" t="s">
        <v>5024</v>
      </c>
      <c r="B3841" s="2" t="s">
        <v>5027</v>
      </c>
      <c r="C3841" s="2" t="s">
        <v>5028</v>
      </c>
      <c r="D3841" s="2" t="s">
        <v>10</v>
      </c>
      <c r="E3841" s="2" t="s">
        <v>16</v>
      </c>
      <c r="F3841" s="2">
        <v>1</v>
      </c>
      <c r="G3841" s="2" t="s">
        <v>17</v>
      </c>
    </row>
    <row r="3842" spans="1:7" x14ac:dyDescent="0.2">
      <c r="A3842" s="2" t="s">
        <v>5024</v>
      </c>
      <c r="B3842" s="2" t="s">
        <v>5029</v>
      </c>
      <c r="C3842" s="2" t="s">
        <v>5026</v>
      </c>
      <c r="D3842" s="2" t="s">
        <v>10</v>
      </c>
      <c r="E3842" s="2" t="s">
        <v>16</v>
      </c>
      <c r="F3842" s="2">
        <v>1</v>
      </c>
      <c r="G3842" s="2" t="s">
        <v>17</v>
      </c>
    </row>
    <row r="3843" spans="1:7" x14ac:dyDescent="0.2">
      <c r="A3843" s="2" t="s">
        <v>5024</v>
      </c>
      <c r="B3843" s="2" t="s">
        <v>5030</v>
      </c>
      <c r="C3843" s="2" t="s">
        <v>5028</v>
      </c>
      <c r="D3843" s="2" t="s">
        <v>10</v>
      </c>
      <c r="E3843" s="2" t="s">
        <v>16</v>
      </c>
      <c r="F3843" s="2">
        <v>1</v>
      </c>
      <c r="G3843" s="2" t="s">
        <v>17</v>
      </c>
    </row>
    <row r="3844" spans="1:7" x14ac:dyDescent="0.2">
      <c r="A3844" s="2" t="s">
        <v>5031</v>
      </c>
      <c r="B3844" s="2" t="s">
        <v>5032</v>
      </c>
      <c r="C3844" s="2" t="s">
        <v>5033</v>
      </c>
      <c r="D3844" s="2" t="s">
        <v>10</v>
      </c>
      <c r="E3844" s="2" t="s">
        <v>16</v>
      </c>
      <c r="F3844" s="2">
        <v>1</v>
      </c>
      <c r="G3844" s="2" t="s">
        <v>17</v>
      </c>
    </row>
    <row r="3845" spans="1:7" x14ac:dyDescent="0.2">
      <c r="A3845" s="2" t="s">
        <v>5031</v>
      </c>
      <c r="B3845" s="2" t="s">
        <v>5034</v>
      </c>
      <c r="C3845" s="2" t="s">
        <v>5033</v>
      </c>
      <c r="D3845" s="2" t="s">
        <v>10</v>
      </c>
      <c r="E3845" s="2" t="s">
        <v>16</v>
      </c>
      <c r="F3845" s="2">
        <v>1</v>
      </c>
      <c r="G3845" s="2" t="s">
        <v>17</v>
      </c>
    </row>
    <row r="3846" spans="1:7" x14ac:dyDescent="0.2">
      <c r="A3846" s="2" t="s">
        <v>5035</v>
      </c>
      <c r="B3846" s="2">
        <v>170</v>
      </c>
      <c r="C3846" s="2" t="s">
        <v>5036</v>
      </c>
      <c r="D3846" s="2" t="s">
        <v>10</v>
      </c>
      <c r="E3846" s="2" t="s">
        <v>11</v>
      </c>
      <c r="F3846" s="2">
        <v>2</v>
      </c>
      <c r="G3846" s="2" t="s">
        <v>12</v>
      </c>
    </row>
    <row r="3847" spans="1:7" x14ac:dyDescent="0.2">
      <c r="A3847" s="2" t="s">
        <v>5035</v>
      </c>
      <c r="B3847" s="2">
        <v>190</v>
      </c>
      <c r="C3847" s="2" t="s">
        <v>5037</v>
      </c>
      <c r="D3847" s="2" t="s">
        <v>10</v>
      </c>
      <c r="E3847" s="2" t="s">
        <v>11</v>
      </c>
      <c r="F3847" s="2">
        <v>2</v>
      </c>
      <c r="G3847" s="2" t="s">
        <v>12</v>
      </c>
    </row>
    <row r="3848" spans="1:7" x14ac:dyDescent="0.2">
      <c r="A3848" s="2" t="s">
        <v>5035</v>
      </c>
      <c r="B3848" s="2" t="s">
        <v>1552</v>
      </c>
      <c r="C3848" s="2" t="s">
        <v>141</v>
      </c>
      <c r="D3848" s="2" t="s">
        <v>10</v>
      </c>
      <c r="E3848" s="2" t="s">
        <v>11</v>
      </c>
      <c r="F3848" s="2">
        <v>1</v>
      </c>
      <c r="G3848" s="2" t="s">
        <v>12</v>
      </c>
    </row>
    <row r="3849" spans="1:7" x14ac:dyDescent="0.2">
      <c r="A3849" s="2" t="s">
        <v>5035</v>
      </c>
      <c r="B3849" s="2" t="s">
        <v>5038</v>
      </c>
      <c r="C3849" s="2" t="s">
        <v>1665</v>
      </c>
      <c r="D3849" s="2" t="s">
        <v>10</v>
      </c>
      <c r="E3849" s="2" t="s">
        <v>52</v>
      </c>
      <c r="F3849" s="2">
        <v>1</v>
      </c>
      <c r="G3849" s="2" t="s">
        <v>17</v>
      </c>
    </row>
    <row r="3850" spans="1:7" x14ac:dyDescent="0.2">
      <c r="A3850" s="2" t="s">
        <v>5035</v>
      </c>
      <c r="B3850" s="2" t="s">
        <v>1869</v>
      </c>
      <c r="C3850" s="2" t="s">
        <v>5039</v>
      </c>
      <c r="D3850" s="2" t="s">
        <v>10</v>
      </c>
      <c r="E3850" s="2" t="s">
        <v>52</v>
      </c>
      <c r="F3850" s="2">
        <v>1</v>
      </c>
      <c r="G3850" s="2" t="s">
        <v>17</v>
      </c>
    </row>
    <row r="3851" spans="1:7" x14ac:dyDescent="0.2">
      <c r="A3851" s="2" t="s">
        <v>5035</v>
      </c>
      <c r="B3851" s="2" t="s">
        <v>5040</v>
      </c>
      <c r="C3851" s="2" t="s">
        <v>5039</v>
      </c>
      <c r="D3851" s="2" t="s">
        <v>10</v>
      </c>
      <c r="E3851" s="2" t="s">
        <v>52</v>
      </c>
      <c r="F3851" s="2">
        <v>1</v>
      </c>
      <c r="G3851" s="2" t="s">
        <v>17</v>
      </c>
    </row>
    <row r="3852" spans="1:7" x14ac:dyDescent="0.2">
      <c r="A3852" s="2" t="s">
        <v>5035</v>
      </c>
      <c r="B3852" s="2" t="s">
        <v>141</v>
      </c>
      <c r="C3852" s="2" t="s">
        <v>141</v>
      </c>
      <c r="D3852" s="2" t="s">
        <v>10</v>
      </c>
      <c r="E3852" s="2" t="s">
        <v>11</v>
      </c>
      <c r="F3852" s="2">
        <v>1</v>
      </c>
      <c r="G3852" s="2" t="s">
        <v>12</v>
      </c>
    </row>
    <row r="3853" spans="1:7" x14ac:dyDescent="0.2">
      <c r="A3853" s="2" t="s">
        <v>5035</v>
      </c>
      <c r="B3853" s="2" t="s">
        <v>5041</v>
      </c>
      <c r="C3853" s="2" t="s">
        <v>159</v>
      </c>
      <c r="D3853" s="2" t="s">
        <v>10</v>
      </c>
      <c r="E3853" s="2" t="s">
        <v>11</v>
      </c>
      <c r="F3853" s="2">
        <v>1</v>
      </c>
      <c r="G3853" s="2" t="s">
        <v>17</v>
      </c>
    </row>
    <row r="3854" spans="1:7" x14ac:dyDescent="0.2">
      <c r="A3854" s="2" t="s">
        <v>5035</v>
      </c>
      <c r="B3854" s="2" t="s">
        <v>5042</v>
      </c>
      <c r="C3854" s="2" t="s">
        <v>5039</v>
      </c>
      <c r="D3854" s="2" t="s">
        <v>10</v>
      </c>
      <c r="E3854" s="2" t="s">
        <v>52</v>
      </c>
      <c r="F3854" s="2">
        <v>1</v>
      </c>
      <c r="G3854" s="2" t="s">
        <v>17</v>
      </c>
    </row>
    <row r="3855" spans="1:7" x14ac:dyDescent="0.2">
      <c r="A3855" s="2" t="s">
        <v>5035</v>
      </c>
      <c r="B3855" s="2" t="s">
        <v>5043</v>
      </c>
      <c r="C3855" s="2" t="s">
        <v>5044</v>
      </c>
      <c r="D3855" s="2" t="s">
        <v>10</v>
      </c>
      <c r="E3855" s="2" t="s">
        <v>52</v>
      </c>
      <c r="F3855" s="2">
        <v>2</v>
      </c>
      <c r="G3855" s="2" t="s">
        <v>17</v>
      </c>
    </row>
    <row r="3856" spans="1:7" x14ac:dyDescent="0.2">
      <c r="A3856" s="2" t="s">
        <v>5035</v>
      </c>
      <c r="B3856" s="2" t="s">
        <v>5045</v>
      </c>
      <c r="C3856" s="2" t="s">
        <v>5044</v>
      </c>
      <c r="D3856" s="2" t="s">
        <v>10</v>
      </c>
      <c r="E3856" s="2" t="s">
        <v>52</v>
      </c>
      <c r="F3856" s="2">
        <v>2</v>
      </c>
      <c r="G3856" s="2" t="s">
        <v>17</v>
      </c>
    </row>
    <row r="3857" spans="1:7" x14ac:dyDescent="0.2">
      <c r="A3857" s="2" t="s">
        <v>5035</v>
      </c>
      <c r="B3857" s="2" t="s">
        <v>5046</v>
      </c>
      <c r="C3857" s="2" t="s">
        <v>5047</v>
      </c>
      <c r="D3857" s="2" t="s">
        <v>10</v>
      </c>
      <c r="E3857" s="2" t="s">
        <v>52</v>
      </c>
      <c r="F3857" s="2">
        <v>2</v>
      </c>
      <c r="G3857" s="2" t="s">
        <v>12</v>
      </c>
    </row>
    <row r="3858" spans="1:7" x14ac:dyDescent="0.2">
      <c r="A3858" s="2" t="s">
        <v>5035</v>
      </c>
      <c r="B3858" s="2" t="s">
        <v>5048</v>
      </c>
      <c r="C3858" s="2" t="s">
        <v>5044</v>
      </c>
      <c r="D3858" s="2" t="s">
        <v>10</v>
      </c>
      <c r="E3858" s="2" t="s">
        <v>52</v>
      </c>
      <c r="F3858" s="2">
        <v>2</v>
      </c>
      <c r="G3858" s="2" t="s">
        <v>17</v>
      </c>
    </row>
    <row r="3859" spans="1:7" x14ac:dyDescent="0.2">
      <c r="A3859" s="2" t="s">
        <v>5035</v>
      </c>
      <c r="B3859" s="2" t="s">
        <v>5049</v>
      </c>
      <c r="C3859" s="2" t="s">
        <v>5050</v>
      </c>
      <c r="D3859" s="2" t="s">
        <v>10</v>
      </c>
      <c r="E3859" s="2" t="s">
        <v>11</v>
      </c>
      <c r="F3859" s="2">
        <v>2</v>
      </c>
      <c r="G3859" s="2" t="s">
        <v>12</v>
      </c>
    </row>
    <row r="3860" spans="1:7" x14ac:dyDescent="0.2">
      <c r="A3860" s="2" t="s">
        <v>5035</v>
      </c>
      <c r="B3860" s="2" t="s">
        <v>5051</v>
      </c>
      <c r="C3860" s="2" t="s">
        <v>903</v>
      </c>
      <c r="D3860" s="2" t="s">
        <v>10</v>
      </c>
      <c r="E3860" s="2" t="s">
        <v>16</v>
      </c>
      <c r="F3860" s="2">
        <v>1</v>
      </c>
      <c r="G3860" s="2" t="s">
        <v>17</v>
      </c>
    </row>
    <row r="3861" spans="1:7" x14ac:dyDescent="0.2">
      <c r="A3861" s="2" t="s">
        <v>5035</v>
      </c>
      <c r="B3861" s="2" t="s">
        <v>5052</v>
      </c>
      <c r="C3861" s="2" t="s">
        <v>900</v>
      </c>
      <c r="D3861" s="2" t="s">
        <v>10</v>
      </c>
      <c r="E3861" s="2" t="s">
        <v>16</v>
      </c>
      <c r="F3861" s="2">
        <v>1</v>
      </c>
      <c r="G3861" s="2" t="s">
        <v>17</v>
      </c>
    </row>
    <row r="3862" spans="1:7" x14ac:dyDescent="0.2">
      <c r="A3862" s="2" t="s">
        <v>5035</v>
      </c>
      <c r="B3862" s="2" t="s">
        <v>5053</v>
      </c>
      <c r="C3862" s="2" t="s">
        <v>907</v>
      </c>
      <c r="D3862" s="2" t="s">
        <v>10</v>
      </c>
      <c r="E3862" s="2" t="s">
        <v>16</v>
      </c>
      <c r="F3862" s="2">
        <v>1</v>
      </c>
      <c r="G3862" s="2" t="s">
        <v>17</v>
      </c>
    </row>
    <row r="3863" spans="1:7" x14ac:dyDescent="0.2">
      <c r="A3863" s="2" t="s">
        <v>5035</v>
      </c>
      <c r="B3863" s="2" t="s">
        <v>5054</v>
      </c>
      <c r="C3863" s="2" t="s">
        <v>3945</v>
      </c>
      <c r="D3863" s="2" t="s">
        <v>10</v>
      </c>
      <c r="E3863" s="2" t="s">
        <v>16</v>
      </c>
      <c r="F3863" s="2">
        <v>1</v>
      </c>
      <c r="G3863" s="2" t="s">
        <v>17</v>
      </c>
    </row>
    <row r="3864" spans="1:7" x14ac:dyDescent="0.2">
      <c r="A3864" s="2" t="s">
        <v>5035</v>
      </c>
      <c r="B3864" s="2" t="s">
        <v>5055</v>
      </c>
      <c r="C3864" s="2" t="s">
        <v>5056</v>
      </c>
      <c r="D3864" s="2" t="s">
        <v>10</v>
      </c>
      <c r="E3864" s="2" t="s">
        <v>11</v>
      </c>
      <c r="F3864" s="2">
        <v>2</v>
      </c>
      <c r="G3864" s="2" t="s">
        <v>12</v>
      </c>
    </row>
    <row r="3865" spans="1:7" x14ac:dyDescent="0.2">
      <c r="A3865" s="2" t="s">
        <v>5035</v>
      </c>
      <c r="B3865" s="2" t="s">
        <v>5057</v>
      </c>
      <c r="C3865" s="2" t="s">
        <v>5058</v>
      </c>
      <c r="D3865" s="2" t="s">
        <v>10</v>
      </c>
      <c r="E3865" s="2" t="s">
        <v>16</v>
      </c>
      <c r="F3865" s="2">
        <v>1</v>
      </c>
      <c r="G3865" s="2" t="s">
        <v>17</v>
      </c>
    </row>
    <row r="3866" spans="1:7" x14ac:dyDescent="0.2">
      <c r="A3866" s="2" t="s">
        <v>5035</v>
      </c>
      <c r="B3866" s="2" t="s">
        <v>5059</v>
      </c>
      <c r="C3866" s="2" t="s">
        <v>5047</v>
      </c>
      <c r="D3866" s="2" t="s">
        <v>10</v>
      </c>
      <c r="E3866" s="2" t="s">
        <v>52</v>
      </c>
      <c r="F3866" s="2">
        <v>2</v>
      </c>
      <c r="G3866" s="2" t="s">
        <v>12</v>
      </c>
    </row>
    <row r="3867" spans="1:7" x14ac:dyDescent="0.2">
      <c r="A3867" s="2" t="s">
        <v>5035</v>
      </c>
      <c r="B3867" s="2" t="s">
        <v>5060</v>
      </c>
      <c r="C3867" s="2" t="s">
        <v>5061</v>
      </c>
      <c r="D3867" s="2" t="s">
        <v>10</v>
      </c>
      <c r="E3867" s="2" t="s">
        <v>52</v>
      </c>
      <c r="F3867" s="2">
        <v>2</v>
      </c>
      <c r="G3867" s="2" t="s">
        <v>17</v>
      </c>
    </row>
    <row r="3868" spans="1:7" x14ac:dyDescent="0.2">
      <c r="A3868" s="2" t="s">
        <v>5035</v>
      </c>
      <c r="B3868" s="2" t="s">
        <v>5062</v>
      </c>
      <c r="C3868" s="2" t="s">
        <v>159</v>
      </c>
      <c r="D3868" s="2" t="s">
        <v>10</v>
      </c>
      <c r="E3868" s="2" t="s">
        <v>11</v>
      </c>
      <c r="F3868" s="2">
        <v>1</v>
      </c>
      <c r="G3868" s="2" t="s">
        <v>17</v>
      </c>
    </row>
    <row r="3869" spans="1:7" x14ac:dyDescent="0.2">
      <c r="A3869" s="2" t="s">
        <v>5035</v>
      </c>
      <c r="B3869" s="2" t="s">
        <v>5063</v>
      </c>
      <c r="C3869" s="2" t="s">
        <v>5061</v>
      </c>
      <c r="D3869" s="2" t="s">
        <v>10</v>
      </c>
      <c r="E3869" s="2" t="s">
        <v>52</v>
      </c>
      <c r="F3869" s="2">
        <v>2</v>
      </c>
      <c r="G3869" s="2" t="s">
        <v>17</v>
      </c>
    </row>
    <row r="3870" spans="1:7" x14ac:dyDescent="0.2">
      <c r="A3870" s="2" t="s">
        <v>5035</v>
      </c>
      <c r="B3870" s="2" t="s">
        <v>5064</v>
      </c>
      <c r="C3870" s="2" t="s">
        <v>5039</v>
      </c>
      <c r="D3870" s="2" t="s">
        <v>10</v>
      </c>
      <c r="E3870" s="2" t="s">
        <v>52</v>
      </c>
      <c r="F3870" s="2">
        <v>1</v>
      </c>
      <c r="G3870" s="2" t="s">
        <v>17</v>
      </c>
    </row>
    <row r="3871" spans="1:7" x14ac:dyDescent="0.2">
      <c r="A3871" s="2" t="s">
        <v>5035</v>
      </c>
      <c r="B3871" s="2" t="s">
        <v>5065</v>
      </c>
      <c r="C3871" s="2" t="s">
        <v>5066</v>
      </c>
      <c r="D3871" s="2" t="s">
        <v>10</v>
      </c>
      <c r="E3871" s="2" t="s">
        <v>11</v>
      </c>
      <c r="F3871" s="2">
        <v>2</v>
      </c>
      <c r="G3871" s="2" t="s">
        <v>12</v>
      </c>
    </row>
    <row r="3872" spans="1:7" x14ac:dyDescent="0.2">
      <c r="A3872" s="2" t="s">
        <v>5035</v>
      </c>
      <c r="B3872" s="2" t="s">
        <v>5067</v>
      </c>
      <c r="C3872" s="2" t="s">
        <v>5039</v>
      </c>
      <c r="D3872" s="2" t="s">
        <v>10</v>
      </c>
      <c r="E3872" s="2" t="s">
        <v>52</v>
      </c>
      <c r="F3872" s="2">
        <v>1</v>
      </c>
      <c r="G3872" s="2" t="s">
        <v>17</v>
      </c>
    </row>
    <row r="3873" spans="1:7" x14ac:dyDescent="0.2">
      <c r="A3873" s="2" t="s">
        <v>5035</v>
      </c>
      <c r="B3873" s="2" t="s">
        <v>5068</v>
      </c>
      <c r="C3873" s="2" t="s">
        <v>5039</v>
      </c>
      <c r="D3873" s="2" t="s">
        <v>10</v>
      </c>
      <c r="E3873" s="2" t="s">
        <v>52</v>
      </c>
      <c r="F3873" s="2">
        <v>1</v>
      </c>
      <c r="G3873" s="2" t="s">
        <v>17</v>
      </c>
    </row>
    <row r="3874" spans="1:7" x14ac:dyDescent="0.2">
      <c r="A3874" s="2" t="s">
        <v>5035</v>
      </c>
      <c r="B3874" s="2" t="s">
        <v>5069</v>
      </c>
      <c r="C3874" s="2" t="s">
        <v>5039</v>
      </c>
      <c r="D3874" s="2" t="s">
        <v>10</v>
      </c>
      <c r="E3874" s="2" t="s">
        <v>52</v>
      </c>
      <c r="F3874" s="2">
        <v>1</v>
      </c>
      <c r="G3874" s="2" t="s">
        <v>17</v>
      </c>
    </row>
    <row r="3875" spans="1:7" x14ac:dyDescent="0.2">
      <c r="A3875" s="2" t="s">
        <v>5035</v>
      </c>
      <c r="B3875" s="2" t="s">
        <v>5070</v>
      </c>
      <c r="C3875" s="2" t="s">
        <v>159</v>
      </c>
      <c r="D3875" s="2" t="s">
        <v>10</v>
      </c>
      <c r="E3875" s="2" t="s">
        <v>11</v>
      </c>
      <c r="F3875" s="2">
        <v>1</v>
      </c>
      <c r="G3875" s="2" t="s">
        <v>17</v>
      </c>
    </row>
    <row r="3876" spans="1:7" x14ac:dyDescent="0.2">
      <c r="A3876" s="2" t="s">
        <v>5035</v>
      </c>
      <c r="B3876" s="2" t="s">
        <v>5071</v>
      </c>
      <c r="C3876" s="2" t="s">
        <v>5072</v>
      </c>
      <c r="D3876" s="2" t="s">
        <v>10</v>
      </c>
      <c r="E3876" s="2" t="s">
        <v>11</v>
      </c>
      <c r="F3876" s="2">
        <v>2</v>
      </c>
      <c r="G3876" s="2" t="s">
        <v>17</v>
      </c>
    </row>
    <row r="3877" spans="1:7" x14ac:dyDescent="0.2">
      <c r="A3877" s="2" t="s">
        <v>5035</v>
      </c>
      <c r="B3877" s="2" t="s">
        <v>5073</v>
      </c>
      <c r="C3877" s="2" t="s">
        <v>903</v>
      </c>
      <c r="D3877" s="2" t="s">
        <v>10</v>
      </c>
      <c r="E3877" s="2" t="s">
        <v>16</v>
      </c>
      <c r="F3877" s="2">
        <v>1</v>
      </c>
      <c r="G3877" s="2" t="s">
        <v>17</v>
      </c>
    </row>
    <row r="3878" spans="1:7" x14ac:dyDescent="0.2">
      <c r="A3878" s="2" t="s">
        <v>5035</v>
      </c>
      <c r="B3878" s="2" t="s">
        <v>5074</v>
      </c>
      <c r="C3878" s="2" t="s">
        <v>907</v>
      </c>
      <c r="D3878" s="2" t="s">
        <v>10</v>
      </c>
      <c r="E3878" s="2" t="s">
        <v>16</v>
      </c>
      <c r="F3878" s="2">
        <v>1</v>
      </c>
      <c r="G3878" s="2" t="s">
        <v>17</v>
      </c>
    </row>
    <row r="3879" spans="1:7" x14ac:dyDescent="0.2">
      <c r="A3879" s="2" t="s">
        <v>5035</v>
      </c>
      <c r="B3879" s="2" t="s">
        <v>5075</v>
      </c>
      <c r="C3879" s="2" t="s">
        <v>907</v>
      </c>
      <c r="D3879" s="2" t="s">
        <v>10</v>
      </c>
      <c r="E3879" s="2" t="s">
        <v>16</v>
      </c>
      <c r="F3879" s="2">
        <v>1</v>
      </c>
      <c r="G3879" s="2" t="s">
        <v>17</v>
      </c>
    </row>
    <row r="3880" spans="1:7" x14ac:dyDescent="0.2">
      <c r="A3880" s="2" t="s">
        <v>5035</v>
      </c>
      <c r="B3880" s="2" t="s">
        <v>5076</v>
      </c>
      <c r="C3880" s="2" t="s">
        <v>3945</v>
      </c>
      <c r="D3880" s="2" t="s">
        <v>10</v>
      </c>
      <c r="E3880" s="2" t="s">
        <v>16</v>
      </c>
      <c r="F3880" s="2">
        <v>1</v>
      </c>
      <c r="G3880" s="2" t="s">
        <v>17</v>
      </c>
    </row>
    <row r="3881" spans="1:7" x14ac:dyDescent="0.2">
      <c r="A3881" s="2" t="s">
        <v>5035</v>
      </c>
      <c r="B3881" s="2" t="s">
        <v>5077</v>
      </c>
      <c r="C3881" s="2" t="s">
        <v>900</v>
      </c>
      <c r="D3881" s="2" t="s">
        <v>10</v>
      </c>
      <c r="E3881" s="2" t="s">
        <v>16</v>
      </c>
      <c r="F3881" s="2">
        <v>1</v>
      </c>
      <c r="G3881" s="2" t="s">
        <v>17</v>
      </c>
    </row>
    <row r="3882" spans="1:7" x14ac:dyDescent="0.2">
      <c r="A3882" s="2" t="s">
        <v>5035</v>
      </c>
      <c r="B3882" s="2" t="s">
        <v>5078</v>
      </c>
      <c r="C3882" s="2" t="s">
        <v>900</v>
      </c>
      <c r="D3882" s="2" t="s">
        <v>10</v>
      </c>
      <c r="E3882" s="2" t="s">
        <v>16</v>
      </c>
      <c r="F3882" s="2">
        <v>1</v>
      </c>
      <c r="G3882" s="2" t="s">
        <v>17</v>
      </c>
    </row>
    <row r="3883" spans="1:7" x14ac:dyDescent="0.2">
      <c r="A3883" s="2" t="s">
        <v>5035</v>
      </c>
      <c r="B3883" s="2" t="s">
        <v>5079</v>
      </c>
      <c r="C3883" s="2" t="s">
        <v>913</v>
      </c>
      <c r="D3883" s="2" t="s">
        <v>10</v>
      </c>
      <c r="E3883" s="2" t="s">
        <v>16</v>
      </c>
      <c r="F3883" s="2">
        <v>1</v>
      </c>
      <c r="G3883" s="2" t="s">
        <v>17</v>
      </c>
    </row>
    <row r="3884" spans="1:7" x14ac:dyDescent="0.2">
      <c r="A3884" s="2" t="s">
        <v>5035</v>
      </c>
      <c r="B3884" s="2" t="s">
        <v>5080</v>
      </c>
      <c r="C3884" s="2" t="s">
        <v>924</v>
      </c>
      <c r="D3884" s="2" t="s">
        <v>10</v>
      </c>
      <c r="E3884" s="2" t="s">
        <v>16</v>
      </c>
      <c r="F3884" s="2">
        <v>1</v>
      </c>
      <c r="G3884" s="2" t="s">
        <v>17</v>
      </c>
    </row>
    <row r="3885" spans="1:7" x14ac:dyDescent="0.2">
      <c r="A3885" s="2" t="s">
        <v>5035</v>
      </c>
      <c r="B3885" s="2" t="s">
        <v>5081</v>
      </c>
      <c r="C3885" s="2" t="s">
        <v>960</v>
      </c>
      <c r="D3885" s="2" t="s">
        <v>10</v>
      </c>
      <c r="E3885" s="2" t="s">
        <v>16</v>
      </c>
      <c r="F3885" s="2">
        <v>2</v>
      </c>
      <c r="G3885" s="2" t="s">
        <v>17</v>
      </c>
    </row>
    <row r="3886" spans="1:7" x14ac:dyDescent="0.2">
      <c r="A3886" s="2" t="s">
        <v>5035</v>
      </c>
      <c r="B3886" s="2" t="s">
        <v>5082</v>
      </c>
      <c r="C3886" s="2" t="s">
        <v>921</v>
      </c>
      <c r="D3886" s="2" t="s">
        <v>10</v>
      </c>
      <c r="E3886" s="2" t="s">
        <v>16</v>
      </c>
      <c r="F3886" s="2">
        <v>2</v>
      </c>
      <c r="G3886" s="2" t="s">
        <v>17</v>
      </c>
    </row>
    <row r="3887" spans="1:7" x14ac:dyDescent="0.2">
      <c r="A3887" s="2" t="s">
        <v>5035</v>
      </c>
      <c r="B3887" s="2" t="s">
        <v>5083</v>
      </c>
      <c r="C3887" s="2" t="s">
        <v>5084</v>
      </c>
      <c r="D3887" s="2" t="s">
        <v>10</v>
      </c>
      <c r="E3887" s="2" t="s">
        <v>11</v>
      </c>
      <c r="F3887" s="2">
        <v>2</v>
      </c>
      <c r="G3887" s="2" t="s">
        <v>12</v>
      </c>
    </row>
    <row r="3888" spans="1:7" x14ac:dyDescent="0.2">
      <c r="A3888" s="2" t="s">
        <v>5035</v>
      </c>
      <c r="B3888" s="2" t="s">
        <v>5085</v>
      </c>
      <c r="C3888" s="2" t="s">
        <v>5084</v>
      </c>
      <c r="D3888" s="2" t="s">
        <v>10</v>
      </c>
      <c r="E3888" s="2" t="s">
        <v>11</v>
      </c>
      <c r="F3888" s="2">
        <v>2</v>
      </c>
      <c r="G3888" s="2" t="s">
        <v>12</v>
      </c>
    </row>
    <row r="3889" spans="1:7" x14ac:dyDescent="0.2">
      <c r="A3889" s="2" t="s">
        <v>5035</v>
      </c>
      <c r="B3889" s="2" t="s">
        <v>5086</v>
      </c>
      <c r="C3889" s="2" t="s">
        <v>5050</v>
      </c>
      <c r="D3889" s="2" t="s">
        <v>10</v>
      </c>
      <c r="E3889" s="2" t="s">
        <v>11</v>
      </c>
      <c r="F3889" s="2">
        <v>2</v>
      </c>
      <c r="G3889" s="2" t="s">
        <v>12</v>
      </c>
    </row>
    <row r="3890" spans="1:7" x14ac:dyDescent="0.2">
      <c r="A3890" s="2" t="s">
        <v>5035</v>
      </c>
      <c r="B3890" s="2" t="s">
        <v>5087</v>
      </c>
      <c r="C3890" s="2" t="s">
        <v>5050</v>
      </c>
      <c r="D3890" s="2" t="s">
        <v>10</v>
      </c>
      <c r="E3890" s="2" t="s">
        <v>11</v>
      </c>
      <c r="F3890" s="2">
        <v>2</v>
      </c>
      <c r="G3890" s="2" t="s">
        <v>12</v>
      </c>
    </row>
    <row r="3891" spans="1:7" x14ac:dyDescent="0.2">
      <c r="A3891" s="2" t="s">
        <v>5035</v>
      </c>
      <c r="B3891" s="2" t="s">
        <v>5088</v>
      </c>
      <c r="C3891" s="2" t="s">
        <v>5050</v>
      </c>
      <c r="D3891" s="2" t="s">
        <v>10</v>
      </c>
      <c r="E3891" s="2" t="s">
        <v>11</v>
      </c>
      <c r="F3891" s="2">
        <v>2</v>
      </c>
      <c r="G3891" s="2" t="s">
        <v>12</v>
      </c>
    </row>
    <row r="3892" spans="1:7" x14ac:dyDescent="0.2">
      <c r="A3892" s="2" t="s">
        <v>5035</v>
      </c>
      <c r="B3892" s="2" t="s">
        <v>5089</v>
      </c>
      <c r="C3892" s="2" t="s">
        <v>5050</v>
      </c>
      <c r="D3892" s="2" t="s">
        <v>10</v>
      </c>
      <c r="E3892" s="2" t="s">
        <v>11</v>
      </c>
      <c r="F3892" s="2">
        <v>2</v>
      </c>
      <c r="G3892" s="2" t="s">
        <v>12</v>
      </c>
    </row>
    <row r="3893" spans="1:7" x14ac:dyDescent="0.2">
      <c r="A3893" s="2" t="s">
        <v>5035</v>
      </c>
      <c r="B3893" s="2" t="s">
        <v>5090</v>
      </c>
      <c r="C3893" s="2" t="s">
        <v>5050</v>
      </c>
      <c r="D3893" s="2" t="s">
        <v>10</v>
      </c>
      <c r="E3893" s="2" t="s">
        <v>11</v>
      </c>
      <c r="F3893" s="2">
        <v>2</v>
      </c>
      <c r="G3893" s="2" t="s">
        <v>12</v>
      </c>
    </row>
    <row r="3894" spans="1:7" x14ac:dyDescent="0.2">
      <c r="A3894" s="2" t="s">
        <v>5035</v>
      </c>
      <c r="B3894" s="2" t="s">
        <v>5091</v>
      </c>
      <c r="C3894" s="2" t="s">
        <v>5050</v>
      </c>
      <c r="D3894" s="2" t="s">
        <v>10</v>
      </c>
      <c r="E3894" s="2" t="s">
        <v>11</v>
      </c>
      <c r="F3894" s="2">
        <v>2</v>
      </c>
      <c r="G3894" s="2" t="s">
        <v>12</v>
      </c>
    </row>
    <row r="3895" spans="1:7" x14ac:dyDescent="0.2">
      <c r="A3895" s="2" t="s">
        <v>5035</v>
      </c>
      <c r="B3895" s="2" t="s">
        <v>5092</v>
      </c>
      <c r="C3895" s="2" t="s">
        <v>5093</v>
      </c>
      <c r="D3895" s="2" t="s">
        <v>10</v>
      </c>
      <c r="E3895" s="2" t="s">
        <v>11</v>
      </c>
      <c r="F3895" s="2">
        <v>2</v>
      </c>
      <c r="G3895" s="2" t="s">
        <v>12</v>
      </c>
    </row>
    <row r="3896" spans="1:7" x14ac:dyDescent="0.2">
      <c r="A3896" s="2" t="s">
        <v>5035</v>
      </c>
      <c r="B3896" s="2" t="s">
        <v>5094</v>
      </c>
      <c r="C3896" s="2" t="s">
        <v>5058</v>
      </c>
      <c r="D3896" s="2" t="s">
        <v>10</v>
      </c>
      <c r="E3896" s="2" t="s">
        <v>16</v>
      </c>
      <c r="F3896" s="2">
        <v>1</v>
      </c>
      <c r="G3896" s="2" t="s">
        <v>17</v>
      </c>
    </row>
    <row r="3897" spans="1:7" x14ac:dyDescent="0.2">
      <c r="A3897" s="2" t="s">
        <v>5035</v>
      </c>
      <c r="B3897" s="2" t="s">
        <v>3953</v>
      </c>
      <c r="C3897" s="2" t="s">
        <v>958</v>
      </c>
      <c r="D3897" s="2" t="s">
        <v>10</v>
      </c>
      <c r="E3897" s="2" t="s">
        <v>16</v>
      </c>
      <c r="F3897" s="2">
        <v>1</v>
      </c>
      <c r="G3897" s="2" t="s">
        <v>17</v>
      </c>
    </row>
    <row r="3898" spans="1:7" x14ac:dyDescent="0.2">
      <c r="A3898" s="2" t="s">
        <v>5035</v>
      </c>
      <c r="B3898" s="2" t="s">
        <v>5095</v>
      </c>
      <c r="C3898" s="2" t="s">
        <v>913</v>
      </c>
      <c r="D3898" s="2" t="s">
        <v>10</v>
      </c>
      <c r="E3898" s="2" t="s">
        <v>16</v>
      </c>
      <c r="F3898" s="2">
        <v>1</v>
      </c>
      <c r="G3898" s="2" t="s">
        <v>17</v>
      </c>
    </row>
    <row r="3899" spans="1:7" x14ac:dyDescent="0.2">
      <c r="A3899" s="2" t="s">
        <v>5035</v>
      </c>
      <c r="B3899" s="2" t="s">
        <v>925</v>
      </c>
      <c r="C3899" s="2" t="s">
        <v>921</v>
      </c>
      <c r="D3899" s="2" t="s">
        <v>10</v>
      </c>
      <c r="E3899" s="2" t="s">
        <v>16</v>
      </c>
      <c r="F3899" s="2">
        <v>2</v>
      </c>
      <c r="G3899" s="2" t="s">
        <v>17</v>
      </c>
    </row>
    <row r="3900" spans="1:7" x14ac:dyDescent="0.2">
      <c r="A3900" s="2" t="s">
        <v>5035</v>
      </c>
      <c r="B3900" s="2" t="s">
        <v>5096</v>
      </c>
      <c r="C3900" s="2" t="s">
        <v>5044</v>
      </c>
      <c r="D3900" s="2" t="s">
        <v>10</v>
      </c>
      <c r="E3900" s="2" t="s">
        <v>52</v>
      </c>
      <c r="F3900" s="2">
        <v>2</v>
      </c>
      <c r="G3900" s="2" t="s">
        <v>17</v>
      </c>
    </row>
    <row r="3901" spans="1:7" x14ac:dyDescent="0.2">
      <c r="A3901" s="2" t="s">
        <v>5035</v>
      </c>
      <c r="B3901" s="2" t="s">
        <v>5097</v>
      </c>
      <c r="C3901" s="2" t="s">
        <v>3956</v>
      </c>
      <c r="D3901" s="2" t="s">
        <v>10</v>
      </c>
      <c r="E3901" s="2" t="s">
        <v>16</v>
      </c>
      <c r="F3901" s="2">
        <v>1</v>
      </c>
      <c r="G3901" s="2" t="s">
        <v>17</v>
      </c>
    </row>
    <row r="3902" spans="1:7" x14ac:dyDescent="0.2">
      <c r="A3902" s="2" t="s">
        <v>5035</v>
      </c>
      <c r="B3902" s="2" t="s">
        <v>5098</v>
      </c>
      <c r="C3902" s="2" t="s">
        <v>958</v>
      </c>
      <c r="D3902" s="2" t="s">
        <v>10</v>
      </c>
      <c r="E3902" s="2" t="s">
        <v>16</v>
      </c>
      <c r="F3902" s="2">
        <v>1</v>
      </c>
      <c r="G3902" s="2" t="s">
        <v>17</v>
      </c>
    </row>
    <row r="3903" spans="1:7" x14ac:dyDescent="0.2">
      <c r="A3903" s="2" t="s">
        <v>5035</v>
      </c>
      <c r="B3903" s="2" t="s">
        <v>3985</v>
      </c>
      <c r="C3903" s="2" t="s">
        <v>3956</v>
      </c>
      <c r="D3903" s="2" t="s">
        <v>10</v>
      </c>
      <c r="E3903" s="2" t="s">
        <v>16</v>
      </c>
      <c r="F3903" s="2">
        <v>1</v>
      </c>
      <c r="G3903" s="2" t="s">
        <v>17</v>
      </c>
    </row>
    <row r="3904" spans="1:7" x14ac:dyDescent="0.2">
      <c r="A3904" s="2" t="s">
        <v>5035</v>
      </c>
      <c r="B3904" s="2" t="s">
        <v>5099</v>
      </c>
      <c r="C3904" s="2" t="s">
        <v>5072</v>
      </c>
      <c r="D3904" s="2" t="s">
        <v>10</v>
      </c>
      <c r="E3904" s="2" t="s">
        <v>11</v>
      </c>
      <c r="F3904" s="2">
        <v>2</v>
      </c>
      <c r="G3904" s="2" t="s">
        <v>17</v>
      </c>
    </row>
    <row r="3905" spans="1:7" x14ac:dyDescent="0.2">
      <c r="A3905" s="2" t="s">
        <v>5035</v>
      </c>
      <c r="B3905" s="2" t="s">
        <v>5100</v>
      </c>
      <c r="C3905" s="2" t="s">
        <v>5044</v>
      </c>
      <c r="D3905" s="2" t="s">
        <v>10</v>
      </c>
      <c r="E3905" s="2" t="s">
        <v>52</v>
      </c>
      <c r="F3905" s="2">
        <v>2</v>
      </c>
      <c r="G3905" s="2" t="s">
        <v>17</v>
      </c>
    </row>
    <row r="3906" spans="1:7" x14ac:dyDescent="0.2">
      <c r="A3906" s="2" t="s">
        <v>5035</v>
      </c>
      <c r="B3906" s="2" t="s">
        <v>5101</v>
      </c>
      <c r="C3906" s="2" t="s">
        <v>5050</v>
      </c>
      <c r="D3906" s="2" t="s">
        <v>10</v>
      </c>
      <c r="E3906" s="2" t="s">
        <v>11</v>
      </c>
      <c r="F3906" s="2">
        <v>2</v>
      </c>
      <c r="G3906" s="2" t="s">
        <v>12</v>
      </c>
    </row>
    <row r="3907" spans="1:7" x14ac:dyDescent="0.2">
      <c r="A3907" s="2" t="s">
        <v>5035</v>
      </c>
      <c r="B3907" s="2" t="s">
        <v>5102</v>
      </c>
      <c r="C3907" s="2" t="s">
        <v>159</v>
      </c>
      <c r="D3907" s="2" t="s">
        <v>10</v>
      </c>
      <c r="E3907" s="2" t="s">
        <v>11</v>
      </c>
      <c r="F3907" s="2">
        <v>1</v>
      </c>
      <c r="G3907" s="2" t="s">
        <v>17</v>
      </c>
    </row>
    <row r="3908" spans="1:7" x14ac:dyDescent="0.2">
      <c r="A3908" s="2" t="s">
        <v>5035</v>
      </c>
      <c r="B3908" s="2" t="s">
        <v>5103</v>
      </c>
      <c r="C3908" s="2" t="s">
        <v>5044</v>
      </c>
      <c r="D3908" s="2" t="s">
        <v>10</v>
      </c>
      <c r="E3908" s="2" t="s">
        <v>52</v>
      </c>
      <c r="F3908" s="2">
        <v>2</v>
      </c>
      <c r="G3908" s="2" t="s">
        <v>17</v>
      </c>
    </row>
    <row r="3909" spans="1:7" x14ac:dyDescent="0.2">
      <c r="A3909" s="2" t="s">
        <v>5035</v>
      </c>
      <c r="B3909" s="2" t="s">
        <v>971</v>
      </c>
      <c r="C3909" s="2" t="s">
        <v>960</v>
      </c>
      <c r="D3909" s="2" t="s">
        <v>10</v>
      </c>
      <c r="E3909" s="2" t="s">
        <v>16</v>
      </c>
      <c r="F3909" s="2">
        <v>2</v>
      </c>
      <c r="G3909" s="2" t="s">
        <v>17</v>
      </c>
    </row>
    <row r="3910" spans="1:7" x14ac:dyDescent="0.2">
      <c r="A3910" s="2" t="s">
        <v>5035</v>
      </c>
      <c r="B3910" s="2" t="s">
        <v>5104</v>
      </c>
      <c r="C3910" s="2" t="s">
        <v>924</v>
      </c>
      <c r="D3910" s="2" t="s">
        <v>10</v>
      </c>
      <c r="E3910" s="2" t="s">
        <v>16</v>
      </c>
      <c r="F3910" s="2">
        <v>1</v>
      </c>
      <c r="G3910" s="2" t="s">
        <v>17</v>
      </c>
    </row>
    <row r="3911" spans="1:7" x14ac:dyDescent="0.2">
      <c r="A3911" s="2" t="s">
        <v>5035</v>
      </c>
      <c r="B3911" s="2" t="s">
        <v>5105</v>
      </c>
      <c r="C3911" s="2" t="s">
        <v>5039</v>
      </c>
      <c r="D3911" s="2" t="s">
        <v>10</v>
      </c>
      <c r="E3911" s="2" t="s">
        <v>52</v>
      </c>
      <c r="F3911" s="2">
        <v>1</v>
      </c>
      <c r="G3911" s="2" t="s">
        <v>17</v>
      </c>
    </row>
    <row r="3912" spans="1:7" x14ac:dyDescent="0.2">
      <c r="A3912" s="2" t="s">
        <v>5035</v>
      </c>
      <c r="B3912" s="2" t="s">
        <v>5106</v>
      </c>
      <c r="C3912" s="2" t="s">
        <v>1665</v>
      </c>
      <c r="D3912" s="2" t="s">
        <v>10</v>
      </c>
      <c r="E3912" s="2" t="s">
        <v>52</v>
      </c>
      <c r="F3912" s="2">
        <v>1</v>
      </c>
      <c r="G3912" s="2" t="s">
        <v>17</v>
      </c>
    </row>
    <row r="3913" spans="1:7" x14ac:dyDescent="0.2">
      <c r="A3913" s="2" t="s">
        <v>5035</v>
      </c>
      <c r="B3913" s="2" t="s">
        <v>1666</v>
      </c>
      <c r="C3913" s="2" t="s">
        <v>1665</v>
      </c>
      <c r="D3913" s="2" t="s">
        <v>10</v>
      </c>
      <c r="E3913" s="2" t="s">
        <v>52</v>
      </c>
      <c r="F3913" s="2">
        <v>1</v>
      </c>
      <c r="G3913" s="2" t="s">
        <v>17</v>
      </c>
    </row>
    <row r="3914" spans="1:7" x14ac:dyDescent="0.2">
      <c r="A3914" s="2" t="s">
        <v>5035</v>
      </c>
      <c r="B3914" s="2" t="s">
        <v>5107</v>
      </c>
      <c r="C3914" s="2" t="s">
        <v>900</v>
      </c>
      <c r="D3914" s="2" t="s">
        <v>10</v>
      </c>
      <c r="E3914" s="2" t="s">
        <v>16</v>
      </c>
      <c r="F3914" s="2">
        <v>1</v>
      </c>
      <c r="G3914" s="2" t="s">
        <v>17</v>
      </c>
    </row>
    <row r="3915" spans="1:7" x14ac:dyDescent="0.2">
      <c r="A3915" s="2" t="s">
        <v>5035</v>
      </c>
      <c r="B3915" s="2" t="s">
        <v>5108</v>
      </c>
      <c r="C3915" s="2" t="s">
        <v>960</v>
      </c>
      <c r="D3915" s="2" t="s">
        <v>10</v>
      </c>
      <c r="E3915" s="2" t="s">
        <v>16</v>
      </c>
      <c r="F3915" s="2">
        <v>2</v>
      </c>
      <c r="G3915" s="2" t="s">
        <v>17</v>
      </c>
    </row>
    <row r="3916" spans="1:7" x14ac:dyDescent="0.2">
      <c r="A3916" s="2" t="s">
        <v>5035</v>
      </c>
      <c r="B3916" s="2" t="s">
        <v>5109</v>
      </c>
      <c r="C3916" s="2" t="s">
        <v>5061</v>
      </c>
      <c r="D3916" s="2" t="s">
        <v>10</v>
      </c>
      <c r="E3916" s="2" t="s">
        <v>52</v>
      </c>
      <c r="F3916" s="2">
        <v>2</v>
      </c>
      <c r="G3916" s="2" t="s">
        <v>17</v>
      </c>
    </row>
    <row r="3917" spans="1:7" x14ac:dyDescent="0.2">
      <c r="A3917" s="2" t="s">
        <v>5035</v>
      </c>
      <c r="B3917" s="2" t="s">
        <v>5110</v>
      </c>
      <c r="C3917" s="2" t="s">
        <v>5044</v>
      </c>
      <c r="D3917" s="2" t="s">
        <v>10</v>
      </c>
      <c r="E3917" s="2" t="s">
        <v>52</v>
      </c>
      <c r="F3917" s="2">
        <v>2</v>
      </c>
      <c r="G3917" s="2" t="s">
        <v>17</v>
      </c>
    </row>
    <row r="3918" spans="1:7" x14ac:dyDescent="0.2">
      <c r="A3918" s="2" t="s">
        <v>5035</v>
      </c>
      <c r="B3918" s="2" t="s">
        <v>5111</v>
      </c>
      <c r="C3918" s="2" t="s">
        <v>5044</v>
      </c>
      <c r="D3918" s="2" t="s">
        <v>10</v>
      </c>
      <c r="E3918" s="2" t="s">
        <v>52</v>
      </c>
      <c r="F3918" s="2">
        <v>2</v>
      </c>
      <c r="G3918" s="2" t="s">
        <v>17</v>
      </c>
    </row>
    <row r="3919" spans="1:7" x14ac:dyDescent="0.2">
      <c r="A3919" s="2" t="s">
        <v>5035</v>
      </c>
      <c r="B3919" s="2" t="s">
        <v>5112</v>
      </c>
      <c r="C3919" s="2" t="s">
        <v>5044</v>
      </c>
      <c r="D3919" s="2" t="s">
        <v>10</v>
      </c>
      <c r="E3919" s="2" t="s">
        <v>52</v>
      </c>
      <c r="F3919" s="2">
        <v>2</v>
      </c>
      <c r="G3919" s="2" t="s">
        <v>17</v>
      </c>
    </row>
    <row r="3920" spans="1:7" x14ac:dyDescent="0.2">
      <c r="A3920" s="2" t="s">
        <v>5035</v>
      </c>
      <c r="B3920" s="2" t="s">
        <v>5113</v>
      </c>
      <c r="C3920" s="2" t="s">
        <v>5047</v>
      </c>
      <c r="D3920" s="2" t="s">
        <v>10</v>
      </c>
      <c r="E3920" s="2" t="s">
        <v>52</v>
      </c>
      <c r="F3920" s="2">
        <v>2</v>
      </c>
      <c r="G3920" s="2" t="s">
        <v>12</v>
      </c>
    </row>
    <row r="3921" spans="1:7" x14ac:dyDescent="0.2">
      <c r="A3921" s="2" t="s">
        <v>5035</v>
      </c>
      <c r="B3921" s="2" t="s">
        <v>5114</v>
      </c>
      <c r="C3921" s="2" t="s">
        <v>5061</v>
      </c>
      <c r="D3921" s="2" t="s">
        <v>10</v>
      </c>
      <c r="E3921" s="2" t="s">
        <v>52</v>
      </c>
      <c r="F3921" s="2">
        <v>2</v>
      </c>
      <c r="G3921" s="2" t="s">
        <v>17</v>
      </c>
    </row>
    <row r="3922" spans="1:7" x14ac:dyDescent="0.2">
      <c r="A3922" s="2" t="s">
        <v>5035</v>
      </c>
      <c r="B3922" s="2" t="s">
        <v>5115</v>
      </c>
      <c r="C3922" s="2" t="s">
        <v>5050</v>
      </c>
      <c r="D3922" s="2" t="s">
        <v>10</v>
      </c>
      <c r="E3922" s="2" t="s">
        <v>11</v>
      </c>
      <c r="F3922" s="2">
        <v>2</v>
      </c>
      <c r="G3922" s="2" t="s">
        <v>12</v>
      </c>
    </row>
    <row r="3923" spans="1:7" x14ac:dyDescent="0.2">
      <c r="A3923" s="2" t="s">
        <v>5035</v>
      </c>
      <c r="B3923" s="2" t="s">
        <v>5116</v>
      </c>
      <c r="C3923" s="2" t="s">
        <v>5050</v>
      </c>
      <c r="D3923" s="2" t="s">
        <v>10</v>
      </c>
      <c r="E3923" s="2" t="s">
        <v>11</v>
      </c>
      <c r="F3923" s="2">
        <v>2</v>
      </c>
      <c r="G3923" s="2" t="s">
        <v>12</v>
      </c>
    </row>
    <row r="3924" spans="1:7" x14ac:dyDescent="0.2">
      <c r="A3924" s="2" t="s">
        <v>5035</v>
      </c>
      <c r="B3924" s="2" t="s">
        <v>5117</v>
      </c>
      <c r="C3924" s="2" t="s">
        <v>5050</v>
      </c>
      <c r="D3924" s="2" t="s">
        <v>10</v>
      </c>
      <c r="E3924" s="2" t="s">
        <v>11</v>
      </c>
      <c r="F3924" s="2">
        <v>2</v>
      </c>
      <c r="G3924" s="2" t="s">
        <v>12</v>
      </c>
    </row>
    <row r="3925" spans="1:7" x14ac:dyDescent="0.2">
      <c r="A3925" s="2" t="s">
        <v>5035</v>
      </c>
      <c r="B3925" s="2" t="s">
        <v>5118</v>
      </c>
      <c r="C3925" s="2" t="s">
        <v>5050</v>
      </c>
      <c r="D3925" s="2" t="s">
        <v>10</v>
      </c>
      <c r="E3925" s="2" t="s">
        <v>11</v>
      </c>
      <c r="F3925" s="2">
        <v>2</v>
      </c>
      <c r="G3925" s="2" t="s">
        <v>12</v>
      </c>
    </row>
    <row r="3926" spans="1:7" x14ac:dyDescent="0.2">
      <c r="A3926" s="2" t="s">
        <v>5035</v>
      </c>
      <c r="B3926" s="2" t="s">
        <v>5119</v>
      </c>
      <c r="C3926" s="2" t="s">
        <v>5050</v>
      </c>
      <c r="D3926" s="2" t="s">
        <v>10</v>
      </c>
      <c r="E3926" s="2" t="s">
        <v>11</v>
      </c>
      <c r="F3926" s="2">
        <v>2</v>
      </c>
      <c r="G3926" s="2" t="s">
        <v>12</v>
      </c>
    </row>
    <row r="3927" spans="1:7" x14ac:dyDescent="0.2">
      <c r="A3927" s="2" t="s">
        <v>5035</v>
      </c>
      <c r="B3927" s="2" t="s">
        <v>5120</v>
      </c>
      <c r="C3927" s="2" t="s">
        <v>5050</v>
      </c>
      <c r="D3927" s="2" t="s">
        <v>10</v>
      </c>
      <c r="E3927" s="2" t="s">
        <v>11</v>
      </c>
      <c r="F3927" s="2">
        <v>2</v>
      </c>
      <c r="G3927" s="2" t="s">
        <v>12</v>
      </c>
    </row>
    <row r="3928" spans="1:7" x14ac:dyDescent="0.2">
      <c r="A3928" s="2" t="s">
        <v>5035</v>
      </c>
      <c r="B3928" s="2" t="s">
        <v>5121</v>
      </c>
      <c r="C3928" s="2" t="s">
        <v>5050</v>
      </c>
      <c r="D3928" s="2" t="s">
        <v>10</v>
      </c>
      <c r="E3928" s="2" t="s">
        <v>11</v>
      </c>
      <c r="F3928" s="2">
        <v>2</v>
      </c>
      <c r="G3928" s="2" t="s">
        <v>12</v>
      </c>
    </row>
    <row r="3929" spans="1:7" x14ac:dyDescent="0.2">
      <c r="A3929" s="2" t="s">
        <v>5035</v>
      </c>
      <c r="B3929" s="2" t="s">
        <v>5122</v>
      </c>
      <c r="C3929" s="2" t="s">
        <v>5050</v>
      </c>
      <c r="D3929" s="2" t="s">
        <v>10</v>
      </c>
      <c r="E3929" s="2" t="s">
        <v>11</v>
      </c>
      <c r="F3929" s="2">
        <v>2</v>
      </c>
      <c r="G3929" s="2" t="s">
        <v>12</v>
      </c>
    </row>
    <row r="3930" spans="1:7" x14ac:dyDescent="0.2">
      <c r="A3930" s="2" t="s">
        <v>5035</v>
      </c>
      <c r="B3930" s="2" t="s">
        <v>5123</v>
      </c>
      <c r="C3930" s="2" t="s">
        <v>5050</v>
      </c>
      <c r="D3930" s="2" t="s">
        <v>10</v>
      </c>
      <c r="E3930" s="2" t="s">
        <v>11</v>
      </c>
      <c r="F3930" s="2">
        <v>2</v>
      </c>
      <c r="G3930" s="2" t="s">
        <v>12</v>
      </c>
    </row>
    <row r="3931" spans="1:7" x14ac:dyDescent="0.2">
      <c r="A3931" s="2" t="s">
        <v>5035</v>
      </c>
      <c r="B3931" s="2" t="s">
        <v>5124</v>
      </c>
      <c r="C3931" s="2" t="s">
        <v>5093</v>
      </c>
      <c r="D3931" s="2" t="s">
        <v>10</v>
      </c>
      <c r="E3931" s="2" t="s">
        <v>11</v>
      </c>
      <c r="F3931" s="2">
        <v>2</v>
      </c>
      <c r="G3931" s="2" t="s">
        <v>12</v>
      </c>
    </row>
    <row r="3932" spans="1:7" x14ac:dyDescent="0.2">
      <c r="A3932" s="2" t="s">
        <v>5035</v>
      </c>
      <c r="B3932" s="2" t="s">
        <v>5125</v>
      </c>
      <c r="C3932" s="2" t="s">
        <v>5058</v>
      </c>
      <c r="D3932" s="2" t="s">
        <v>10</v>
      </c>
      <c r="E3932" s="2" t="s">
        <v>16</v>
      </c>
      <c r="F3932" s="2">
        <v>1</v>
      </c>
      <c r="G3932" s="2" t="s">
        <v>17</v>
      </c>
    </row>
    <row r="3933" spans="1:7" x14ac:dyDescent="0.2">
      <c r="A3933" s="2" t="s">
        <v>5035</v>
      </c>
      <c r="B3933" s="2" t="s">
        <v>5126</v>
      </c>
      <c r="C3933" s="2" t="s">
        <v>5058</v>
      </c>
      <c r="D3933" s="2" t="s">
        <v>10</v>
      </c>
      <c r="E3933" s="2" t="s">
        <v>16</v>
      </c>
      <c r="F3933" s="2">
        <v>1</v>
      </c>
      <c r="G3933" s="2" t="s">
        <v>17</v>
      </c>
    </row>
    <row r="3934" spans="1:7" x14ac:dyDescent="0.2">
      <c r="A3934" s="2" t="s">
        <v>5035</v>
      </c>
      <c r="B3934" s="2" t="s">
        <v>5127</v>
      </c>
      <c r="C3934" s="2" t="s">
        <v>5058</v>
      </c>
      <c r="D3934" s="2" t="s">
        <v>10</v>
      </c>
      <c r="E3934" s="2" t="s">
        <v>16</v>
      </c>
      <c r="F3934" s="2">
        <v>1</v>
      </c>
      <c r="G3934" s="2" t="s">
        <v>17</v>
      </c>
    </row>
    <row r="3935" spans="1:7" x14ac:dyDescent="0.2">
      <c r="A3935" s="2" t="s">
        <v>5035</v>
      </c>
      <c r="B3935" s="2" t="s">
        <v>1664</v>
      </c>
      <c r="C3935" s="2" t="s">
        <v>1665</v>
      </c>
      <c r="D3935" s="2" t="s">
        <v>10</v>
      </c>
      <c r="E3935" s="2" t="s">
        <v>52</v>
      </c>
      <c r="F3935" s="2">
        <v>1</v>
      </c>
      <c r="G3935" s="2" t="s">
        <v>17</v>
      </c>
    </row>
    <row r="3936" spans="1:7" x14ac:dyDescent="0.2">
      <c r="A3936" s="2" t="s">
        <v>5035</v>
      </c>
      <c r="B3936" s="2" t="s">
        <v>5128</v>
      </c>
      <c r="C3936" s="2" t="s">
        <v>1665</v>
      </c>
      <c r="D3936" s="2" t="s">
        <v>10</v>
      </c>
      <c r="E3936" s="2" t="s">
        <v>52</v>
      </c>
      <c r="F3936" s="2">
        <v>1</v>
      </c>
      <c r="G3936" s="2" t="s">
        <v>17</v>
      </c>
    </row>
    <row r="3937" spans="1:7" x14ac:dyDescent="0.2">
      <c r="A3937" s="2" t="s">
        <v>5035</v>
      </c>
      <c r="B3937" s="2" t="s">
        <v>5129</v>
      </c>
      <c r="C3937" s="2" t="s">
        <v>5036</v>
      </c>
      <c r="D3937" s="2" t="s">
        <v>10</v>
      </c>
      <c r="E3937" s="2" t="s">
        <v>11</v>
      </c>
      <c r="F3937" s="2">
        <v>2</v>
      </c>
      <c r="G3937" s="2" t="s">
        <v>12</v>
      </c>
    </row>
    <row r="3938" spans="1:7" x14ac:dyDescent="0.2">
      <c r="A3938" s="2" t="s">
        <v>5035</v>
      </c>
      <c r="B3938" s="2" t="s">
        <v>5130</v>
      </c>
      <c r="C3938" s="2" t="s">
        <v>5131</v>
      </c>
      <c r="D3938" s="2" t="s">
        <v>10</v>
      </c>
      <c r="E3938" s="2" t="s">
        <v>11</v>
      </c>
      <c r="F3938" s="2">
        <v>2</v>
      </c>
      <c r="G3938" s="2" t="s">
        <v>12</v>
      </c>
    </row>
    <row r="3939" spans="1:7" x14ac:dyDescent="0.2">
      <c r="A3939" s="2" t="s">
        <v>5035</v>
      </c>
      <c r="B3939" s="2" t="s">
        <v>5132</v>
      </c>
      <c r="C3939" s="2" t="s">
        <v>5133</v>
      </c>
      <c r="D3939" s="2" t="s">
        <v>10</v>
      </c>
      <c r="E3939" s="2" t="s">
        <v>11</v>
      </c>
      <c r="F3939" s="2">
        <v>2</v>
      </c>
      <c r="G3939" s="2" t="s">
        <v>12</v>
      </c>
    </row>
    <row r="3940" spans="1:7" x14ac:dyDescent="0.2">
      <c r="A3940" s="2" t="s">
        <v>5035</v>
      </c>
      <c r="B3940" s="2" t="s">
        <v>5134</v>
      </c>
      <c r="C3940" s="2" t="s">
        <v>5131</v>
      </c>
      <c r="D3940" s="2" t="s">
        <v>10</v>
      </c>
      <c r="E3940" s="2" t="s">
        <v>11</v>
      </c>
      <c r="F3940" s="2">
        <v>2</v>
      </c>
      <c r="G3940" s="2" t="s">
        <v>12</v>
      </c>
    </row>
    <row r="3941" spans="1:7" x14ac:dyDescent="0.2">
      <c r="A3941" s="2" t="s">
        <v>5035</v>
      </c>
      <c r="B3941" s="2" t="s">
        <v>5135</v>
      </c>
      <c r="C3941" s="2" t="s">
        <v>5133</v>
      </c>
      <c r="D3941" s="2" t="s">
        <v>10</v>
      </c>
      <c r="E3941" s="2" t="s">
        <v>11</v>
      </c>
      <c r="F3941" s="2">
        <v>2</v>
      </c>
      <c r="G3941" s="2" t="s">
        <v>12</v>
      </c>
    </row>
    <row r="3942" spans="1:7" x14ac:dyDescent="0.2">
      <c r="A3942" s="2" t="s">
        <v>5035</v>
      </c>
      <c r="B3942" s="2" t="s">
        <v>5136</v>
      </c>
      <c r="C3942" s="2" t="s">
        <v>5137</v>
      </c>
      <c r="D3942" s="2" t="s">
        <v>10</v>
      </c>
      <c r="E3942" s="2" t="s">
        <v>11</v>
      </c>
      <c r="F3942" s="2">
        <v>2</v>
      </c>
      <c r="G3942" s="2" t="s">
        <v>12</v>
      </c>
    </row>
    <row r="3943" spans="1:7" x14ac:dyDescent="0.2">
      <c r="A3943" s="2" t="s">
        <v>5035</v>
      </c>
      <c r="B3943" s="2" t="s">
        <v>5138</v>
      </c>
      <c r="C3943" s="2" t="s">
        <v>5137</v>
      </c>
      <c r="D3943" s="2" t="s">
        <v>10</v>
      </c>
      <c r="E3943" s="2" t="s">
        <v>11</v>
      </c>
      <c r="F3943" s="2">
        <v>2</v>
      </c>
      <c r="G3943" s="2" t="s">
        <v>12</v>
      </c>
    </row>
    <row r="3944" spans="1:7" x14ac:dyDescent="0.2">
      <c r="A3944" s="2" t="s">
        <v>5035</v>
      </c>
      <c r="B3944" s="2" t="s">
        <v>5139</v>
      </c>
      <c r="C3944" s="2" t="s">
        <v>5037</v>
      </c>
      <c r="D3944" s="2" t="s">
        <v>10</v>
      </c>
      <c r="E3944" s="2" t="s">
        <v>11</v>
      </c>
      <c r="F3944" s="2">
        <v>2</v>
      </c>
      <c r="G3944" s="2" t="s">
        <v>12</v>
      </c>
    </row>
    <row r="3945" spans="1:7" x14ac:dyDescent="0.2">
      <c r="A3945" s="2" t="s">
        <v>5035</v>
      </c>
      <c r="B3945" s="2" t="s">
        <v>5140</v>
      </c>
      <c r="C3945" s="2" t="s">
        <v>5037</v>
      </c>
      <c r="D3945" s="2" t="s">
        <v>10</v>
      </c>
      <c r="E3945" s="2" t="s">
        <v>11</v>
      </c>
      <c r="F3945" s="2">
        <v>2</v>
      </c>
      <c r="G3945" s="2" t="s">
        <v>12</v>
      </c>
    </row>
    <row r="3946" spans="1:7" x14ac:dyDescent="0.2">
      <c r="A3946" s="2" t="s">
        <v>5035</v>
      </c>
      <c r="B3946" s="2" t="s">
        <v>5141</v>
      </c>
      <c r="C3946" s="2" t="s">
        <v>5142</v>
      </c>
      <c r="D3946" s="2" t="s">
        <v>10</v>
      </c>
      <c r="E3946" s="2" t="s">
        <v>11</v>
      </c>
      <c r="F3946" s="2">
        <v>2</v>
      </c>
      <c r="G3946" s="2" t="s">
        <v>12</v>
      </c>
    </row>
    <row r="3947" spans="1:7" x14ac:dyDescent="0.2">
      <c r="A3947" s="2" t="s">
        <v>5035</v>
      </c>
      <c r="B3947" s="2" t="s">
        <v>5143</v>
      </c>
      <c r="C3947" s="2" t="s">
        <v>5142</v>
      </c>
      <c r="D3947" s="2" t="s">
        <v>10</v>
      </c>
      <c r="E3947" s="2" t="s">
        <v>11</v>
      </c>
      <c r="F3947" s="2">
        <v>2</v>
      </c>
      <c r="G3947" s="2" t="s">
        <v>12</v>
      </c>
    </row>
    <row r="3948" spans="1:7" x14ac:dyDescent="0.2">
      <c r="A3948" s="2" t="s">
        <v>5035</v>
      </c>
      <c r="B3948" s="2" t="s">
        <v>5144</v>
      </c>
      <c r="C3948" s="2" t="s">
        <v>5142</v>
      </c>
      <c r="D3948" s="2" t="s">
        <v>10</v>
      </c>
      <c r="E3948" s="2" t="s">
        <v>11</v>
      </c>
      <c r="F3948" s="2">
        <v>2</v>
      </c>
      <c r="G3948" s="2" t="s">
        <v>12</v>
      </c>
    </row>
    <row r="3949" spans="1:7" x14ac:dyDescent="0.2">
      <c r="A3949" s="2" t="s">
        <v>5035</v>
      </c>
      <c r="B3949" s="2" t="s">
        <v>5145</v>
      </c>
      <c r="C3949" s="2" t="s">
        <v>5050</v>
      </c>
      <c r="D3949" s="2" t="s">
        <v>10</v>
      </c>
      <c r="E3949" s="2" t="s">
        <v>11</v>
      </c>
      <c r="F3949" s="2">
        <v>2</v>
      </c>
      <c r="G3949" s="2" t="s">
        <v>12</v>
      </c>
    </row>
    <row r="3950" spans="1:7" x14ac:dyDescent="0.2">
      <c r="A3950" s="2" t="s">
        <v>5035</v>
      </c>
      <c r="B3950" s="2" t="s">
        <v>5146</v>
      </c>
      <c r="C3950" s="2" t="s">
        <v>5050</v>
      </c>
      <c r="D3950" s="2" t="s">
        <v>10</v>
      </c>
      <c r="E3950" s="2" t="s">
        <v>11</v>
      </c>
      <c r="F3950" s="2">
        <v>2</v>
      </c>
      <c r="G3950" s="2" t="s">
        <v>12</v>
      </c>
    </row>
    <row r="3951" spans="1:7" x14ac:dyDescent="0.2">
      <c r="A3951" s="2" t="s">
        <v>5035</v>
      </c>
      <c r="B3951" s="2" t="s">
        <v>5147</v>
      </c>
      <c r="C3951" s="2" t="s">
        <v>5050</v>
      </c>
      <c r="D3951" s="2" t="s">
        <v>10</v>
      </c>
      <c r="E3951" s="2" t="s">
        <v>11</v>
      </c>
      <c r="F3951" s="2">
        <v>2</v>
      </c>
      <c r="G3951" s="2" t="s">
        <v>12</v>
      </c>
    </row>
    <row r="3952" spans="1:7" x14ac:dyDescent="0.2">
      <c r="A3952" s="2" t="s">
        <v>5035</v>
      </c>
      <c r="B3952" s="2" t="s">
        <v>5148</v>
      </c>
      <c r="C3952" s="2" t="s">
        <v>5050</v>
      </c>
      <c r="D3952" s="2" t="s">
        <v>10</v>
      </c>
      <c r="E3952" s="2" t="s">
        <v>11</v>
      </c>
      <c r="F3952" s="2">
        <v>2</v>
      </c>
      <c r="G3952" s="2" t="s">
        <v>12</v>
      </c>
    </row>
    <row r="3953" spans="1:7" x14ac:dyDescent="0.2">
      <c r="A3953" s="2" t="s">
        <v>5035</v>
      </c>
      <c r="B3953" s="2" t="s">
        <v>5149</v>
      </c>
      <c r="C3953" s="2" t="s">
        <v>5084</v>
      </c>
      <c r="D3953" s="2" t="s">
        <v>10</v>
      </c>
      <c r="E3953" s="2" t="s">
        <v>11</v>
      </c>
      <c r="F3953" s="2">
        <v>2</v>
      </c>
      <c r="G3953" s="2" t="s">
        <v>12</v>
      </c>
    </row>
    <row r="3954" spans="1:7" x14ac:dyDescent="0.2">
      <c r="A3954" s="2" t="s">
        <v>5035</v>
      </c>
      <c r="B3954" s="2" t="s">
        <v>5150</v>
      </c>
      <c r="C3954" s="2" t="s">
        <v>5142</v>
      </c>
      <c r="D3954" s="2" t="s">
        <v>10</v>
      </c>
      <c r="E3954" s="2" t="s">
        <v>11</v>
      </c>
      <c r="F3954" s="2">
        <v>2</v>
      </c>
      <c r="G3954" s="2" t="s">
        <v>12</v>
      </c>
    </row>
    <row r="3955" spans="1:7" x14ac:dyDescent="0.2">
      <c r="A3955" s="2" t="s">
        <v>5035</v>
      </c>
      <c r="B3955" s="2" t="s">
        <v>5151</v>
      </c>
      <c r="C3955" s="2" t="s">
        <v>5142</v>
      </c>
      <c r="D3955" s="2" t="s">
        <v>10</v>
      </c>
      <c r="E3955" s="2" t="s">
        <v>11</v>
      </c>
      <c r="F3955" s="2">
        <v>2</v>
      </c>
      <c r="G3955" s="2" t="s">
        <v>12</v>
      </c>
    </row>
    <row r="3956" spans="1:7" x14ac:dyDescent="0.2">
      <c r="A3956" s="2" t="s">
        <v>5035</v>
      </c>
      <c r="B3956" s="2">
        <v>195</v>
      </c>
      <c r="C3956" s="2" t="s">
        <v>5152</v>
      </c>
      <c r="D3956" s="2" t="s">
        <v>10</v>
      </c>
      <c r="E3956" s="2" t="s">
        <v>11</v>
      </c>
      <c r="F3956" s="2">
        <v>2</v>
      </c>
      <c r="G3956" s="2" t="s">
        <v>12</v>
      </c>
    </row>
    <row r="3957" spans="1:7" x14ac:dyDescent="0.2">
      <c r="A3957" s="2" t="s">
        <v>5035</v>
      </c>
      <c r="B3957" s="2" t="s">
        <v>5153</v>
      </c>
      <c r="C3957" s="2" t="s">
        <v>5037</v>
      </c>
      <c r="D3957" s="2" t="s">
        <v>10</v>
      </c>
      <c r="E3957" s="2" t="s">
        <v>11</v>
      </c>
      <c r="F3957" s="2">
        <v>2</v>
      </c>
      <c r="G3957" s="2" t="s">
        <v>12</v>
      </c>
    </row>
    <row r="3958" spans="1:7" x14ac:dyDescent="0.2">
      <c r="A3958" s="2" t="s">
        <v>5035</v>
      </c>
      <c r="B3958" s="2" t="s">
        <v>5154</v>
      </c>
      <c r="C3958" s="2" t="s">
        <v>5152</v>
      </c>
      <c r="D3958" s="2" t="s">
        <v>10</v>
      </c>
      <c r="E3958" s="2" t="s">
        <v>11</v>
      </c>
      <c r="F3958" s="2">
        <v>2</v>
      </c>
      <c r="G3958" s="2" t="s">
        <v>12</v>
      </c>
    </row>
    <row r="3959" spans="1:7" x14ac:dyDescent="0.2">
      <c r="A3959" s="2" t="s">
        <v>5035</v>
      </c>
      <c r="B3959" s="2" t="s">
        <v>5155</v>
      </c>
      <c r="C3959" s="2" t="s">
        <v>5084</v>
      </c>
      <c r="D3959" s="2" t="s">
        <v>10</v>
      </c>
      <c r="E3959" s="2" t="s">
        <v>11</v>
      </c>
      <c r="F3959" s="2">
        <v>2</v>
      </c>
      <c r="G3959" s="2" t="s">
        <v>12</v>
      </c>
    </row>
    <row r="3960" spans="1:7" x14ac:dyDescent="0.2">
      <c r="A3960" s="2" t="s">
        <v>5035</v>
      </c>
      <c r="B3960" s="2" t="s">
        <v>5156</v>
      </c>
      <c r="C3960" s="2" t="s">
        <v>5084</v>
      </c>
      <c r="D3960" s="2" t="s">
        <v>10</v>
      </c>
      <c r="E3960" s="2" t="s">
        <v>11</v>
      </c>
      <c r="F3960" s="2">
        <v>2</v>
      </c>
      <c r="G3960" s="2" t="s">
        <v>12</v>
      </c>
    </row>
    <row r="3961" spans="1:7" x14ac:dyDescent="0.2">
      <c r="A3961" s="2" t="s">
        <v>5035</v>
      </c>
      <c r="B3961" s="2" t="s">
        <v>5157</v>
      </c>
      <c r="C3961" s="2" t="s">
        <v>5084</v>
      </c>
      <c r="D3961" s="2" t="s">
        <v>10</v>
      </c>
      <c r="E3961" s="2" t="s">
        <v>11</v>
      </c>
      <c r="F3961" s="2">
        <v>2</v>
      </c>
      <c r="G3961" s="2" t="s">
        <v>12</v>
      </c>
    </row>
    <row r="3962" spans="1:7" x14ac:dyDescent="0.2">
      <c r="A3962" s="2" t="s">
        <v>5035</v>
      </c>
      <c r="B3962" s="2" t="s">
        <v>5158</v>
      </c>
      <c r="C3962" s="2" t="s">
        <v>5084</v>
      </c>
      <c r="D3962" s="2" t="s">
        <v>10</v>
      </c>
      <c r="E3962" s="2" t="s">
        <v>11</v>
      </c>
      <c r="F3962" s="2">
        <v>2</v>
      </c>
      <c r="G3962" s="2" t="s">
        <v>12</v>
      </c>
    </row>
    <row r="3963" spans="1:7" x14ac:dyDescent="0.2">
      <c r="A3963" s="2" t="s">
        <v>5035</v>
      </c>
      <c r="B3963" s="2" t="s">
        <v>5159</v>
      </c>
      <c r="C3963" s="2" t="s">
        <v>5142</v>
      </c>
      <c r="D3963" s="2" t="s">
        <v>10</v>
      </c>
      <c r="E3963" s="2" t="s">
        <v>11</v>
      </c>
      <c r="F3963" s="2">
        <v>2</v>
      </c>
      <c r="G3963" s="2" t="s">
        <v>12</v>
      </c>
    </row>
    <row r="3964" spans="1:7" x14ac:dyDescent="0.2">
      <c r="A3964" s="2" t="s">
        <v>5035</v>
      </c>
      <c r="B3964" s="2" t="s">
        <v>5160</v>
      </c>
      <c r="C3964" s="2" t="s">
        <v>5142</v>
      </c>
      <c r="D3964" s="2" t="s">
        <v>10</v>
      </c>
      <c r="E3964" s="2" t="s">
        <v>11</v>
      </c>
      <c r="F3964" s="2">
        <v>2</v>
      </c>
      <c r="G3964" s="2" t="s">
        <v>12</v>
      </c>
    </row>
    <row r="3965" spans="1:7" x14ac:dyDescent="0.2">
      <c r="A3965" s="2" t="s">
        <v>5035</v>
      </c>
      <c r="B3965" s="2" t="s">
        <v>5161</v>
      </c>
      <c r="C3965" s="2" t="s">
        <v>5058</v>
      </c>
      <c r="D3965" s="2" t="s">
        <v>10</v>
      </c>
      <c r="E3965" s="2" t="s">
        <v>16</v>
      </c>
      <c r="F3965" s="2">
        <v>1</v>
      </c>
      <c r="G3965" s="2" t="s">
        <v>17</v>
      </c>
    </row>
    <row r="3966" spans="1:7" x14ac:dyDescent="0.2">
      <c r="A3966" s="2" t="s">
        <v>5035</v>
      </c>
      <c r="B3966" s="2" t="s">
        <v>5162</v>
      </c>
      <c r="C3966" s="2" t="s">
        <v>5056</v>
      </c>
      <c r="D3966" s="2" t="s">
        <v>10</v>
      </c>
      <c r="E3966" s="2" t="s">
        <v>11</v>
      </c>
      <c r="F3966" s="2">
        <v>2</v>
      </c>
      <c r="G3966" s="2" t="s">
        <v>12</v>
      </c>
    </row>
    <row r="3967" spans="1:7" x14ac:dyDescent="0.2">
      <c r="A3967" s="2" t="s">
        <v>5035</v>
      </c>
      <c r="B3967" s="2" t="s">
        <v>5163</v>
      </c>
      <c r="C3967" s="2" t="s">
        <v>5056</v>
      </c>
      <c r="D3967" s="2" t="s">
        <v>10</v>
      </c>
      <c r="E3967" s="2" t="s">
        <v>11</v>
      </c>
      <c r="F3967" s="2">
        <v>2</v>
      </c>
      <c r="G3967" s="2" t="s">
        <v>12</v>
      </c>
    </row>
    <row r="3968" spans="1:7" x14ac:dyDescent="0.2">
      <c r="A3968" s="2" t="s">
        <v>5035</v>
      </c>
      <c r="B3968" s="2" t="s">
        <v>5164</v>
      </c>
      <c r="C3968" s="2" t="s">
        <v>5066</v>
      </c>
      <c r="D3968" s="2" t="s">
        <v>10</v>
      </c>
      <c r="E3968" s="2" t="s">
        <v>11</v>
      </c>
      <c r="F3968" s="2">
        <v>2</v>
      </c>
      <c r="G3968" s="2" t="s">
        <v>12</v>
      </c>
    </row>
    <row r="3969" spans="1:7" x14ac:dyDescent="0.2">
      <c r="A3969" s="2" t="s">
        <v>5035</v>
      </c>
      <c r="B3969" s="2" t="s">
        <v>5165</v>
      </c>
      <c r="C3969" s="2" t="s">
        <v>5066</v>
      </c>
      <c r="D3969" s="2" t="s">
        <v>10</v>
      </c>
      <c r="E3969" s="2" t="s">
        <v>11</v>
      </c>
      <c r="F3969" s="2">
        <v>2</v>
      </c>
      <c r="G3969" s="2" t="s">
        <v>12</v>
      </c>
    </row>
    <row r="3970" spans="1:7" x14ac:dyDescent="0.2">
      <c r="A3970" s="2" t="s">
        <v>5035</v>
      </c>
      <c r="B3970" s="2" t="s">
        <v>5166</v>
      </c>
      <c r="C3970" s="2" t="s">
        <v>5066</v>
      </c>
      <c r="D3970" s="2" t="s">
        <v>10</v>
      </c>
      <c r="E3970" s="2" t="s">
        <v>11</v>
      </c>
      <c r="F3970" s="2">
        <v>2</v>
      </c>
      <c r="G3970" s="2" t="s">
        <v>12</v>
      </c>
    </row>
    <row r="3971" spans="1:7" x14ac:dyDescent="0.2">
      <c r="A3971" s="2" t="s">
        <v>5035</v>
      </c>
      <c r="B3971" s="2" t="s">
        <v>5167</v>
      </c>
      <c r="C3971" s="2" t="s">
        <v>5056</v>
      </c>
      <c r="D3971" s="2" t="s">
        <v>10</v>
      </c>
      <c r="E3971" s="2" t="s">
        <v>11</v>
      </c>
      <c r="F3971" s="2">
        <v>2</v>
      </c>
      <c r="G3971" s="2" t="s">
        <v>12</v>
      </c>
    </row>
    <row r="3972" spans="1:7" x14ac:dyDescent="0.2">
      <c r="A3972" s="2" t="s">
        <v>5035</v>
      </c>
      <c r="B3972" s="2" t="s">
        <v>5168</v>
      </c>
      <c r="C3972" s="2" t="s">
        <v>5142</v>
      </c>
      <c r="D3972" s="2" t="s">
        <v>10</v>
      </c>
      <c r="E3972" s="2" t="s">
        <v>11</v>
      </c>
      <c r="F3972" s="2">
        <v>2</v>
      </c>
      <c r="G3972" s="2" t="s">
        <v>12</v>
      </c>
    </row>
    <row r="3973" spans="1:7" x14ac:dyDescent="0.2">
      <c r="A3973" s="2" t="s">
        <v>5035</v>
      </c>
      <c r="B3973" s="2" t="s">
        <v>5169</v>
      </c>
      <c r="C3973" s="2" t="s">
        <v>5170</v>
      </c>
      <c r="D3973" s="2" t="s">
        <v>10</v>
      </c>
      <c r="E3973" s="2" t="s">
        <v>11</v>
      </c>
      <c r="F3973" s="2">
        <v>2</v>
      </c>
      <c r="G3973" s="2" t="s">
        <v>12</v>
      </c>
    </row>
    <row r="3974" spans="1:7" x14ac:dyDescent="0.2">
      <c r="A3974" s="2" t="s">
        <v>5035</v>
      </c>
      <c r="B3974" s="2" t="s">
        <v>5171</v>
      </c>
      <c r="C3974" s="2" t="s">
        <v>5170</v>
      </c>
      <c r="D3974" s="2" t="s">
        <v>10</v>
      </c>
      <c r="E3974" s="2" t="s">
        <v>11</v>
      </c>
      <c r="F3974" s="2">
        <v>2</v>
      </c>
      <c r="G3974" s="2" t="s">
        <v>12</v>
      </c>
    </row>
    <row r="3975" spans="1:7" x14ac:dyDescent="0.2">
      <c r="A3975" s="2" t="s">
        <v>5035</v>
      </c>
      <c r="B3975" s="2" t="s">
        <v>5172</v>
      </c>
      <c r="C3975" s="2" t="s">
        <v>5173</v>
      </c>
      <c r="D3975" s="2" t="s">
        <v>10</v>
      </c>
      <c r="E3975" s="2" t="s">
        <v>11</v>
      </c>
      <c r="F3975" s="2">
        <v>2</v>
      </c>
      <c r="G3975" s="2" t="s">
        <v>12</v>
      </c>
    </row>
    <row r="3976" spans="1:7" x14ac:dyDescent="0.2">
      <c r="A3976" s="2" t="s">
        <v>5035</v>
      </c>
      <c r="B3976" s="2" t="s">
        <v>5174</v>
      </c>
      <c r="C3976" s="2" t="s">
        <v>5173</v>
      </c>
      <c r="D3976" s="2" t="s">
        <v>10</v>
      </c>
      <c r="E3976" s="2" t="s">
        <v>11</v>
      </c>
      <c r="F3976" s="2">
        <v>2</v>
      </c>
      <c r="G3976" s="2" t="s">
        <v>12</v>
      </c>
    </row>
    <row r="3977" spans="1:7" x14ac:dyDescent="0.2">
      <c r="A3977" s="2" t="s">
        <v>5035</v>
      </c>
      <c r="B3977" s="2" t="s">
        <v>5175</v>
      </c>
      <c r="C3977" s="2" t="s">
        <v>5176</v>
      </c>
      <c r="D3977" s="2" t="s">
        <v>10</v>
      </c>
      <c r="E3977" s="2" t="s">
        <v>11</v>
      </c>
      <c r="F3977" s="2">
        <v>2</v>
      </c>
      <c r="G3977" s="2" t="s">
        <v>12</v>
      </c>
    </row>
    <row r="3978" spans="1:7" x14ac:dyDescent="0.2">
      <c r="A3978" s="2" t="s">
        <v>5035</v>
      </c>
      <c r="B3978" s="2" t="s">
        <v>5177</v>
      </c>
      <c r="C3978" s="2" t="s">
        <v>5176</v>
      </c>
      <c r="D3978" s="2" t="s">
        <v>10</v>
      </c>
      <c r="E3978" s="2" t="s">
        <v>11</v>
      </c>
      <c r="F3978" s="2">
        <v>2</v>
      </c>
      <c r="G3978" s="2" t="s">
        <v>12</v>
      </c>
    </row>
    <row r="3979" spans="1:7" x14ac:dyDescent="0.2">
      <c r="A3979" s="2" t="s">
        <v>5035</v>
      </c>
      <c r="B3979" s="2" t="s">
        <v>5178</v>
      </c>
      <c r="C3979" s="2" t="s">
        <v>5179</v>
      </c>
      <c r="D3979" s="2" t="s">
        <v>10</v>
      </c>
      <c r="E3979" s="2" t="s">
        <v>11</v>
      </c>
      <c r="F3979" s="2">
        <v>2</v>
      </c>
      <c r="G3979" s="2" t="s">
        <v>12</v>
      </c>
    </row>
    <row r="3980" spans="1:7" x14ac:dyDescent="0.2">
      <c r="A3980" s="2" t="s">
        <v>5035</v>
      </c>
      <c r="B3980" s="2" t="s">
        <v>5180</v>
      </c>
      <c r="C3980" s="2" t="s">
        <v>5179</v>
      </c>
      <c r="D3980" s="2" t="s">
        <v>10</v>
      </c>
      <c r="E3980" s="2" t="s">
        <v>11</v>
      </c>
      <c r="F3980" s="2">
        <v>2</v>
      </c>
      <c r="G3980" s="2" t="s">
        <v>12</v>
      </c>
    </row>
    <row r="3981" spans="1:7" x14ac:dyDescent="0.2">
      <c r="A3981" s="2" t="s">
        <v>5035</v>
      </c>
      <c r="B3981" s="2" t="s">
        <v>5181</v>
      </c>
      <c r="C3981" s="2" t="s">
        <v>5179</v>
      </c>
      <c r="D3981" s="2" t="s">
        <v>10</v>
      </c>
      <c r="E3981" s="2" t="s">
        <v>11</v>
      </c>
      <c r="F3981" s="2">
        <v>2</v>
      </c>
      <c r="G3981" s="2" t="s">
        <v>12</v>
      </c>
    </row>
    <row r="3982" spans="1:7" x14ac:dyDescent="0.2">
      <c r="A3982" s="2" t="s">
        <v>5035</v>
      </c>
      <c r="B3982" s="2" t="s">
        <v>5182</v>
      </c>
      <c r="C3982" s="2" t="s">
        <v>5179</v>
      </c>
      <c r="D3982" s="2" t="s">
        <v>10</v>
      </c>
      <c r="E3982" s="2" t="s">
        <v>11</v>
      </c>
      <c r="F3982" s="2">
        <v>2</v>
      </c>
      <c r="G3982" s="2" t="s">
        <v>12</v>
      </c>
    </row>
    <row r="3983" spans="1:7" x14ac:dyDescent="0.2">
      <c r="A3983" s="2" t="s">
        <v>5035</v>
      </c>
      <c r="B3983" s="2" t="s">
        <v>5183</v>
      </c>
      <c r="C3983" s="2" t="s">
        <v>982</v>
      </c>
      <c r="D3983" s="2" t="s">
        <v>10</v>
      </c>
      <c r="E3983" s="2" t="s">
        <v>16</v>
      </c>
      <c r="F3983" s="2">
        <v>1</v>
      </c>
      <c r="G3983" s="2" t="s">
        <v>17</v>
      </c>
    </row>
    <row r="3984" spans="1:7" x14ac:dyDescent="0.2">
      <c r="A3984" s="2" t="s">
        <v>5035</v>
      </c>
      <c r="B3984" s="2" t="s">
        <v>5184</v>
      </c>
      <c r="C3984" s="2" t="s">
        <v>982</v>
      </c>
      <c r="D3984" s="2" t="s">
        <v>10</v>
      </c>
      <c r="E3984" s="2" t="s">
        <v>16</v>
      </c>
      <c r="F3984" s="2">
        <v>1</v>
      </c>
      <c r="G3984" s="2" t="s">
        <v>17</v>
      </c>
    </row>
    <row r="3985" spans="1:7" x14ac:dyDescent="0.2">
      <c r="A3985" s="2" t="s">
        <v>5185</v>
      </c>
      <c r="B3985" s="2" t="s">
        <v>5186</v>
      </c>
      <c r="C3985" s="2" t="s">
        <v>5187</v>
      </c>
      <c r="D3985" s="2" t="s">
        <v>10</v>
      </c>
      <c r="E3985" s="2" t="s">
        <v>11</v>
      </c>
      <c r="F3985" s="2">
        <v>2</v>
      </c>
      <c r="G3985" s="2" t="s">
        <v>17</v>
      </c>
    </row>
    <row r="3986" spans="1:7" x14ac:dyDescent="0.2">
      <c r="A3986" s="2" t="s">
        <v>5188</v>
      </c>
      <c r="B3986" s="2" t="s">
        <v>5189</v>
      </c>
      <c r="C3986" s="2" t="s">
        <v>5033</v>
      </c>
      <c r="D3986" s="2" t="s">
        <v>10</v>
      </c>
      <c r="E3986" s="2" t="s">
        <v>16</v>
      </c>
      <c r="F3986" s="2">
        <v>1</v>
      </c>
      <c r="G3986" s="2" t="s">
        <v>17</v>
      </c>
    </row>
    <row r="3987" spans="1:7" x14ac:dyDescent="0.2">
      <c r="A3987" s="2" t="s">
        <v>5188</v>
      </c>
      <c r="B3987" s="2" t="s">
        <v>5190</v>
      </c>
      <c r="C3987" s="2" t="s">
        <v>5033</v>
      </c>
      <c r="D3987" s="2" t="s">
        <v>10</v>
      </c>
      <c r="E3987" s="2" t="s">
        <v>16</v>
      </c>
      <c r="F3987" s="2">
        <v>1</v>
      </c>
      <c r="G3987" s="2" t="s">
        <v>17</v>
      </c>
    </row>
    <row r="3988" spans="1:7" x14ac:dyDescent="0.2">
      <c r="A3988" s="2" t="s">
        <v>5191</v>
      </c>
      <c r="B3988" s="2" t="s">
        <v>5192</v>
      </c>
      <c r="C3988" s="2" t="s">
        <v>1758</v>
      </c>
      <c r="D3988" s="2" t="s">
        <v>10</v>
      </c>
      <c r="E3988" s="2" t="s">
        <v>11</v>
      </c>
      <c r="F3988" s="2">
        <v>1</v>
      </c>
      <c r="G3988" s="2" t="s">
        <v>12</v>
      </c>
    </row>
    <row r="3989" spans="1:7" x14ac:dyDescent="0.2">
      <c r="A3989" s="2" t="s">
        <v>5191</v>
      </c>
      <c r="B3989" s="2" t="s">
        <v>3397</v>
      </c>
      <c r="C3989" s="2" t="s">
        <v>3398</v>
      </c>
      <c r="D3989" s="2" t="s">
        <v>10</v>
      </c>
      <c r="E3989" s="2" t="s">
        <v>11</v>
      </c>
      <c r="F3989" s="2">
        <v>1</v>
      </c>
      <c r="G3989" s="2" t="s">
        <v>17</v>
      </c>
    </row>
    <row r="3990" spans="1:7" x14ac:dyDescent="0.2">
      <c r="A3990" s="2" t="s">
        <v>5191</v>
      </c>
      <c r="B3990" s="2" t="s">
        <v>5193</v>
      </c>
      <c r="C3990" s="2" t="s">
        <v>5194</v>
      </c>
      <c r="D3990" s="2" t="s">
        <v>10</v>
      </c>
      <c r="E3990" s="2" t="s">
        <v>52</v>
      </c>
      <c r="F3990" s="2">
        <v>1</v>
      </c>
      <c r="G3990" s="2" t="s">
        <v>17</v>
      </c>
    </row>
    <row r="3991" spans="1:7" x14ac:dyDescent="0.2">
      <c r="A3991" s="2" t="s">
        <v>5191</v>
      </c>
      <c r="B3991" s="2" t="s">
        <v>3402</v>
      </c>
      <c r="C3991" s="2" t="s">
        <v>3398</v>
      </c>
      <c r="D3991" s="2" t="s">
        <v>10</v>
      </c>
      <c r="E3991" s="2" t="s">
        <v>11</v>
      </c>
      <c r="F3991" s="2">
        <v>1</v>
      </c>
      <c r="G3991" s="2" t="s">
        <v>17</v>
      </c>
    </row>
    <row r="3992" spans="1:7" x14ac:dyDescent="0.2">
      <c r="A3992" s="2" t="s">
        <v>5191</v>
      </c>
      <c r="B3992" s="2" t="s">
        <v>3406</v>
      </c>
      <c r="C3992" s="2" t="s">
        <v>3398</v>
      </c>
      <c r="D3992" s="2" t="s">
        <v>10</v>
      </c>
      <c r="E3992" s="2" t="s">
        <v>11</v>
      </c>
      <c r="F3992" s="2">
        <v>1</v>
      </c>
      <c r="G3992" s="2" t="s">
        <v>17</v>
      </c>
    </row>
    <row r="3993" spans="1:7" x14ac:dyDescent="0.2">
      <c r="A3993" s="2" t="s">
        <v>5191</v>
      </c>
      <c r="B3993" s="2" t="s">
        <v>5195</v>
      </c>
      <c r="C3993" s="2" t="s">
        <v>5196</v>
      </c>
      <c r="D3993" s="2" t="s">
        <v>10</v>
      </c>
      <c r="E3993" s="2" t="s">
        <v>16</v>
      </c>
      <c r="F3993" s="2">
        <v>1</v>
      </c>
      <c r="G3993" s="2" t="s">
        <v>17</v>
      </c>
    </row>
    <row r="3994" spans="1:7" x14ac:dyDescent="0.2">
      <c r="A3994" s="2" t="s">
        <v>5191</v>
      </c>
      <c r="B3994" s="2" t="s">
        <v>5197</v>
      </c>
      <c r="C3994" s="2" t="s">
        <v>3419</v>
      </c>
      <c r="D3994" s="2" t="s">
        <v>10</v>
      </c>
      <c r="E3994" s="2" t="s">
        <v>16</v>
      </c>
      <c r="F3994" s="2">
        <v>1</v>
      </c>
      <c r="G3994" s="2" t="s">
        <v>17</v>
      </c>
    </row>
    <row r="3995" spans="1:7" x14ac:dyDescent="0.2">
      <c r="A3995" s="2" t="s">
        <v>5191</v>
      </c>
      <c r="B3995" s="2" t="s">
        <v>3414</v>
      </c>
      <c r="C3995" s="2" t="s">
        <v>3398</v>
      </c>
      <c r="D3995" s="2" t="s">
        <v>10</v>
      </c>
      <c r="E3995" s="2" t="s">
        <v>11</v>
      </c>
      <c r="F3995" s="2">
        <v>1</v>
      </c>
      <c r="G3995" s="2" t="s">
        <v>17</v>
      </c>
    </row>
    <row r="3996" spans="1:7" x14ac:dyDescent="0.2">
      <c r="A3996" s="2" t="s">
        <v>5191</v>
      </c>
      <c r="B3996" s="2" t="s">
        <v>5198</v>
      </c>
      <c r="C3996" s="2" t="s">
        <v>5196</v>
      </c>
      <c r="D3996" s="2" t="s">
        <v>10</v>
      </c>
      <c r="E3996" s="2" t="s">
        <v>16</v>
      </c>
      <c r="F3996" s="2">
        <v>1</v>
      </c>
      <c r="G3996" s="2" t="s">
        <v>17</v>
      </c>
    </row>
    <row r="3997" spans="1:7" x14ac:dyDescent="0.2">
      <c r="A3997" s="2" t="s">
        <v>5191</v>
      </c>
      <c r="B3997" s="2" t="s">
        <v>5199</v>
      </c>
      <c r="C3997" s="2" t="s">
        <v>1758</v>
      </c>
      <c r="D3997" s="2" t="s">
        <v>10</v>
      </c>
      <c r="E3997" s="2" t="s">
        <v>11</v>
      </c>
      <c r="F3997" s="2">
        <v>1</v>
      </c>
      <c r="G3997" s="2" t="s">
        <v>12</v>
      </c>
    </row>
    <row r="3998" spans="1:7" x14ac:dyDescent="0.2">
      <c r="A3998" s="2" t="s">
        <v>5191</v>
      </c>
      <c r="B3998" s="2" t="s">
        <v>3418</v>
      </c>
      <c r="C3998" s="2" t="s">
        <v>3419</v>
      </c>
      <c r="D3998" s="2" t="s">
        <v>10</v>
      </c>
      <c r="E3998" s="2" t="s">
        <v>16</v>
      </c>
      <c r="F3998" s="2">
        <v>1</v>
      </c>
      <c r="G3998" s="2" t="s">
        <v>17</v>
      </c>
    </row>
    <row r="3999" spans="1:7" x14ac:dyDescent="0.2">
      <c r="A3999" s="2" t="s">
        <v>5191</v>
      </c>
      <c r="B3999" s="2" t="s">
        <v>5200</v>
      </c>
      <c r="C3999" s="2" t="s">
        <v>3419</v>
      </c>
      <c r="D3999" s="2" t="s">
        <v>10</v>
      </c>
      <c r="E3999" s="2" t="s">
        <v>16</v>
      </c>
      <c r="F3999" s="2">
        <v>1</v>
      </c>
      <c r="G3999" s="2" t="s">
        <v>17</v>
      </c>
    </row>
    <row r="4000" spans="1:7" x14ac:dyDescent="0.2">
      <c r="A4000" s="2" t="s">
        <v>5191</v>
      </c>
      <c r="B4000" s="2" t="s">
        <v>5201</v>
      </c>
      <c r="C4000" s="2" t="s">
        <v>3419</v>
      </c>
      <c r="D4000" s="2" t="s">
        <v>10</v>
      </c>
      <c r="E4000" s="2" t="s">
        <v>16</v>
      </c>
      <c r="F4000" s="2">
        <v>1</v>
      </c>
      <c r="G4000" s="2" t="s">
        <v>17</v>
      </c>
    </row>
    <row r="4001" spans="1:7" x14ac:dyDescent="0.2">
      <c r="A4001" s="2" t="s">
        <v>5191</v>
      </c>
      <c r="B4001" s="2" t="s">
        <v>5202</v>
      </c>
      <c r="C4001" s="2" t="s">
        <v>3419</v>
      </c>
      <c r="D4001" s="2" t="s">
        <v>10</v>
      </c>
      <c r="E4001" s="2" t="s">
        <v>16</v>
      </c>
      <c r="F4001" s="2">
        <v>1</v>
      </c>
      <c r="G4001" s="2" t="s">
        <v>17</v>
      </c>
    </row>
    <row r="4002" spans="1:7" x14ac:dyDescent="0.2">
      <c r="A4002" s="2" t="s">
        <v>5191</v>
      </c>
      <c r="B4002" s="2" t="s">
        <v>5203</v>
      </c>
      <c r="C4002" s="2" t="s">
        <v>3419</v>
      </c>
      <c r="D4002" s="2" t="s">
        <v>10</v>
      </c>
      <c r="E4002" s="2" t="s">
        <v>16</v>
      </c>
      <c r="F4002" s="2">
        <v>1</v>
      </c>
      <c r="G4002" s="2" t="s">
        <v>17</v>
      </c>
    </row>
    <row r="4003" spans="1:7" x14ac:dyDescent="0.2">
      <c r="A4003" s="2" t="s">
        <v>5191</v>
      </c>
      <c r="B4003" s="2" t="s">
        <v>5204</v>
      </c>
      <c r="C4003" s="2" t="s">
        <v>5194</v>
      </c>
      <c r="D4003" s="2" t="s">
        <v>10</v>
      </c>
      <c r="E4003" s="2" t="s">
        <v>52</v>
      </c>
      <c r="F4003" s="2">
        <v>1</v>
      </c>
      <c r="G4003" s="2" t="s">
        <v>17</v>
      </c>
    </row>
    <row r="4004" spans="1:7" x14ac:dyDescent="0.2">
      <c r="A4004" s="2" t="s">
        <v>5191</v>
      </c>
      <c r="B4004" s="2" t="s">
        <v>5205</v>
      </c>
      <c r="C4004" s="2" t="s">
        <v>3419</v>
      </c>
      <c r="D4004" s="2" t="s">
        <v>10</v>
      </c>
      <c r="E4004" s="2" t="s">
        <v>16</v>
      </c>
      <c r="F4004" s="2">
        <v>1</v>
      </c>
      <c r="G4004" s="2" t="s">
        <v>17</v>
      </c>
    </row>
    <row r="4005" spans="1:7" x14ac:dyDescent="0.2">
      <c r="A4005" s="2" t="s">
        <v>5191</v>
      </c>
      <c r="B4005" s="2" t="s">
        <v>5206</v>
      </c>
      <c r="C4005" s="2" t="s">
        <v>5194</v>
      </c>
      <c r="D4005" s="2" t="s">
        <v>10</v>
      </c>
      <c r="E4005" s="2" t="s">
        <v>52</v>
      </c>
      <c r="F4005" s="2">
        <v>1</v>
      </c>
      <c r="G4005" s="2" t="s">
        <v>17</v>
      </c>
    </row>
    <row r="4006" spans="1:7" x14ac:dyDescent="0.2">
      <c r="A4006" s="2" t="s">
        <v>5191</v>
      </c>
      <c r="B4006" s="2" t="s">
        <v>3424</v>
      </c>
      <c r="C4006" s="2" t="s">
        <v>3398</v>
      </c>
      <c r="D4006" s="2" t="s">
        <v>10</v>
      </c>
      <c r="E4006" s="2" t="s">
        <v>11</v>
      </c>
      <c r="F4006" s="2">
        <v>1</v>
      </c>
      <c r="G4006" s="2" t="s">
        <v>17</v>
      </c>
    </row>
    <row r="4007" spans="1:7" x14ac:dyDescent="0.2">
      <c r="A4007" s="2" t="s">
        <v>5191</v>
      </c>
      <c r="B4007" s="2" t="s">
        <v>5207</v>
      </c>
      <c r="C4007" s="2" t="s">
        <v>5194</v>
      </c>
      <c r="D4007" s="2" t="s">
        <v>10</v>
      </c>
      <c r="E4007" s="2" t="s">
        <v>52</v>
      </c>
      <c r="F4007" s="2">
        <v>1</v>
      </c>
      <c r="G4007" s="2" t="s">
        <v>17</v>
      </c>
    </row>
    <row r="4008" spans="1:7" x14ac:dyDescent="0.2">
      <c r="A4008" s="2" t="s">
        <v>5208</v>
      </c>
      <c r="B4008" s="2" t="s">
        <v>2095</v>
      </c>
      <c r="C4008" s="2" t="s">
        <v>2096</v>
      </c>
      <c r="D4008" s="2" t="s">
        <v>10</v>
      </c>
      <c r="E4008" s="2" t="s">
        <v>11</v>
      </c>
      <c r="F4008" s="2">
        <v>2</v>
      </c>
      <c r="G4008" s="2" t="s">
        <v>12</v>
      </c>
    </row>
    <row r="4009" spans="1:7" x14ac:dyDescent="0.2">
      <c r="A4009" s="2" t="s">
        <v>5208</v>
      </c>
      <c r="B4009" s="2" t="s">
        <v>1695</v>
      </c>
      <c r="C4009" s="2" t="s">
        <v>2098</v>
      </c>
      <c r="D4009" s="2" t="s">
        <v>10</v>
      </c>
      <c r="E4009" s="2" t="s">
        <v>11</v>
      </c>
      <c r="F4009" s="2">
        <v>2</v>
      </c>
      <c r="G4009" s="2" t="s">
        <v>12</v>
      </c>
    </row>
    <row r="4010" spans="1:7" x14ac:dyDescent="0.2">
      <c r="A4010" s="2" t="s">
        <v>5209</v>
      </c>
      <c r="B4010" s="2" t="s">
        <v>5210</v>
      </c>
      <c r="C4010" s="2" t="s">
        <v>5211</v>
      </c>
      <c r="D4010" s="2" t="s">
        <v>56</v>
      </c>
      <c r="E4010" s="2" t="s">
        <v>16</v>
      </c>
      <c r="F4010" s="2">
        <v>1</v>
      </c>
      <c r="G4010" s="2" t="s">
        <v>17</v>
      </c>
    </row>
    <row r="4011" spans="1:7" x14ac:dyDescent="0.2">
      <c r="A4011" s="2" t="s">
        <v>5209</v>
      </c>
      <c r="B4011" s="2">
        <v>480</v>
      </c>
      <c r="C4011" s="2" t="s">
        <v>5212</v>
      </c>
      <c r="D4011" s="2" t="s">
        <v>56</v>
      </c>
      <c r="E4011" s="2" t="s">
        <v>52</v>
      </c>
      <c r="F4011" s="2">
        <v>1</v>
      </c>
      <c r="G4011" s="2" t="s">
        <v>17</v>
      </c>
    </row>
    <row r="4012" spans="1:7" x14ac:dyDescent="0.2">
      <c r="A4012" s="2" t="s">
        <v>5209</v>
      </c>
      <c r="B4012" s="2" t="s">
        <v>5213</v>
      </c>
      <c r="C4012" s="2" t="s">
        <v>5211</v>
      </c>
      <c r="D4012" s="2" t="s">
        <v>56</v>
      </c>
      <c r="E4012" s="2" t="s">
        <v>16</v>
      </c>
      <c r="F4012" s="2">
        <v>1</v>
      </c>
      <c r="G4012" s="2" t="s">
        <v>17</v>
      </c>
    </row>
    <row r="4013" spans="1:7" x14ac:dyDescent="0.2">
      <c r="A4013" s="2" t="s">
        <v>5209</v>
      </c>
      <c r="B4013" s="2" t="s">
        <v>5214</v>
      </c>
      <c r="C4013" s="2" t="s">
        <v>5211</v>
      </c>
      <c r="D4013" s="2" t="s">
        <v>56</v>
      </c>
      <c r="E4013" s="2" t="s">
        <v>16</v>
      </c>
      <c r="F4013" s="2">
        <v>1</v>
      </c>
      <c r="G4013" s="2" t="s">
        <v>17</v>
      </c>
    </row>
    <row r="4014" spans="1:7" x14ac:dyDescent="0.2">
      <c r="A4014" s="2" t="s">
        <v>5209</v>
      </c>
      <c r="B4014" s="2" t="s">
        <v>5215</v>
      </c>
      <c r="C4014" s="2" t="s">
        <v>5211</v>
      </c>
      <c r="D4014" s="2" t="s">
        <v>56</v>
      </c>
      <c r="E4014" s="2" t="s">
        <v>16</v>
      </c>
      <c r="F4014" s="2">
        <v>1</v>
      </c>
      <c r="G4014" s="2" t="s">
        <v>17</v>
      </c>
    </row>
    <row r="4015" spans="1:7" x14ac:dyDescent="0.2">
      <c r="A4015" s="2" t="s">
        <v>5209</v>
      </c>
      <c r="B4015" s="2" t="s">
        <v>768</v>
      </c>
      <c r="C4015" s="2" t="s">
        <v>5211</v>
      </c>
      <c r="D4015" s="2" t="s">
        <v>56</v>
      </c>
      <c r="E4015" s="2" t="s">
        <v>16</v>
      </c>
      <c r="F4015" s="2">
        <v>1</v>
      </c>
      <c r="G4015" s="2" t="s">
        <v>17</v>
      </c>
    </row>
    <row r="4016" spans="1:7" x14ac:dyDescent="0.2">
      <c r="A4016" s="2" t="s">
        <v>5209</v>
      </c>
      <c r="B4016" s="2" t="s">
        <v>2485</v>
      </c>
      <c r="C4016" s="2" t="s">
        <v>5211</v>
      </c>
      <c r="D4016" s="2" t="s">
        <v>56</v>
      </c>
      <c r="E4016" s="2" t="s">
        <v>16</v>
      </c>
      <c r="F4016" s="2">
        <v>1</v>
      </c>
      <c r="G4016" s="2" t="s">
        <v>17</v>
      </c>
    </row>
    <row r="4017" spans="1:7" x14ac:dyDescent="0.2">
      <c r="A4017" s="2" t="s">
        <v>5209</v>
      </c>
      <c r="B4017" s="2" t="s">
        <v>5216</v>
      </c>
      <c r="C4017" s="2" t="s">
        <v>5211</v>
      </c>
      <c r="D4017" s="2" t="s">
        <v>56</v>
      </c>
      <c r="E4017" s="2" t="s">
        <v>16</v>
      </c>
      <c r="F4017" s="2">
        <v>1</v>
      </c>
      <c r="G4017" s="2" t="s">
        <v>17</v>
      </c>
    </row>
    <row r="4018" spans="1:7" x14ac:dyDescent="0.2">
      <c r="A4018" s="2" t="s">
        <v>5209</v>
      </c>
      <c r="B4018" s="2" t="s">
        <v>5217</v>
      </c>
      <c r="C4018" s="2" t="s">
        <v>5212</v>
      </c>
      <c r="D4018" s="2" t="s">
        <v>56</v>
      </c>
      <c r="E4018" s="2" t="s">
        <v>52</v>
      </c>
      <c r="F4018" s="2">
        <v>1</v>
      </c>
      <c r="G4018" s="2" t="s">
        <v>17</v>
      </c>
    </row>
    <row r="4019" spans="1:7" x14ac:dyDescent="0.2">
      <c r="A4019" s="2" t="s">
        <v>5218</v>
      </c>
      <c r="B4019" s="2" t="s">
        <v>5219</v>
      </c>
      <c r="C4019" s="2" t="s">
        <v>5220</v>
      </c>
      <c r="D4019" s="2" t="s">
        <v>10</v>
      </c>
      <c r="E4019" s="2" t="s">
        <v>16</v>
      </c>
      <c r="F4019" s="2">
        <v>1</v>
      </c>
      <c r="G4019" s="2" t="s">
        <v>17</v>
      </c>
    </row>
    <row r="4020" spans="1:7" x14ac:dyDescent="0.2">
      <c r="A4020" s="2" t="s">
        <v>5221</v>
      </c>
      <c r="B4020" s="2" t="s">
        <v>5222</v>
      </c>
      <c r="C4020" s="2" t="s">
        <v>5223</v>
      </c>
      <c r="D4020" s="2" t="s">
        <v>10</v>
      </c>
      <c r="E4020" s="2" t="s">
        <v>16</v>
      </c>
      <c r="F4020" s="2">
        <v>1</v>
      </c>
      <c r="G4020" s="2" t="s">
        <v>17</v>
      </c>
    </row>
    <row r="4021" spans="1:7" x14ac:dyDescent="0.2">
      <c r="A4021" s="2" t="s">
        <v>5224</v>
      </c>
      <c r="B4021" s="2" t="s">
        <v>1019</v>
      </c>
      <c r="C4021" s="2" t="s">
        <v>1014</v>
      </c>
      <c r="D4021" s="2" t="s">
        <v>10</v>
      </c>
      <c r="E4021" s="2" t="s">
        <v>52</v>
      </c>
      <c r="F4021" s="2">
        <v>1</v>
      </c>
      <c r="G4021" s="2" t="s">
        <v>17</v>
      </c>
    </row>
    <row r="4022" spans="1:7" x14ac:dyDescent="0.2">
      <c r="A4022" s="2" t="s">
        <v>5224</v>
      </c>
      <c r="B4022" s="2" t="s">
        <v>1015</v>
      </c>
      <c r="C4022" s="2" t="s">
        <v>1016</v>
      </c>
      <c r="D4022" s="2" t="s">
        <v>10</v>
      </c>
      <c r="E4022" s="2" t="s">
        <v>11</v>
      </c>
      <c r="F4022" s="2">
        <v>2</v>
      </c>
      <c r="G4022" s="2" t="s">
        <v>17</v>
      </c>
    </row>
    <row r="4023" spans="1:7" x14ac:dyDescent="0.2">
      <c r="A4023" s="2" t="s">
        <v>5224</v>
      </c>
      <c r="B4023" s="2" t="s">
        <v>1017</v>
      </c>
      <c r="C4023" s="2" t="s">
        <v>1018</v>
      </c>
      <c r="D4023" s="2" t="s">
        <v>10</v>
      </c>
      <c r="E4023" s="2" t="s">
        <v>52</v>
      </c>
      <c r="F4023" s="2">
        <v>1</v>
      </c>
      <c r="G4023" s="2" t="s">
        <v>17</v>
      </c>
    </row>
    <row r="4024" spans="1:7" x14ac:dyDescent="0.2">
      <c r="A4024" s="2" t="s">
        <v>5224</v>
      </c>
      <c r="B4024" s="2" t="s">
        <v>1020</v>
      </c>
      <c r="C4024" s="2" t="s">
        <v>1021</v>
      </c>
      <c r="D4024" s="2" t="s">
        <v>10</v>
      </c>
      <c r="E4024" s="2" t="s">
        <v>11</v>
      </c>
      <c r="F4024" s="2">
        <v>1</v>
      </c>
      <c r="G4024" s="2" t="s">
        <v>17</v>
      </c>
    </row>
    <row r="4025" spans="1:7" x14ac:dyDescent="0.2">
      <c r="A4025" s="2" t="s">
        <v>5224</v>
      </c>
      <c r="B4025" s="2" t="s">
        <v>5225</v>
      </c>
      <c r="C4025" s="2" t="s">
        <v>1014</v>
      </c>
      <c r="D4025" s="2" t="s">
        <v>10</v>
      </c>
      <c r="E4025" s="2" t="s">
        <v>52</v>
      </c>
      <c r="F4025" s="2">
        <v>1</v>
      </c>
      <c r="G4025" s="2" t="s">
        <v>17</v>
      </c>
    </row>
    <row r="4026" spans="1:7" x14ac:dyDescent="0.2">
      <c r="A4026" s="2" t="s">
        <v>1038</v>
      </c>
      <c r="B4026" s="2" t="s">
        <v>5226</v>
      </c>
      <c r="C4026" s="2" t="s">
        <v>1038</v>
      </c>
      <c r="D4026" s="2" t="s">
        <v>10</v>
      </c>
      <c r="E4026" s="2" t="s">
        <v>16</v>
      </c>
      <c r="F4026" s="2">
        <v>1</v>
      </c>
      <c r="G4026" s="2" t="s">
        <v>17</v>
      </c>
    </row>
    <row r="4027" spans="1:7" x14ac:dyDescent="0.2">
      <c r="A4027" s="2" t="s">
        <v>1038</v>
      </c>
      <c r="B4027" s="2" t="s">
        <v>5227</v>
      </c>
      <c r="C4027" s="2" t="s">
        <v>1038</v>
      </c>
      <c r="D4027" s="2" t="s">
        <v>10</v>
      </c>
      <c r="E4027" s="2" t="s">
        <v>16</v>
      </c>
      <c r="F4027" s="2">
        <v>1</v>
      </c>
      <c r="G4027" s="2" t="s">
        <v>17</v>
      </c>
    </row>
    <row r="4028" spans="1:7" x14ac:dyDescent="0.2">
      <c r="A4028" s="2" t="s">
        <v>5228</v>
      </c>
      <c r="B4028" s="2" t="s">
        <v>5229</v>
      </c>
      <c r="C4028" s="2" t="s">
        <v>5230</v>
      </c>
      <c r="D4028" s="2" t="s">
        <v>10</v>
      </c>
      <c r="E4028" s="2" t="s">
        <v>16</v>
      </c>
      <c r="F4028" s="2">
        <v>1</v>
      </c>
      <c r="G4028" s="2" t="s">
        <v>17</v>
      </c>
    </row>
    <row r="4029" spans="1:7" x14ac:dyDescent="0.2">
      <c r="A4029" s="2" t="s">
        <v>5228</v>
      </c>
      <c r="B4029" s="2" t="s">
        <v>5231</v>
      </c>
      <c r="C4029" s="2" t="s">
        <v>5230</v>
      </c>
      <c r="D4029" s="2" t="s">
        <v>10</v>
      </c>
      <c r="E4029" s="2" t="s">
        <v>16</v>
      </c>
      <c r="F4029" s="2">
        <v>1</v>
      </c>
      <c r="G4029" s="2" t="s">
        <v>17</v>
      </c>
    </row>
    <row r="4030" spans="1:7" x14ac:dyDescent="0.2">
      <c r="A4030" s="2" t="s">
        <v>5228</v>
      </c>
      <c r="B4030" s="2" t="s">
        <v>3219</v>
      </c>
      <c r="C4030" s="2" t="s">
        <v>5230</v>
      </c>
      <c r="D4030" s="2" t="s">
        <v>10</v>
      </c>
      <c r="E4030" s="2" t="s">
        <v>16</v>
      </c>
      <c r="F4030" s="2">
        <v>1</v>
      </c>
      <c r="G4030" s="2" t="s">
        <v>17</v>
      </c>
    </row>
    <row r="4031" spans="1:7" x14ac:dyDescent="0.2">
      <c r="A4031" s="2" t="s">
        <v>5232</v>
      </c>
      <c r="B4031" s="2" t="s">
        <v>2641</v>
      </c>
      <c r="C4031" s="2" t="s">
        <v>2642</v>
      </c>
      <c r="D4031" s="2" t="s">
        <v>10</v>
      </c>
      <c r="E4031" s="2" t="s">
        <v>16</v>
      </c>
      <c r="F4031" s="2">
        <v>1</v>
      </c>
      <c r="G4031" s="2" t="s">
        <v>17</v>
      </c>
    </row>
    <row r="4032" spans="1:7" x14ac:dyDescent="0.2">
      <c r="A4032" s="2" t="s">
        <v>5233</v>
      </c>
      <c r="B4032" s="2" t="s">
        <v>5234</v>
      </c>
      <c r="C4032" s="2" t="s">
        <v>773</v>
      </c>
      <c r="D4032" s="2" t="s">
        <v>10</v>
      </c>
      <c r="E4032" s="2" t="s">
        <v>52</v>
      </c>
      <c r="F4032" s="2">
        <v>1</v>
      </c>
      <c r="G4032" s="2" t="s">
        <v>17</v>
      </c>
    </row>
    <row r="4033" spans="1:7" x14ac:dyDescent="0.2">
      <c r="A4033" s="2" t="s">
        <v>5233</v>
      </c>
      <c r="B4033" s="2" t="s">
        <v>5235</v>
      </c>
      <c r="C4033" s="2" t="s">
        <v>773</v>
      </c>
      <c r="D4033" s="2" t="s">
        <v>10</v>
      </c>
      <c r="E4033" s="2" t="s">
        <v>52</v>
      </c>
      <c r="F4033" s="2">
        <v>1</v>
      </c>
      <c r="G4033" s="2" t="s">
        <v>17</v>
      </c>
    </row>
    <row r="4034" spans="1:7" x14ac:dyDescent="0.2">
      <c r="A4034" s="2" t="s">
        <v>5236</v>
      </c>
      <c r="B4034" s="2" t="s">
        <v>5237</v>
      </c>
      <c r="C4034" s="2" t="s">
        <v>415</v>
      </c>
      <c r="D4034" s="2" t="s">
        <v>10</v>
      </c>
      <c r="E4034" s="2" t="s">
        <v>16</v>
      </c>
      <c r="F4034" s="2">
        <v>1</v>
      </c>
      <c r="G4034" s="2" t="s">
        <v>17</v>
      </c>
    </row>
    <row r="4035" spans="1:7" x14ac:dyDescent="0.2">
      <c r="A4035" s="2" t="s">
        <v>5236</v>
      </c>
      <c r="B4035" s="2" t="s">
        <v>5238</v>
      </c>
      <c r="C4035" s="2" t="s">
        <v>415</v>
      </c>
      <c r="D4035" s="2" t="s">
        <v>10</v>
      </c>
      <c r="E4035" s="2" t="s">
        <v>16</v>
      </c>
      <c r="F4035" s="2">
        <v>1</v>
      </c>
      <c r="G4035" s="2" t="s">
        <v>17</v>
      </c>
    </row>
    <row r="4036" spans="1:7" x14ac:dyDescent="0.2">
      <c r="A4036" s="2" t="s">
        <v>5239</v>
      </c>
      <c r="B4036" s="2" t="s">
        <v>5240</v>
      </c>
      <c r="C4036" s="2" t="s">
        <v>5196</v>
      </c>
      <c r="D4036" s="2" t="s">
        <v>10</v>
      </c>
      <c r="E4036" s="2" t="s">
        <v>16</v>
      </c>
      <c r="F4036" s="2">
        <v>1</v>
      </c>
      <c r="G4036" s="2" t="s">
        <v>17</v>
      </c>
    </row>
    <row r="4037" spans="1:7" x14ac:dyDescent="0.2">
      <c r="A4037" s="2" t="s">
        <v>5239</v>
      </c>
      <c r="B4037" s="2" t="s">
        <v>5241</v>
      </c>
      <c r="C4037" s="2" t="s">
        <v>5196</v>
      </c>
      <c r="D4037" s="2" t="s">
        <v>10</v>
      </c>
      <c r="E4037" s="2" t="s">
        <v>16</v>
      </c>
      <c r="F4037" s="2">
        <v>1</v>
      </c>
      <c r="G4037" s="2" t="s">
        <v>17</v>
      </c>
    </row>
    <row r="4038" spans="1:7" x14ac:dyDescent="0.2">
      <c r="A4038" s="2" t="s">
        <v>5242</v>
      </c>
      <c r="B4038" s="2" t="s">
        <v>5243</v>
      </c>
      <c r="C4038" s="2" t="s">
        <v>5244</v>
      </c>
      <c r="D4038" s="2" t="s">
        <v>10</v>
      </c>
      <c r="E4038" s="2" t="s">
        <v>16</v>
      </c>
      <c r="F4038" s="2">
        <v>1</v>
      </c>
      <c r="G4038" s="2" t="s">
        <v>17</v>
      </c>
    </row>
    <row r="4039" spans="1:7" x14ac:dyDescent="0.2">
      <c r="A4039" s="2" t="s">
        <v>5242</v>
      </c>
      <c r="B4039" s="2" t="s">
        <v>5245</v>
      </c>
      <c r="C4039" s="2" t="s">
        <v>5246</v>
      </c>
      <c r="D4039" s="2" t="s">
        <v>10</v>
      </c>
      <c r="E4039" s="2" t="s">
        <v>16</v>
      </c>
      <c r="F4039" s="2">
        <v>1</v>
      </c>
      <c r="G4039" s="2" t="s">
        <v>17</v>
      </c>
    </row>
    <row r="4040" spans="1:7" x14ac:dyDescent="0.2">
      <c r="A4040" s="2" t="s">
        <v>5242</v>
      </c>
      <c r="B4040" s="2" t="s">
        <v>5247</v>
      </c>
      <c r="C4040" s="2" t="s">
        <v>5244</v>
      </c>
      <c r="D4040" s="2" t="s">
        <v>10</v>
      </c>
      <c r="E4040" s="2" t="s">
        <v>16</v>
      </c>
      <c r="F4040" s="2">
        <v>1</v>
      </c>
      <c r="G4040" s="2" t="s">
        <v>17</v>
      </c>
    </row>
    <row r="4041" spans="1:7" x14ac:dyDescent="0.2">
      <c r="A4041" s="2" t="s">
        <v>5248</v>
      </c>
      <c r="B4041" s="2" t="s">
        <v>5249</v>
      </c>
      <c r="C4041" s="2" t="s">
        <v>1317</v>
      </c>
      <c r="D4041" s="2" t="s">
        <v>10</v>
      </c>
      <c r="E4041" s="2" t="s">
        <v>16</v>
      </c>
      <c r="F4041" s="2">
        <v>1</v>
      </c>
      <c r="G4041" s="2" t="s">
        <v>17</v>
      </c>
    </row>
    <row r="4042" spans="1:7" x14ac:dyDescent="0.2">
      <c r="A4042" s="2" t="s">
        <v>5250</v>
      </c>
      <c r="B4042" s="2" t="s">
        <v>595</v>
      </c>
      <c r="C4042" s="2" t="s">
        <v>593</v>
      </c>
      <c r="D4042" s="2" t="s">
        <v>56</v>
      </c>
      <c r="E4042" s="2" t="s">
        <v>52</v>
      </c>
      <c r="F4042" s="2">
        <v>2</v>
      </c>
      <c r="G4042" s="2" t="s">
        <v>12</v>
      </c>
    </row>
    <row r="4043" spans="1:7" x14ac:dyDescent="0.2">
      <c r="A4043" s="2" t="s">
        <v>5250</v>
      </c>
      <c r="B4043" s="2" t="s">
        <v>5251</v>
      </c>
      <c r="C4043" s="2" t="s">
        <v>1199</v>
      </c>
      <c r="D4043" s="2" t="s">
        <v>56</v>
      </c>
      <c r="E4043" s="2" t="s">
        <v>52</v>
      </c>
      <c r="F4043" s="2">
        <v>2</v>
      </c>
      <c r="G4043" s="2" t="s">
        <v>12</v>
      </c>
    </row>
    <row r="4044" spans="1:7" x14ac:dyDescent="0.2">
      <c r="A4044" s="2" t="s">
        <v>5250</v>
      </c>
      <c r="B4044" s="2" t="s">
        <v>5252</v>
      </c>
      <c r="C4044" s="2" t="s">
        <v>605</v>
      </c>
      <c r="D4044" s="2" t="s">
        <v>56</v>
      </c>
      <c r="E4044" s="2" t="s">
        <v>52</v>
      </c>
      <c r="F4044" s="2">
        <v>1</v>
      </c>
      <c r="G4044" s="2" t="s">
        <v>17</v>
      </c>
    </row>
    <row r="4045" spans="1:7" x14ac:dyDescent="0.2">
      <c r="A4045" s="2" t="s">
        <v>5250</v>
      </c>
      <c r="B4045" s="2" t="s">
        <v>5253</v>
      </c>
      <c r="C4045" s="2" t="s">
        <v>609</v>
      </c>
      <c r="D4045" s="2" t="s">
        <v>56</v>
      </c>
      <c r="E4045" s="2" t="s">
        <v>52</v>
      </c>
      <c r="F4045" s="2">
        <v>2</v>
      </c>
      <c r="G4045" s="2" t="s">
        <v>17</v>
      </c>
    </row>
    <row r="4046" spans="1:7" x14ac:dyDescent="0.2">
      <c r="A4046" s="2" t="s">
        <v>5250</v>
      </c>
      <c r="B4046" s="2" t="s">
        <v>5254</v>
      </c>
      <c r="C4046" s="2" t="s">
        <v>1210</v>
      </c>
      <c r="D4046" s="2" t="s">
        <v>56</v>
      </c>
      <c r="E4046" s="2" t="s">
        <v>52</v>
      </c>
      <c r="F4046" s="2">
        <v>1</v>
      </c>
      <c r="G4046" s="2" t="s">
        <v>17</v>
      </c>
    </row>
    <row r="4047" spans="1:7" x14ac:dyDescent="0.2">
      <c r="A4047" s="2" t="s">
        <v>5250</v>
      </c>
      <c r="B4047" s="2" t="s">
        <v>5255</v>
      </c>
      <c r="C4047" s="2" t="s">
        <v>1202</v>
      </c>
      <c r="D4047" s="2" t="s">
        <v>56</v>
      </c>
      <c r="E4047" s="2" t="s">
        <v>52</v>
      </c>
      <c r="F4047" s="2">
        <v>1</v>
      </c>
      <c r="G4047" s="2" t="s">
        <v>17</v>
      </c>
    </row>
    <row r="4048" spans="1:7" x14ac:dyDescent="0.2">
      <c r="A4048" s="2" t="s">
        <v>5250</v>
      </c>
      <c r="B4048" s="2" t="s">
        <v>5256</v>
      </c>
      <c r="C4048" s="2" t="s">
        <v>1199</v>
      </c>
      <c r="D4048" s="2" t="s">
        <v>56</v>
      </c>
      <c r="E4048" s="2" t="s">
        <v>52</v>
      </c>
      <c r="F4048" s="2">
        <v>2</v>
      </c>
      <c r="G4048" s="2" t="s">
        <v>12</v>
      </c>
    </row>
    <row r="4049" spans="1:7" x14ac:dyDescent="0.2">
      <c r="A4049" s="2" t="s">
        <v>5250</v>
      </c>
      <c r="B4049" s="2" t="s">
        <v>5257</v>
      </c>
      <c r="C4049" s="2" t="s">
        <v>605</v>
      </c>
      <c r="D4049" s="2" t="s">
        <v>56</v>
      </c>
      <c r="E4049" s="2" t="s">
        <v>52</v>
      </c>
      <c r="F4049" s="2">
        <v>1</v>
      </c>
      <c r="G4049" s="2" t="s">
        <v>17</v>
      </c>
    </row>
    <row r="4050" spans="1:7" x14ac:dyDescent="0.2">
      <c r="A4050" s="2" t="s">
        <v>5250</v>
      </c>
      <c r="B4050" s="2" t="s">
        <v>5258</v>
      </c>
      <c r="C4050" s="2" t="s">
        <v>609</v>
      </c>
      <c r="D4050" s="2" t="s">
        <v>56</v>
      </c>
      <c r="E4050" s="2" t="s">
        <v>52</v>
      </c>
      <c r="F4050" s="2">
        <v>2</v>
      </c>
      <c r="G4050" s="2" t="s">
        <v>17</v>
      </c>
    </row>
    <row r="4051" spans="1:7" x14ac:dyDescent="0.2">
      <c r="A4051" s="2" t="s">
        <v>5250</v>
      </c>
      <c r="B4051" s="2" t="s">
        <v>5259</v>
      </c>
      <c r="C4051" s="2" t="s">
        <v>1210</v>
      </c>
      <c r="D4051" s="2" t="s">
        <v>56</v>
      </c>
      <c r="E4051" s="2" t="s">
        <v>52</v>
      </c>
      <c r="F4051" s="2">
        <v>1</v>
      </c>
      <c r="G4051" s="2" t="s">
        <v>17</v>
      </c>
    </row>
    <row r="4052" spans="1:7" x14ac:dyDescent="0.2">
      <c r="A4052" s="2" t="s">
        <v>5250</v>
      </c>
      <c r="B4052" s="2" t="s">
        <v>5260</v>
      </c>
      <c r="C4052" s="2" t="s">
        <v>1202</v>
      </c>
      <c r="D4052" s="2" t="s">
        <v>56</v>
      </c>
      <c r="E4052" s="2" t="s">
        <v>52</v>
      </c>
      <c r="F4052" s="2">
        <v>1</v>
      </c>
      <c r="G4052" s="2" t="s">
        <v>17</v>
      </c>
    </row>
    <row r="4053" spans="1:7" x14ac:dyDescent="0.2">
      <c r="A4053" s="2" t="s">
        <v>5250</v>
      </c>
      <c r="B4053" s="2" t="s">
        <v>597</v>
      </c>
      <c r="C4053" s="2" t="s">
        <v>593</v>
      </c>
      <c r="D4053" s="2" t="s">
        <v>56</v>
      </c>
      <c r="E4053" s="2" t="s">
        <v>52</v>
      </c>
      <c r="F4053" s="2">
        <v>2</v>
      </c>
      <c r="G4053" s="2" t="s">
        <v>12</v>
      </c>
    </row>
    <row r="4054" spans="1:7" x14ac:dyDescent="0.2">
      <c r="A4054" s="2" t="s">
        <v>5250</v>
      </c>
      <c r="B4054" s="2" t="s">
        <v>598</v>
      </c>
      <c r="C4054" s="2" t="s">
        <v>599</v>
      </c>
      <c r="D4054" s="2" t="s">
        <v>56</v>
      </c>
      <c r="E4054" s="2" t="s">
        <v>52</v>
      </c>
      <c r="F4054" s="2">
        <v>2</v>
      </c>
      <c r="G4054" s="2" t="s">
        <v>12</v>
      </c>
    </row>
    <row r="4055" spans="1:7" x14ac:dyDescent="0.2">
      <c r="A4055" s="2" t="s">
        <v>5250</v>
      </c>
      <c r="B4055" s="2" t="s">
        <v>602</v>
      </c>
      <c r="C4055" s="2" t="s">
        <v>593</v>
      </c>
      <c r="D4055" s="2" t="s">
        <v>56</v>
      </c>
      <c r="E4055" s="2" t="s">
        <v>52</v>
      </c>
      <c r="F4055" s="2">
        <v>2</v>
      </c>
      <c r="G4055" s="2" t="s">
        <v>12</v>
      </c>
    </row>
    <row r="4056" spans="1:7" x14ac:dyDescent="0.2">
      <c r="A4056" s="2" t="s">
        <v>5250</v>
      </c>
      <c r="B4056" s="2" t="s">
        <v>604</v>
      </c>
      <c r="C4056" s="2" t="s">
        <v>605</v>
      </c>
      <c r="D4056" s="2" t="s">
        <v>56</v>
      </c>
      <c r="E4056" s="2" t="s">
        <v>52</v>
      </c>
      <c r="F4056" s="2">
        <v>1</v>
      </c>
      <c r="G4056" s="2" t="s">
        <v>17</v>
      </c>
    </row>
    <row r="4057" spans="1:7" x14ac:dyDescent="0.2">
      <c r="A4057" s="2" t="s">
        <v>5250</v>
      </c>
      <c r="B4057" s="2" t="s">
        <v>606</v>
      </c>
      <c r="C4057" s="2" t="s">
        <v>605</v>
      </c>
      <c r="D4057" s="2" t="s">
        <v>56</v>
      </c>
      <c r="E4057" s="2" t="s">
        <v>52</v>
      </c>
      <c r="F4057" s="2">
        <v>1</v>
      </c>
      <c r="G4057" s="2" t="s">
        <v>17</v>
      </c>
    </row>
    <row r="4058" spans="1:7" x14ac:dyDescent="0.2">
      <c r="A4058" s="2" t="s">
        <v>5250</v>
      </c>
      <c r="B4058" s="2" t="s">
        <v>607</v>
      </c>
      <c r="C4058" s="2" t="s">
        <v>605</v>
      </c>
      <c r="D4058" s="2" t="s">
        <v>56</v>
      </c>
      <c r="E4058" s="2" t="s">
        <v>52</v>
      </c>
      <c r="F4058" s="2">
        <v>1</v>
      </c>
      <c r="G4058" s="2" t="s">
        <v>17</v>
      </c>
    </row>
    <row r="4059" spans="1:7" x14ac:dyDescent="0.2">
      <c r="A4059" s="2" t="s">
        <v>5250</v>
      </c>
      <c r="B4059" s="2" t="s">
        <v>608</v>
      </c>
      <c r="C4059" s="2" t="s">
        <v>609</v>
      </c>
      <c r="D4059" s="2" t="s">
        <v>56</v>
      </c>
      <c r="E4059" s="2" t="s">
        <v>52</v>
      </c>
      <c r="F4059" s="2">
        <v>2</v>
      </c>
      <c r="G4059" s="2" t="s">
        <v>17</v>
      </c>
    </row>
    <row r="4060" spans="1:7" x14ac:dyDescent="0.2">
      <c r="A4060" s="2" t="s">
        <v>5250</v>
      </c>
      <c r="B4060" s="2" t="s">
        <v>610</v>
      </c>
      <c r="C4060" s="2" t="s">
        <v>609</v>
      </c>
      <c r="D4060" s="2" t="s">
        <v>56</v>
      </c>
      <c r="E4060" s="2" t="s">
        <v>52</v>
      </c>
      <c r="F4060" s="2">
        <v>2</v>
      </c>
      <c r="G4060" s="2" t="s">
        <v>17</v>
      </c>
    </row>
    <row r="4061" spans="1:7" x14ac:dyDescent="0.2">
      <c r="A4061" s="2" t="s">
        <v>5250</v>
      </c>
      <c r="B4061" s="2" t="s">
        <v>611</v>
      </c>
      <c r="C4061" s="2" t="s">
        <v>612</v>
      </c>
      <c r="D4061" s="2" t="s">
        <v>56</v>
      </c>
      <c r="E4061" s="2" t="s">
        <v>52</v>
      </c>
      <c r="F4061" s="2">
        <v>2</v>
      </c>
      <c r="G4061" s="2" t="s">
        <v>17</v>
      </c>
    </row>
    <row r="4062" spans="1:7" x14ac:dyDescent="0.2">
      <c r="A4062" s="2" t="s">
        <v>5250</v>
      </c>
      <c r="B4062" s="2" t="s">
        <v>614</v>
      </c>
      <c r="C4062" s="2" t="s">
        <v>599</v>
      </c>
      <c r="D4062" s="2" t="s">
        <v>56</v>
      </c>
      <c r="E4062" s="2" t="s">
        <v>52</v>
      </c>
      <c r="F4062" s="2">
        <v>2</v>
      </c>
      <c r="G4062" s="2" t="s">
        <v>12</v>
      </c>
    </row>
    <row r="4063" spans="1:7" x14ac:dyDescent="0.2">
      <c r="A4063" s="2" t="s">
        <v>5250</v>
      </c>
      <c r="B4063" s="2" t="s">
        <v>1212</v>
      </c>
      <c r="C4063" s="2" t="s">
        <v>593</v>
      </c>
      <c r="D4063" s="2" t="s">
        <v>56</v>
      </c>
      <c r="E4063" s="2" t="s">
        <v>52</v>
      </c>
      <c r="F4063" s="2">
        <v>2</v>
      </c>
      <c r="G4063" s="2" t="s">
        <v>12</v>
      </c>
    </row>
    <row r="4064" spans="1:7" x14ac:dyDescent="0.2">
      <c r="A4064" s="2" t="s">
        <v>5250</v>
      </c>
      <c r="B4064" s="2" t="s">
        <v>615</v>
      </c>
      <c r="C4064" s="2" t="s">
        <v>593</v>
      </c>
      <c r="D4064" s="2" t="s">
        <v>56</v>
      </c>
      <c r="E4064" s="2" t="s">
        <v>52</v>
      </c>
      <c r="F4064" s="2">
        <v>2</v>
      </c>
      <c r="G4064" s="2" t="s">
        <v>12</v>
      </c>
    </row>
    <row r="4065" spans="1:7" x14ac:dyDescent="0.2">
      <c r="A4065" s="2" t="s">
        <v>5250</v>
      </c>
      <c r="B4065" s="2" t="s">
        <v>616</v>
      </c>
      <c r="C4065" s="2" t="s">
        <v>599</v>
      </c>
      <c r="D4065" s="2" t="s">
        <v>56</v>
      </c>
      <c r="E4065" s="2" t="s">
        <v>52</v>
      </c>
      <c r="F4065" s="2">
        <v>2</v>
      </c>
      <c r="G4065" s="2" t="s">
        <v>12</v>
      </c>
    </row>
    <row r="4066" spans="1:7" x14ac:dyDescent="0.2">
      <c r="A4066" s="2" t="s">
        <v>5250</v>
      </c>
      <c r="B4066" s="2" t="s">
        <v>617</v>
      </c>
      <c r="C4066" s="2" t="s">
        <v>593</v>
      </c>
      <c r="D4066" s="2" t="s">
        <v>56</v>
      </c>
      <c r="E4066" s="2" t="s">
        <v>52</v>
      </c>
      <c r="F4066" s="2">
        <v>2</v>
      </c>
      <c r="G4066" s="2" t="s">
        <v>12</v>
      </c>
    </row>
    <row r="4067" spans="1:7" x14ac:dyDescent="0.2">
      <c r="A4067" s="2" t="s">
        <v>5250</v>
      </c>
      <c r="B4067" s="2" t="s">
        <v>618</v>
      </c>
      <c r="C4067" s="2" t="s">
        <v>593</v>
      </c>
      <c r="D4067" s="2" t="s">
        <v>56</v>
      </c>
      <c r="E4067" s="2" t="s">
        <v>52</v>
      </c>
      <c r="F4067" s="2">
        <v>2</v>
      </c>
      <c r="G4067" s="2" t="s">
        <v>12</v>
      </c>
    </row>
    <row r="4068" spans="1:7" x14ac:dyDescent="0.2">
      <c r="A4068" s="2" t="s">
        <v>5250</v>
      </c>
      <c r="B4068" s="2" t="s">
        <v>619</v>
      </c>
      <c r="C4068" s="2" t="s">
        <v>605</v>
      </c>
      <c r="D4068" s="2" t="s">
        <v>56</v>
      </c>
      <c r="E4068" s="2" t="s">
        <v>52</v>
      </c>
      <c r="F4068" s="2">
        <v>1</v>
      </c>
      <c r="G4068" s="2" t="s">
        <v>17</v>
      </c>
    </row>
    <row r="4069" spans="1:7" x14ac:dyDescent="0.2">
      <c r="A4069" s="2" t="s">
        <v>5250</v>
      </c>
      <c r="B4069" s="2" t="s">
        <v>620</v>
      </c>
      <c r="C4069" s="2" t="s">
        <v>609</v>
      </c>
      <c r="D4069" s="2" t="s">
        <v>56</v>
      </c>
      <c r="E4069" s="2" t="s">
        <v>52</v>
      </c>
      <c r="F4069" s="2">
        <v>2</v>
      </c>
      <c r="G4069" s="2" t="s">
        <v>17</v>
      </c>
    </row>
    <row r="4070" spans="1:7" x14ac:dyDescent="0.2">
      <c r="A4070" s="2" t="s">
        <v>5250</v>
      </c>
      <c r="B4070" s="2" t="s">
        <v>5261</v>
      </c>
      <c r="C4070" s="2" t="s">
        <v>612</v>
      </c>
      <c r="D4070" s="2" t="s">
        <v>56</v>
      </c>
      <c r="E4070" s="2" t="s">
        <v>52</v>
      </c>
      <c r="F4070" s="2">
        <v>2</v>
      </c>
      <c r="G4070" s="2" t="s">
        <v>17</v>
      </c>
    </row>
    <row r="4071" spans="1:7" x14ac:dyDescent="0.2">
      <c r="A4071" s="2" t="s">
        <v>5250</v>
      </c>
      <c r="B4071" s="2" t="s">
        <v>621</v>
      </c>
      <c r="C4071" s="2" t="s">
        <v>612</v>
      </c>
      <c r="D4071" s="2" t="s">
        <v>56</v>
      </c>
      <c r="E4071" s="2" t="s">
        <v>52</v>
      </c>
      <c r="F4071" s="2">
        <v>2</v>
      </c>
      <c r="G4071" s="2" t="s">
        <v>17</v>
      </c>
    </row>
    <row r="4072" spans="1:7" x14ac:dyDescent="0.2">
      <c r="A4072" s="2" t="s">
        <v>5250</v>
      </c>
      <c r="B4072" s="2" t="s">
        <v>622</v>
      </c>
      <c r="C4072" s="2" t="s">
        <v>605</v>
      </c>
      <c r="D4072" s="2" t="s">
        <v>56</v>
      </c>
      <c r="E4072" s="2" t="s">
        <v>52</v>
      </c>
      <c r="F4072" s="2">
        <v>1</v>
      </c>
      <c r="G4072" s="2" t="s">
        <v>17</v>
      </c>
    </row>
    <row r="4073" spans="1:7" x14ac:dyDescent="0.2">
      <c r="A4073" s="2" t="s">
        <v>5250</v>
      </c>
      <c r="B4073" s="2" t="s">
        <v>5262</v>
      </c>
      <c r="C4073" s="2" t="s">
        <v>612</v>
      </c>
      <c r="D4073" s="2" t="s">
        <v>56</v>
      </c>
      <c r="E4073" s="2" t="s">
        <v>52</v>
      </c>
      <c r="F4073" s="2">
        <v>2</v>
      </c>
      <c r="G4073" s="2" t="s">
        <v>17</v>
      </c>
    </row>
    <row r="4074" spans="1:7" x14ac:dyDescent="0.2">
      <c r="A4074" s="2" t="s">
        <v>5250</v>
      </c>
      <c r="B4074" s="2" t="s">
        <v>2976</v>
      </c>
      <c r="C4074" s="2" t="s">
        <v>2977</v>
      </c>
      <c r="D4074" s="2" t="s">
        <v>56</v>
      </c>
      <c r="E4074" s="2" t="s">
        <v>52</v>
      </c>
      <c r="F4074" s="2">
        <v>2</v>
      </c>
      <c r="G4074" s="2" t="s">
        <v>17</v>
      </c>
    </row>
    <row r="4075" spans="1:7" x14ac:dyDescent="0.2">
      <c r="A4075" s="2" t="s">
        <v>5250</v>
      </c>
      <c r="B4075" s="2" t="s">
        <v>5263</v>
      </c>
      <c r="C4075" s="2" t="s">
        <v>2977</v>
      </c>
      <c r="D4075" s="2" t="s">
        <v>56</v>
      </c>
      <c r="E4075" s="2" t="s">
        <v>52</v>
      </c>
      <c r="F4075" s="2">
        <v>2</v>
      </c>
      <c r="G4075" s="2" t="s">
        <v>17</v>
      </c>
    </row>
    <row r="4076" spans="1:7" x14ac:dyDescent="0.2">
      <c r="A4076" s="2" t="s">
        <v>5250</v>
      </c>
      <c r="B4076" s="2" t="s">
        <v>1211</v>
      </c>
      <c r="C4076" s="2" t="s">
        <v>1210</v>
      </c>
      <c r="D4076" s="2" t="s">
        <v>56</v>
      </c>
      <c r="E4076" s="2" t="s">
        <v>52</v>
      </c>
      <c r="F4076" s="2">
        <v>1</v>
      </c>
      <c r="G4076" s="2" t="s">
        <v>17</v>
      </c>
    </row>
    <row r="4077" spans="1:7" x14ac:dyDescent="0.2">
      <c r="A4077" s="2" t="s">
        <v>5250</v>
      </c>
      <c r="B4077" s="2" t="s">
        <v>88</v>
      </c>
      <c r="C4077" s="2" t="s">
        <v>593</v>
      </c>
      <c r="D4077" s="2" t="s">
        <v>56</v>
      </c>
      <c r="E4077" s="2" t="s">
        <v>52</v>
      </c>
      <c r="F4077" s="2">
        <v>2</v>
      </c>
      <c r="G4077" s="2" t="s">
        <v>12</v>
      </c>
    </row>
    <row r="4078" spans="1:7" x14ac:dyDescent="0.2">
      <c r="A4078" s="2" t="s">
        <v>5250</v>
      </c>
      <c r="B4078" s="2" t="s">
        <v>629</v>
      </c>
      <c r="C4078" s="2" t="s">
        <v>599</v>
      </c>
      <c r="D4078" s="2" t="s">
        <v>56</v>
      </c>
      <c r="E4078" s="2" t="s">
        <v>52</v>
      </c>
      <c r="F4078" s="2">
        <v>2</v>
      </c>
      <c r="G4078" s="2" t="s">
        <v>12</v>
      </c>
    </row>
    <row r="4079" spans="1:7" x14ac:dyDescent="0.2">
      <c r="A4079" s="2" t="s">
        <v>5250</v>
      </c>
      <c r="B4079" s="2" t="s">
        <v>1215</v>
      </c>
      <c r="C4079" s="2" t="s">
        <v>1199</v>
      </c>
      <c r="D4079" s="2" t="s">
        <v>56</v>
      </c>
      <c r="E4079" s="2" t="s">
        <v>52</v>
      </c>
      <c r="F4079" s="2">
        <v>2</v>
      </c>
      <c r="G4079" s="2" t="s">
        <v>12</v>
      </c>
    </row>
    <row r="4080" spans="1:7" x14ac:dyDescent="0.2">
      <c r="A4080" s="2" t="s">
        <v>5250</v>
      </c>
      <c r="B4080" s="2" t="s">
        <v>1203</v>
      </c>
      <c r="C4080" s="2" t="s">
        <v>612</v>
      </c>
      <c r="D4080" s="2" t="s">
        <v>56</v>
      </c>
      <c r="E4080" s="2" t="s">
        <v>52</v>
      </c>
      <c r="F4080" s="2">
        <v>2</v>
      </c>
      <c r="G4080" s="2" t="s">
        <v>17</v>
      </c>
    </row>
    <row r="4081" spans="1:7" x14ac:dyDescent="0.2">
      <c r="A4081" s="2" t="s">
        <v>5250</v>
      </c>
      <c r="B4081" s="2" t="s">
        <v>1209</v>
      </c>
      <c r="C4081" s="2" t="s">
        <v>1210</v>
      </c>
      <c r="D4081" s="2" t="s">
        <v>56</v>
      </c>
      <c r="E4081" s="2" t="s">
        <v>52</v>
      </c>
      <c r="F4081" s="2">
        <v>1</v>
      </c>
      <c r="G4081" s="2" t="s">
        <v>17</v>
      </c>
    </row>
    <row r="4082" spans="1:7" x14ac:dyDescent="0.2">
      <c r="A4082" s="2" t="s">
        <v>5250</v>
      </c>
      <c r="B4082" s="2" t="s">
        <v>1201</v>
      </c>
      <c r="C4082" s="2" t="s">
        <v>1202</v>
      </c>
      <c r="D4082" s="2" t="s">
        <v>56</v>
      </c>
      <c r="E4082" s="2" t="s">
        <v>52</v>
      </c>
      <c r="F4082" s="2">
        <v>1</v>
      </c>
      <c r="G4082" s="2" t="s">
        <v>17</v>
      </c>
    </row>
    <row r="4083" spans="1:7" x14ac:dyDescent="0.2">
      <c r="A4083" s="2" t="s">
        <v>5250</v>
      </c>
      <c r="B4083" s="2" t="s">
        <v>1206</v>
      </c>
      <c r="C4083" s="2" t="s">
        <v>1207</v>
      </c>
      <c r="D4083" s="2" t="s">
        <v>56</v>
      </c>
      <c r="E4083" s="2" t="s">
        <v>52</v>
      </c>
      <c r="F4083" s="2">
        <v>2</v>
      </c>
      <c r="G4083" s="2" t="s">
        <v>17</v>
      </c>
    </row>
    <row r="4084" spans="1:7" x14ac:dyDescent="0.2">
      <c r="A4084" s="2" t="s">
        <v>5250</v>
      </c>
      <c r="B4084" s="2" t="s">
        <v>1204</v>
      </c>
      <c r="C4084" s="2" t="s">
        <v>1205</v>
      </c>
      <c r="D4084" s="2" t="s">
        <v>56</v>
      </c>
      <c r="E4084" s="2" t="s">
        <v>52</v>
      </c>
      <c r="F4084" s="2">
        <v>2</v>
      </c>
      <c r="G4084" s="2" t="s">
        <v>17</v>
      </c>
    </row>
    <row r="4085" spans="1:7" x14ac:dyDescent="0.2">
      <c r="A4085" s="2" t="s">
        <v>5250</v>
      </c>
      <c r="B4085" s="2" t="s">
        <v>1214</v>
      </c>
      <c r="C4085" s="2" t="s">
        <v>1199</v>
      </c>
      <c r="D4085" s="2" t="s">
        <v>56</v>
      </c>
      <c r="E4085" s="2" t="s">
        <v>52</v>
      </c>
      <c r="F4085" s="2">
        <v>2</v>
      </c>
      <c r="G4085" s="2" t="s">
        <v>12</v>
      </c>
    </row>
    <row r="4086" spans="1:7" x14ac:dyDescent="0.2">
      <c r="A4086" s="2" t="s">
        <v>5250</v>
      </c>
      <c r="B4086" s="2" t="s">
        <v>1208</v>
      </c>
      <c r="C4086" s="2" t="s">
        <v>1207</v>
      </c>
      <c r="D4086" s="2" t="s">
        <v>56</v>
      </c>
      <c r="E4086" s="2" t="s">
        <v>52</v>
      </c>
      <c r="F4086" s="2">
        <v>2</v>
      </c>
      <c r="G4086" s="2" t="s">
        <v>17</v>
      </c>
    </row>
    <row r="4087" spans="1:7" x14ac:dyDescent="0.2">
      <c r="A4087" s="2" t="s">
        <v>5250</v>
      </c>
      <c r="B4087" s="2" t="s">
        <v>1197</v>
      </c>
      <c r="C4087" s="2" t="s">
        <v>1196</v>
      </c>
      <c r="D4087" s="2" t="s">
        <v>56</v>
      </c>
      <c r="E4087" s="2" t="s">
        <v>52</v>
      </c>
      <c r="F4087" s="2">
        <v>2</v>
      </c>
      <c r="G4087" s="2" t="s">
        <v>17</v>
      </c>
    </row>
    <row r="4088" spans="1:7" x14ac:dyDescent="0.2">
      <c r="A4088" s="2" t="s">
        <v>5250</v>
      </c>
      <c r="B4088" s="2" t="s">
        <v>1195</v>
      </c>
      <c r="C4088" s="2" t="s">
        <v>1196</v>
      </c>
      <c r="D4088" s="2" t="s">
        <v>56</v>
      </c>
      <c r="E4088" s="2" t="s">
        <v>52</v>
      </c>
      <c r="F4088" s="2">
        <v>2</v>
      </c>
      <c r="G4088" s="2" t="s">
        <v>17</v>
      </c>
    </row>
    <row r="4089" spans="1:7" x14ac:dyDescent="0.2">
      <c r="A4089" s="2" t="s">
        <v>5250</v>
      </c>
      <c r="B4089" s="2" t="s">
        <v>1213</v>
      </c>
      <c r="C4089" s="2" t="s">
        <v>1199</v>
      </c>
      <c r="D4089" s="2" t="s">
        <v>56</v>
      </c>
      <c r="E4089" s="2" t="s">
        <v>52</v>
      </c>
      <c r="F4089" s="2">
        <v>2</v>
      </c>
      <c r="G4089" s="2" t="s">
        <v>12</v>
      </c>
    </row>
    <row r="4090" spans="1:7" x14ac:dyDescent="0.2">
      <c r="A4090" s="2" t="s">
        <v>5250</v>
      </c>
      <c r="B4090" s="2" t="s">
        <v>636</v>
      </c>
      <c r="C4090" s="2" t="s">
        <v>605</v>
      </c>
      <c r="D4090" s="2" t="s">
        <v>56</v>
      </c>
      <c r="E4090" s="2" t="s">
        <v>52</v>
      </c>
      <c r="F4090" s="2">
        <v>1</v>
      </c>
      <c r="G4090" s="2" t="s">
        <v>17</v>
      </c>
    </row>
    <row r="4091" spans="1:7" x14ac:dyDescent="0.2">
      <c r="A4091" s="2" t="s">
        <v>5250</v>
      </c>
      <c r="B4091" s="2" t="s">
        <v>637</v>
      </c>
      <c r="C4091" s="2" t="s">
        <v>609</v>
      </c>
      <c r="D4091" s="2" t="s">
        <v>56</v>
      </c>
      <c r="E4091" s="2" t="s">
        <v>52</v>
      </c>
      <c r="F4091" s="2">
        <v>2</v>
      </c>
      <c r="G4091" s="2" t="s">
        <v>17</v>
      </c>
    </row>
    <row r="4092" spans="1:7" x14ac:dyDescent="0.2">
      <c r="A4092" s="2" t="s">
        <v>5250</v>
      </c>
      <c r="B4092" s="2" t="s">
        <v>640</v>
      </c>
      <c r="C4092" s="2" t="s">
        <v>605</v>
      </c>
      <c r="D4092" s="2" t="s">
        <v>56</v>
      </c>
      <c r="E4092" s="2" t="s">
        <v>52</v>
      </c>
      <c r="F4092" s="2">
        <v>1</v>
      </c>
      <c r="G4092" s="2" t="s">
        <v>17</v>
      </c>
    </row>
    <row r="4093" spans="1:7" x14ac:dyDescent="0.2">
      <c r="A4093" s="2" t="s">
        <v>5250</v>
      </c>
      <c r="B4093" s="2" t="s">
        <v>641</v>
      </c>
      <c r="C4093" s="2" t="s">
        <v>609</v>
      </c>
      <c r="D4093" s="2" t="s">
        <v>56</v>
      </c>
      <c r="E4093" s="2" t="s">
        <v>52</v>
      </c>
      <c r="F4093" s="2">
        <v>2</v>
      </c>
      <c r="G4093" s="2" t="s">
        <v>17</v>
      </c>
    </row>
    <row r="4094" spans="1:7" x14ac:dyDescent="0.2">
      <c r="A4094" s="2" t="s">
        <v>5250</v>
      </c>
      <c r="B4094" s="2" t="s">
        <v>54</v>
      </c>
      <c r="C4094" s="2" t="s">
        <v>55</v>
      </c>
      <c r="D4094" s="2" t="s">
        <v>56</v>
      </c>
      <c r="E4094" s="2" t="s">
        <v>52</v>
      </c>
      <c r="F4094" s="2">
        <v>1</v>
      </c>
      <c r="G4094" s="2" t="s">
        <v>17</v>
      </c>
    </row>
    <row r="4095" spans="1:7" x14ac:dyDescent="0.2">
      <c r="A4095" s="2" t="s">
        <v>5250</v>
      </c>
      <c r="B4095" s="2" t="s">
        <v>645</v>
      </c>
      <c r="C4095" s="2" t="s">
        <v>593</v>
      </c>
      <c r="D4095" s="2" t="s">
        <v>56</v>
      </c>
      <c r="E4095" s="2" t="s">
        <v>52</v>
      </c>
      <c r="F4095" s="2">
        <v>2</v>
      </c>
      <c r="G4095" s="2" t="s">
        <v>12</v>
      </c>
    </row>
    <row r="4096" spans="1:7" x14ac:dyDescent="0.2">
      <c r="A4096" s="2" t="s">
        <v>5250</v>
      </c>
      <c r="B4096" s="2" t="s">
        <v>5264</v>
      </c>
      <c r="C4096" s="2" t="s">
        <v>612</v>
      </c>
      <c r="D4096" s="2" t="s">
        <v>56</v>
      </c>
      <c r="E4096" s="2" t="s">
        <v>52</v>
      </c>
      <c r="F4096" s="2">
        <v>2</v>
      </c>
      <c r="G4096" s="2" t="s">
        <v>17</v>
      </c>
    </row>
    <row r="4097" spans="1:7" x14ac:dyDescent="0.2">
      <c r="A4097" s="2" t="s">
        <v>5250</v>
      </c>
      <c r="B4097" s="2" t="s">
        <v>646</v>
      </c>
      <c r="C4097" s="2" t="s">
        <v>647</v>
      </c>
      <c r="D4097" s="2" t="s">
        <v>56</v>
      </c>
      <c r="E4097" s="2" t="s">
        <v>52</v>
      </c>
      <c r="F4097" s="2">
        <v>1</v>
      </c>
      <c r="G4097" s="2" t="s">
        <v>17</v>
      </c>
    </row>
    <row r="4098" spans="1:7" x14ac:dyDescent="0.2">
      <c r="A4098" s="2" t="s">
        <v>5250</v>
      </c>
      <c r="B4098" s="2" t="s">
        <v>652</v>
      </c>
      <c r="C4098" s="2" t="s">
        <v>612</v>
      </c>
      <c r="D4098" s="2" t="s">
        <v>56</v>
      </c>
      <c r="E4098" s="2" t="s">
        <v>52</v>
      </c>
      <c r="F4098" s="2">
        <v>2</v>
      </c>
      <c r="G4098" s="2" t="s">
        <v>17</v>
      </c>
    </row>
    <row r="4099" spans="1:7" x14ac:dyDescent="0.2">
      <c r="A4099" s="2" t="s">
        <v>5250</v>
      </c>
      <c r="B4099" s="2" t="s">
        <v>654</v>
      </c>
      <c r="C4099" s="2" t="s">
        <v>647</v>
      </c>
      <c r="D4099" s="2" t="s">
        <v>56</v>
      </c>
      <c r="E4099" s="2" t="s">
        <v>52</v>
      </c>
      <c r="F4099" s="2">
        <v>1</v>
      </c>
      <c r="G4099" s="2" t="s">
        <v>17</v>
      </c>
    </row>
    <row r="4100" spans="1:7" x14ac:dyDescent="0.2">
      <c r="A4100" s="2" t="s">
        <v>5250</v>
      </c>
      <c r="B4100" s="2" t="s">
        <v>57</v>
      </c>
      <c r="C4100" s="2" t="s">
        <v>55</v>
      </c>
      <c r="D4100" s="2" t="s">
        <v>56</v>
      </c>
      <c r="E4100" s="2" t="s">
        <v>52</v>
      </c>
      <c r="F4100" s="2">
        <v>1</v>
      </c>
      <c r="G4100" s="2" t="s">
        <v>17</v>
      </c>
    </row>
    <row r="4101" spans="1:7" x14ac:dyDescent="0.2">
      <c r="A4101" s="2" t="s">
        <v>5250</v>
      </c>
      <c r="B4101" s="2" t="s">
        <v>5265</v>
      </c>
      <c r="C4101" s="2" t="s">
        <v>605</v>
      </c>
      <c r="D4101" s="2" t="s">
        <v>56</v>
      </c>
      <c r="E4101" s="2" t="s">
        <v>52</v>
      </c>
      <c r="F4101" s="2">
        <v>1</v>
      </c>
      <c r="G4101" s="2" t="s">
        <v>17</v>
      </c>
    </row>
    <row r="4102" spans="1:7" x14ac:dyDescent="0.2">
      <c r="A4102" s="2" t="s">
        <v>5250</v>
      </c>
      <c r="B4102" s="2" t="s">
        <v>5266</v>
      </c>
      <c r="C4102" s="2" t="s">
        <v>2977</v>
      </c>
      <c r="D4102" s="2" t="s">
        <v>56</v>
      </c>
      <c r="E4102" s="2" t="s">
        <v>52</v>
      </c>
      <c r="F4102" s="2">
        <v>2</v>
      </c>
      <c r="G4102" s="2" t="s">
        <v>17</v>
      </c>
    </row>
    <row r="4103" spans="1:7" x14ac:dyDescent="0.2">
      <c r="A4103" s="2" t="s">
        <v>5250</v>
      </c>
      <c r="B4103" s="2" t="s">
        <v>672</v>
      </c>
      <c r="C4103" s="2" t="s">
        <v>593</v>
      </c>
      <c r="D4103" s="2" t="s">
        <v>56</v>
      </c>
      <c r="E4103" s="2" t="s">
        <v>52</v>
      </c>
      <c r="F4103" s="2">
        <v>2</v>
      </c>
      <c r="G4103" s="2" t="s">
        <v>12</v>
      </c>
    </row>
    <row r="4104" spans="1:7" x14ac:dyDescent="0.2">
      <c r="A4104" s="2" t="s">
        <v>5250</v>
      </c>
      <c r="B4104" s="2" t="s">
        <v>673</v>
      </c>
      <c r="C4104" s="2" t="s">
        <v>599</v>
      </c>
      <c r="D4104" s="2" t="s">
        <v>56</v>
      </c>
      <c r="E4104" s="2" t="s">
        <v>52</v>
      </c>
      <c r="F4104" s="2">
        <v>2</v>
      </c>
      <c r="G4104" s="2" t="s">
        <v>12</v>
      </c>
    </row>
    <row r="4105" spans="1:7" x14ac:dyDescent="0.2">
      <c r="A4105" s="2" t="s">
        <v>5250</v>
      </c>
      <c r="B4105" s="2" t="s">
        <v>1198</v>
      </c>
      <c r="C4105" s="2" t="s">
        <v>1199</v>
      </c>
      <c r="D4105" s="2" t="s">
        <v>56</v>
      </c>
      <c r="E4105" s="2" t="s">
        <v>52</v>
      </c>
      <c r="F4105" s="2">
        <v>2</v>
      </c>
      <c r="G4105" s="2" t="s">
        <v>12</v>
      </c>
    </row>
    <row r="4106" spans="1:7" x14ac:dyDescent="0.2">
      <c r="A4106" s="2" t="s">
        <v>5250</v>
      </c>
      <c r="B4106" s="2" t="s">
        <v>674</v>
      </c>
      <c r="C4106" s="2" t="s">
        <v>605</v>
      </c>
      <c r="D4106" s="2" t="s">
        <v>56</v>
      </c>
      <c r="E4106" s="2" t="s">
        <v>52</v>
      </c>
      <c r="F4106" s="2">
        <v>1</v>
      </c>
      <c r="G4106" s="2" t="s">
        <v>17</v>
      </c>
    </row>
    <row r="4107" spans="1:7" x14ac:dyDescent="0.2">
      <c r="A4107" s="2" t="s">
        <v>5250</v>
      </c>
      <c r="B4107" s="2" t="s">
        <v>676</v>
      </c>
      <c r="C4107" s="2" t="s">
        <v>1196</v>
      </c>
      <c r="D4107" s="2" t="s">
        <v>56</v>
      </c>
      <c r="E4107" s="2" t="s">
        <v>52</v>
      </c>
      <c r="F4107" s="2">
        <v>2</v>
      </c>
      <c r="G4107" s="2" t="s">
        <v>17</v>
      </c>
    </row>
    <row r="4108" spans="1:7" x14ac:dyDescent="0.2">
      <c r="A4108" s="2" t="s">
        <v>5250</v>
      </c>
      <c r="B4108" s="2" t="s">
        <v>1227</v>
      </c>
      <c r="C4108" s="2" t="s">
        <v>1196</v>
      </c>
      <c r="D4108" s="2" t="s">
        <v>56</v>
      </c>
      <c r="E4108" s="2" t="s">
        <v>52</v>
      </c>
      <c r="F4108" s="2">
        <v>2</v>
      </c>
      <c r="G4108" s="2" t="s">
        <v>17</v>
      </c>
    </row>
    <row r="4109" spans="1:7" x14ac:dyDescent="0.2">
      <c r="A4109" s="2" t="s">
        <v>5250</v>
      </c>
      <c r="B4109" s="2" t="s">
        <v>5267</v>
      </c>
      <c r="C4109" s="2" t="s">
        <v>609</v>
      </c>
      <c r="D4109" s="2" t="s">
        <v>56</v>
      </c>
      <c r="E4109" s="2" t="s">
        <v>52</v>
      </c>
      <c r="F4109" s="2">
        <v>2</v>
      </c>
      <c r="G4109" s="2" t="s">
        <v>17</v>
      </c>
    </row>
    <row r="4110" spans="1:7" x14ac:dyDescent="0.2">
      <c r="A4110" s="2" t="s">
        <v>5250</v>
      </c>
      <c r="B4110" s="2" t="s">
        <v>677</v>
      </c>
      <c r="C4110" s="2" t="s">
        <v>609</v>
      </c>
      <c r="D4110" s="2" t="s">
        <v>56</v>
      </c>
      <c r="E4110" s="2" t="s">
        <v>52</v>
      </c>
      <c r="F4110" s="2">
        <v>2</v>
      </c>
      <c r="G4110" s="2" t="s">
        <v>17</v>
      </c>
    </row>
    <row r="4111" spans="1:7" x14ac:dyDescent="0.2">
      <c r="A4111" s="2" t="s">
        <v>5250</v>
      </c>
      <c r="B4111" s="2" t="s">
        <v>5268</v>
      </c>
      <c r="C4111" s="2" t="s">
        <v>1235</v>
      </c>
      <c r="D4111" s="2" t="s">
        <v>56</v>
      </c>
      <c r="E4111" s="2" t="s">
        <v>52</v>
      </c>
      <c r="F4111" s="2">
        <v>2</v>
      </c>
      <c r="G4111" s="2" t="s">
        <v>17</v>
      </c>
    </row>
    <row r="4112" spans="1:7" x14ac:dyDescent="0.2">
      <c r="A4112" s="2" t="s">
        <v>5250</v>
      </c>
      <c r="B4112" s="2" t="s">
        <v>1237</v>
      </c>
      <c r="C4112" s="2" t="s">
        <v>1235</v>
      </c>
      <c r="D4112" s="2" t="s">
        <v>56</v>
      </c>
      <c r="E4112" s="2" t="s">
        <v>52</v>
      </c>
      <c r="F4112" s="2">
        <v>2</v>
      </c>
      <c r="G4112" s="2" t="s">
        <v>17</v>
      </c>
    </row>
    <row r="4113" spans="1:7" x14ac:dyDescent="0.2">
      <c r="A4113" s="2" t="s">
        <v>5250</v>
      </c>
      <c r="B4113" s="2" t="s">
        <v>1238</v>
      </c>
      <c r="C4113" s="2" t="s">
        <v>1235</v>
      </c>
      <c r="D4113" s="2" t="s">
        <v>56</v>
      </c>
      <c r="E4113" s="2" t="s">
        <v>52</v>
      </c>
      <c r="F4113" s="2">
        <v>2</v>
      </c>
      <c r="G4113" s="2" t="s">
        <v>17</v>
      </c>
    </row>
    <row r="4114" spans="1:7" x14ac:dyDescent="0.2">
      <c r="A4114" s="2" t="s">
        <v>5250</v>
      </c>
      <c r="B4114" s="2" t="s">
        <v>5269</v>
      </c>
      <c r="C4114" s="2" t="s">
        <v>5270</v>
      </c>
      <c r="D4114" s="2" t="s">
        <v>56</v>
      </c>
      <c r="E4114" s="2" t="s">
        <v>52</v>
      </c>
      <c r="F4114" s="2">
        <v>2</v>
      </c>
      <c r="G4114" s="2" t="s">
        <v>17</v>
      </c>
    </row>
    <row r="4115" spans="1:7" x14ac:dyDescent="0.2">
      <c r="A4115" s="2" t="s">
        <v>5271</v>
      </c>
      <c r="B4115" s="2" t="s">
        <v>1231</v>
      </c>
      <c r="C4115" s="2" t="s">
        <v>1230</v>
      </c>
      <c r="D4115" s="2" t="s">
        <v>56</v>
      </c>
      <c r="E4115" s="2" t="s">
        <v>52</v>
      </c>
      <c r="F4115" s="2">
        <v>2</v>
      </c>
      <c r="G4115" s="2" t="s">
        <v>12</v>
      </c>
    </row>
    <row r="4116" spans="1:7" x14ac:dyDescent="0.2">
      <c r="A4116" s="2" t="s">
        <v>5271</v>
      </c>
      <c r="B4116" s="2" t="s">
        <v>1232</v>
      </c>
      <c r="C4116" s="2" t="s">
        <v>1230</v>
      </c>
      <c r="D4116" s="2" t="s">
        <v>56</v>
      </c>
      <c r="E4116" s="2" t="s">
        <v>52</v>
      </c>
      <c r="F4116" s="2">
        <v>2</v>
      </c>
      <c r="G4116" s="2" t="s">
        <v>12</v>
      </c>
    </row>
    <row r="4117" spans="1:7" x14ac:dyDescent="0.2">
      <c r="A4117" s="2" t="s">
        <v>5272</v>
      </c>
      <c r="B4117" s="2" t="s">
        <v>5273</v>
      </c>
      <c r="C4117" s="2" t="s">
        <v>1235</v>
      </c>
      <c r="D4117" s="2" t="s">
        <v>56</v>
      </c>
      <c r="E4117" s="2" t="s">
        <v>52</v>
      </c>
      <c r="F4117" s="2">
        <v>2</v>
      </c>
      <c r="G4117" s="2" t="s">
        <v>17</v>
      </c>
    </row>
    <row r="4118" spans="1:7" x14ac:dyDescent="0.2">
      <c r="A4118" s="2" t="s">
        <v>5272</v>
      </c>
      <c r="B4118" s="2" t="s">
        <v>5274</v>
      </c>
      <c r="C4118" s="2" t="s">
        <v>1235</v>
      </c>
      <c r="D4118" s="2" t="s">
        <v>56</v>
      </c>
      <c r="E4118" s="2" t="s">
        <v>52</v>
      </c>
      <c r="F4118" s="2">
        <v>2</v>
      </c>
      <c r="G4118" s="2" t="s">
        <v>17</v>
      </c>
    </row>
    <row r="4119" spans="1:7" x14ac:dyDescent="0.2">
      <c r="A4119" s="2" t="s">
        <v>5272</v>
      </c>
      <c r="B4119" s="2" t="s">
        <v>5275</v>
      </c>
      <c r="C4119" s="2" t="s">
        <v>1235</v>
      </c>
      <c r="D4119" s="2" t="s">
        <v>56</v>
      </c>
      <c r="E4119" s="2" t="s">
        <v>52</v>
      </c>
      <c r="F4119" s="2">
        <v>2</v>
      </c>
      <c r="G4119" s="2" t="s">
        <v>17</v>
      </c>
    </row>
    <row r="4120" spans="1:7" x14ac:dyDescent="0.2">
      <c r="A4120" s="2" t="s">
        <v>5272</v>
      </c>
      <c r="B4120" s="2" t="s">
        <v>5268</v>
      </c>
      <c r="C4120" s="2" t="s">
        <v>1235</v>
      </c>
      <c r="D4120" s="2" t="s">
        <v>56</v>
      </c>
      <c r="E4120" s="2" t="s">
        <v>52</v>
      </c>
      <c r="F4120" s="2">
        <v>2</v>
      </c>
      <c r="G4120" s="2" t="s">
        <v>17</v>
      </c>
    </row>
    <row r="4121" spans="1:7" x14ac:dyDescent="0.2">
      <c r="A4121" s="2" t="s">
        <v>5272</v>
      </c>
      <c r="B4121" s="2" t="s">
        <v>1237</v>
      </c>
      <c r="C4121" s="2" t="s">
        <v>1235</v>
      </c>
      <c r="D4121" s="2" t="s">
        <v>56</v>
      </c>
      <c r="E4121" s="2" t="s">
        <v>52</v>
      </c>
      <c r="F4121" s="2">
        <v>2</v>
      </c>
      <c r="G4121" s="2" t="s">
        <v>17</v>
      </c>
    </row>
    <row r="4122" spans="1:7" x14ac:dyDescent="0.2">
      <c r="A4122" s="2" t="s">
        <v>5272</v>
      </c>
      <c r="B4122" s="2" t="s">
        <v>1238</v>
      </c>
      <c r="C4122" s="2" t="s">
        <v>1235</v>
      </c>
      <c r="D4122" s="2" t="s">
        <v>56</v>
      </c>
      <c r="E4122" s="2" t="s">
        <v>52</v>
      </c>
      <c r="F4122" s="2">
        <v>2</v>
      </c>
      <c r="G4122" s="2" t="s">
        <v>17</v>
      </c>
    </row>
    <row r="4123" spans="1:7" x14ac:dyDescent="0.2">
      <c r="A4123" s="2" t="s">
        <v>5272</v>
      </c>
      <c r="B4123" s="2" t="s">
        <v>5276</v>
      </c>
      <c r="C4123" s="2" t="s">
        <v>3404</v>
      </c>
      <c r="D4123" s="2" t="s">
        <v>56</v>
      </c>
      <c r="E4123" s="2" t="s">
        <v>52</v>
      </c>
      <c r="F4123" s="2">
        <v>2</v>
      </c>
      <c r="G4123" s="2" t="s">
        <v>17</v>
      </c>
    </row>
    <row r="4124" spans="1:7" x14ac:dyDescent="0.2">
      <c r="A4124" s="2" t="s">
        <v>5272</v>
      </c>
      <c r="B4124" s="2" t="s">
        <v>5277</v>
      </c>
      <c r="C4124" s="2" t="s">
        <v>3404</v>
      </c>
      <c r="D4124" s="2" t="s">
        <v>56</v>
      </c>
      <c r="E4124" s="2" t="s">
        <v>52</v>
      </c>
      <c r="F4124" s="2">
        <v>2</v>
      </c>
      <c r="G4124" s="2" t="s">
        <v>17</v>
      </c>
    </row>
    <row r="4125" spans="1:7" x14ac:dyDescent="0.2">
      <c r="A4125" s="2" t="s">
        <v>5272</v>
      </c>
      <c r="B4125" s="2" t="s">
        <v>1234</v>
      </c>
      <c r="C4125" s="2" t="s">
        <v>1235</v>
      </c>
      <c r="D4125" s="2" t="s">
        <v>56</v>
      </c>
      <c r="E4125" s="2" t="s">
        <v>52</v>
      </c>
      <c r="F4125" s="2">
        <v>2</v>
      </c>
      <c r="G4125" s="2" t="s">
        <v>17</v>
      </c>
    </row>
    <row r="4126" spans="1:7" x14ac:dyDescent="0.2">
      <c r="A4126" s="2" t="s">
        <v>5272</v>
      </c>
      <c r="B4126" s="2" t="s">
        <v>1236</v>
      </c>
      <c r="C4126" s="2" t="s">
        <v>1235</v>
      </c>
      <c r="D4126" s="2" t="s">
        <v>56</v>
      </c>
      <c r="E4126" s="2" t="s">
        <v>52</v>
      </c>
      <c r="F4126" s="2">
        <v>2</v>
      </c>
      <c r="G4126" s="2" t="s">
        <v>17</v>
      </c>
    </row>
    <row r="4127" spans="1:7" x14ac:dyDescent="0.2">
      <c r="A4127" s="2" t="s">
        <v>5278</v>
      </c>
      <c r="B4127" s="2" t="s">
        <v>5279</v>
      </c>
      <c r="C4127" s="2" t="s">
        <v>5280</v>
      </c>
      <c r="D4127" s="2" t="s">
        <v>10</v>
      </c>
      <c r="E4127" s="2" t="s">
        <v>16</v>
      </c>
      <c r="F4127" s="2">
        <v>1</v>
      </c>
      <c r="G4127" s="2" t="s">
        <v>17</v>
      </c>
    </row>
    <row r="4128" spans="1:7" x14ac:dyDescent="0.2">
      <c r="A4128" s="2" t="s">
        <v>5278</v>
      </c>
      <c r="B4128" s="2" t="s">
        <v>5281</v>
      </c>
      <c r="C4128" s="2" t="s">
        <v>5280</v>
      </c>
      <c r="D4128" s="2" t="s">
        <v>10</v>
      </c>
      <c r="E4128" s="2" t="s">
        <v>16</v>
      </c>
      <c r="F4128" s="2">
        <v>1</v>
      </c>
      <c r="G4128" s="2" t="s">
        <v>17</v>
      </c>
    </row>
    <row r="4129" spans="1:7" x14ac:dyDescent="0.2">
      <c r="A4129" s="2" t="s">
        <v>5282</v>
      </c>
      <c r="B4129" s="2" t="s">
        <v>1393</v>
      </c>
      <c r="C4129" s="2" t="s">
        <v>1394</v>
      </c>
      <c r="D4129" s="2" t="s">
        <v>10</v>
      </c>
      <c r="E4129" s="2" t="s">
        <v>11</v>
      </c>
      <c r="F4129" s="2">
        <v>2</v>
      </c>
      <c r="G4129" s="2" t="s">
        <v>12</v>
      </c>
    </row>
    <row r="4130" spans="1:7" x14ac:dyDescent="0.2">
      <c r="A4130" s="2" t="s">
        <v>5282</v>
      </c>
      <c r="B4130" s="2" t="s">
        <v>1398</v>
      </c>
      <c r="C4130" s="2" t="s">
        <v>1394</v>
      </c>
      <c r="D4130" s="2" t="s">
        <v>10</v>
      </c>
      <c r="E4130" s="2" t="s">
        <v>11</v>
      </c>
      <c r="F4130" s="2">
        <v>2</v>
      </c>
      <c r="G4130" s="2" t="s">
        <v>12</v>
      </c>
    </row>
    <row r="4131" spans="1:7" x14ac:dyDescent="0.2">
      <c r="A4131" s="2" t="s">
        <v>5283</v>
      </c>
      <c r="B4131" s="2" t="s">
        <v>5284</v>
      </c>
      <c r="C4131" s="2" t="s">
        <v>5285</v>
      </c>
      <c r="D4131" s="2" t="s">
        <v>10</v>
      </c>
      <c r="E4131" s="2" t="s">
        <v>16</v>
      </c>
      <c r="F4131" s="2">
        <v>1</v>
      </c>
      <c r="G4131" s="2" t="s">
        <v>17</v>
      </c>
    </row>
    <row r="4132" spans="1:7" x14ac:dyDescent="0.2">
      <c r="A4132" s="2" t="s">
        <v>5286</v>
      </c>
      <c r="B4132" s="2" t="s">
        <v>5287</v>
      </c>
      <c r="C4132" s="2" t="s">
        <v>5288</v>
      </c>
      <c r="D4132" s="2" t="s">
        <v>10</v>
      </c>
      <c r="E4132" s="2" t="s">
        <v>16</v>
      </c>
      <c r="F4132" s="2">
        <v>1</v>
      </c>
      <c r="G4132" s="2" t="s">
        <v>17</v>
      </c>
    </row>
    <row r="4133" spans="1:7" x14ac:dyDescent="0.2">
      <c r="A4133" s="2" t="s">
        <v>5289</v>
      </c>
      <c r="B4133" s="2" t="s">
        <v>5290</v>
      </c>
      <c r="C4133" s="2" t="s">
        <v>5291</v>
      </c>
      <c r="D4133" s="2" t="s">
        <v>10</v>
      </c>
      <c r="E4133" s="2" t="s">
        <v>16</v>
      </c>
      <c r="F4133" s="2">
        <v>1</v>
      </c>
      <c r="G4133" s="2" t="s">
        <v>17</v>
      </c>
    </row>
    <row r="4134" spans="1:7" x14ac:dyDescent="0.2">
      <c r="A4134" s="2" t="s">
        <v>5289</v>
      </c>
      <c r="B4134" s="2" t="s">
        <v>5292</v>
      </c>
      <c r="C4134" s="2" t="s">
        <v>5291</v>
      </c>
      <c r="D4134" s="2" t="s">
        <v>10</v>
      </c>
      <c r="E4134" s="2" t="s">
        <v>16</v>
      </c>
      <c r="F4134" s="2">
        <v>1</v>
      </c>
      <c r="G4134" s="2" t="s">
        <v>17</v>
      </c>
    </row>
    <row r="4135" spans="1:7" x14ac:dyDescent="0.2">
      <c r="A4135" s="2" t="s">
        <v>5293</v>
      </c>
      <c r="B4135" s="2" t="s">
        <v>5294</v>
      </c>
      <c r="C4135" s="2" t="s">
        <v>5295</v>
      </c>
      <c r="D4135" s="2" t="s">
        <v>10</v>
      </c>
      <c r="E4135" s="2" t="s">
        <v>16</v>
      </c>
      <c r="F4135" s="2">
        <v>2</v>
      </c>
      <c r="G4135" s="2" t="s">
        <v>17</v>
      </c>
    </row>
    <row r="4136" spans="1:7" x14ac:dyDescent="0.2">
      <c r="A4136" s="2" t="s">
        <v>5293</v>
      </c>
      <c r="B4136" s="2" t="s">
        <v>5296</v>
      </c>
      <c r="C4136" s="2" t="s">
        <v>5295</v>
      </c>
      <c r="D4136" s="2" t="s">
        <v>10</v>
      </c>
      <c r="E4136" s="2" t="s">
        <v>16</v>
      </c>
      <c r="F4136" s="2">
        <v>2</v>
      </c>
      <c r="G4136" s="2" t="s">
        <v>17</v>
      </c>
    </row>
    <row r="4137" spans="1:7" x14ac:dyDescent="0.2">
      <c r="A4137" s="2" t="s">
        <v>5297</v>
      </c>
      <c r="B4137" s="2" t="s">
        <v>5298</v>
      </c>
      <c r="C4137" s="2" t="s">
        <v>5299</v>
      </c>
      <c r="D4137" s="2" t="s">
        <v>10</v>
      </c>
      <c r="E4137" s="2" t="s">
        <v>16</v>
      </c>
      <c r="F4137" s="2">
        <v>1</v>
      </c>
      <c r="G4137" s="2" t="s">
        <v>17</v>
      </c>
    </row>
    <row r="4138" spans="1:7" x14ac:dyDescent="0.2">
      <c r="A4138" s="2" t="s">
        <v>5297</v>
      </c>
      <c r="B4138" s="2" t="s">
        <v>5300</v>
      </c>
      <c r="C4138" s="2" t="s">
        <v>5299</v>
      </c>
      <c r="D4138" s="2" t="s">
        <v>10</v>
      </c>
      <c r="E4138" s="2" t="s">
        <v>16</v>
      </c>
      <c r="F4138" s="2">
        <v>1</v>
      </c>
      <c r="G4138" s="2" t="s">
        <v>17</v>
      </c>
    </row>
    <row r="4139" spans="1:7" x14ac:dyDescent="0.2">
      <c r="A4139" s="2" t="s">
        <v>5301</v>
      </c>
      <c r="B4139" s="2" t="s">
        <v>5302</v>
      </c>
      <c r="C4139" s="2" t="s">
        <v>5303</v>
      </c>
      <c r="D4139" s="2" t="s">
        <v>10</v>
      </c>
      <c r="E4139" s="2" t="s">
        <v>16</v>
      </c>
      <c r="F4139" s="2">
        <v>1</v>
      </c>
      <c r="G4139" s="2" t="s">
        <v>17</v>
      </c>
    </row>
    <row r="4140" spans="1:7" x14ac:dyDescent="0.2">
      <c r="A4140" s="2" t="s">
        <v>5301</v>
      </c>
      <c r="B4140" s="2" t="s">
        <v>4582</v>
      </c>
      <c r="C4140" s="2" t="s">
        <v>5304</v>
      </c>
      <c r="D4140" s="2" t="s">
        <v>10</v>
      </c>
      <c r="E4140" s="2" t="s">
        <v>16</v>
      </c>
      <c r="F4140" s="2">
        <v>1</v>
      </c>
      <c r="G4140" s="2" t="s">
        <v>17</v>
      </c>
    </row>
    <row r="4141" spans="1:7" x14ac:dyDescent="0.2">
      <c r="A4141" s="2" t="s">
        <v>5301</v>
      </c>
      <c r="B4141" s="2" t="s">
        <v>5305</v>
      </c>
      <c r="C4141" s="2" t="s">
        <v>5304</v>
      </c>
      <c r="D4141" s="2" t="s">
        <v>10</v>
      </c>
      <c r="E4141" s="2" t="s">
        <v>16</v>
      </c>
      <c r="F4141" s="2">
        <v>1</v>
      </c>
      <c r="G4141" s="2" t="s">
        <v>17</v>
      </c>
    </row>
    <row r="4142" spans="1:7" x14ac:dyDescent="0.2">
      <c r="A4142" s="2" t="s">
        <v>5301</v>
      </c>
      <c r="B4142" s="2" t="s">
        <v>5306</v>
      </c>
      <c r="C4142" s="2" t="s">
        <v>5307</v>
      </c>
      <c r="D4142" s="2" t="s">
        <v>10</v>
      </c>
      <c r="E4142" s="2" t="s">
        <v>16</v>
      </c>
      <c r="F4142" s="2">
        <v>1</v>
      </c>
      <c r="G4142" s="2" t="s">
        <v>17</v>
      </c>
    </row>
    <row r="4143" spans="1:7" x14ac:dyDescent="0.2">
      <c r="A4143" s="2" t="s">
        <v>5301</v>
      </c>
      <c r="B4143" s="2" t="s">
        <v>5308</v>
      </c>
      <c r="C4143" s="2" t="s">
        <v>5309</v>
      </c>
      <c r="D4143" s="2" t="s">
        <v>10</v>
      </c>
      <c r="E4143" s="2" t="s">
        <v>16</v>
      </c>
      <c r="F4143" s="2">
        <v>2</v>
      </c>
      <c r="G4143" s="2" t="s">
        <v>17</v>
      </c>
    </row>
    <row r="4144" spans="1:7" x14ac:dyDescent="0.2">
      <c r="A4144" s="2" t="s">
        <v>5301</v>
      </c>
      <c r="B4144" s="2" t="s">
        <v>5310</v>
      </c>
      <c r="C4144" s="2" t="s">
        <v>5307</v>
      </c>
      <c r="D4144" s="2" t="s">
        <v>10</v>
      </c>
      <c r="E4144" s="2" t="s">
        <v>16</v>
      </c>
      <c r="F4144" s="2">
        <v>1</v>
      </c>
      <c r="G4144" s="2" t="s">
        <v>17</v>
      </c>
    </row>
    <row r="4145" spans="1:7" x14ac:dyDescent="0.2">
      <c r="A4145" s="2" t="s">
        <v>5301</v>
      </c>
      <c r="B4145" s="2" t="s">
        <v>5311</v>
      </c>
      <c r="C4145" s="2" t="s">
        <v>5309</v>
      </c>
      <c r="D4145" s="2" t="s">
        <v>10</v>
      </c>
      <c r="E4145" s="2" t="s">
        <v>16</v>
      </c>
      <c r="F4145" s="2">
        <v>2</v>
      </c>
      <c r="G4145" s="2" t="s">
        <v>17</v>
      </c>
    </row>
    <row r="4146" spans="1:7" x14ac:dyDescent="0.2">
      <c r="A4146" s="2" t="s">
        <v>5301</v>
      </c>
      <c r="B4146" s="2" t="s">
        <v>5312</v>
      </c>
      <c r="C4146" s="2" t="s">
        <v>5307</v>
      </c>
      <c r="D4146" s="2" t="s">
        <v>10</v>
      </c>
      <c r="E4146" s="2" t="s">
        <v>16</v>
      </c>
      <c r="F4146" s="2">
        <v>1</v>
      </c>
      <c r="G4146" s="2" t="s">
        <v>17</v>
      </c>
    </row>
    <row r="4147" spans="1:7" x14ac:dyDescent="0.2">
      <c r="A4147" s="2" t="s">
        <v>5301</v>
      </c>
      <c r="B4147" s="2" t="s">
        <v>5313</v>
      </c>
      <c r="C4147" s="2" t="s">
        <v>5307</v>
      </c>
      <c r="D4147" s="2" t="s">
        <v>10</v>
      </c>
      <c r="E4147" s="2" t="s">
        <v>16</v>
      </c>
      <c r="F4147" s="2">
        <v>1</v>
      </c>
      <c r="G4147" s="2" t="s">
        <v>17</v>
      </c>
    </row>
    <row r="4148" spans="1:7" x14ac:dyDescent="0.2">
      <c r="A4148" s="2" t="s">
        <v>5314</v>
      </c>
      <c r="B4148" s="2" t="s">
        <v>5290</v>
      </c>
      <c r="C4148" s="2" t="s">
        <v>2206</v>
      </c>
      <c r="D4148" s="2" t="s">
        <v>10</v>
      </c>
      <c r="E4148" s="2" t="s">
        <v>16</v>
      </c>
      <c r="F4148" s="2">
        <v>2</v>
      </c>
      <c r="G4148" s="2" t="s">
        <v>17</v>
      </c>
    </row>
    <row r="4149" spans="1:7" x14ac:dyDescent="0.2">
      <c r="A4149" s="2" t="s">
        <v>5314</v>
      </c>
      <c r="B4149" s="2" t="s">
        <v>5315</v>
      </c>
      <c r="C4149" s="2" t="s">
        <v>2216</v>
      </c>
      <c r="D4149" s="2" t="s">
        <v>10</v>
      </c>
      <c r="E4149" s="2" t="s">
        <v>16</v>
      </c>
      <c r="F4149" s="2">
        <v>2</v>
      </c>
      <c r="G4149" s="2" t="s">
        <v>17</v>
      </c>
    </row>
    <row r="4150" spans="1:7" x14ac:dyDescent="0.2">
      <c r="A4150" s="2" t="s">
        <v>5314</v>
      </c>
      <c r="B4150" s="2" t="s">
        <v>5316</v>
      </c>
      <c r="C4150" s="2" t="s">
        <v>2224</v>
      </c>
      <c r="D4150" s="2" t="s">
        <v>10</v>
      </c>
      <c r="E4150" s="2" t="s">
        <v>16</v>
      </c>
      <c r="F4150" s="2">
        <v>2</v>
      </c>
      <c r="G4150" s="2" t="s">
        <v>17</v>
      </c>
    </row>
    <row r="4151" spans="1:7" x14ac:dyDescent="0.2">
      <c r="A4151" s="2" t="s">
        <v>5314</v>
      </c>
      <c r="B4151" s="2" t="s">
        <v>5317</v>
      </c>
      <c r="C4151" s="2" t="s">
        <v>2224</v>
      </c>
      <c r="D4151" s="2" t="s">
        <v>10</v>
      </c>
      <c r="E4151" s="2" t="s">
        <v>16</v>
      </c>
      <c r="F4151" s="2">
        <v>2</v>
      </c>
      <c r="G4151" s="2" t="s">
        <v>17</v>
      </c>
    </row>
    <row r="4152" spans="1:7" x14ac:dyDescent="0.2">
      <c r="A4152" s="2" t="s">
        <v>5318</v>
      </c>
      <c r="B4152" s="2" t="s">
        <v>3264</v>
      </c>
      <c r="C4152" s="2" t="s">
        <v>3265</v>
      </c>
      <c r="D4152" s="2" t="s">
        <v>10</v>
      </c>
      <c r="E4152" s="2" t="s">
        <v>52</v>
      </c>
      <c r="F4152" s="2">
        <v>1</v>
      </c>
      <c r="G4152" s="2" t="s">
        <v>17</v>
      </c>
    </row>
    <row r="4153" spans="1:7" x14ac:dyDescent="0.2">
      <c r="A4153" s="2" t="s">
        <v>5318</v>
      </c>
      <c r="B4153" s="2" t="s">
        <v>3266</v>
      </c>
      <c r="C4153" s="2" t="s">
        <v>3265</v>
      </c>
      <c r="D4153" s="2" t="s">
        <v>10</v>
      </c>
      <c r="E4153" s="2" t="s">
        <v>52</v>
      </c>
      <c r="F4153" s="2">
        <v>1</v>
      </c>
      <c r="G4153" s="2" t="s">
        <v>17</v>
      </c>
    </row>
    <row r="4154" spans="1:7" x14ac:dyDescent="0.2">
      <c r="A4154" s="2" t="s">
        <v>5319</v>
      </c>
      <c r="B4154" s="2" t="s">
        <v>2612</v>
      </c>
      <c r="C4154" s="2" t="s">
        <v>2613</v>
      </c>
      <c r="D4154" s="2" t="s">
        <v>10</v>
      </c>
      <c r="E4154" s="2" t="s">
        <v>16</v>
      </c>
      <c r="F4154" s="2">
        <v>1</v>
      </c>
      <c r="G4154" s="2" t="s">
        <v>17</v>
      </c>
    </row>
    <row r="4155" spans="1:7" x14ac:dyDescent="0.2">
      <c r="A4155" s="2" t="s">
        <v>5320</v>
      </c>
      <c r="B4155" s="2" t="s">
        <v>5321</v>
      </c>
      <c r="C4155" s="2" t="s">
        <v>5322</v>
      </c>
      <c r="D4155" s="2" t="s">
        <v>10</v>
      </c>
      <c r="E4155" s="2" t="s">
        <v>16</v>
      </c>
      <c r="F4155" s="2">
        <v>1</v>
      </c>
      <c r="G4155" s="2" t="s">
        <v>17</v>
      </c>
    </row>
    <row r="4156" spans="1:7" x14ac:dyDescent="0.2">
      <c r="A4156" s="2" t="s">
        <v>5323</v>
      </c>
      <c r="B4156" s="2" t="s">
        <v>132</v>
      </c>
      <c r="C4156" s="2" t="s">
        <v>133</v>
      </c>
      <c r="D4156" s="2" t="s">
        <v>10</v>
      </c>
      <c r="E4156" s="2" t="s">
        <v>52</v>
      </c>
      <c r="F4156" s="2">
        <v>1</v>
      </c>
      <c r="G4156" s="2" t="s">
        <v>17</v>
      </c>
    </row>
    <row r="4157" spans="1:7" x14ac:dyDescent="0.2">
      <c r="A4157" s="2" t="s">
        <v>5324</v>
      </c>
      <c r="B4157" s="2">
        <v>90</v>
      </c>
      <c r="C4157" s="2" t="s">
        <v>5325</v>
      </c>
      <c r="D4157" s="2" t="s">
        <v>10</v>
      </c>
      <c r="E4157" s="2" t="s">
        <v>16</v>
      </c>
      <c r="F4157" s="2">
        <v>1</v>
      </c>
      <c r="G4157" s="2" t="s">
        <v>17</v>
      </c>
    </row>
    <row r="4158" spans="1:7" x14ac:dyDescent="0.2">
      <c r="A4158" s="2" t="s">
        <v>5324</v>
      </c>
      <c r="B4158" s="2" t="s">
        <v>5326</v>
      </c>
      <c r="C4158" s="2" t="s">
        <v>5325</v>
      </c>
      <c r="D4158" s="2" t="s">
        <v>10</v>
      </c>
      <c r="E4158" s="2" t="s">
        <v>16</v>
      </c>
      <c r="F4158" s="2">
        <v>1</v>
      </c>
      <c r="G4158" s="2" t="s">
        <v>17</v>
      </c>
    </row>
    <row r="4159" spans="1:7" x14ac:dyDescent="0.2">
      <c r="A4159" s="2" t="s">
        <v>5324</v>
      </c>
      <c r="B4159" s="2" t="s">
        <v>5327</v>
      </c>
      <c r="C4159" s="2" t="s">
        <v>5325</v>
      </c>
      <c r="D4159" s="2" t="s">
        <v>10</v>
      </c>
      <c r="E4159" s="2" t="s">
        <v>16</v>
      </c>
      <c r="F4159" s="2">
        <v>1</v>
      </c>
      <c r="G4159" s="2" t="s">
        <v>17</v>
      </c>
    </row>
    <row r="4160" spans="1:7" x14ac:dyDescent="0.2">
      <c r="A4160" s="2" t="s">
        <v>5324</v>
      </c>
      <c r="B4160" s="2" t="s">
        <v>5328</v>
      </c>
      <c r="C4160" s="2" t="s">
        <v>5325</v>
      </c>
      <c r="D4160" s="2" t="s">
        <v>10</v>
      </c>
      <c r="E4160" s="2" t="s">
        <v>16</v>
      </c>
      <c r="F4160" s="2">
        <v>1</v>
      </c>
      <c r="G4160" s="2" t="s">
        <v>17</v>
      </c>
    </row>
    <row r="4161" spans="1:7" x14ac:dyDescent="0.2">
      <c r="A4161" s="2" t="s">
        <v>5324</v>
      </c>
      <c r="B4161" s="2" t="s">
        <v>177</v>
      </c>
      <c r="C4161" s="2" t="s">
        <v>5325</v>
      </c>
      <c r="D4161" s="2" t="s">
        <v>10</v>
      </c>
      <c r="E4161" s="2" t="s">
        <v>16</v>
      </c>
      <c r="F4161" s="2">
        <v>1</v>
      </c>
      <c r="G4161" s="2" t="s">
        <v>17</v>
      </c>
    </row>
    <row r="4162" spans="1:7" x14ac:dyDescent="0.2">
      <c r="A4162" s="2" t="s">
        <v>5329</v>
      </c>
      <c r="B4162" s="2" t="s">
        <v>5330</v>
      </c>
      <c r="C4162" s="2" t="s">
        <v>5331</v>
      </c>
      <c r="D4162" s="2" t="s">
        <v>10</v>
      </c>
      <c r="E4162" s="2" t="s">
        <v>16</v>
      </c>
      <c r="F4162" s="2">
        <v>1</v>
      </c>
      <c r="G4162" s="2" t="s">
        <v>17</v>
      </c>
    </row>
    <row r="4163" spans="1:7" x14ac:dyDescent="0.2">
      <c r="A4163" s="2" t="s">
        <v>5329</v>
      </c>
      <c r="B4163" s="2" t="s">
        <v>5332</v>
      </c>
      <c r="C4163" s="2" t="s">
        <v>5333</v>
      </c>
      <c r="D4163" s="2" t="s">
        <v>10</v>
      </c>
      <c r="E4163" s="2" t="s">
        <v>16</v>
      </c>
      <c r="F4163" s="2">
        <v>1</v>
      </c>
      <c r="G4163" s="2" t="s">
        <v>17</v>
      </c>
    </row>
    <row r="4164" spans="1:7" x14ac:dyDescent="0.2">
      <c r="A4164" s="2" t="s">
        <v>5329</v>
      </c>
      <c r="B4164" s="2" t="s">
        <v>5334</v>
      </c>
      <c r="C4164" s="2" t="s">
        <v>5335</v>
      </c>
      <c r="D4164" s="2" t="s">
        <v>10</v>
      </c>
      <c r="E4164" s="2" t="s">
        <v>16</v>
      </c>
      <c r="F4164" s="2">
        <v>1</v>
      </c>
      <c r="G4164" s="2" t="s">
        <v>17</v>
      </c>
    </row>
    <row r="4165" spans="1:7" x14ac:dyDescent="0.2">
      <c r="A4165" s="2" t="s">
        <v>5329</v>
      </c>
      <c r="B4165" s="2" t="s">
        <v>5336</v>
      </c>
      <c r="C4165" s="2" t="s">
        <v>5335</v>
      </c>
      <c r="D4165" s="2" t="s">
        <v>10</v>
      </c>
      <c r="E4165" s="2" t="s">
        <v>16</v>
      </c>
      <c r="F4165" s="2">
        <v>1</v>
      </c>
      <c r="G4165" s="2" t="s">
        <v>17</v>
      </c>
    </row>
    <row r="4166" spans="1:7" x14ac:dyDescent="0.2">
      <c r="A4166" s="2" t="s">
        <v>5329</v>
      </c>
      <c r="B4166" s="2" t="s">
        <v>5337</v>
      </c>
      <c r="C4166" s="2" t="s">
        <v>5335</v>
      </c>
      <c r="D4166" s="2" t="s">
        <v>10</v>
      </c>
      <c r="E4166" s="2" t="s">
        <v>16</v>
      </c>
      <c r="F4166" s="2">
        <v>1</v>
      </c>
      <c r="G4166" s="2" t="s">
        <v>17</v>
      </c>
    </row>
    <row r="4167" spans="1:7" x14ac:dyDescent="0.2">
      <c r="A4167" s="2" t="s">
        <v>5329</v>
      </c>
      <c r="B4167" s="2" t="s">
        <v>5338</v>
      </c>
      <c r="C4167" s="2" t="s">
        <v>5339</v>
      </c>
      <c r="D4167" s="2" t="s">
        <v>10</v>
      </c>
      <c r="E4167" s="2" t="s">
        <v>16</v>
      </c>
      <c r="F4167" s="2">
        <v>1</v>
      </c>
      <c r="G4167" s="2" t="s">
        <v>17</v>
      </c>
    </row>
    <row r="4168" spans="1:7" x14ac:dyDescent="0.2">
      <c r="A4168" s="2" t="s">
        <v>5329</v>
      </c>
      <c r="B4168" s="2" t="s">
        <v>5340</v>
      </c>
      <c r="C4168" s="2" t="s">
        <v>5341</v>
      </c>
      <c r="D4168" s="2" t="s">
        <v>10</v>
      </c>
      <c r="E4168" s="2" t="s">
        <v>52</v>
      </c>
      <c r="F4168" s="2">
        <v>1</v>
      </c>
      <c r="G4168" s="2" t="s">
        <v>17</v>
      </c>
    </row>
    <row r="4169" spans="1:7" x14ac:dyDescent="0.2">
      <c r="A4169" s="2" t="s">
        <v>5329</v>
      </c>
      <c r="B4169" s="2" t="s">
        <v>5342</v>
      </c>
      <c r="C4169" s="2" t="s">
        <v>5343</v>
      </c>
      <c r="D4169" s="2" t="s">
        <v>10</v>
      </c>
      <c r="E4169" s="2" t="s">
        <v>16</v>
      </c>
      <c r="F4169" s="2">
        <v>1</v>
      </c>
      <c r="G4169" s="2" t="s">
        <v>17</v>
      </c>
    </row>
    <row r="4170" spans="1:7" x14ac:dyDescent="0.2">
      <c r="A4170" s="2" t="s">
        <v>5344</v>
      </c>
      <c r="B4170" s="2" t="s">
        <v>590</v>
      </c>
      <c r="C4170" s="2" t="s">
        <v>591</v>
      </c>
      <c r="D4170" s="2" t="s">
        <v>56</v>
      </c>
      <c r="E4170" s="2" t="s">
        <v>52</v>
      </c>
      <c r="F4170" s="2">
        <v>1</v>
      </c>
      <c r="G4170" s="2" t="s">
        <v>17</v>
      </c>
    </row>
    <row r="4171" spans="1:7" x14ac:dyDescent="0.2">
      <c r="A4171" s="2" t="s">
        <v>5344</v>
      </c>
      <c r="B4171" s="2" t="s">
        <v>4481</v>
      </c>
      <c r="C4171" s="2" t="s">
        <v>4482</v>
      </c>
      <c r="D4171" s="2" t="s">
        <v>10</v>
      </c>
      <c r="E4171" s="2" t="s">
        <v>11</v>
      </c>
      <c r="F4171" s="2">
        <v>1</v>
      </c>
      <c r="G4171" s="2" t="s">
        <v>17</v>
      </c>
    </row>
    <row r="4172" spans="1:7" x14ac:dyDescent="0.2">
      <c r="A4172" s="2" t="s">
        <v>5344</v>
      </c>
      <c r="B4172" s="2" t="s">
        <v>4484</v>
      </c>
      <c r="C4172" s="2" t="s">
        <v>4485</v>
      </c>
      <c r="D4172" s="2" t="s">
        <v>10</v>
      </c>
      <c r="E4172" s="2" t="s">
        <v>11</v>
      </c>
      <c r="F4172" s="2">
        <v>1</v>
      </c>
      <c r="G4172" s="2" t="s">
        <v>12</v>
      </c>
    </row>
    <row r="4173" spans="1:7" x14ac:dyDescent="0.2">
      <c r="A4173" s="2" t="s">
        <v>5344</v>
      </c>
      <c r="B4173" s="2" t="s">
        <v>4488</v>
      </c>
      <c r="C4173" s="2" t="s">
        <v>4482</v>
      </c>
      <c r="D4173" s="2" t="s">
        <v>10</v>
      </c>
      <c r="E4173" s="2" t="s">
        <v>11</v>
      </c>
      <c r="F4173" s="2">
        <v>1</v>
      </c>
      <c r="G4173" s="2" t="s">
        <v>17</v>
      </c>
    </row>
    <row r="4174" spans="1:7" x14ac:dyDescent="0.2">
      <c r="A4174" s="2" t="s">
        <v>5344</v>
      </c>
      <c r="B4174" s="2" t="s">
        <v>5345</v>
      </c>
      <c r="C4174" s="2" t="s">
        <v>995</v>
      </c>
      <c r="D4174" s="2" t="s">
        <v>10</v>
      </c>
      <c r="E4174" s="2" t="s">
        <v>11</v>
      </c>
      <c r="F4174" s="2">
        <v>2</v>
      </c>
      <c r="G4174" s="2" t="s">
        <v>12</v>
      </c>
    </row>
    <row r="4175" spans="1:7" x14ac:dyDescent="0.2">
      <c r="A4175" s="2" t="s">
        <v>5344</v>
      </c>
      <c r="B4175" s="2" t="s">
        <v>2118</v>
      </c>
      <c r="C4175" s="2" t="s">
        <v>2116</v>
      </c>
      <c r="D4175" s="2" t="s">
        <v>10</v>
      </c>
      <c r="E4175" s="2" t="s">
        <v>11</v>
      </c>
      <c r="F4175" s="2">
        <v>1</v>
      </c>
      <c r="G4175" s="2" t="s">
        <v>12</v>
      </c>
    </row>
    <row r="4176" spans="1:7" x14ac:dyDescent="0.2">
      <c r="A4176" s="2" t="s">
        <v>5344</v>
      </c>
      <c r="B4176" s="2" t="s">
        <v>4138</v>
      </c>
      <c r="C4176" s="2" t="s">
        <v>1758</v>
      </c>
      <c r="D4176" s="2" t="s">
        <v>10</v>
      </c>
      <c r="E4176" s="2" t="s">
        <v>11</v>
      </c>
      <c r="F4176" s="2">
        <v>1</v>
      </c>
      <c r="G4176" s="2" t="s">
        <v>12</v>
      </c>
    </row>
    <row r="4177" spans="1:7" x14ac:dyDescent="0.2">
      <c r="A4177" s="2" t="s">
        <v>5344</v>
      </c>
      <c r="B4177" s="2" t="s">
        <v>5346</v>
      </c>
      <c r="C4177" s="2" t="s">
        <v>591</v>
      </c>
      <c r="D4177" s="2" t="s">
        <v>56</v>
      </c>
      <c r="E4177" s="2" t="s">
        <v>52</v>
      </c>
      <c r="F4177" s="2">
        <v>1</v>
      </c>
      <c r="G4177" s="2" t="s">
        <v>17</v>
      </c>
    </row>
    <row r="4178" spans="1:7" x14ac:dyDescent="0.2">
      <c r="A4178" s="2" t="s">
        <v>5344</v>
      </c>
      <c r="B4178" s="2" t="s">
        <v>5347</v>
      </c>
      <c r="C4178" s="2" t="s">
        <v>995</v>
      </c>
      <c r="D4178" s="2" t="s">
        <v>10</v>
      </c>
      <c r="E4178" s="2" t="s">
        <v>11</v>
      </c>
      <c r="F4178" s="2">
        <v>2</v>
      </c>
      <c r="G4178" s="2" t="s">
        <v>12</v>
      </c>
    </row>
    <row r="4179" spans="1:7" x14ac:dyDescent="0.2">
      <c r="A4179" s="2" t="s">
        <v>5344</v>
      </c>
      <c r="B4179" s="2" t="s">
        <v>4506</v>
      </c>
      <c r="C4179" s="2" t="s">
        <v>4482</v>
      </c>
      <c r="D4179" s="2" t="s">
        <v>10</v>
      </c>
      <c r="E4179" s="2" t="s">
        <v>11</v>
      </c>
      <c r="F4179" s="2">
        <v>1</v>
      </c>
      <c r="G4179" s="2" t="s">
        <v>17</v>
      </c>
    </row>
    <row r="4180" spans="1:7" x14ac:dyDescent="0.2">
      <c r="A4180" s="2" t="s">
        <v>5344</v>
      </c>
      <c r="B4180" s="2" t="s">
        <v>4507</v>
      </c>
      <c r="C4180" s="2" t="s">
        <v>4485</v>
      </c>
      <c r="D4180" s="2" t="s">
        <v>10</v>
      </c>
      <c r="E4180" s="2" t="s">
        <v>11</v>
      </c>
      <c r="F4180" s="2">
        <v>1</v>
      </c>
      <c r="G4180" s="2" t="s">
        <v>12</v>
      </c>
    </row>
    <row r="4181" spans="1:7" x14ac:dyDescent="0.2">
      <c r="A4181" s="2" t="s">
        <v>5348</v>
      </c>
      <c r="B4181" s="2" t="s">
        <v>5349</v>
      </c>
      <c r="C4181" s="2" t="s">
        <v>5350</v>
      </c>
      <c r="D4181" s="2" t="s">
        <v>10</v>
      </c>
      <c r="E4181" s="2" t="s">
        <v>11</v>
      </c>
      <c r="F4181" s="2">
        <v>2</v>
      </c>
      <c r="G4181" s="2" t="s">
        <v>12</v>
      </c>
    </row>
    <row r="4182" spans="1:7" x14ac:dyDescent="0.2">
      <c r="A4182" s="2" t="s">
        <v>5348</v>
      </c>
      <c r="B4182" s="2" t="s">
        <v>5351</v>
      </c>
      <c r="C4182" s="2" t="s">
        <v>5352</v>
      </c>
      <c r="D4182" s="2" t="s">
        <v>10</v>
      </c>
      <c r="E4182" s="2" t="s">
        <v>16</v>
      </c>
      <c r="F4182" s="2">
        <v>1</v>
      </c>
      <c r="G4182" s="2" t="s">
        <v>17</v>
      </c>
    </row>
    <row r="4183" spans="1:7" x14ac:dyDescent="0.2">
      <c r="A4183" s="2" t="s">
        <v>5348</v>
      </c>
      <c r="B4183" s="2" t="s">
        <v>5353</v>
      </c>
      <c r="C4183" s="2" t="s">
        <v>5354</v>
      </c>
      <c r="D4183" s="2" t="s">
        <v>10</v>
      </c>
      <c r="E4183" s="2" t="s">
        <v>52</v>
      </c>
      <c r="F4183" s="2">
        <v>2</v>
      </c>
      <c r="G4183" s="2" t="s">
        <v>1058</v>
      </c>
    </row>
    <row r="4184" spans="1:7" x14ac:dyDescent="0.2">
      <c r="A4184" s="2" t="s">
        <v>5348</v>
      </c>
      <c r="B4184" s="2" t="s">
        <v>5355</v>
      </c>
      <c r="C4184" s="2" t="s">
        <v>5356</v>
      </c>
      <c r="D4184" s="2" t="s">
        <v>10</v>
      </c>
      <c r="E4184" s="2" t="s">
        <v>16</v>
      </c>
      <c r="F4184" s="2">
        <v>2</v>
      </c>
      <c r="G4184" s="2" t="s">
        <v>12</v>
      </c>
    </row>
    <row r="4185" spans="1:7" x14ac:dyDescent="0.2">
      <c r="A4185" s="2" t="s">
        <v>5348</v>
      </c>
      <c r="B4185" s="2" t="s">
        <v>5357</v>
      </c>
      <c r="C4185" s="2" t="s">
        <v>5358</v>
      </c>
      <c r="D4185" s="2" t="s">
        <v>10</v>
      </c>
      <c r="E4185" s="2" t="s">
        <v>16</v>
      </c>
      <c r="F4185" s="2">
        <v>2</v>
      </c>
      <c r="G4185" s="2" t="s">
        <v>12</v>
      </c>
    </row>
    <row r="4186" spans="1:7" x14ac:dyDescent="0.2">
      <c r="A4186" s="2" t="s">
        <v>5348</v>
      </c>
      <c r="B4186" s="2" t="s">
        <v>5359</v>
      </c>
      <c r="C4186" s="2" t="s">
        <v>5360</v>
      </c>
      <c r="D4186" s="2" t="s">
        <v>10</v>
      </c>
      <c r="E4186" s="2" t="s">
        <v>16</v>
      </c>
      <c r="F4186" s="2">
        <v>2</v>
      </c>
      <c r="G4186" s="2" t="s">
        <v>12</v>
      </c>
    </row>
    <row r="4187" spans="1:7" x14ac:dyDescent="0.2">
      <c r="A4187" s="2" t="s">
        <v>5348</v>
      </c>
      <c r="B4187" s="2" t="s">
        <v>5361</v>
      </c>
      <c r="C4187" s="2" t="s">
        <v>5362</v>
      </c>
      <c r="D4187" s="2" t="s">
        <v>10</v>
      </c>
      <c r="E4187" s="2" t="s">
        <v>16</v>
      </c>
      <c r="F4187" s="2">
        <v>1</v>
      </c>
      <c r="G4187" s="2" t="s">
        <v>17</v>
      </c>
    </row>
    <row r="4188" spans="1:7" x14ac:dyDescent="0.2">
      <c r="A4188" s="2" t="s">
        <v>5348</v>
      </c>
      <c r="B4188" s="2" t="s">
        <v>5363</v>
      </c>
      <c r="C4188" s="2" t="s">
        <v>5354</v>
      </c>
      <c r="D4188" s="2" t="s">
        <v>10</v>
      </c>
      <c r="E4188" s="2" t="s">
        <v>52</v>
      </c>
      <c r="F4188" s="2">
        <v>2</v>
      </c>
      <c r="G4188" s="2" t="s">
        <v>1058</v>
      </c>
    </row>
    <row r="4189" spans="1:7" x14ac:dyDescent="0.2">
      <c r="A4189" s="2" t="s">
        <v>5348</v>
      </c>
      <c r="B4189" s="2" t="s">
        <v>5364</v>
      </c>
      <c r="C4189" s="2" t="s">
        <v>1023</v>
      </c>
      <c r="D4189" s="2" t="s">
        <v>64</v>
      </c>
      <c r="E4189" s="2" t="s">
        <v>16</v>
      </c>
      <c r="F4189" s="2">
        <v>1</v>
      </c>
      <c r="G4189" s="2" t="s">
        <v>17</v>
      </c>
    </row>
    <row r="4190" spans="1:7" x14ac:dyDescent="0.2">
      <c r="A4190" s="2" t="s">
        <v>5348</v>
      </c>
      <c r="B4190" s="2" t="s">
        <v>5365</v>
      </c>
      <c r="C4190" s="2" t="s">
        <v>5352</v>
      </c>
      <c r="D4190" s="2" t="s">
        <v>10</v>
      </c>
      <c r="E4190" s="2" t="s">
        <v>16</v>
      </c>
      <c r="F4190" s="2">
        <v>1</v>
      </c>
      <c r="G4190" s="2" t="s">
        <v>17</v>
      </c>
    </row>
    <row r="4191" spans="1:7" x14ac:dyDescent="0.2">
      <c r="A4191" s="2" t="s">
        <v>5348</v>
      </c>
      <c r="B4191" s="2" t="s">
        <v>5366</v>
      </c>
      <c r="C4191" s="2" t="s">
        <v>4160</v>
      </c>
      <c r="D4191" s="2" t="s">
        <v>10</v>
      </c>
      <c r="E4191" s="2" t="s">
        <v>52</v>
      </c>
      <c r="F4191" s="2">
        <v>2</v>
      </c>
      <c r="G4191" s="2" t="s">
        <v>12</v>
      </c>
    </row>
    <row r="4192" spans="1:7" x14ac:dyDescent="0.2">
      <c r="A4192" s="2" t="s">
        <v>5348</v>
      </c>
      <c r="B4192" s="2" t="s">
        <v>5367</v>
      </c>
      <c r="C4192" s="2" t="s">
        <v>5358</v>
      </c>
      <c r="D4192" s="2" t="s">
        <v>10</v>
      </c>
      <c r="E4192" s="2" t="s">
        <v>16</v>
      </c>
      <c r="F4192" s="2">
        <v>2</v>
      </c>
      <c r="G4192" s="2" t="s">
        <v>12</v>
      </c>
    </row>
    <row r="4193" spans="1:7" x14ac:dyDescent="0.2">
      <c r="A4193" s="2" t="s">
        <v>5348</v>
      </c>
      <c r="B4193" s="2" t="s">
        <v>5368</v>
      </c>
      <c r="C4193" s="2" t="s">
        <v>5356</v>
      </c>
      <c r="D4193" s="2" t="s">
        <v>10</v>
      </c>
      <c r="E4193" s="2" t="s">
        <v>16</v>
      </c>
      <c r="F4193" s="2">
        <v>2</v>
      </c>
      <c r="G4193" s="2" t="s">
        <v>12</v>
      </c>
    </row>
    <row r="4194" spans="1:7" x14ac:dyDescent="0.2">
      <c r="A4194" s="2" t="s">
        <v>5348</v>
      </c>
      <c r="B4194" s="2" t="s">
        <v>5369</v>
      </c>
      <c r="C4194" s="2" t="s">
        <v>5370</v>
      </c>
      <c r="D4194" s="2" t="s">
        <v>10</v>
      </c>
      <c r="E4194" s="2" t="s">
        <v>52</v>
      </c>
      <c r="F4194" s="2">
        <v>2</v>
      </c>
      <c r="G4194" s="2" t="s">
        <v>17</v>
      </c>
    </row>
    <row r="4195" spans="1:7" x14ac:dyDescent="0.2">
      <c r="A4195" s="2" t="s">
        <v>5348</v>
      </c>
      <c r="B4195" s="2" t="s">
        <v>5371</v>
      </c>
      <c r="C4195" s="2" t="s">
        <v>5372</v>
      </c>
      <c r="D4195" s="2" t="s">
        <v>56</v>
      </c>
      <c r="E4195" s="2" t="s">
        <v>52</v>
      </c>
      <c r="F4195" s="2">
        <v>1</v>
      </c>
      <c r="G4195" s="2" t="s">
        <v>17</v>
      </c>
    </row>
    <row r="4196" spans="1:7" x14ac:dyDescent="0.2">
      <c r="A4196" s="2" t="s">
        <v>5348</v>
      </c>
      <c r="B4196" s="2" t="s">
        <v>5373</v>
      </c>
      <c r="C4196" s="2" t="s">
        <v>5358</v>
      </c>
      <c r="D4196" s="2" t="s">
        <v>10</v>
      </c>
      <c r="E4196" s="2" t="s">
        <v>16</v>
      </c>
      <c r="F4196" s="2">
        <v>2</v>
      </c>
      <c r="G4196" s="2" t="s">
        <v>12</v>
      </c>
    </row>
    <row r="4197" spans="1:7" x14ac:dyDescent="0.2">
      <c r="A4197" s="2" t="s">
        <v>5348</v>
      </c>
      <c r="B4197" s="2" t="s">
        <v>5374</v>
      </c>
      <c r="C4197" s="2" t="s">
        <v>1023</v>
      </c>
      <c r="D4197" s="2" t="s">
        <v>64</v>
      </c>
      <c r="E4197" s="2" t="s">
        <v>16</v>
      </c>
      <c r="F4197" s="2">
        <v>1</v>
      </c>
      <c r="G4197" s="2" t="s">
        <v>17</v>
      </c>
    </row>
    <row r="4198" spans="1:7" x14ac:dyDescent="0.2">
      <c r="A4198" s="2" t="s">
        <v>5348</v>
      </c>
      <c r="B4198" s="2" t="s">
        <v>5375</v>
      </c>
      <c r="C4198" s="2" t="s">
        <v>5352</v>
      </c>
      <c r="D4198" s="2" t="s">
        <v>10</v>
      </c>
      <c r="E4198" s="2" t="s">
        <v>16</v>
      </c>
      <c r="F4198" s="2">
        <v>1</v>
      </c>
      <c r="G4198" s="2" t="s">
        <v>17</v>
      </c>
    </row>
    <row r="4199" spans="1:7" x14ac:dyDescent="0.2">
      <c r="A4199" s="2" t="s">
        <v>5348</v>
      </c>
      <c r="B4199" s="2" t="s">
        <v>5376</v>
      </c>
      <c r="C4199" s="2" t="s">
        <v>5377</v>
      </c>
      <c r="D4199" s="2" t="s">
        <v>10</v>
      </c>
      <c r="E4199" s="2" t="s">
        <v>52</v>
      </c>
      <c r="F4199" s="2">
        <v>1</v>
      </c>
      <c r="G4199" s="2" t="s">
        <v>17</v>
      </c>
    </row>
    <row r="4200" spans="1:7" x14ac:dyDescent="0.2">
      <c r="A4200" s="2" t="s">
        <v>5348</v>
      </c>
      <c r="B4200" s="2" t="s">
        <v>5378</v>
      </c>
      <c r="C4200" s="2" t="s">
        <v>5362</v>
      </c>
      <c r="D4200" s="2" t="s">
        <v>10</v>
      </c>
      <c r="E4200" s="2" t="s">
        <v>16</v>
      </c>
      <c r="F4200" s="2">
        <v>1</v>
      </c>
      <c r="G4200" s="2" t="s">
        <v>17</v>
      </c>
    </row>
    <row r="4201" spans="1:7" x14ac:dyDescent="0.2">
      <c r="A4201" s="2" t="s">
        <v>5348</v>
      </c>
      <c r="B4201" s="2" t="s">
        <v>5379</v>
      </c>
      <c r="C4201" s="2" t="s">
        <v>5370</v>
      </c>
      <c r="D4201" s="2" t="s">
        <v>10</v>
      </c>
      <c r="E4201" s="2" t="s">
        <v>52</v>
      </c>
      <c r="F4201" s="2">
        <v>2</v>
      </c>
      <c r="G4201" s="2" t="s">
        <v>17</v>
      </c>
    </row>
    <row r="4202" spans="1:7" x14ac:dyDescent="0.2">
      <c r="A4202" s="2" t="s">
        <v>5348</v>
      </c>
      <c r="B4202" s="2" t="s">
        <v>5380</v>
      </c>
      <c r="C4202" s="2" t="s">
        <v>5354</v>
      </c>
      <c r="D4202" s="2" t="s">
        <v>10</v>
      </c>
      <c r="E4202" s="2" t="s">
        <v>52</v>
      </c>
      <c r="F4202" s="2">
        <v>2</v>
      </c>
      <c r="G4202" s="2" t="s">
        <v>1058</v>
      </c>
    </row>
    <row r="4203" spans="1:7" x14ac:dyDescent="0.2">
      <c r="A4203" s="2" t="s">
        <v>5348</v>
      </c>
      <c r="B4203" s="2" t="s">
        <v>5381</v>
      </c>
      <c r="C4203" s="2" t="s">
        <v>5354</v>
      </c>
      <c r="D4203" s="2" t="s">
        <v>10</v>
      </c>
      <c r="E4203" s="2" t="s">
        <v>52</v>
      </c>
      <c r="F4203" s="2">
        <v>2</v>
      </c>
      <c r="G4203" s="2" t="s">
        <v>1058</v>
      </c>
    </row>
    <row r="4204" spans="1:7" x14ac:dyDescent="0.2">
      <c r="A4204" s="2" t="s">
        <v>5348</v>
      </c>
      <c r="B4204" s="2" t="s">
        <v>5382</v>
      </c>
      <c r="C4204" s="2" t="s">
        <v>5354</v>
      </c>
      <c r="D4204" s="2" t="s">
        <v>10</v>
      </c>
      <c r="E4204" s="2" t="s">
        <v>52</v>
      </c>
      <c r="F4204" s="2">
        <v>2</v>
      </c>
      <c r="G4204" s="2" t="s">
        <v>1058</v>
      </c>
    </row>
    <row r="4205" spans="1:7" x14ac:dyDescent="0.2">
      <c r="A4205" s="2" t="s">
        <v>5348</v>
      </c>
      <c r="B4205" s="2" t="s">
        <v>5383</v>
      </c>
      <c r="C4205" s="2" t="s">
        <v>5350</v>
      </c>
      <c r="D4205" s="2" t="s">
        <v>10</v>
      </c>
      <c r="E4205" s="2" t="s">
        <v>11</v>
      </c>
      <c r="F4205" s="2">
        <v>2</v>
      </c>
      <c r="G4205" s="2" t="s">
        <v>12</v>
      </c>
    </row>
    <row r="4206" spans="1:7" x14ac:dyDescent="0.2">
      <c r="A4206" s="2" t="s">
        <v>5348</v>
      </c>
      <c r="B4206" s="2" t="s">
        <v>5384</v>
      </c>
      <c r="C4206" s="2" t="s">
        <v>5356</v>
      </c>
      <c r="D4206" s="2" t="s">
        <v>10</v>
      </c>
      <c r="E4206" s="2" t="s">
        <v>16</v>
      </c>
      <c r="F4206" s="2">
        <v>2</v>
      </c>
      <c r="G4206" s="2" t="s">
        <v>12</v>
      </c>
    </row>
    <row r="4207" spans="1:7" x14ac:dyDescent="0.2">
      <c r="A4207" s="2" t="s">
        <v>5348</v>
      </c>
      <c r="B4207" s="2" t="s">
        <v>5385</v>
      </c>
      <c r="C4207" s="2" t="s">
        <v>5377</v>
      </c>
      <c r="D4207" s="2" t="s">
        <v>10</v>
      </c>
      <c r="E4207" s="2" t="s">
        <v>52</v>
      </c>
      <c r="F4207" s="2">
        <v>1</v>
      </c>
      <c r="G4207" s="2" t="s">
        <v>17</v>
      </c>
    </row>
    <row r="4208" spans="1:7" x14ac:dyDescent="0.2">
      <c r="A4208" s="2" t="s">
        <v>5348</v>
      </c>
      <c r="B4208" s="2" t="s">
        <v>5386</v>
      </c>
      <c r="C4208" s="2" t="s">
        <v>5360</v>
      </c>
      <c r="D4208" s="2" t="s">
        <v>10</v>
      </c>
      <c r="E4208" s="2" t="s">
        <v>16</v>
      </c>
      <c r="F4208" s="2">
        <v>2</v>
      </c>
      <c r="G4208" s="2" t="s">
        <v>12</v>
      </c>
    </row>
    <row r="4209" spans="1:7" x14ac:dyDescent="0.2">
      <c r="A4209" s="2" t="s">
        <v>5348</v>
      </c>
      <c r="B4209" s="2" t="s">
        <v>5387</v>
      </c>
      <c r="C4209" s="2" t="s">
        <v>5362</v>
      </c>
      <c r="D4209" s="2" t="s">
        <v>10</v>
      </c>
      <c r="E4209" s="2" t="s">
        <v>16</v>
      </c>
      <c r="F4209" s="2">
        <v>1</v>
      </c>
      <c r="G4209" s="2" t="s">
        <v>17</v>
      </c>
    </row>
    <row r="4210" spans="1:7" x14ac:dyDescent="0.2">
      <c r="A4210" s="2" t="s">
        <v>5348</v>
      </c>
      <c r="B4210" s="2" t="s">
        <v>5388</v>
      </c>
      <c r="C4210" s="2" t="s">
        <v>5362</v>
      </c>
      <c r="D4210" s="2" t="s">
        <v>10</v>
      </c>
      <c r="E4210" s="2" t="s">
        <v>16</v>
      </c>
      <c r="F4210" s="2">
        <v>1</v>
      </c>
      <c r="G4210" s="2" t="s">
        <v>17</v>
      </c>
    </row>
    <row r="4211" spans="1:7" x14ac:dyDescent="0.2">
      <c r="A4211" s="2" t="s">
        <v>5348</v>
      </c>
      <c r="B4211" s="2" t="s">
        <v>5389</v>
      </c>
      <c r="C4211" s="2" t="s">
        <v>5362</v>
      </c>
      <c r="D4211" s="2" t="s">
        <v>10</v>
      </c>
      <c r="E4211" s="2" t="s">
        <v>16</v>
      </c>
      <c r="F4211" s="2">
        <v>1</v>
      </c>
      <c r="G4211" s="2" t="s">
        <v>17</v>
      </c>
    </row>
    <row r="4212" spans="1:7" x14ac:dyDescent="0.2">
      <c r="A4212" s="2" t="s">
        <v>5348</v>
      </c>
      <c r="B4212" s="2" t="s">
        <v>5390</v>
      </c>
      <c r="C4212" s="2" t="s">
        <v>5358</v>
      </c>
      <c r="D4212" s="2" t="s">
        <v>10</v>
      </c>
      <c r="E4212" s="2" t="s">
        <v>16</v>
      </c>
      <c r="F4212" s="2">
        <v>2</v>
      </c>
      <c r="G4212" s="2" t="s">
        <v>12</v>
      </c>
    </row>
    <row r="4213" spans="1:7" x14ac:dyDescent="0.2">
      <c r="A4213" s="2" t="s">
        <v>5348</v>
      </c>
      <c r="B4213" s="2" t="s">
        <v>5391</v>
      </c>
      <c r="C4213" s="2" t="s">
        <v>5354</v>
      </c>
      <c r="D4213" s="2" t="s">
        <v>10</v>
      </c>
      <c r="E4213" s="2" t="s">
        <v>52</v>
      </c>
      <c r="F4213" s="2">
        <v>2</v>
      </c>
      <c r="G4213" s="2" t="s">
        <v>1058</v>
      </c>
    </row>
    <row r="4214" spans="1:7" x14ac:dyDescent="0.2">
      <c r="A4214" s="2" t="s">
        <v>5348</v>
      </c>
      <c r="B4214" s="2" t="s">
        <v>5392</v>
      </c>
      <c r="C4214" s="2" t="s">
        <v>5354</v>
      </c>
      <c r="D4214" s="2" t="s">
        <v>10</v>
      </c>
      <c r="E4214" s="2" t="s">
        <v>52</v>
      </c>
      <c r="F4214" s="2">
        <v>2</v>
      </c>
      <c r="G4214" s="2" t="s">
        <v>1058</v>
      </c>
    </row>
    <row r="4215" spans="1:7" x14ac:dyDescent="0.2">
      <c r="A4215" s="2" t="s">
        <v>5348</v>
      </c>
      <c r="B4215" s="2" t="s">
        <v>5393</v>
      </c>
      <c r="C4215" s="2" t="s">
        <v>5354</v>
      </c>
      <c r="D4215" s="2" t="s">
        <v>10</v>
      </c>
      <c r="E4215" s="2" t="s">
        <v>52</v>
      </c>
      <c r="F4215" s="2">
        <v>2</v>
      </c>
      <c r="G4215" s="2" t="s">
        <v>1058</v>
      </c>
    </row>
    <row r="4216" spans="1:7" x14ac:dyDescent="0.2">
      <c r="A4216" s="2" t="s">
        <v>5348</v>
      </c>
      <c r="B4216" s="2" t="s">
        <v>5394</v>
      </c>
      <c r="C4216" s="2" t="s">
        <v>5354</v>
      </c>
      <c r="D4216" s="2" t="s">
        <v>10</v>
      </c>
      <c r="E4216" s="2" t="s">
        <v>52</v>
      </c>
      <c r="F4216" s="2">
        <v>2</v>
      </c>
      <c r="G4216" s="2" t="s">
        <v>1058</v>
      </c>
    </row>
    <row r="4217" spans="1:7" x14ac:dyDescent="0.2">
      <c r="A4217" s="2" t="s">
        <v>5348</v>
      </c>
      <c r="B4217" s="2" t="s">
        <v>5395</v>
      </c>
      <c r="C4217" s="2" t="s">
        <v>5354</v>
      </c>
      <c r="D4217" s="2" t="s">
        <v>10</v>
      </c>
      <c r="E4217" s="2" t="s">
        <v>52</v>
      </c>
      <c r="F4217" s="2">
        <v>2</v>
      </c>
      <c r="G4217" s="2" t="s">
        <v>1058</v>
      </c>
    </row>
    <row r="4218" spans="1:7" x14ac:dyDescent="0.2">
      <c r="A4218" s="2" t="s">
        <v>5348</v>
      </c>
      <c r="B4218" s="2" t="s">
        <v>5396</v>
      </c>
      <c r="C4218" s="2" t="s">
        <v>5354</v>
      </c>
      <c r="D4218" s="2" t="s">
        <v>10</v>
      </c>
      <c r="E4218" s="2" t="s">
        <v>52</v>
      </c>
      <c r="F4218" s="2">
        <v>2</v>
      </c>
      <c r="G4218" s="2" t="s">
        <v>1058</v>
      </c>
    </row>
    <row r="4219" spans="1:7" x14ac:dyDescent="0.2">
      <c r="A4219" s="2" t="s">
        <v>5348</v>
      </c>
      <c r="B4219" s="2" t="s">
        <v>5397</v>
      </c>
      <c r="C4219" s="2" t="s">
        <v>5354</v>
      </c>
      <c r="D4219" s="2" t="s">
        <v>10</v>
      </c>
      <c r="E4219" s="2" t="s">
        <v>52</v>
      </c>
      <c r="F4219" s="2">
        <v>2</v>
      </c>
      <c r="G4219" s="2" t="s">
        <v>1058</v>
      </c>
    </row>
    <row r="4220" spans="1:7" x14ac:dyDescent="0.2">
      <c r="A4220" s="2" t="s">
        <v>5348</v>
      </c>
      <c r="B4220" s="2" t="s">
        <v>5398</v>
      </c>
      <c r="C4220" s="2" t="s">
        <v>5354</v>
      </c>
      <c r="D4220" s="2" t="s">
        <v>10</v>
      </c>
      <c r="E4220" s="2" t="s">
        <v>52</v>
      </c>
      <c r="F4220" s="2">
        <v>2</v>
      </c>
      <c r="G4220" s="2" t="s">
        <v>1058</v>
      </c>
    </row>
    <row r="4221" spans="1:7" x14ac:dyDescent="0.2">
      <c r="A4221" s="2" t="s">
        <v>5348</v>
      </c>
      <c r="B4221" s="2" t="s">
        <v>5399</v>
      </c>
      <c r="C4221" s="2" t="s">
        <v>5354</v>
      </c>
      <c r="D4221" s="2" t="s">
        <v>10</v>
      </c>
      <c r="E4221" s="2" t="s">
        <v>52</v>
      </c>
      <c r="F4221" s="2">
        <v>2</v>
      </c>
      <c r="G4221" s="2" t="s">
        <v>1058</v>
      </c>
    </row>
    <row r="4222" spans="1:7" x14ac:dyDescent="0.2">
      <c r="A4222" s="2" t="s">
        <v>5348</v>
      </c>
      <c r="B4222" s="2" t="s">
        <v>5400</v>
      </c>
      <c r="C4222" s="2" t="s">
        <v>5370</v>
      </c>
      <c r="D4222" s="2" t="s">
        <v>10</v>
      </c>
      <c r="E4222" s="2" t="s">
        <v>52</v>
      </c>
      <c r="F4222" s="2">
        <v>2</v>
      </c>
      <c r="G4222" s="2" t="s">
        <v>17</v>
      </c>
    </row>
    <row r="4223" spans="1:7" x14ac:dyDescent="0.2">
      <c r="A4223" s="2" t="s">
        <v>5348</v>
      </c>
      <c r="B4223" s="2" t="s">
        <v>5401</v>
      </c>
      <c r="C4223" s="2" t="s">
        <v>5370</v>
      </c>
      <c r="D4223" s="2" t="s">
        <v>10</v>
      </c>
      <c r="E4223" s="2" t="s">
        <v>52</v>
      </c>
      <c r="F4223" s="2">
        <v>2</v>
      </c>
      <c r="G4223" s="2" t="s">
        <v>17</v>
      </c>
    </row>
    <row r="4224" spans="1:7" x14ac:dyDescent="0.2">
      <c r="A4224" s="2" t="s">
        <v>5348</v>
      </c>
      <c r="B4224" s="2" t="s">
        <v>5402</v>
      </c>
      <c r="C4224" s="2" t="s">
        <v>5362</v>
      </c>
      <c r="D4224" s="2" t="s">
        <v>10</v>
      </c>
      <c r="E4224" s="2" t="s">
        <v>16</v>
      </c>
      <c r="F4224" s="2">
        <v>1</v>
      </c>
      <c r="G4224" s="2" t="s">
        <v>17</v>
      </c>
    </row>
    <row r="4225" spans="1:7" x14ac:dyDescent="0.2">
      <c r="A4225" s="2" t="s">
        <v>5348</v>
      </c>
      <c r="B4225" s="2" t="s">
        <v>5403</v>
      </c>
      <c r="C4225" s="2" t="s">
        <v>5350</v>
      </c>
      <c r="D4225" s="2" t="s">
        <v>10</v>
      </c>
      <c r="E4225" s="2" t="s">
        <v>11</v>
      </c>
      <c r="F4225" s="2">
        <v>2</v>
      </c>
      <c r="G4225" s="2" t="s">
        <v>12</v>
      </c>
    </row>
    <row r="4226" spans="1:7" x14ac:dyDescent="0.2">
      <c r="A4226" s="2" t="s">
        <v>5348</v>
      </c>
      <c r="B4226" s="2" t="s">
        <v>5404</v>
      </c>
      <c r="C4226" s="2" t="s">
        <v>5354</v>
      </c>
      <c r="D4226" s="2" t="s">
        <v>10</v>
      </c>
      <c r="E4226" s="2" t="s">
        <v>52</v>
      </c>
      <c r="F4226" s="2">
        <v>2</v>
      </c>
      <c r="G4226" s="2" t="s">
        <v>1058</v>
      </c>
    </row>
    <row r="4227" spans="1:7" x14ac:dyDescent="0.2">
      <c r="A4227" s="2" t="s">
        <v>5348</v>
      </c>
      <c r="B4227" s="2" t="s">
        <v>5405</v>
      </c>
      <c r="C4227" s="2" t="s">
        <v>5352</v>
      </c>
      <c r="D4227" s="2" t="s">
        <v>10</v>
      </c>
      <c r="E4227" s="2" t="s">
        <v>16</v>
      </c>
      <c r="F4227" s="2">
        <v>1</v>
      </c>
      <c r="G4227" s="2" t="s">
        <v>17</v>
      </c>
    </row>
    <row r="4228" spans="1:7" x14ac:dyDescent="0.2">
      <c r="A4228" s="2" t="s">
        <v>5348</v>
      </c>
      <c r="B4228" s="2" t="s">
        <v>5406</v>
      </c>
      <c r="C4228" s="2" t="s">
        <v>5352</v>
      </c>
      <c r="D4228" s="2" t="s">
        <v>10</v>
      </c>
      <c r="E4228" s="2" t="s">
        <v>16</v>
      </c>
      <c r="F4228" s="2">
        <v>1</v>
      </c>
      <c r="G4228" s="2" t="s">
        <v>17</v>
      </c>
    </row>
    <row r="4229" spans="1:7" x14ac:dyDescent="0.2">
      <c r="A4229" s="2" t="s">
        <v>5348</v>
      </c>
      <c r="B4229" s="2" t="s">
        <v>5407</v>
      </c>
      <c r="C4229" s="2" t="s">
        <v>5408</v>
      </c>
      <c r="D4229" s="2" t="s">
        <v>10</v>
      </c>
      <c r="E4229" s="2" t="s">
        <v>16</v>
      </c>
      <c r="F4229" s="2">
        <v>1</v>
      </c>
      <c r="G4229" s="2" t="s">
        <v>17</v>
      </c>
    </row>
    <row r="4230" spans="1:7" x14ac:dyDescent="0.2">
      <c r="A4230" s="2" t="s">
        <v>5348</v>
      </c>
      <c r="B4230" s="2" t="s">
        <v>5409</v>
      </c>
      <c r="C4230" s="2" t="s">
        <v>5410</v>
      </c>
      <c r="D4230" s="2" t="s">
        <v>10</v>
      </c>
      <c r="E4230" s="2" t="s">
        <v>16</v>
      </c>
      <c r="F4230" s="2">
        <v>1</v>
      </c>
      <c r="G4230" s="2" t="s">
        <v>17</v>
      </c>
    </row>
    <row r="4231" spans="1:7" x14ac:dyDescent="0.2">
      <c r="A4231" s="2" t="s">
        <v>5348</v>
      </c>
      <c r="B4231" s="2" t="s">
        <v>5411</v>
      </c>
      <c r="C4231" s="2" t="s">
        <v>5412</v>
      </c>
      <c r="D4231" s="2" t="s">
        <v>10</v>
      </c>
      <c r="E4231" s="2" t="s">
        <v>16</v>
      </c>
      <c r="F4231" s="2">
        <v>1</v>
      </c>
      <c r="G4231" s="2" t="s">
        <v>17</v>
      </c>
    </row>
    <row r="4232" spans="1:7" x14ac:dyDescent="0.2">
      <c r="A4232" s="2" t="s">
        <v>5413</v>
      </c>
      <c r="B4232" s="2" t="s">
        <v>5414</v>
      </c>
      <c r="C4232" s="2" t="s">
        <v>5415</v>
      </c>
      <c r="D4232" s="2" t="s">
        <v>10</v>
      </c>
      <c r="E4232" s="2" t="s">
        <v>16</v>
      </c>
      <c r="F4232" s="2">
        <v>1</v>
      </c>
      <c r="G4232" s="2" t="s">
        <v>17</v>
      </c>
    </row>
    <row r="4233" spans="1:7" x14ac:dyDescent="0.2">
      <c r="A4233" s="2" t="s">
        <v>5413</v>
      </c>
      <c r="B4233" s="2" t="s">
        <v>1927</v>
      </c>
      <c r="C4233" s="2" t="s">
        <v>5415</v>
      </c>
      <c r="D4233" s="2" t="s">
        <v>10</v>
      </c>
      <c r="E4233" s="2" t="s">
        <v>16</v>
      </c>
      <c r="F4233" s="2">
        <v>1</v>
      </c>
      <c r="G4233" s="2" t="s">
        <v>17</v>
      </c>
    </row>
    <row r="4234" spans="1:7" x14ac:dyDescent="0.2">
      <c r="A4234" s="2" t="s">
        <v>5416</v>
      </c>
      <c r="B4234" s="2">
        <v>228</v>
      </c>
      <c r="C4234" s="2" t="s">
        <v>4736</v>
      </c>
      <c r="D4234" s="2" t="s">
        <v>10</v>
      </c>
      <c r="E4234" s="2" t="s">
        <v>52</v>
      </c>
      <c r="F4234" s="2">
        <v>2</v>
      </c>
      <c r="G4234" s="2" t="s">
        <v>17</v>
      </c>
    </row>
    <row r="4235" spans="1:7" x14ac:dyDescent="0.2">
      <c r="A4235" s="2" t="s">
        <v>5416</v>
      </c>
      <c r="B4235" s="2">
        <v>328</v>
      </c>
      <c r="C4235" s="2" t="s">
        <v>4727</v>
      </c>
      <c r="D4235" s="2" t="s">
        <v>10</v>
      </c>
      <c r="E4235" s="2" t="s">
        <v>52</v>
      </c>
      <c r="F4235" s="2">
        <v>2</v>
      </c>
      <c r="G4235" s="2" t="s">
        <v>12</v>
      </c>
    </row>
    <row r="4236" spans="1:7" x14ac:dyDescent="0.2">
      <c r="A4236" s="2" t="s">
        <v>5416</v>
      </c>
      <c r="B4236" s="2" t="s">
        <v>5417</v>
      </c>
      <c r="C4236" s="2" t="s">
        <v>9</v>
      </c>
      <c r="D4236" s="2" t="s">
        <v>10</v>
      </c>
      <c r="E4236" s="2" t="s">
        <v>11</v>
      </c>
      <c r="F4236" s="2">
        <v>2</v>
      </c>
      <c r="G4236" s="2" t="s">
        <v>12</v>
      </c>
    </row>
    <row r="4237" spans="1:7" x14ac:dyDescent="0.2">
      <c r="A4237" s="2" t="s">
        <v>5416</v>
      </c>
      <c r="B4237" s="2" t="s">
        <v>5418</v>
      </c>
      <c r="C4237" s="2" t="s">
        <v>9</v>
      </c>
      <c r="D4237" s="2" t="s">
        <v>10</v>
      </c>
      <c r="E4237" s="2" t="s">
        <v>11</v>
      </c>
      <c r="F4237" s="2">
        <v>2</v>
      </c>
      <c r="G4237" s="2" t="s">
        <v>12</v>
      </c>
    </row>
    <row r="4238" spans="1:7" x14ac:dyDescent="0.2">
      <c r="A4238" s="2" t="s">
        <v>5416</v>
      </c>
      <c r="B4238" s="2" t="s">
        <v>5419</v>
      </c>
      <c r="C4238" s="2" t="s">
        <v>9</v>
      </c>
      <c r="D4238" s="2" t="s">
        <v>10</v>
      </c>
      <c r="E4238" s="2" t="s">
        <v>11</v>
      </c>
      <c r="F4238" s="2">
        <v>2</v>
      </c>
      <c r="G4238" s="2" t="s">
        <v>12</v>
      </c>
    </row>
    <row r="4239" spans="1:7" x14ac:dyDescent="0.2">
      <c r="A4239" s="2" t="s">
        <v>5416</v>
      </c>
      <c r="B4239" s="2" t="s">
        <v>5382</v>
      </c>
      <c r="C4239" s="2" t="s">
        <v>5354</v>
      </c>
      <c r="D4239" s="2" t="s">
        <v>10</v>
      </c>
      <c r="E4239" s="2" t="s">
        <v>52</v>
      </c>
      <c r="F4239" s="2">
        <v>2</v>
      </c>
      <c r="G4239" s="2" t="s">
        <v>1058</v>
      </c>
    </row>
    <row r="4240" spans="1:7" x14ac:dyDescent="0.2">
      <c r="A4240" s="2" t="s">
        <v>5416</v>
      </c>
      <c r="B4240" s="2" t="s">
        <v>5398</v>
      </c>
      <c r="C4240" s="2" t="s">
        <v>5354</v>
      </c>
      <c r="D4240" s="2" t="s">
        <v>10</v>
      </c>
      <c r="E4240" s="2" t="s">
        <v>52</v>
      </c>
      <c r="F4240" s="2">
        <v>2</v>
      </c>
      <c r="G4240" s="2" t="s">
        <v>1058</v>
      </c>
    </row>
    <row r="4241" spans="1:7" x14ac:dyDescent="0.2">
      <c r="A4241" s="2" t="s">
        <v>5420</v>
      </c>
      <c r="B4241" s="2" t="s">
        <v>5421</v>
      </c>
      <c r="C4241" s="2" t="s">
        <v>5377</v>
      </c>
      <c r="D4241" s="2" t="s">
        <v>10</v>
      </c>
      <c r="E4241" s="2" t="s">
        <v>52</v>
      </c>
      <c r="F4241" s="2">
        <v>1</v>
      </c>
      <c r="G4241" s="2" t="s">
        <v>17</v>
      </c>
    </row>
    <row r="4242" spans="1:7" x14ac:dyDescent="0.2">
      <c r="A4242" s="2" t="s">
        <v>5420</v>
      </c>
      <c r="B4242" s="2" t="s">
        <v>5422</v>
      </c>
      <c r="C4242" s="2" t="s">
        <v>5423</v>
      </c>
      <c r="D4242" s="2" t="s">
        <v>56</v>
      </c>
      <c r="E4242" s="2" t="s">
        <v>16</v>
      </c>
      <c r="F4242" s="2">
        <v>1</v>
      </c>
      <c r="G4242" s="2" t="s">
        <v>17</v>
      </c>
    </row>
    <row r="4243" spans="1:7" x14ac:dyDescent="0.2">
      <c r="A4243" s="2" t="s">
        <v>5420</v>
      </c>
      <c r="B4243" s="2" t="s">
        <v>5366</v>
      </c>
      <c r="C4243" s="2" t="s">
        <v>4160</v>
      </c>
      <c r="D4243" s="2" t="s">
        <v>10</v>
      </c>
      <c r="E4243" s="2" t="s">
        <v>52</v>
      </c>
      <c r="F4243" s="2">
        <v>2</v>
      </c>
      <c r="G4243" s="2" t="s">
        <v>12</v>
      </c>
    </row>
    <row r="4244" spans="1:7" x14ac:dyDescent="0.2">
      <c r="A4244" s="2" t="s">
        <v>5420</v>
      </c>
      <c r="B4244" s="2" t="s">
        <v>5424</v>
      </c>
      <c r="C4244" s="2" t="s">
        <v>4160</v>
      </c>
      <c r="D4244" s="2" t="s">
        <v>10</v>
      </c>
      <c r="E4244" s="2" t="s">
        <v>52</v>
      </c>
      <c r="F4244" s="2">
        <v>2</v>
      </c>
      <c r="G4244" s="2" t="s">
        <v>12</v>
      </c>
    </row>
    <row r="4245" spans="1:7" x14ac:dyDescent="0.2">
      <c r="A4245" s="2" t="s">
        <v>5420</v>
      </c>
      <c r="B4245" s="2" t="s">
        <v>5371</v>
      </c>
      <c r="C4245" s="2" t="s">
        <v>5372</v>
      </c>
      <c r="D4245" s="2" t="s">
        <v>56</v>
      </c>
      <c r="E4245" s="2" t="s">
        <v>52</v>
      </c>
      <c r="F4245" s="2">
        <v>1</v>
      </c>
      <c r="G4245" s="2" t="s">
        <v>17</v>
      </c>
    </row>
    <row r="4246" spans="1:7" x14ac:dyDescent="0.2">
      <c r="A4246" s="2" t="s">
        <v>5420</v>
      </c>
      <c r="B4246" s="2" t="s">
        <v>5376</v>
      </c>
      <c r="C4246" s="2" t="s">
        <v>5377</v>
      </c>
      <c r="D4246" s="2" t="s">
        <v>10</v>
      </c>
      <c r="E4246" s="2" t="s">
        <v>52</v>
      </c>
      <c r="F4246" s="2">
        <v>1</v>
      </c>
      <c r="G4246" s="2" t="s">
        <v>17</v>
      </c>
    </row>
    <row r="4247" spans="1:7" x14ac:dyDescent="0.2">
      <c r="A4247" s="2" t="s">
        <v>5420</v>
      </c>
      <c r="B4247" s="2" t="s">
        <v>5425</v>
      </c>
      <c r="C4247" s="2" t="s">
        <v>5423</v>
      </c>
      <c r="D4247" s="2" t="s">
        <v>56</v>
      </c>
      <c r="E4247" s="2" t="s">
        <v>16</v>
      </c>
      <c r="F4247" s="2">
        <v>1</v>
      </c>
      <c r="G4247" s="2" t="s">
        <v>17</v>
      </c>
    </row>
    <row r="4248" spans="1:7" x14ac:dyDescent="0.2">
      <c r="A4248" s="2" t="s">
        <v>5420</v>
      </c>
      <c r="B4248" s="2" t="s">
        <v>3855</v>
      </c>
      <c r="C4248" s="2" t="s">
        <v>5423</v>
      </c>
      <c r="D4248" s="2" t="s">
        <v>56</v>
      </c>
      <c r="E4248" s="2" t="s">
        <v>16</v>
      </c>
      <c r="F4248" s="2">
        <v>1</v>
      </c>
      <c r="G4248" s="2" t="s">
        <v>17</v>
      </c>
    </row>
    <row r="4249" spans="1:7" x14ac:dyDescent="0.2">
      <c r="A4249" s="2" t="s">
        <v>5420</v>
      </c>
      <c r="B4249" s="2" t="s">
        <v>5426</v>
      </c>
      <c r="C4249" s="2" t="s">
        <v>5423</v>
      </c>
      <c r="D4249" s="2" t="s">
        <v>56</v>
      </c>
      <c r="E4249" s="2" t="s">
        <v>16</v>
      </c>
      <c r="F4249" s="2">
        <v>1</v>
      </c>
      <c r="G4249" s="2" t="s">
        <v>17</v>
      </c>
    </row>
    <row r="4250" spans="1:7" x14ac:dyDescent="0.2">
      <c r="A4250" s="2" t="s">
        <v>5420</v>
      </c>
      <c r="B4250" s="2" t="s">
        <v>5385</v>
      </c>
      <c r="C4250" s="2" t="s">
        <v>5377</v>
      </c>
      <c r="D4250" s="2" t="s">
        <v>10</v>
      </c>
      <c r="E4250" s="2" t="s">
        <v>52</v>
      </c>
      <c r="F4250" s="2">
        <v>1</v>
      </c>
      <c r="G4250" s="2" t="s">
        <v>17</v>
      </c>
    </row>
    <row r="4251" spans="1:7" x14ac:dyDescent="0.2">
      <c r="A4251" s="2" t="s">
        <v>5420</v>
      </c>
      <c r="B4251" s="2" t="s">
        <v>5427</v>
      </c>
      <c r="C4251" s="2" t="s">
        <v>5377</v>
      </c>
      <c r="D4251" s="2" t="s">
        <v>10</v>
      </c>
      <c r="E4251" s="2" t="s">
        <v>52</v>
      </c>
      <c r="F4251" s="2">
        <v>1</v>
      </c>
      <c r="G4251" s="2" t="s">
        <v>17</v>
      </c>
    </row>
    <row r="4252" spans="1:7" x14ac:dyDescent="0.2">
      <c r="A4252" s="2" t="s">
        <v>5420</v>
      </c>
      <c r="B4252" s="2" t="s">
        <v>2033</v>
      </c>
      <c r="C4252" s="2" t="s">
        <v>5423</v>
      </c>
      <c r="D4252" s="2" t="s">
        <v>56</v>
      </c>
      <c r="E4252" s="2" t="s">
        <v>16</v>
      </c>
      <c r="F4252" s="2">
        <v>1</v>
      </c>
      <c r="G4252" s="2" t="s">
        <v>17</v>
      </c>
    </row>
    <row r="4253" spans="1:7" x14ac:dyDescent="0.2">
      <c r="A4253" s="2" t="s">
        <v>5420</v>
      </c>
      <c r="B4253" s="2" t="s">
        <v>5428</v>
      </c>
      <c r="C4253" s="2" t="s">
        <v>5423</v>
      </c>
      <c r="D4253" s="2" t="s">
        <v>56</v>
      </c>
      <c r="E4253" s="2" t="s">
        <v>16</v>
      </c>
      <c r="F4253" s="2">
        <v>1</v>
      </c>
      <c r="G4253" s="2" t="s">
        <v>17</v>
      </c>
    </row>
    <row r="4254" spans="1:7" x14ac:dyDescent="0.2">
      <c r="A4254" s="2" t="s">
        <v>5420</v>
      </c>
      <c r="B4254" s="2" t="s">
        <v>5429</v>
      </c>
      <c r="C4254" s="2" t="s">
        <v>5423</v>
      </c>
      <c r="D4254" s="2" t="s">
        <v>56</v>
      </c>
      <c r="E4254" s="2" t="s">
        <v>16</v>
      </c>
      <c r="F4254" s="2">
        <v>1</v>
      </c>
      <c r="G4254" s="2" t="s">
        <v>17</v>
      </c>
    </row>
    <row r="4255" spans="1:7" x14ac:dyDescent="0.2">
      <c r="A4255" s="2" t="s">
        <v>5420</v>
      </c>
      <c r="B4255" s="2" t="s">
        <v>5430</v>
      </c>
      <c r="C4255" s="2" t="s">
        <v>5423</v>
      </c>
      <c r="D4255" s="2" t="s">
        <v>56</v>
      </c>
      <c r="E4255" s="2" t="s">
        <v>16</v>
      </c>
      <c r="F4255" s="2">
        <v>1</v>
      </c>
      <c r="G4255" s="2" t="s">
        <v>17</v>
      </c>
    </row>
    <row r="4256" spans="1:7" x14ac:dyDescent="0.2">
      <c r="A4256" s="2" t="s">
        <v>5431</v>
      </c>
      <c r="B4256" s="2" t="s">
        <v>5363</v>
      </c>
      <c r="C4256" s="2" t="s">
        <v>5354</v>
      </c>
      <c r="D4256" s="2" t="s">
        <v>10</v>
      </c>
      <c r="E4256" s="2" t="s">
        <v>52</v>
      </c>
      <c r="F4256" s="2">
        <v>2</v>
      </c>
      <c r="G4256" s="2" t="s">
        <v>1058</v>
      </c>
    </row>
    <row r="4257" spans="1:7" x14ac:dyDescent="0.2">
      <c r="A4257" s="2" t="s">
        <v>5431</v>
      </c>
      <c r="B4257" s="2" t="s">
        <v>5369</v>
      </c>
      <c r="C4257" s="2" t="s">
        <v>5370</v>
      </c>
      <c r="D4257" s="2" t="s">
        <v>10</v>
      </c>
      <c r="E4257" s="2" t="s">
        <v>52</v>
      </c>
      <c r="F4257" s="2">
        <v>2</v>
      </c>
      <c r="G4257" s="2" t="s">
        <v>17</v>
      </c>
    </row>
    <row r="4258" spans="1:7" x14ac:dyDescent="0.2">
      <c r="A4258" s="2" t="s">
        <v>5431</v>
      </c>
      <c r="B4258" s="2" t="s">
        <v>5379</v>
      </c>
      <c r="C4258" s="2" t="s">
        <v>5370</v>
      </c>
      <c r="D4258" s="2" t="s">
        <v>10</v>
      </c>
      <c r="E4258" s="2" t="s">
        <v>52</v>
      </c>
      <c r="F4258" s="2">
        <v>2</v>
      </c>
      <c r="G4258" s="2" t="s">
        <v>17</v>
      </c>
    </row>
    <row r="4259" spans="1:7" x14ac:dyDescent="0.2">
      <c r="A4259" s="2" t="s">
        <v>5431</v>
      </c>
      <c r="B4259" s="2" t="s">
        <v>5380</v>
      </c>
      <c r="C4259" s="2" t="s">
        <v>5354</v>
      </c>
      <c r="D4259" s="2" t="s">
        <v>10</v>
      </c>
      <c r="E4259" s="2" t="s">
        <v>52</v>
      </c>
      <c r="F4259" s="2">
        <v>2</v>
      </c>
      <c r="G4259" s="2" t="s">
        <v>1058</v>
      </c>
    </row>
    <row r="4260" spans="1:7" x14ac:dyDescent="0.2">
      <c r="A4260" s="2" t="s">
        <v>5431</v>
      </c>
      <c r="B4260" s="2" t="s">
        <v>5382</v>
      </c>
      <c r="C4260" s="2" t="s">
        <v>5354</v>
      </c>
      <c r="D4260" s="2" t="s">
        <v>10</v>
      </c>
      <c r="E4260" s="2" t="s">
        <v>52</v>
      </c>
      <c r="F4260" s="2">
        <v>2</v>
      </c>
      <c r="G4260" s="2" t="s">
        <v>1058</v>
      </c>
    </row>
    <row r="4261" spans="1:7" x14ac:dyDescent="0.2">
      <c r="A4261" s="2" t="s">
        <v>5431</v>
      </c>
      <c r="B4261" s="2" t="s">
        <v>5432</v>
      </c>
      <c r="C4261" s="2" t="s">
        <v>5370</v>
      </c>
      <c r="D4261" s="2" t="s">
        <v>10</v>
      </c>
      <c r="E4261" s="2" t="s">
        <v>52</v>
      </c>
      <c r="F4261" s="2">
        <v>2</v>
      </c>
      <c r="G4261" s="2" t="s">
        <v>17</v>
      </c>
    </row>
    <row r="4262" spans="1:7" x14ac:dyDescent="0.2">
      <c r="A4262" s="2" t="s">
        <v>5431</v>
      </c>
      <c r="B4262" s="2" t="s">
        <v>5433</v>
      </c>
      <c r="C4262" s="2" t="s">
        <v>5354</v>
      </c>
      <c r="D4262" s="2" t="s">
        <v>10</v>
      </c>
      <c r="E4262" s="2" t="s">
        <v>52</v>
      </c>
      <c r="F4262" s="2">
        <v>2</v>
      </c>
      <c r="G4262" s="2" t="s">
        <v>1058</v>
      </c>
    </row>
    <row r="4263" spans="1:7" x14ac:dyDescent="0.2">
      <c r="A4263" s="2" t="s">
        <v>5431</v>
      </c>
      <c r="B4263" s="2" t="s">
        <v>5392</v>
      </c>
      <c r="C4263" s="2" t="s">
        <v>5354</v>
      </c>
      <c r="D4263" s="2" t="s">
        <v>10</v>
      </c>
      <c r="E4263" s="2" t="s">
        <v>52</v>
      </c>
      <c r="F4263" s="2">
        <v>2</v>
      </c>
      <c r="G4263" s="2" t="s">
        <v>1058</v>
      </c>
    </row>
    <row r="4264" spans="1:7" x14ac:dyDescent="0.2">
      <c r="A4264" s="2" t="s">
        <v>5431</v>
      </c>
      <c r="B4264" s="2" t="s">
        <v>5393</v>
      </c>
      <c r="C4264" s="2" t="s">
        <v>5354</v>
      </c>
      <c r="D4264" s="2" t="s">
        <v>10</v>
      </c>
      <c r="E4264" s="2" t="s">
        <v>52</v>
      </c>
      <c r="F4264" s="2">
        <v>2</v>
      </c>
      <c r="G4264" s="2" t="s">
        <v>1058</v>
      </c>
    </row>
    <row r="4265" spans="1:7" x14ac:dyDescent="0.2">
      <c r="A4265" s="2" t="s">
        <v>5431</v>
      </c>
      <c r="B4265" s="2" t="s">
        <v>5394</v>
      </c>
      <c r="C4265" s="2" t="s">
        <v>5354</v>
      </c>
      <c r="D4265" s="2" t="s">
        <v>10</v>
      </c>
      <c r="E4265" s="2" t="s">
        <v>52</v>
      </c>
      <c r="F4265" s="2">
        <v>2</v>
      </c>
      <c r="G4265" s="2" t="s">
        <v>1058</v>
      </c>
    </row>
    <row r="4266" spans="1:7" x14ac:dyDescent="0.2">
      <c r="A4266" s="2" t="s">
        <v>5431</v>
      </c>
      <c r="B4266" s="2" t="s">
        <v>5399</v>
      </c>
      <c r="C4266" s="2" t="s">
        <v>5354</v>
      </c>
      <c r="D4266" s="2" t="s">
        <v>10</v>
      </c>
      <c r="E4266" s="2" t="s">
        <v>52</v>
      </c>
      <c r="F4266" s="2">
        <v>2</v>
      </c>
      <c r="G4266" s="2" t="s">
        <v>1058</v>
      </c>
    </row>
    <row r="4267" spans="1:7" x14ac:dyDescent="0.2">
      <c r="A4267" s="2" t="s">
        <v>5431</v>
      </c>
      <c r="B4267" s="2" t="s">
        <v>5400</v>
      </c>
      <c r="C4267" s="2" t="s">
        <v>5370</v>
      </c>
      <c r="D4267" s="2" t="s">
        <v>10</v>
      </c>
      <c r="E4267" s="2" t="s">
        <v>52</v>
      </c>
      <c r="F4267" s="2">
        <v>2</v>
      </c>
      <c r="G4267" s="2" t="s">
        <v>17</v>
      </c>
    </row>
    <row r="4268" spans="1:7" x14ac:dyDescent="0.2">
      <c r="A4268" s="2" t="s">
        <v>5431</v>
      </c>
      <c r="B4268" s="2" t="s">
        <v>5401</v>
      </c>
      <c r="C4268" s="2" t="s">
        <v>5370</v>
      </c>
      <c r="D4268" s="2" t="s">
        <v>10</v>
      </c>
      <c r="E4268" s="2" t="s">
        <v>52</v>
      </c>
      <c r="F4268" s="2">
        <v>2</v>
      </c>
      <c r="G4268" s="2" t="s">
        <v>17</v>
      </c>
    </row>
    <row r="4269" spans="1:7" x14ac:dyDescent="0.2">
      <c r="A4269" s="2" t="s">
        <v>5434</v>
      </c>
      <c r="B4269" s="2" t="s">
        <v>5435</v>
      </c>
      <c r="C4269" s="2" t="s">
        <v>5436</v>
      </c>
      <c r="D4269" s="2" t="s">
        <v>10</v>
      </c>
      <c r="E4269" s="2" t="s">
        <v>16</v>
      </c>
      <c r="F4269" s="2">
        <v>1</v>
      </c>
      <c r="G4269" s="2" t="s">
        <v>17</v>
      </c>
    </row>
    <row r="4270" spans="1:7" x14ac:dyDescent="0.2">
      <c r="A4270" s="2" t="s">
        <v>5434</v>
      </c>
      <c r="B4270" s="2" t="s">
        <v>4106</v>
      </c>
      <c r="C4270" s="2" t="s">
        <v>5437</v>
      </c>
      <c r="D4270" s="2" t="s">
        <v>10</v>
      </c>
      <c r="E4270" s="2" t="s">
        <v>52</v>
      </c>
      <c r="F4270" s="2" t="s">
        <v>5438</v>
      </c>
      <c r="G4270" s="2" t="s">
        <v>12</v>
      </c>
    </row>
    <row r="4271" spans="1:7" x14ac:dyDescent="0.2">
      <c r="A4271" s="2" t="s">
        <v>5434</v>
      </c>
      <c r="B4271" s="2" t="s">
        <v>2648</v>
      </c>
      <c r="C4271" s="2" t="s">
        <v>2649</v>
      </c>
      <c r="D4271" s="2" t="s">
        <v>10</v>
      </c>
      <c r="E4271" s="2" t="s">
        <v>16</v>
      </c>
      <c r="F4271" s="2">
        <v>1</v>
      </c>
      <c r="G4271" s="2" t="s">
        <v>17</v>
      </c>
    </row>
    <row r="4272" spans="1:7" x14ac:dyDescent="0.2">
      <c r="A4272" s="2" t="s">
        <v>5439</v>
      </c>
      <c r="B4272" s="2" t="s">
        <v>5440</v>
      </c>
      <c r="C4272" s="2" t="s">
        <v>2630</v>
      </c>
      <c r="D4272" s="2" t="s">
        <v>10</v>
      </c>
      <c r="E4272" s="2" t="s">
        <v>16</v>
      </c>
      <c r="F4272" s="2">
        <v>1</v>
      </c>
      <c r="G4272" s="2" t="s">
        <v>17</v>
      </c>
    </row>
    <row r="4273" spans="1:7" x14ac:dyDescent="0.2">
      <c r="A4273" s="2" t="s">
        <v>5441</v>
      </c>
      <c r="B4273" s="2" t="s">
        <v>5442</v>
      </c>
      <c r="C4273" s="2" t="s">
        <v>5443</v>
      </c>
      <c r="D4273" s="2" t="s">
        <v>10</v>
      </c>
      <c r="E4273" s="2" t="s">
        <v>16</v>
      </c>
      <c r="F4273" s="2">
        <v>1</v>
      </c>
      <c r="G4273" s="2" t="s">
        <v>17</v>
      </c>
    </row>
    <row r="4274" spans="1:7" x14ac:dyDescent="0.2">
      <c r="A4274" s="2" t="s">
        <v>5444</v>
      </c>
      <c r="B4274" s="2" t="s">
        <v>5445</v>
      </c>
      <c r="C4274" s="2" t="s">
        <v>5446</v>
      </c>
      <c r="D4274" s="2" t="s">
        <v>10</v>
      </c>
      <c r="E4274" s="2" t="s">
        <v>16</v>
      </c>
      <c r="F4274" s="2">
        <v>1</v>
      </c>
      <c r="G4274" s="2" t="s">
        <v>17</v>
      </c>
    </row>
    <row r="4275" spans="1:7" x14ac:dyDescent="0.2">
      <c r="A4275" s="2" t="s">
        <v>5444</v>
      </c>
      <c r="B4275" s="2" t="s">
        <v>5447</v>
      </c>
      <c r="C4275" s="2" t="s">
        <v>5446</v>
      </c>
      <c r="D4275" s="2" t="s">
        <v>10</v>
      </c>
      <c r="E4275" s="2" t="s">
        <v>16</v>
      </c>
      <c r="F4275" s="2">
        <v>1</v>
      </c>
      <c r="G4275" s="2" t="s">
        <v>17</v>
      </c>
    </row>
    <row r="4276" spans="1:7" x14ac:dyDescent="0.2">
      <c r="A4276" s="2" t="s">
        <v>5448</v>
      </c>
      <c r="B4276" s="2" t="s">
        <v>5449</v>
      </c>
      <c r="C4276" s="2" t="s">
        <v>5450</v>
      </c>
      <c r="D4276" s="2" t="s">
        <v>10</v>
      </c>
      <c r="E4276" s="2" t="s">
        <v>52</v>
      </c>
      <c r="F4276" s="2">
        <v>1</v>
      </c>
      <c r="G4276" s="2" t="s">
        <v>17</v>
      </c>
    </row>
    <row r="4277" spans="1:7" x14ac:dyDescent="0.2">
      <c r="A4277" s="2" t="s">
        <v>5448</v>
      </c>
      <c r="B4277" s="2" t="s">
        <v>5451</v>
      </c>
      <c r="C4277" s="2" t="s">
        <v>5452</v>
      </c>
      <c r="D4277" s="2" t="s">
        <v>10</v>
      </c>
      <c r="E4277" s="2" t="s">
        <v>52</v>
      </c>
      <c r="F4277" s="2">
        <v>1</v>
      </c>
      <c r="G4277" s="2" t="s">
        <v>17</v>
      </c>
    </row>
    <row r="4278" spans="1:7" x14ac:dyDescent="0.2">
      <c r="A4278" s="2" t="s">
        <v>5453</v>
      </c>
      <c r="B4278" s="2" t="s">
        <v>5454</v>
      </c>
      <c r="C4278" s="2" t="s">
        <v>104</v>
      </c>
      <c r="D4278" s="2" t="s">
        <v>10</v>
      </c>
      <c r="E4278" s="2" t="s">
        <v>16</v>
      </c>
      <c r="F4278" s="2">
        <v>1</v>
      </c>
      <c r="G4278" s="2" t="s">
        <v>17</v>
      </c>
    </row>
    <row r="4279" spans="1:7" x14ac:dyDescent="0.2">
      <c r="A4279" s="2" t="s">
        <v>5453</v>
      </c>
      <c r="B4279" s="2" t="s">
        <v>3241</v>
      </c>
      <c r="C4279" s="2" t="s">
        <v>325</v>
      </c>
      <c r="D4279" s="2" t="s">
        <v>10</v>
      </c>
      <c r="E4279" s="2" t="s">
        <v>16</v>
      </c>
      <c r="F4279" s="2">
        <v>1</v>
      </c>
      <c r="G4279" s="2" t="s">
        <v>17</v>
      </c>
    </row>
    <row r="4280" spans="1:7" x14ac:dyDescent="0.2">
      <c r="A4280" s="2" t="s">
        <v>5453</v>
      </c>
      <c r="B4280" s="2" t="s">
        <v>5455</v>
      </c>
      <c r="C4280" s="2" t="s">
        <v>5456</v>
      </c>
      <c r="D4280" s="2" t="s">
        <v>10</v>
      </c>
      <c r="E4280" s="2" t="s">
        <v>16</v>
      </c>
      <c r="F4280" s="2">
        <v>1</v>
      </c>
      <c r="G4280" s="2" t="s">
        <v>17</v>
      </c>
    </row>
    <row r="4281" spans="1:7" x14ac:dyDescent="0.2">
      <c r="A4281" s="2" t="s">
        <v>5453</v>
      </c>
      <c r="B4281" s="2" t="s">
        <v>5457</v>
      </c>
      <c r="C4281" s="2" t="s">
        <v>325</v>
      </c>
      <c r="D4281" s="2" t="s">
        <v>10</v>
      </c>
      <c r="E4281" s="2" t="s">
        <v>16</v>
      </c>
      <c r="F4281" s="2">
        <v>1</v>
      </c>
      <c r="G4281" s="2" t="s">
        <v>17</v>
      </c>
    </row>
    <row r="4282" spans="1:7" x14ac:dyDescent="0.2">
      <c r="A4282" s="2" t="s">
        <v>5453</v>
      </c>
      <c r="B4282" s="2" t="s">
        <v>5458</v>
      </c>
      <c r="C4282" s="2" t="s">
        <v>325</v>
      </c>
      <c r="D4282" s="2" t="s">
        <v>10</v>
      </c>
      <c r="E4282" s="2" t="s">
        <v>16</v>
      </c>
      <c r="F4282" s="2">
        <v>1</v>
      </c>
      <c r="G4282" s="2" t="s">
        <v>17</v>
      </c>
    </row>
    <row r="4283" spans="1:7" x14ac:dyDescent="0.2">
      <c r="A4283" s="2" t="s">
        <v>5453</v>
      </c>
      <c r="B4283" s="2" t="s">
        <v>5459</v>
      </c>
      <c r="C4283" s="2" t="s">
        <v>325</v>
      </c>
      <c r="D4283" s="2" t="s">
        <v>10</v>
      </c>
      <c r="E4283" s="2" t="s">
        <v>16</v>
      </c>
      <c r="F4283" s="2">
        <v>1</v>
      </c>
      <c r="G4283" s="2" t="s">
        <v>17</v>
      </c>
    </row>
    <row r="4284" spans="1:7" x14ac:dyDescent="0.2">
      <c r="A4284" s="2" t="s">
        <v>5453</v>
      </c>
      <c r="B4284" s="2" t="s">
        <v>5460</v>
      </c>
      <c r="C4284" s="2" t="s">
        <v>5461</v>
      </c>
      <c r="D4284" s="2" t="s">
        <v>10</v>
      </c>
      <c r="E4284" s="2" t="s">
        <v>16</v>
      </c>
      <c r="F4284" s="2">
        <v>1</v>
      </c>
      <c r="G4284" s="2" t="s">
        <v>17</v>
      </c>
    </row>
    <row r="4285" spans="1:7" x14ac:dyDescent="0.2">
      <c r="A4285" s="2" t="s">
        <v>5453</v>
      </c>
      <c r="B4285" s="2" t="s">
        <v>5462</v>
      </c>
      <c r="C4285" s="2" t="s">
        <v>5461</v>
      </c>
      <c r="D4285" s="2" t="s">
        <v>10</v>
      </c>
      <c r="E4285" s="2" t="s">
        <v>16</v>
      </c>
      <c r="F4285" s="2">
        <v>1</v>
      </c>
      <c r="G4285" s="2" t="s">
        <v>17</v>
      </c>
    </row>
    <row r="4286" spans="1:7" x14ac:dyDescent="0.2">
      <c r="A4286" s="2" t="s">
        <v>5453</v>
      </c>
      <c r="B4286" s="2" t="s">
        <v>5463</v>
      </c>
      <c r="C4286" s="2" t="s">
        <v>104</v>
      </c>
      <c r="D4286" s="2" t="s">
        <v>10</v>
      </c>
      <c r="E4286" s="2" t="s">
        <v>16</v>
      </c>
      <c r="F4286" s="2">
        <v>1</v>
      </c>
      <c r="G4286" s="2" t="s">
        <v>17</v>
      </c>
    </row>
    <row r="4287" spans="1:7" x14ac:dyDescent="0.2">
      <c r="A4287" s="2" t="s">
        <v>5453</v>
      </c>
      <c r="B4287" s="2" t="s">
        <v>4139</v>
      </c>
      <c r="C4287" s="2" t="s">
        <v>5464</v>
      </c>
      <c r="D4287" s="2" t="s">
        <v>10</v>
      </c>
      <c r="E4287" s="2" t="s">
        <v>16</v>
      </c>
      <c r="F4287" s="2">
        <v>1</v>
      </c>
      <c r="G4287" s="2" t="s">
        <v>17</v>
      </c>
    </row>
    <row r="4288" spans="1:7" x14ac:dyDescent="0.2">
      <c r="A4288" s="2" t="s">
        <v>5453</v>
      </c>
      <c r="B4288" s="2" t="s">
        <v>5465</v>
      </c>
      <c r="C4288" s="2" t="s">
        <v>5464</v>
      </c>
      <c r="D4288" s="2" t="s">
        <v>10</v>
      </c>
      <c r="E4288" s="2" t="s">
        <v>16</v>
      </c>
      <c r="F4288" s="2">
        <v>1</v>
      </c>
      <c r="G4288" s="2" t="s">
        <v>17</v>
      </c>
    </row>
    <row r="4289" spans="1:7" x14ac:dyDescent="0.2">
      <c r="A4289" s="2" t="s">
        <v>5453</v>
      </c>
      <c r="B4289" s="2" t="s">
        <v>5466</v>
      </c>
      <c r="C4289" s="2" t="s">
        <v>325</v>
      </c>
      <c r="D4289" s="2" t="s">
        <v>10</v>
      </c>
      <c r="E4289" s="2" t="s">
        <v>16</v>
      </c>
      <c r="F4289" s="2">
        <v>1</v>
      </c>
      <c r="G4289" s="2" t="s">
        <v>17</v>
      </c>
    </row>
    <row r="4290" spans="1:7" x14ac:dyDescent="0.2">
      <c r="A4290" s="2" t="s">
        <v>5467</v>
      </c>
      <c r="B4290" s="2" t="s">
        <v>5468</v>
      </c>
      <c r="C4290" s="2" t="s">
        <v>5469</v>
      </c>
      <c r="D4290" s="2" t="s">
        <v>56</v>
      </c>
      <c r="E4290" s="2" t="s">
        <v>52</v>
      </c>
      <c r="F4290" s="2">
        <v>1</v>
      </c>
      <c r="G4290" s="2" t="s">
        <v>17</v>
      </c>
    </row>
    <row r="4291" spans="1:7" x14ac:dyDescent="0.2">
      <c r="A4291" s="2" t="s">
        <v>5467</v>
      </c>
      <c r="B4291" s="2" t="s">
        <v>5470</v>
      </c>
      <c r="C4291" s="2" t="s">
        <v>5469</v>
      </c>
      <c r="D4291" s="2" t="s">
        <v>56</v>
      </c>
      <c r="E4291" s="2" t="s">
        <v>52</v>
      </c>
      <c r="F4291" s="2">
        <v>1</v>
      </c>
      <c r="G4291" s="2" t="s">
        <v>17</v>
      </c>
    </row>
    <row r="4292" spans="1:7" x14ac:dyDescent="0.2">
      <c r="A4292" s="2" t="s">
        <v>5471</v>
      </c>
      <c r="B4292" s="2" t="s">
        <v>5472</v>
      </c>
      <c r="C4292" s="2" t="s">
        <v>5473</v>
      </c>
      <c r="D4292" s="2" t="s">
        <v>10</v>
      </c>
      <c r="E4292" s="2" t="s">
        <v>16</v>
      </c>
      <c r="F4292" s="2">
        <v>1</v>
      </c>
      <c r="G4292" s="2" t="s">
        <v>17</v>
      </c>
    </row>
    <row r="4293" spans="1:7" x14ac:dyDescent="0.2">
      <c r="A4293" s="2" t="s">
        <v>5474</v>
      </c>
      <c r="B4293" s="2" t="s">
        <v>5475</v>
      </c>
      <c r="C4293" s="2" t="s">
        <v>5476</v>
      </c>
      <c r="D4293" s="2" t="s">
        <v>10</v>
      </c>
      <c r="E4293" s="2" t="s">
        <v>16</v>
      </c>
      <c r="F4293" s="2">
        <v>1</v>
      </c>
      <c r="G4293" s="2" t="s">
        <v>17</v>
      </c>
    </row>
    <row r="4294" spans="1:7" x14ac:dyDescent="0.2">
      <c r="A4294" s="2" t="s">
        <v>5474</v>
      </c>
      <c r="B4294" s="2" t="s">
        <v>5477</v>
      </c>
      <c r="C4294" s="2" t="s">
        <v>5476</v>
      </c>
      <c r="D4294" s="2" t="s">
        <v>10</v>
      </c>
      <c r="E4294" s="2" t="s">
        <v>16</v>
      </c>
      <c r="F4294" s="2">
        <v>1</v>
      </c>
      <c r="G4294" s="2" t="s">
        <v>17</v>
      </c>
    </row>
    <row r="4295" spans="1:7" x14ac:dyDescent="0.2">
      <c r="A4295" s="2" t="s">
        <v>5478</v>
      </c>
      <c r="B4295" s="2" t="s">
        <v>5479</v>
      </c>
      <c r="C4295" s="2" t="s">
        <v>5480</v>
      </c>
      <c r="D4295" s="2" t="s">
        <v>10</v>
      </c>
      <c r="E4295" s="2" t="s">
        <v>52</v>
      </c>
      <c r="F4295" s="2">
        <v>1</v>
      </c>
      <c r="G4295" s="2" t="s">
        <v>17</v>
      </c>
    </row>
    <row r="4296" spans="1:7" x14ac:dyDescent="0.2">
      <c r="A4296" s="2" t="s">
        <v>5478</v>
      </c>
      <c r="B4296" s="2" t="s">
        <v>5481</v>
      </c>
      <c r="C4296" s="2" t="s">
        <v>5480</v>
      </c>
      <c r="D4296" s="2" t="s">
        <v>10</v>
      </c>
      <c r="E4296" s="2" t="s">
        <v>52</v>
      </c>
      <c r="F4296" s="2">
        <v>1</v>
      </c>
      <c r="G4296" s="2" t="s">
        <v>17</v>
      </c>
    </row>
    <row r="4297" spans="1:7" x14ac:dyDescent="0.2">
      <c r="A4297" s="2" t="s">
        <v>5482</v>
      </c>
      <c r="B4297" s="2" t="s">
        <v>1024</v>
      </c>
      <c r="C4297" s="2" t="s">
        <v>1025</v>
      </c>
      <c r="D4297" s="2" t="s">
        <v>64</v>
      </c>
      <c r="E4297" s="2" t="s">
        <v>16</v>
      </c>
      <c r="F4297" s="2">
        <v>1</v>
      </c>
      <c r="G4297" s="2" t="s">
        <v>17</v>
      </c>
    </row>
    <row r="4298" spans="1:7" x14ac:dyDescent="0.2">
      <c r="A4298" s="2" t="s">
        <v>5483</v>
      </c>
      <c r="B4298" s="2" t="s">
        <v>5484</v>
      </c>
      <c r="C4298" s="2" t="s">
        <v>5485</v>
      </c>
      <c r="D4298" s="2" t="s">
        <v>64</v>
      </c>
      <c r="E4298" s="2" t="s">
        <v>16</v>
      </c>
      <c r="F4298" s="2">
        <v>1</v>
      </c>
      <c r="G4298" s="2" t="s">
        <v>17</v>
      </c>
    </row>
    <row r="4299" spans="1:7" x14ac:dyDescent="0.2">
      <c r="A4299" s="2" t="s">
        <v>5486</v>
      </c>
      <c r="B4299" s="2" t="s">
        <v>5487</v>
      </c>
      <c r="C4299" s="2" t="s">
        <v>5488</v>
      </c>
      <c r="D4299" s="2" t="s">
        <v>10</v>
      </c>
      <c r="E4299" s="2" t="s">
        <v>16</v>
      </c>
      <c r="F4299" s="2">
        <v>1</v>
      </c>
      <c r="G4299" s="2" t="s">
        <v>17</v>
      </c>
    </row>
    <row r="4300" spans="1:7" x14ac:dyDescent="0.2">
      <c r="A4300" s="2" t="s">
        <v>5486</v>
      </c>
      <c r="B4300" s="2" t="s">
        <v>5489</v>
      </c>
      <c r="C4300" s="2" t="s">
        <v>5490</v>
      </c>
      <c r="D4300" s="2" t="s">
        <v>10</v>
      </c>
      <c r="E4300" s="2" t="s">
        <v>16</v>
      </c>
      <c r="F4300" s="2">
        <v>1</v>
      </c>
      <c r="G4300" s="2" t="s">
        <v>17</v>
      </c>
    </row>
    <row r="4301" spans="1:7" x14ac:dyDescent="0.2">
      <c r="A4301" s="2" t="s">
        <v>5486</v>
      </c>
      <c r="B4301" s="2" t="s">
        <v>5491</v>
      </c>
      <c r="C4301" s="2" t="s">
        <v>5488</v>
      </c>
      <c r="D4301" s="2" t="s">
        <v>10</v>
      </c>
      <c r="E4301" s="2" t="s">
        <v>16</v>
      </c>
      <c r="F4301" s="2">
        <v>1</v>
      </c>
      <c r="G4301" s="2" t="s">
        <v>17</v>
      </c>
    </row>
    <row r="4302" spans="1:7" x14ac:dyDescent="0.2">
      <c r="A4302" s="2" t="s">
        <v>5492</v>
      </c>
      <c r="B4302" s="2" t="s">
        <v>5493</v>
      </c>
      <c r="C4302" s="2" t="s">
        <v>5494</v>
      </c>
      <c r="D4302" s="2" t="s">
        <v>10</v>
      </c>
      <c r="E4302" s="2" t="s">
        <v>16</v>
      </c>
      <c r="F4302" s="2">
        <v>1</v>
      </c>
      <c r="G4302" s="2" t="s">
        <v>17</v>
      </c>
    </row>
    <row r="4303" spans="1:7" x14ac:dyDescent="0.2">
      <c r="A4303" s="2" t="s">
        <v>5492</v>
      </c>
      <c r="B4303" s="2" t="s">
        <v>5495</v>
      </c>
      <c r="C4303" s="2" t="s">
        <v>5494</v>
      </c>
      <c r="D4303" s="2" t="s">
        <v>10</v>
      </c>
      <c r="E4303" s="2" t="s">
        <v>16</v>
      </c>
      <c r="F4303" s="2">
        <v>1</v>
      </c>
      <c r="G4303" s="2" t="s">
        <v>17</v>
      </c>
    </row>
    <row r="4304" spans="1:7" x14ac:dyDescent="0.2">
      <c r="A4304" s="2" t="s">
        <v>5492</v>
      </c>
      <c r="B4304" s="2" t="s">
        <v>5496</v>
      </c>
      <c r="C4304" s="2" t="s">
        <v>5494</v>
      </c>
      <c r="D4304" s="2" t="s">
        <v>10</v>
      </c>
      <c r="E4304" s="2" t="s">
        <v>16</v>
      </c>
      <c r="F4304" s="2">
        <v>1</v>
      </c>
      <c r="G4304" s="2" t="s">
        <v>17</v>
      </c>
    </row>
    <row r="4305" spans="1:7" x14ac:dyDescent="0.2">
      <c r="A4305" s="2" t="s">
        <v>5492</v>
      </c>
      <c r="B4305" s="2" t="s">
        <v>5497</v>
      </c>
      <c r="C4305" s="2" t="s">
        <v>5494</v>
      </c>
      <c r="D4305" s="2" t="s">
        <v>10</v>
      </c>
      <c r="E4305" s="2" t="s">
        <v>16</v>
      </c>
      <c r="F4305" s="2">
        <v>1</v>
      </c>
      <c r="G4305" s="2" t="s">
        <v>17</v>
      </c>
    </row>
    <row r="4306" spans="1:7" x14ac:dyDescent="0.2">
      <c r="A4306" s="2" t="s">
        <v>5492</v>
      </c>
      <c r="B4306" s="2" t="s">
        <v>5498</v>
      </c>
      <c r="C4306" s="2" t="s">
        <v>5499</v>
      </c>
      <c r="D4306" s="2" t="s">
        <v>10</v>
      </c>
      <c r="E4306" s="2" t="s">
        <v>52</v>
      </c>
      <c r="F4306" s="2">
        <v>1</v>
      </c>
      <c r="G4306" s="2" t="s">
        <v>17</v>
      </c>
    </row>
    <row r="4307" spans="1:7" x14ac:dyDescent="0.2">
      <c r="A4307" s="2" t="s">
        <v>5492</v>
      </c>
      <c r="B4307" s="2" t="s">
        <v>357</v>
      </c>
      <c r="C4307" s="2" t="s">
        <v>5494</v>
      </c>
      <c r="D4307" s="2" t="s">
        <v>10</v>
      </c>
      <c r="E4307" s="2" t="s">
        <v>16</v>
      </c>
      <c r="F4307" s="2">
        <v>1</v>
      </c>
      <c r="G4307" s="2" t="s">
        <v>17</v>
      </c>
    </row>
    <row r="4308" spans="1:7" x14ac:dyDescent="0.2">
      <c r="A4308" s="2" t="s">
        <v>5492</v>
      </c>
      <c r="B4308" s="2" t="s">
        <v>5500</v>
      </c>
      <c r="C4308" s="2" t="s">
        <v>5499</v>
      </c>
      <c r="D4308" s="2" t="s">
        <v>10</v>
      </c>
      <c r="E4308" s="2" t="s">
        <v>52</v>
      </c>
      <c r="F4308" s="2">
        <v>1</v>
      </c>
      <c r="G4308" s="2" t="s">
        <v>17</v>
      </c>
    </row>
    <row r="4309" spans="1:7" x14ac:dyDescent="0.2">
      <c r="A4309" s="2" t="s">
        <v>5492</v>
      </c>
      <c r="B4309" s="2" t="s">
        <v>5501</v>
      </c>
      <c r="C4309" s="2" t="s">
        <v>5494</v>
      </c>
      <c r="D4309" s="2" t="s">
        <v>10</v>
      </c>
      <c r="E4309" s="2" t="s">
        <v>16</v>
      </c>
      <c r="F4309" s="2">
        <v>1</v>
      </c>
      <c r="G4309" s="2" t="s">
        <v>17</v>
      </c>
    </row>
    <row r="4310" spans="1:7" x14ac:dyDescent="0.2">
      <c r="A4310" s="2" t="s">
        <v>5502</v>
      </c>
      <c r="B4310" s="2" t="s">
        <v>5503</v>
      </c>
      <c r="C4310" s="2" t="s">
        <v>5504</v>
      </c>
      <c r="D4310" s="2" t="s">
        <v>10</v>
      </c>
      <c r="E4310" s="2" t="s">
        <v>16</v>
      </c>
      <c r="F4310" s="2">
        <v>1</v>
      </c>
      <c r="G4310" s="2" t="s">
        <v>17</v>
      </c>
    </row>
    <row r="4311" spans="1:7" x14ac:dyDescent="0.2">
      <c r="A4311" s="2" t="s">
        <v>5502</v>
      </c>
      <c r="B4311" s="2" t="s">
        <v>5505</v>
      </c>
      <c r="C4311" s="2" t="s">
        <v>5506</v>
      </c>
      <c r="D4311" s="2" t="s">
        <v>10</v>
      </c>
      <c r="E4311" s="2" t="s">
        <v>16</v>
      </c>
      <c r="F4311" s="2">
        <v>1</v>
      </c>
      <c r="G4311" s="2" t="s">
        <v>17</v>
      </c>
    </row>
    <row r="4312" spans="1:7" x14ac:dyDescent="0.2">
      <c r="A4312" s="2" t="s">
        <v>5502</v>
      </c>
      <c r="B4312" s="2" t="s">
        <v>5507</v>
      </c>
      <c r="C4312" s="2" t="s">
        <v>5506</v>
      </c>
      <c r="D4312" s="2" t="s">
        <v>10</v>
      </c>
      <c r="E4312" s="2" t="s">
        <v>16</v>
      </c>
      <c r="F4312" s="2">
        <v>1</v>
      </c>
      <c r="G4312" s="2" t="s">
        <v>17</v>
      </c>
    </row>
    <row r="4313" spans="1:7" x14ac:dyDescent="0.2">
      <c r="A4313" s="2" t="s">
        <v>5508</v>
      </c>
      <c r="B4313" s="2" t="s">
        <v>5509</v>
      </c>
      <c r="C4313" s="2" t="s">
        <v>5510</v>
      </c>
      <c r="D4313" s="2" t="s">
        <v>10</v>
      </c>
      <c r="E4313" s="2" t="s">
        <v>16</v>
      </c>
      <c r="F4313" s="2">
        <v>1</v>
      </c>
      <c r="G4313" s="2" t="s">
        <v>17</v>
      </c>
    </row>
    <row r="4314" spans="1:7" x14ac:dyDescent="0.2">
      <c r="A4314" s="2" t="s">
        <v>5508</v>
      </c>
      <c r="B4314" s="2" t="s">
        <v>5511</v>
      </c>
      <c r="C4314" s="2" t="s">
        <v>5512</v>
      </c>
      <c r="D4314" s="2" t="s">
        <v>10</v>
      </c>
      <c r="E4314" s="2" t="s">
        <v>16</v>
      </c>
      <c r="F4314" s="2">
        <v>1</v>
      </c>
      <c r="G4314" s="2" t="s">
        <v>17</v>
      </c>
    </row>
    <row r="4315" spans="1:7" x14ac:dyDescent="0.2">
      <c r="A4315" s="2" t="s">
        <v>5513</v>
      </c>
      <c r="B4315" s="2" t="s">
        <v>5514</v>
      </c>
      <c r="C4315" s="2" t="s">
        <v>5515</v>
      </c>
      <c r="D4315" s="2" t="s">
        <v>10</v>
      </c>
      <c r="E4315" s="2" t="s">
        <v>16</v>
      </c>
      <c r="F4315" s="2">
        <v>1</v>
      </c>
      <c r="G4315" s="2" t="s">
        <v>17</v>
      </c>
    </row>
    <row r="4316" spans="1:7" x14ac:dyDescent="0.2">
      <c r="A4316" s="2" t="s">
        <v>5513</v>
      </c>
      <c r="B4316" s="2" t="s">
        <v>5516</v>
      </c>
      <c r="C4316" s="2" t="s">
        <v>5515</v>
      </c>
      <c r="D4316" s="2" t="s">
        <v>10</v>
      </c>
      <c r="E4316" s="2" t="s">
        <v>16</v>
      </c>
      <c r="F4316" s="2">
        <v>1</v>
      </c>
      <c r="G4316" s="2" t="s">
        <v>17</v>
      </c>
    </row>
    <row r="4317" spans="1:7" x14ac:dyDescent="0.2">
      <c r="A4317" s="2" t="s">
        <v>5517</v>
      </c>
      <c r="B4317" s="2" t="s">
        <v>5518</v>
      </c>
      <c r="C4317" s="2" t="s">
        <v>5519</v>
      </c>
      <c r="D4317" s="2" t="s">
        <v>10</v>
      </c>
      <c r="E4317" s="2" t="s">
        <v>16</v>
      </c>
      <c r="F4317" s="2">
        <v>1</v>
      </c>
      <c r="G4317" s="2" t="s">
        <v>17</v>
      </c>
    </row>
    <row r="4318" spans="1:7" x14ac:dyDescent="0.2">
      <c r="A4318" s="2" t="s">
        <v>5520</v>
      </c>
      <c r="B4318" s="2" t="s">
        <v>5521</v>
      </c>
      <c r="C4318" s="2" t="s">
        <v>5522</v>
      </c>
      <c r="D4318" s="2" t="s">
        <v>10</v>
      </c>
      <c r="E4318" s="2" t="s">
        <v>16</v>
      </c>
      <c r="F4318" s="2">
        <v>1</v>
      </c>
      <c r="G4318" s="2" t="s">
        <v>17</v>
      </c>
    </row>
    <row r="4319" spans="1:7" x14ac:dyDescent="0.2">
      <c r="A4319" s="2" t="s">
        <v>5520</v>
      </c>
      <c r="B4319" s="2" t="s">
        <v>5523</v>
      </c>
      <c r="C4319" s="2" t="s">
        <v>5520</v>
      </c>
      <c r="D4319" s="2" t="s">
        <v>10</v>
      </c>
      <c r="E4319" s="2" t="s">
        <v>16</v>
      </c>
      <c r="F4319" s="2">
        <v>1</v>
      </c>
      <c r="G4319" s="2" t="s">
        <v>17</v>
      </c>
    </row>
    <row r="4320" spans="1:7" x14ac:dyDescent="0.2">
      <c r="A4320" s="2" t="s">
        <v>5524</v>
      </c>
      <c r="B4320" s="2" t="s">
        <v>811</v>
      </c>
      <c r="C4320" s="2" t="s">
        <v>812</v>
      </c>
      <c r="D4320" s="2" t="s">
        <v>56</v>
      </c>
      <c r="E4320" s="2" t="s">
        <v>52</v>
      </c>
      <c r="F4320" s="2">
        <v>2</v>
      </c>
      <c r="G4320" s="2" t="s">
        <v>17</v>
      </c>
    </row>
    <row r="4321" spans="1:7" x14ac:dyDescent="0.2">
      <c r="A4321" s="2" t="s">
        <v>5524</v>
      </c>
      <c r="B4321" s="2" t="s">
        <v>810</v>
      </c>
      <c r="C4321" s="2" t="s">
        <v>786</v>
      </c>
      <c r="D4321" s="2" t="s">
        <v>56</v>
      </c>
      <c r="E4321" s="2" t="s">
        <v>52</v>
      </c>
      <c r="F4321" s="2">
        <v>1</v>
      </c>
      <c r="G4321" s="2" t="s">
        <v>17</v>
      </c>
    </row>
    <row r="4322" spans="1:7" x14ac:dyDescent="0.2">
      <c r="A4322" s="2" t="s">
        <v>5524</v>
      </c>
      <c r="B4322" s="2" t="s">
        <v>734</v>
      </c>
      <c r="C4322" s="2" t="s">
        <v>786</v>
      </c>
      <c r="D4322" s="2" t="s">
        <v>56</v>
      </c>
      <c r="E4322" s="2" t="s">
        <v>52</v>
      </c>
      <c r="F4322" s="2">
        <v>1</v>
      </c>
      <c r="G4322" s="2" t="s">
        <v>17</v>
      </c>
    </row>
    <row r="4323" spans="1:7" x14ac:dyDescent="0.2">
      <c r="A4323" s="2" t="s">
        <v>5524</v>
      </c>
      <c r="B4323" s="2" t="s">
        <v>869</v>
      </c>
      <c r="C4323" s="2" t="s">
        <v>870</v>
      </c>
      <c r="D4323" s="2" t="s">
        <v>56</v>
      </c>
      <c r="E4323" s="2" t="s">
        <v>52</v>
      </c>
      <c r="F4323" s="2">
        <v>2</v>
      </c>
      <c r="G4323" s="2" t="s">
        <v>12</v>
      </c>
    </row>
    <row r="4324" spans="1:7" x14ac:dyDescent="0.2">
      <c r="A4324" s="2" t="s">
        <v>5524</v>
      </c>
      <c r="B4324" s="2" t="s">
        <v>437</v>
      </c>
      <c r="C4324" s="2" t="s">
        <v>5525</v>
      </c>
      <c r="D4324" s="2" t="s">
        <v>10</v>
      </c>
      <c r="E4324" s="2" t="s">
        <v>16</v>
      </c>
      <c r="F4324" s="2">
        <v>1</v>
      </c>
      <c r="G4324" s="2" t="s">
        <v>17</v>
      </c>
    </row>
    <row r="4325" spans="1:7" x14ac:dyDescent="0.2">
      <c r="A4325" s="2" t="s">
        <v>5524</v>
      </c>
      <c r="B4325" s="2" t="s">
        <v>867</v>
      </c>
      <c r="C4325" s="2" t="s">
        <v>868</v>
      </c>
      <c r="D4325" s="2" t="s">
        <v>56</v>
      </c>
      <c r="E4325" s="2" t="s">
        <v>52</v>
      </c>
      <c r="F4325" s="2">
        <v>2</v>
      </c>
      <c r="G4325" s="2" t="s">
        <v>17</v>
      </c>
    </row>
    <row r="4326" spans="1:7" x14ac:dyDescent="0.2">
      <c r="A4326" s="2" t="s">
        <v>5524</v>
      </c>
      <c r="B4326" s="2" t="s">
        <v>874</v>
      </c>
      <c r="C4326" s="2" t="s">
        <v>875</v>
      </c>
      <c r="D4326" s="2" t="s">
        <v>56</v>
      </c>
      <c r="E4326" s="2" t="s">
        <v>52</v>
      </c>
      <c r="F4326" s="2">
        <v>2</v>
      </c>
      <c r="G4326" s="2" t="s">
        <v>12</v>
      </c>
    </row>
    <row r="4327" spans="1:7" x14ac:dyDescent="0.2">
      <c r="A4327" s="2" t="s">
        <v>5524</v>
      </c>
      <c r="B4327" s="2" t="s">
        <v>876</v>
      </c>
      <c r="C4327" s="2" t="s">
        <v>875</v>
      </c>
      <c r="D4327" s="2" t="s">
        <v>56</v>
      </c>
      <c r="E4327" s="2" t="s">
        <v>52</v>
      </c>
      <c r="F4327" s="2">
        <v>2</v>
      </c>
      <c r="G4327" s="2" t="s">
        <v>12</v>
      </c>
    </row>
    <row r="4328" spans="1:7" x14ac:dyDescent="0.2">
      <c r="A4328" s="2" t="s">
        <v>5524</v>
      </c>
      <c r="B4328" s="2" t="s">
        <v>877</v>
      </c>
      <c r="C4328" s="2" t="s">
        <v>857</v>
      </c>
      <c r="D4328" s="2" t="s">
        <v>56</v>
      </c>
      <c r="E4328" s="2" t="s">
        <v>52</v>
      </c>
      <c r="F4328" s="2">
        <v>2</v>
      </c>
      <c r="G4328" s="2" t="s">
        <v>17</v>
      </c>
    </row>
    <row r="4329" spans="1:7" x14ac:dyDescent="0.2">
      <c r="A4329" s="2" t="s">
        <v>5524</v>
      </c>
      <c r="B4329" s="2" t="s">
        <v>878</v>
      </c>
      <c r="C4329" s="2" t="s">
        <v>857</v>
      </c>
      <c r="D4329" s="2" t="s">
        <v>56</v>
      </c>
      <c r="E4329" s="2" t="s">
        <v>52</v>
      </c>
      <c r="F4329" s="2">
        <v>2</v>
      </c>
      <c r="G4329" s="2" t="s">
        <v>17</v>
      </c>
    </row>
    <row r="4330" spans="1:7" x14ac:dyDescent="0.2">
      <c r="A4330" s="2" t="s">
        <v>5524</v>
      </c>
      <c r="B4330" s="2" t="s">
        <v>859</v>
      </c>
      <c r="C4330" s="2" t="s">
        <v>857</v>
      </c>
      <c r="D4330" s="2" t="s">
        <v>56</v>
      </c>
      <c r="E4330" s="2" t="s">
        <v>52</v>
      </c>
      <c r="F4330" s="2">
        <v>2</v>
      </c>
      <c r="G4330" s="2" t="s">
        <v>17</v>
      </c>
    </row>
    <row r="4331" spans="1:7" x14ac:dyDescent="0.2">
      <c r="A4331" s="2" t="s">
        <v>5524</v>
      </c>
      <c r="B4331" s="2" t="s">
        <v>860</v>
      </c>
      <c r="C4331" s="2" t="s">
        <v>857</v>
      </c>
      <c r="D4331" s="2" t="s">
        <v>56</v>
      </c>
      <c r="E4331" s="2" t="s">
        <v>52</v>
      </c>
      <c r="F4331" s="2">
        <v>2</v>
      </c>
      <c r="G4331" s="2" t="s">
        <v>17</v>
      </c>
    </row>
    <row r="4332" spans="1:7" x14ac:dyDescent="0.2">
      <c r="A4332" s="2" t="s">
        <v>5524</v>
      </c>
      <c r="B4332" s="2" t="s">
        <v>863</v>
      </c>
      <c r="C4332" s="2" t="s">
        <v>849</v>
      </c>
      <c r="D4332" s="2" t="s">
        <v>56</v>
      </c>
      <c r="E4332" s="2" t="s">
        <v>52</v>
      </c>
      <c r="F4332" s="2">
        <v>3</v>
      </c>
      <c r="G4332" s="2" t="s">
        <v>12</v>
      </c>
    </row>
    <row r="4333" spans="1:7" x14ac:dyDescent="0.2">
      <c r="A4333" s="2" t="s">
        <v>5524</v>
      </c>
      <c r="B4333" s="2" t="s">
        <v>852</v>
      </c>
      <c r="C4333" s="2" t="s">
        <v>849</v>
      </c>
      <c r="D4333" s="2" t="s">
        <v>56</v>
      </c>
      <c r="E4333" s="2" t="s">
        <v>52</v>
      </c>
      <c r="F4333" s="2">
        <v>3</v>
      </c>
      <c r="G4333" s="2" t="s">
        <v>12</v>
      </c>
    </row>
    <row r="4334" spans="1:7" x14ac:dyDescent="0.2">
      <c r="A4334" s="2" t="s">
        <v>5524</v>
      </c>
      <c r="B4334" s="2" t="s">
        <v>853</v>
      </c>
      <c r="C4334" s="2" t="s">
        <v>849</v>
      </c>
      <c r="D4334" s="2" t="s">
        <v>56</v>
      </c>
      <c r="E4334" s="2" t="s">
        <v>52</v>
      </c>
      <c r="F4334" s="2">
        <v>3</v>
      </c>
      <c r="G4334" s="2" t="s">
        <v>12</v>
      </c>
    </row>
    <row r="4335" spans="1:7" x14ac:dyDescent="0.2">
      <c r="A4335" s="2" t="s">
        <v>5524</v>
      </c>
      <c r="B4335" s="2" t="s">
        <v>834</v>
      </c>
      <c r="C4335" s="2" t="s">
        <v>782</v>
      </c>
      <c r="D4335" s="2" t="s">
        <v>56</v>
      </c>
      <c r="E4335" s="2" t="s">
        <v>52</v>
      </c>
      <c r="F4335" s="2">
        <v>2</v>
      </c>
      <c r="G4335" s="2" t="s">
        <v>17</v>
      </c>
    </row>
    <row r="4336" spans="1:7" x14ac:dyDescent="0.2">
      <c r="A4336" s="2" t="s">
        <v>5524</v>
      </c>
      <c r="B4336" s="2" t="s">
        <v>833</v>
      </c>
      <c r="C4336" s="2" t="s">
        <v>782</v>
      </c>
      <c r="D4336" s="2" t="s">
        <v>56</v>
      </c>
      <c r="E4336" s="2" t="s">
        <v>52</v>
      </c>
      <c r="F4336" s="2">
        <v>2</v>
      </c>
      <c r="G4336" s="2" t="s">
        <v>17</v>
      </c>
    </row>
    <row r="4337" spans="1:7" x14ac:dyDescent="0.2">
      <c r="A4337" s="2" t="s">
        <v>5524</v>
      </c>
      <c r="B4337" s="2" t="s">
        <v>829</v>
      </c>
      <c r="C4337" s="2" t="s">
        <v>782</v>
      </c>
      <c r="D4337" s="2" t="s">
        <v>56</v>
      </c>
      <c r="E4337" s="2" t="s">
        <v>52</v>
      </c>
      <c r="F4337" s="2">
        <v>2</v>
      </c>
      <c r="G4337" s="2" t="s">
        <v>17</v>
      </c>
    </row>
    <row r="4338" spans="1:7" x14ac:dyDescent="0.2">
      <c r="A4338" s="2" t="s">
        <v>5524</v>
      </c>
      <c r="B4338" s="2" t="s">
        <v>813</v>
      </c>
      <c r="C4338" s="2" t="s">
        <v>782</v>
      </c>
      <c r="D4338" s="2" t="s">
        <v>56</v>
      </c>
      <c r="E4338" s="2" t="s">
        <v>52</v>
      </c>
      <c r="F4338" s="2">
        <v>2</v>
      </c>
      <c r="G4338" s="2" t="s">
        <v>17</v>
      </c>
    </row>
    <row r="4339" spans="1:7" x14ac:dyDescent="0.2">
      <c r="A4339" s="2" t="s">
        <v>5526</v>
      </c>
      <c r="B4339" s="2" t="s">
        <v>5527</v>
      </c>
      <c r="C4339" s="2" t="s">
        <v>5528</v>
      </c>
      <c r="D4339" s="2" t="s">
        <v>10</v>
      </c>
      <c r="E4339" s="2" t="s">
        <v>16</v>
      </c>
      <c r="F4339" s="2">
        <v>1</v>
      </c>
      <c r="G4339" s="2" t="s">
        <v>17</v>
      </c>
    </row>
    <row r="4340" spans="1:7" x14ac:dyDescent="0.2">
      <c r="A4340" s="2" t="s">
        <v>5526</v>
      </c>
      <c r="B4340" s="2" t="s">
        <v>5529</v>
      </c>
      <c r="C4340" s="2" t="s">
        <v>5530</v>
      </c>
      <c r="D4340" s="2" t="s">
        <v>10</v>
      </c>
      <c r="E4340" s="2" t="s">
        <v>16</v>
      </c>
      <c r="F4340" s="2">
        <v>1</v>
      </c>
      <c r="G4340" s="2" t="s">
        <v>17</v>
      </c>
    </row>
    <row r="4341" spans="1:7" x14ac:dyDescent="0.2">
      <c r="A4341" s="2" t="s">
        <v>5526</v>
      </c>
      <c r="B4341" s="2" t="s">
        <v>5531</v>
      </c>
      <c r="C4341" s="2" t="s">
        <v>5532</v>
      </c>
      <c r="D4341" s="2" t="s">
        <v>10</v>
      </c>
      <c r="E4341" s="2" t="s">
        <v>16</v>
      </c>
      <c r="F4341" s="2">
        <v>1</v>
      </c>
      <c r="G4341" s="2" t="s">
        <v>17</v>
      </c>
    </row>
    <row r="4342" spans="1:7" x14ac:dyDescent="0.2">
      <c r="A4342" s="2" t="s">
        <v>5526</v>
      </c>
      <c r="B4342" s="2" t="s">
        <v>5533</v>
      </c>
      <c r="C4342" s="2" t="s">
        <v>5534</v>
      </c>
      <c r="D4342" s="2" t="s">
        <v>10</v>
      </c>
      <c r="E4342" s="2" t="s">
        <v>16</v>
      </c>
      <c r="F4342" s="2">
        <v>1</v>
      </c>
      <c r="G4342" s="2" t="s">
        <v>17</v>
      </c>
    </row>
    <row r="4343" spans="1:7" x14ac:dyDescent="0.2">
      <c r="A4343" s="2" t="s">
        <v>5526</v>
      </c>
      <c r="B4343" s="2" t="s">
        <v>5535</v>
      </c>
      <c r="C4343" s="2" t="s">
        <v>5534</v>
      </c>
      <c r="D4343" s="2" t="s">
        <v>10</v>
      </c>
      <c r="E4343" s="2" t="s">
        <v>16</v>
      </c>
      <c r="F4343" s="2">
        <v>1</v>
      </c>
      <c r="G4343" s="2" t="s">
        <v>17</v>
      </c>
    </row>
    <row r="4344" spans="1:7" x14ac:dyDescent="0.2">
      <c r="A4344" s="2" t="s">
        <v>5526</v>
      </c>
      <c r="B4344" s="2" t="s">
        <v>4505</v>
      </c>
      <c r="C4344" s="2" t="s">
        <v>5534</v>
      </c>
      <c r="D4344" s="2" t="s">
        <v>10</v>
      </c>
      <c r="E4344" s="2" t="s">
        <v>16</v>
      </c>
      <c r="F4344" s="2">
        <v>1</v>
      </c>
      <c r="G4344" s="2" t="s">
        <v>17</v>
      </c>
    </row>
    <row r="4345" spans="1:7" x14ac:dyDescent="0.2">
      <c r="A4345" s="2" t="s">
        <v>5536</v>
      </c>
      <c r="B4345" s="2" t="s">
        <v>5527</v>
      </c>
      <c r="C4345" s="2" t="s">
        <v>5528</v>
      </c>
      <c r="D4345" s="2" t="s">
        <v>10</v>
      </c>
      <c r="E4345" s="2" t="s">
        <v>16</v>
      </c>
      <c r="F4345" s="2">
        <v>1</v>
      </c>
      <c r="G4345" s="2" t="s">
        <v>17</v>
      </c>
    </row>
    <row r="4346" spans="1:7" x14ac:dyDescent="0.2">
      <c r="A4346" s="2" t="s">
        <v>5536</v>
      </c>
      <c r="B4346" s="2" t="s">
        <v>5537</v>
      </c>
      <c r="C4346" s="2" t="s">
        <v>5538</v>
      </c>
      <c r="D4346" s="2" t="s">
        <v>10</v>
      </c>
      <c r="E4346" s="2" t="s">
        <v>16</v>
      </c>
      <c r="F4346" s="2">
        <v>2</v>
      </c>
      <c r="G4346" s="2" t="s">
        <v>17</v>
      </c>
    </row>
    <row r="4347" spans="1:7" x14ac:dyDescent="0.2">
      <c r="A4347" s="2" t="s">
        <v>5536</v>
      </c>
      <c r="B4347" s="2" t="s">
        <v>5531</v>
      </c>
      <c r="C4347" s="2" t="s">
        <v>5532</v>
      </c>
      <c r="D4347" s="2" t="s">
        <v>10</v>
      </c>
      <c r="E4347" s="2" t="s">
        <v>16</v>
      </c>
      <c r="F4347" s="2">
        <v>1</v>
      </c>
      <c r="G4347" s="2" t="s">
        <v>17</v>
      </c>
    </row>
    <row r="4348" spans="1:7" x14ac:dyDescent="0.2">
      <c r="A4348" s="2" t="s">
        <v>5539</v>
      </c>
      <c r="B4348" s="2" t="s">
        <v>5540</v>
      </c>
      <c r="C4348" s="2" t="s">
        <v>5541</v>
      </c>
      <c r="D4348" s="2" t="s">
        <v>10</v>
      </c>
      <c r="E4348" s="2" t="s">
        <v>16</v>
      </c>
      <c r="F4348" s="2">
        <v>1</v>
      </c>
      <c r="G4348" s="2" t="s">
        <v>17</v>
      </c>
    </row>
    <row r="4349" spans="1:7" x14ac:dyDescent="0.2">
      <c r="A4349" s="2" t="s">
        <v>5542</v>
      </c>
      <c r="B4349" s="2" t="s">
        <v>5543</v>
      </c>
      <c r="C4349" s="2" t="s">
        <v>1035</v>
      </c>
      <c r="D4349" s="2" t="s">
        <v>10</v>
      </c>
      <c r="E4349" s="2" t="s">
        <v>16</v>
      </c>
      <c r="F4349" s="2">
        <v>1</v>
      </c>
      <c r="G4349" s="2" t="s">
        <v>17</v>
      </c>
    </row>
    <row r="4350" spans="1:7" x14ac:dyDescent="0.2">
      <c r="A4350" s="2" t="s">
        <v>5544</v>
      </c>
      <c r="B4350" s="2" t="s">
        <v>5545</v>
      </c>
      <c r="C4350" s="2" t="s">
        <v>5546</v>
      </c>
      <c r="D4350" s="2" t="s">
        <v>10</v>
      </c>
      <c r="E4350" s="2" t="s">
        <v>11</v>
      </c>
      <c r="F4350" s="2">
        <v>1</v>
      </c>
      <c r="G4350" s="2" t="s">
        <v>17</v>
      </c>
    </row>
    <row r="4351" spans="1:7" x14ac:dyDescent="0.2">
      <c r="A4351" s="2" t="s">
        <v>5547</v>
      </c>
      <c r="B4351" s="2">
        <v>2</v>
      </c>
      <c r="C4351" s="2" t="s">
        <v>5548</v>
      </c>
      <c r="D4351" s="2" t="s">
        <v>10</v>
      </c>
      <c r="E4351" s="2" t="s">
        <v>16</v>
      </c>
      <c r="F4351" s="2">
        <v>1</v>
      </c>
      <c r="G4351" s="2" t="s">
        <v>17</v>
      </c>
    </row>
    <row r="4352" spans="1:7" x14ac:dyDescent="0.2">
      <c r="A4352" s="2" t="s">
        <v>5547</v>
      </c>
      <c r="B4352" s="2">
        <v>7</v>
      </c>
      <c r="C4352" s="2" t="s">
        <v>5549</v>
      </c>
      <c r="D4352" s="2" t="s">
        <v>10</v>
      </c>
      <c r="E4352" s="2" t="s">
        <v>16</v>
      </c>
      <c r="F4352" s="2">
        <v>1</v>
      </c>
      <c r="G4352" s="2" t="s">
        <v>17</v>
      </c>
    </row>
    <row r="4353" spans="1:7" x14ac:dyDescent="0.2">
      <c r="A4353" s="2" t="s">
        <v>5547</v>
      </c>
      <c r="B4353" s="2" t="s">
        <v>5550</v>
      </c>
      <c r="C4353" s="2" t="s">
        <v>5549</v>
      </c>
      <c r="D4353" s="2" t="s">
        <v>10</v>
      </c>
      <c r="E4353" s="2" t="s">
        <v>16</v>
      </c>
      <c r="F4353" s="2">
        <v>1</v>
      </c>
      <c r="G4353" s="2" t="s">
        <v>17</v>
      </c>
    </row>
    <row r="4354" spans="1:7" x14ac:dyDescent="0.2">
      <c r="A4354" s="2" t="s">
        <v>5547</v>
      </c>
      <c r="B4354" s="2">
        <v>10</v>
      </c>
      <c r="C4354" s="2" t="s">
        <v>5551</v>
      </c>
      <c r="D4354" s="2" t="s">
        <v>10</v>
      </c>
      <c r="E4354" s="2" t="s">
        <v>16</v>
      </c>
      <c r="F4354" s="2">
        <v>1</v>
      </c>
      <c r="G4354" s="2" t="s">
        <v>17</v>
      </c>
    </row>
    <row r="4355" spans="1:7" x14ac:dyDescent="0.2">
      <c r="A4355" s="2" t="s">
        <v>5547</v>
      </c>
      <c r="B4355" s="2">
        <v>11</v>
      </c>
      <c r="C4355" s="2" t="s">
        <v>5551</v>
      </c>
      <c r="D4355" s="2" t="s">
        <v>10</v>
      </c>
      <c r="E4355" s="2" t="s">
        <v>16</v>
      </c>
      <c r="F4355" s="2">
        <v>1</v>
      </c>
      <c r="G4355" s="2" t="s">
        <v>17</v>
      </c>
    </row>
    <row r="4356" spans="1:7" x14ac:dyDescent="0.2">
      <c r="A4356" s="2" t="s">
        <v>5547</v>
      </c>
      <c r="B4356" s="2" t="s">
        <v>5552</v>
      </c>
      <c r="C4356" s="2" t="s">
        <v>5551</v>
      </c>
      <c r="D4356" s="2" t="s">
        <v>10</v>
      </c>
      <c r="E4356" s="2" t="s">
        <v>16</v>
      </c>
      <c r="F4356" s="2">
        <v>1</v>
      </c>
      <c r="G4356" s="2" t="s">
        <v>17</v>
      </c>
    </row>
    <row r="4357" spans="1:7" x14ac:dyDescent="0.2">
      <c r="A4357" s="2" t="s">
        <v>5547</v>
      </c>
      <c r="B4357" s="2" t="s">
        <v>5553</v>
      </c>
      <c r="C4357" s="2" t="s">
        <v>5554</v>
      </c>
      <c r="D4357" s="2" t="s">
        <v>10</v>
      </c>
      <c r="E4357" s="2" t="s">
        <v>16</v>
      </c>
      <c r="F4357" s="2">
        <v>1</v>
      </c>
      <c r="G4357" s="2" t="s">
        <v>17</v>
      </c>
    </row>
    <row r="4358" spans="1:7" x14ac:dyDescent="0.2">
      <c r="A4358" s="2" t="s">
        <v>5547</v>
      </c>
      <c r="B4358" s="2" t="s">
        <v>5555</v>
      </c>
      <c r="C4358" s="2" t="s">
        <v>5556</v>
      </c>
      <c r="D4358" s="2" t="s">
        <v>10</v>
      </c>
      <c r="E4358" s="2" t="s">
        <v>16</v>
      </c>
      <c r="F4358" s="2">
        <v>1</v>
      </c>
      <c r="G4358" s="2" t="s">
        <v>17</v>
      </c>
    </row>
    <row r="4359" spans="1:7" x14ac:dyDescent="0.2">
      <c r="A4359" s="2" t="s">
        <v>5547</v>
      </c>
      <c r="B4359" s="2" t="s">
        <v>5557</v>
      </c>
      <c r="C4359" s="2" t="s">
        <v>5556</v>
      </c>
      <c r="D4359" s="2" t="s">
        <v>10</v>
      </c>
      <c r="E4359" s="2" t="s">
        <v>16</v>
      </c>
      <c r="F4359" s="2">
        <v>1</v>
      </c>
      <c r="G4359" s="2" t="s">
        <v>17</v>
      </c>
    </row>
    <row r="4360" spans="1:7" x14ac:dyDescent="0.2">
      <c r="A4360" s="2" t="s">
        <v>5547</v>
      </c>
      <c r="B4360" s="2" t="s">
        <v>5361</v>
      </c>
      <c r="C4360" s="2" t="s">
        <v>5362</v>
      </c>
      <c r="D4360" s="2" t="s">
        <v>10</v>
      </c>
      <c r="E4360" s="2" t="s">
        <v>16</v>
      </c>
      <c r="F4360" s="2">
        <v>1</v>
      </c>
      <c r="G4360" s="2" t="s">
        <v>17</v>
      </c>
    </row>
    <row r="4361" spans="1:7" x14ac:dyDescent="0.2">
      <c r="A4361" s="2" t="s">
        <v>5547</v>
      </c>
      <c r="B4361" s="2" t="s">
        <v>5558</v>
      </c>
      <c r="C4361" s="2" t="s">
        <v>5549</v>
      </c>
      <c r="D4361" s="2" t="s">
        <v>10</v>
      </c>
      <c r="E4361" s="2" t="s">
        <v>16</v>
      </c>
      <c r="F4361" s="2">
        <v>1</v>
      </c>
      <c r="G4361" s="2" t="s">
        <v>17</v>
      </c>
    </row>
    <row r="4362" spans="1:7" x14ac:dyDescent="0.2">
      <c r="A4362" s="2" t="s">
        <v>5547</v>
      </c>
      <c r="B4362" s="2" t="s">
        <v>5559</v>
      </c>
      <c r="C4362" s="2" t="s">
        <v>5551</v>
      </c>
      <c r="D4362" s="2" t="s">
        <v>10</v>
      </c>
      <c r="E4362" s="2" t="s">
        <v>16</v>
      </c>
      <c r="F4362" s="2">
        <v>1</v>
      </c>
      <c r="G4362" s="2" t="s">
        <v>17</v>
      </c>
    </row>
    <row r="4363" spans="1:7" x14ac:dyDescent="0.2">
      <c r="A4363" s="2" t="s">
        <v>5547</v>
      </c>
      <c r="B4363" s="2" t="s">
        <v>5560</v>
      </c>
      <c r="C4363" s="2" t="s">
        <v>5554</v>
      </c>
      <c r="D4363" s="2" t="s">
        <v>10</v>
      </c>
      <c r="E4363" s="2" t="s">
        <v>16</v>
      </c>
      <c r="F4363" s="2">
        <v>1</v>
      </c>
      <c r="G4363" s="2" t="s">
        <v>17</v>
      </c>
    </row>
    <row r="4364" spans="1:7" x14ac:dyDescent="0.2">
      <c r="A4364" s="2" t="s">
        <v>5547</v>
      </c>
      <c r="B4364" s="2" t="s">
        <v>5388</v>
      </c>
      <c r="C4364" s="2" t="s">
        <v>5362</v>
      </c>
      <c r="D4364" s="2" t="s">
        <v>10</v>
      </c>
      <c r="E4364" s="2" t="s">
        <v>16</v>
      </c>
      <c r="F4364" s="2">
        <v>1</v>
      </c>
      <c r="G4364" s="2" t="s">
        <v>17</v>
      </c>
    </row>
    <row r="4365" spans="1:7" x14ac:dyDescent="0.2">
      <c r="A4365" s="2" t="s">
        <v>5547</v>
      </c>
      <c r="B4365" s="2" t="s">
        <v>5389</v>
      </c>
      <c r="C4365" s="2" t="s">
        <v>5362</v>
      </c>
      <c r="D4365" s="2" t="s">
        <v>10</v>
      </c>
      <c r="E4365" s="2" t="s">
        <v>16</v>
      </c>
      <c r="F4365" s="2">
        <v>1</v>
      </c>
      <c r="G4365" s="2" t="s">
        <v>17</v>
      </c>
    </row>
    <row r="4366" spans="1:7" x14ac:dyDescent="0.2">
      <c r="A4366" s="2" t="s">
        <v>5561</v>
      </c>
      <c r="B4366" s="2" t="s">
        <v>5562</v>
      </c>
      <c r="C4366" s="2" t="s">
        <v>5563</v>
      </c>
      <c r="D4366" s="2" t="s">
        <v>29</v>
      </c>
      <c r="E4366" s="2" t="s">
        <v>16</v>
      </c>
      <c r="F4366" s="2">
        <v>1</v>
      </c>
      <c r="G4366" s="2" t="s">
        <v>17</v>
      </c>
    </row>
    <row r="4367" spans="1:7" x14ac:dyDescent="0.2">
      <c r="A4367" s="2" t="s">
        <v>5561</v>
      </c>
      <c r="B4367" s="2" t="s">
        <v>5564</v>
      </c>
      <c r="C4367" s="2" t="s">
        <v>5563</v>
      </c>
      <c r="D4367" s="2" t="s">
        <v>29</v>
      </c>
      <c r="E4367" s="2" t="s">
        <v>16</v>
      </c>
      <c r="F4367" s="2">
        <v>1</v>
      </c>
      <c r="G4367" s="2" t="s">
        <v>17</v>
      </c>
    </row>
    <row r="4368" spans="1:7" x14ac:dyDescent="0.2">
      <c r="A4368" s="2" t="s">
        <v>5565</v>
      </c>
      <c r="B4368" s="2" t="s">
        <v>5543</v>
      </c>
      <c r="C4368" s="2" t="s">
        <v>1035</v>
      </c>
      <c r="D4368" s="2" t="s">
        <v>10</v>
      </c>
      <c r="E4368" s="2" t="s">
        <v>16</v>
      </c>
      <c r="F4368" s="2">
        <v>1</v>
      </c>
      <c r="G4368" s="2" t="s">
        <v>17</v>
      </c>
    </row>
    <row r="4369" spans="1:7" x14ac:dyDescent="0.2">
      <c r="A4369" s="2" t="s">
        <v>5566</v>
      </c>
      <c r="B4369" s="2" t="s">
        <v>5567</v>
      </c>
      <c r="C4369" s="2" t="s">
        <v>5568</v>
      </c>
      <c r="D4369" s="2" t="s">
        <v>10</v>
      </c>
      <c r="E4369" s="2" t="s">
        <v>16</v>
      </c>
      <c r="F4369" s="2">
        <v>1</v>
      </c>
      <c r="G4369" s="2" t="s">
        <v>17</v>
      </c>
    </row>
    <row r="4370" spans="1:7" x14ac:dyDescent="0.2">
      <c r="A4370" s="2" t="s">
        <v>5566</v>
      </c>
      <c r="B4370" s="2" t="s">
        <v>5569</v>
      </c>
      <c r="C4370" s="2" t="s">
        <v>5570</v>
      </c>
      <c r="D4370" s="2" t="s">
        <v>10</v>
      </c>
      <c r="E4370" s="2" t="s">
        <v>16</v>
      </c>
      <c r="F4370" s="2">
        <v>1</v>
      </c>
      <c r="G4370" s="2" t="s">
        <v>17</v>
      </c>
    </row>
    <row r="4371" spans="1:7" x14ac:dyDescent="0.2">
      <c r="A4371" s="2" t="s">
        <v>5566</v>
      </c>
      <c r="B4371" s="2" t="s">
        <v>5571</v>
      </c>
      <c r="C4371" s="2" t="s">
        <v>5572</v>
      </c>
      <c r="D4371" s="2" t="s">
        <v>10</v>
      </c>
      <c r="E4371" s="2" t="s">
        <v>16</v>
      </c>
      <c r="F4371" s="2">
        <v>1</v>
      </c>
      <c r="G4371" s="2" t="s">
        <v>17</v>
      </c>
    </row>
    <row r="4372" spans="1:7" x14ac:dyDescent="0.2">
      <c r="A4372" s="2" t="s">
        <v>5566</v>
      </c>
      <c r="B4372" s="2" t="s">
        <v>5573</v>
      </c>
      <c r="C4372" s="2" t="s">
        <v>5574</v>
      </c>
      <c r="D4372" s="2" t="s">
        <v>10</v>
      </c>
      <c r="E4372" s="2" t="s">
        <v>1080</v>
      </c>
      <c r="F4372" s="2">
        <v>1</v>
      </c>
      <c r="G4372" s="2" t="s">
        <v>17</v>
      </c>
    </row>
    <row r="4373" spans="1:7" x14ac:dyDescent="0.2">
      <c r="A4373" s="2" t="s">
        <v>5575</v>
      </c>
      <c r="B4373" s="2" t="s">
        <v>5576</v>
      </c>
      <c r="C4373" s="2" t="s">
        <v>5577</v>
      </c>
      <c r="D4373" s="2" t="s">
        <v>10</v>
      </c>
      <c r="E4373" s="2" t="s">
        <v>16</v>
      </c>
      <c r="F4373" s="2">
        <v>1</v>
      </c>
      <c r="G4373" s="2" t="s">
        <v>17</v>
      </c>
    </row>
    <row r="4374" spans="1:7" x14ac:dyDescent="0.2">
      <c r="A4374" s="2" t="s">
        <v>5578</v>
      </c>
      <c r="B4374" s="2" t="s">
        <v>5579</v>
      </c>
      <c r="C4374" s="2" t="s">
        <v>5580</v>
      </c>
      <c r="D4374" s="2" t="s">
        <v>10</v>
      </c>
      <c r="E4374" s="2" t="s">
        <v>16</v>
      </c>
      <c r="F4374" s="2">
        <v>1</v>
      </c>
      <c r="G4374" s="2" t="s">
        <v>17</v>
      </c>
    </row>
    <row r="4375" spans="1:7" x14ac:dyDescent="0.2">
      <c r="A4375" s="2" t="s">
        <v>5578</v>
      </c>
      <c r="B4375" s="2" t="s">
        <v>5581</v>
      </c>
      <c r="C4375" s="2" t="s">
        <v>5580</v>
      </c>
      <c r="D4375" s="2" t="s">
        <v>10</v>
      </c>
      <c r="E4375" s="2" t="s">
        <v>16</v>
      </c>
      <c r="F4375" s="2">
        <v>1</v>
      </c>
      <c r="G4375" s="2" t="s">
        <v>17</v>
      </c>
    </row>
    <row r="4376" spans="1:7" x14ac:dyDescent="0.2">
      <c r="A4376" s="2" t="s">
        <v>5582</v>
      </c>
      <c r="B4376" s="2" t="s">
        <v>3366</v>
      </c>
      <c r="C4376" s="2" t="s">
        <v>3367</v>
      </c>
      <c r="D4376" s="2" t="s">
        <v>10</v>
      </c>
      <c r="E4376" s="2" t="s">
        <v>16</v>
      </c>
      <c r="F4376" s="2">
        <v>1</v>
      </c>
      <c r="G4376" s="2" t="s">
        <v>17</v>
      </c>
    </row>
    <row r="4377" spans="1:7" x14ac:dyDescent="0.2">
      <c r="A4377" s="2" t="s">
        <v>5583</v>
      </c>
      <c r="B4377" s="2" t="s">
        <v>5584</v>
      </c>
      <c r="C4377" s="2" t="s">
        <v>5585</v>
      </c>
      <c r="D4377" s="2" t="s">
        <v>10</v>
      </c>
      <c r="E4377" s="2" t="s">
        <v>16</v>
      </c>
      <c r="F4377" s="2">
        <v>1</v>
      </c>
      <c r="G4377" s="2" t="s">
        <v>17</v>
      </c>
    </row>
    <row r="4378" spans="1:7" x14ac:dyDescent="0.2">
      <c r="A4378" s="2" t="s">
        <v>5583</v>
      </c>
      <c r="B4378" s="2" t="s">
        <v>5586</v>
      </c>
      <c r="C4378" s="2" t="s">
        <v>5585</v>
      </c>
      <c r="D4378" s="2" t="s">
        <v>10</v>
      </c>
      <c r="E4378" s="2" t="s">
        <v>16</v>
      </c>
      <c r="F4378" s="2">
        <v>1</v>
      </c>
      <c r="G4378" s="2" t="s">
        <v>17</v>
      </c>
    </row>
    <row r="4379" spans="1:7" x14ac:dyDescent="0.2">
      <c r="A4379" s="2" t="s">
        <v>5583</v>
      </c>
      <c r="B4379" s="2" t="s">
        <v>5587</v>
      </c>
      <c r="C4379" s="2" t="s">
        <v>5585</v>
      </c>
      <c r="D4379" s="2" t="s">
        <v>10</v>
      </c>
      <c r="E4379" s="2" t="s">
        <v>16</v>
      </c>
      <c r="F4379" s="2">
        <v>1</v>
      </c>
      <c r="G4379" s="2" t="s">
        <v>17</v>
      </c>
    </row>
    <row r="4380" spans="1:7" x14ac:dyDescent="0.2">
      <c r="A4380" s="2" t="s">
        <v>5588</v>
      </c>
      <c r="B4380" s="2" t="s">
        <v>5589</v>
      </c>
      <c r="C4380" s="2" t="s">
        <v>3165</v>
      </c>
      <c r="D4380" s="2" t="s">
        <v>10</v>
      </c>
      <c r="E4380" s="2" t="s">
        <v>16</v>
      </c>
      <c r="F4380" s="2">
        <v>1</v>
      </c>
      <c r="G4380" s="2" t="s">
        <v>17</v>
      </c>
    </row>
    <row r="4381" spans="1:7" x14ac:dyDescent="0.2">
      <c r="A4381" s="2" t="s">
        <v>5588</v>
      </c>
      <c r="B4381" s="2" t="s">
        <v>4960</v>
      </c>
      <c r="C4381" s="2" t="s">
        <v>3165</v>
      </c>
      <c r="D4381" s="2" t="s">
        <v>10</v>
      </c>
      <c r="E4381" s="2" t="s">
        <v>16</v>
      </c>
      <c r="F4381" s="2">
        <v>1</v>
      </c>
      <c r="G4381" s="2" t="s">
        <v>17</v>
      </c>
    </row>
    <row r="4382" spans="1:7" x14ac:dyDescent="0.2">
      <c r="A4382" s="2" t="s">
        <v>5588</v>
      </c>
      <c r="B4382" s="2" t="s">
        <v>1883</v>
      </c>
      <c r="C4382" s="2" t="s">
        <v>5590</v>
      </c>
      <c r="D4382" s="2" t="s">
        <v>10</v>
      </c>
      <c r="E4382" s="2" t="s">
        <v>16</v>
      </c>
      <c r="F4382" s="2">
        <v>1</v>
      </c>
      <c r="G4382" s="2" t="s">
        <v>17</v>
      </c>
    </row>
    <row r="4383" spans="1:7" x14ac:dyDescent="0.2">
      <c r="A4383" s="2" t="s">
        <v>5591</v>
      </c>
      <c r="B4383" s="2" t="s">
        <v>5592</v>
      </c>
      <c r="C4383" s="2" t="s">
        <v>5593</v>
      </c>
      <c r="D4383" s="2" t="s">
        <v>10</v>
      </c>
      <c r="E4383" s="2" t="s">
        <v>16</v>
      </c>
      <c r="F4383" s="2">
        <v>1</v>
      </c>
      <c r="G4383" s="2" t="s">
        <v>17</v>
      </c>
    </row>
    <row r="4384" spans="1:7" x14ac:dyDescent="0.2">
      <c r="A4384" s="2" t="s">
        <v>5591</v>
      </c>
      <c r="B4384" s="2" t="s">
        <v>5594</v>
      </c>
      <c r="C4384" s="2" t="s">
        <v>5593</v>
      </c>
      <c r="D4384" s="2" t="s">
        <v>10</v>
      </c>
      <c r="E4384" s="2" t="s">
        <v>16</v>
      </c>
      <c r="F4384" s="2">
        <v>1</v>
      </c>
      <c r="G4384" s="2" t="s">
        <v>17</v>
      </c>
    </row>
    <row r="4385" spans="1:7" x14ac:dyDescent="0.2">
      <c r="A4385" s="2" t="s">
        <v>5595</v>
      </c>
      <c r="B4385" s="2" t="s">
        <v>5596</v>
      </c>
      <c r="C4385" s="2" t="s">
        <v>5597</v>
      </c>
      <c r="D4385" s="2" t="s">
        <v>10</v>
      </c>
      <c r="E4385" s="2" t="s">
        <v>16</v>
      </c>
      <c r="F4385" s="2">
        <v>1</v>
      </c>
      <c r="G4385" s="2" t="s">
        <v>17</v>
      </c>
    </row>
    <row r="4386" spans="1:7" x14ac:dyDescent="0.2">
      <c r="A4386" s="2" t="s">
        <v>5598</v>
      </c>
      <c r="B4386" s="2" t="s">
        <v>5516</v>
      </c>
      <c r="C4386" s="2" t="s">
        <v>5599</v>
      </c>
      <c r="D4386" s="2" t="s">
        <v>10</v>
      </c>
      <c r="E4386" s="2" t="s">
        <v>16</v>
      </c>
      <c r="F4386" s="2">
        <v>1</v>
      </c>
      <c r="G4386" s="2" t="s">
        <v>17</v>
      </c>
    </row>
    <row r="4387" spans="1:7" x14ac:dyDescent="0.2">
      <c r="A4387" s="2" t="s">
        <v>5598</v>
      </c>
      <c r="B4387" s="2" t="s">
        <v>5600</v>
      </c>
      <c r="C4387" s="2" t="s">
        <v>5601</v>
      </c>
      <c r="D4387" s="2" t="s">
        <v>10</v>
      </c>
      <c r="E4387" s="2" t="s">
        <v>16</v>
      </c>
      <c r="F4387" s="2">
        <v>1</v>
      </c>
      <c r="G4387" s="2" t="s">
        <v>17</v>
      </c>
    </row>
    <row r="4388" spans="1:7" x14ac:dyDescent="0.2">
      <c r="A4388" s="2" t="s">
        <v>5598</v>
      </c>
      <c r="B4388" s="2" t="s">
        <v>5602</v>
      </c>
      <c r="C4388" s="2" t="s">
        <v>5603</v>
      </c>
      <c r="D4388" s="2" t="s">
        <v>10</v>
      </c>
      <c r="E4388" s="2" t="s">
        <v>16</v>
      </c>
      <c r="F4388" s="2">
        <v>1</v>
      </c>
      <c r="G4388" s="2" t="s">
        <v>17</v>
      </c>
    </row>
    <row r="4389" spans="1:7" x14ac:dyDescent="0.2">
      <c r="A4389" s="2" t="s">
        <v>5598</v>
      </c>
      <c r="B4389" s="2" t="s">
        <v>5604</v>
      </c>
      <c r="C4389" s="2" t="s">
        <v>5605</v>
      </c>
      <c r="D4389" s="2" t="s">
        <v>10</v>
      </c>
      <c r="E4389" s="2" t="s">
        <v>16</v>
      </c>
      <c r="F4389" s="2">
        <v>1</v>
      </c>
      <c r="G4389" s="2" t="s">
        <v>17</v>
      </c>
    </row>
    <row r="4390" spans="1:7" x14ac:dyDescent="0.2">
      <c r="A4390" s="2" t="s">
        <v>5598</v>
      </c>
      <c r="B4390" s="2" t="s">
        <v>1971</v>
      </c>
      <c r="C4390" s="2" t="s">
        <v>5606</v>
      </c>
      <c r="D4390" s="2" t="s">
        <v>29</v>
      </c>
      <c r="E4390" s="2" t="s">
        <v>16</v>
      </c>
      <c r="F4390" s="2">
        <v>1</v>
      </c>
      <c r="G4390" s="2" t="s">
        <v>17</v>
      </c>
    </row>
    <row r="4391" spans="1:7" x14ac:dyDescent="0.2">
      <c r="A4391" s="2" t="s">
        <v>5607</v>
      </c>
      <c r="B4391" s="2" t="s">
        <v>5608</v>
      </c>
      <c r="C4391" s="2" t="s">
        <v>5609</v>
      </c>
      <c r="D4391" s="2" t="s">
        <v>10</v>
      </c>
      <c r="E4391" s="2" t="s">
        <v>16</v>
      </c>
      <c r="F4391" s="2">
        <v>1</v>
      </c>
      <c r="G4391" s="2" t="s">
        <v>17</v>
      </c>
    </row>
    <row r="4392" spans="1:7" x14ac:dyDescent="0.2">
      <c r="A4392" s="2" t="s">
        <v>5607</v>
      </c>
      <c r="B4392" s="2" t="s">
        <v>5610</v>
      </c>
      <c r="C4392" s="2" t="s">
        <v>5609</v>
      </c>
      <c r="D4392" s="2" t="s">
        <v>10</v>
      </c>
      <c r="E4392" s="2" t="s">
        <v>16</v>
      </c>
      <c r="F4392" s="2">
        <v>1</v>
      </c>
      <c r="G4392" s="2" t="s">
        <v>17</v>
      </c>
    </row>
    <row r="4393" spans="1:7" x14ac:dyDescent="0.2">
      <c r="A4393" s="2" t="s">
        <v>5607</v>
      </c>
      <c r="B4393" s="2" t="s">
        <v>5611</v>
      </c>
      <c r="C4393" s="2" t="s">
        <v>5612</v>
      </c>
      <c r="D4393" s="2" t="s">
        <v>10</v>
      </c>
      <c r="E4393" s="2" t="s">
        <v>16</v>
      </c>
      <c r="F4393" s="2">
        <v>1</v>
      </c>
      <c r="G4393" s="2" t="s">
        <v>17</v>
      </c>
    </row>
    <row r="4394" spans="1:7" x14ac:dyDescent="0.2">
      <c r="A4394" s="2" t="s">
        <v>5613</v>
      </c>
      <c r="B4394" s="2" t="s">
        <v>5614</v>
      </c>
      <c r="C4394" s="2" t="s">
        <v>5615</v>
      </c>
      <c r="D4394" s="2" t="s">
        <v>29</v>
      </c>
      <c r="E4394" s="2" t="s">
        <v>16</v>
      </c>
      <c r="F4394" s="2">
        <v>1</v>
      </c>
      <c r="G4394" s="2" t="s">
        <v>17</v>
      </c>
    </row>
    <row r="4395" spans="1:7" x14ac:dyDescent="0.2">
      <c r="A4395" s="2" t="s">
        <v>5613</v>
      </c>
      <c r="B4395" s="2" t="s">
        <v>5616</v>
      </c>
      <c r="C4395" s="2" t="s">
        <v>5615</v>
      </c>
      <c r="D4395" s="2" t="s">
        <v>29</v>
      </c>
      <c r="E4395" s="2" t="s">
        <v>16</v>
      </c>
      <c r="F4395" s="2">
        <v>1</v>
      </c>
      <c r="G4395" s="2" t="s">
        <v>17</v>
      </c>
    </row>
    <row r="4396" spans="1:7" x14ac:dyDescent="0.2">
      <c r="A4396" s="2" t="s">
        <v>5617</v>
      </c>
      <c r="B4396" s="2" t="s">
        <v>5618</v>
      </c>
      <c r="C4396" s="2" t="s">
        <v>5619</v>
      </c>
      <c r="D4396" s="2" t="s">
        <v>10</v>
      </c>
      <c r="E4396" s="2" t="s">
        <v>16</v>
      </c>
      <c r="F4396" s="2">
        <v>1</v>
      </c>
      <c r="G4396" s="2" t="s">
        <v>17</v>
      </c>
    </row>
    <row r="4397" spans="1:7" x14ac:dyDescent="0.2">
      <c r="A4397" s="2" t="s">
        <v>5617</v>
      </c>
      <c r="B4397" s="2" t="s">
        <v>4506</v>
      </c>
      <c r="C4397" s="2" t="s">
        <v>5619</v>
      </c>
      <c r="D4397" s="2" t="s">
        <v>10</v>
      </c>
      <c r="E4397" s="2" t="s">
        <v>16</v>
      </c>
      <c r="F4397" s="2">
        <v>1</v>
      </c>
      <c r="G4397" s="2" t="s">
        <v>17</v>
      </c>
    </row>
    <row r="4398" spans="1:7" x14ac:dyDescent="0.2">
      <c r="A4398" s="2" t="s">
        <v>5620</v>
      </c>
      <c r="B4398" s="2" t="s">
        <v>5621</v>
      </c>
      <c r="C4398" s="2" t="s">
        <v>5622</v>
      </c>
      <c r="D4398" s="2" t="s">
        <v>10</v>
      </c>
      <c r="E4398" s="2" t="s">
        <v>16</v>
      </c>
      <c r="F4398" s="2">
        <v>1</v>
      </c>
      <c r="G4398" s="2" t="s">
        <v>17</v>
      </c>
    </row>
    <row r="4399" spans="1:7" x14ac:dyDescent="0.2">
      <c r="A4399" s="2" t="s">
        <v>5620</v>
      </c>
      <c r="B4399" s="2" t="s">
        <v>5623</v>
      </c>
      <c r="C4399" s="2" t="s">
        <v>5622</v>
      </c>
      <c r="D4399" s="2" t="s">
        <v>10</v>
      </c>
      <c r="E4399" s="2" t="s">
        <v>16</v>
      </c>
      <c r="F4399" s="2">
        <v>1</v>
      </c>
      <c r="G4399" s="2" t="s">
        <v>17</v>
      </c>
    </row>
    <row r="4400" spans="1:7" x14ac:dyDescent="0.2">
      <c r="A4400" s="2" t="s">
        <v>5624</v>
      </c>
      <c r="B4400" s="2" t="s">
        <v>5625</v>
      </c>
      <c r="C4400" s="2" t="s">
        <v>5626</v>
      </c>
      <c r="D4400" s="2" t="s">
        <v>29</v>
      </c>
      <c r="E4400" s="2" t="s">
        <v>16</v>
      </c>
      <c r="F4400" s="2">
        <v>1</v>
      </c>
      <c r="G4400" s="2" t="s">
        <v>17</v>
      </c>
    </row>
    <row r="4401" spans="1:7" x14ac:dyDescent="0.2">
      <c r="A4401" s="2" t="s">
        <v>5624</v>
      </c>
      <c r="B4401" s="2" t="s">
        <v>5627</v>
      </c>
      <c r="C4401" s="2" t="s">
        <v>5626</v>
      </c>
      <c r="D4401" s="2" t="s">
        <v>29</v>
      </c>
      <c r="E4401" s="2" t="s">
        <v>16</v>
      </c>
      <c r="F4401" s="2">
        <v>1</v>
      </c>
      <c r="G4401" s="2" t="s">
        <v>17</v>
      </c>
    </row>
    <row r="4402" spans="1:7" x14ac:dyDescent="0.2">
      <c r="A4402" s="2" t="s">
        <v>5628</v>
      </c>
      <c r="B4402" s="2" t="s">
        <v>5629</v>
      </c>
      <c r="C4402" s="2" t="s">
        <v>5630</v>
      </c>
      <c r="D4402" s="2" t="s">
        <v>10</v>
      </c>
      <c r="E4402" s="2" t="s">
        <v>16</v>
      </c>
      <c r="F4402" s="2">
        <v>1</v>
      </c>
      <c r="G4402" s="2" t="s">
        <v>17</v>
      </c>
    </row>
    <row r="4403" spans="1:7" x14ac:dyDescent="0.2">
      <c r="A4403" s="2" t="s">
        <v>5628</v>
      </c>
      <c r="B4403" s="2" t="s">
        <v>5631</v>
      </c>
      <c r="C4403" s="2" t="s">
        <v>5630</v>
      </c>
      <c r="D4403" s="2" t="s">
        <v>10</v>
      </c>
      <c r="E4403" s="2" t="s">
        <v>16</v>
      </c>
      <c r="F4403" s="2">
        <v>1</v>
      </c>
      <c r="G4403" s="2" t="s">
        <v>17</v>
      </c>
    </row>
    <row r="4404" spans="1:7" x14ac:dyDescent="0.2">
      <c r="A4404" s="2" t="s">
        <v>5628</v>
      </c>
      <c r="B4404" s="2" t="s">
        <v>5632</v>
      </c>
      <c r="C4404" s="2" t="s">
        <v>5633</v>
      </c>
      <c r="D4404" s="2" t="s">
        <v>10</v>
      </c>
      <c r="E4404" s="2" t="s">
        <v>16</v>
      </c>
      <c r="F4404" s="2">
        <v>1</v>
      </c>
      <c r="G4404" s="2" t="s">
        <v>17</v>
      </c>
    </row>
    <row r="4405" spans="1:7" x14ac:dyDescent="0.2">
      <c r="A4405" s="2" t="s">
        <v>5628</v>
      </c>
      <c r="B4405" s="2" t="s">
        <v>5634</v>
      </c>
      <c r="C4405" s="2" t="s">
        <v>5635</v>
      </c>
      <c r="D4405" s="2" t="s">
        <v>10</v>
      </c>
      <c r="E4405" s="2" t="s">
        <v>16</v>
      </c>
      <c r="F4405" s="2">
        <v>1</v>
      </c>
      <c r="G4405" s="2" t="s">
        <v>17</v>
      </c>
    </row>
    <row r="4406" spans="1:7" x14ac:dyDescent="0.2">
      <c r="A4406" s="2" t="s">
        <v>5628</v>
      </c>
      <c r="B4406" s="2" t="s">
        <v>4384</v>
      </c>
      <c r="C4406" s="2" t="s">
        <v>5630</v>
      </c>
      <c r="D4406" s="2" t="s">
        <v>10</v>
      </c>
      <c r="E4406" s="2" t="s">
        <v>16</v>
      </c>
      <c r="F4406" s="2">
        <v>1</v>
      </c>
      <c r="G4406" s="2" t="s">
        <v>17</v>
      </c>
    </row>
    <row r="4407" spans="1:7" x14ac:dyDescent="0.2">
      <c r="A4407" s="2" t="s">
        <v>5628</v>
      </c>
      <c r="B4407" s="2" t="s">
        <v>2631</v>
      </c>
      <c r="C4407" s="2" t="s">
        <v>5630</v>
      </c>
      <c r="D4407" s="2" t="s">
        <v>10</v>
      </c>
      <c r="E4407" s="2" t="s">
        <v>16</v>
      </c>
      <c r="F4407" s="2">
        <v>1</v>
      </c>
      <c r="G4407" s="2" t="s">
        <v>17</v>
      </c>
    </row>
    <row r="4408" spans="1:7" x14ac:dyDescent="0.2">
      <c r="A4408" s="2" t="s">
        <v>5628</v>
      </c>
      <c r="B4408" s="2" t="s">
        <v>5636</v>
      </c>
      <c r="C4408" s="2" t="s">
        <v>5635</v>
      </c>
      <c r="D4408" s="2" t="s">
        <v>10</v>
      </c>
      <c r="E4408" s="2" t="s">
        <v>16</v>
      </c>
      <c r="F4408" s="2">
        <v>1</v>
      </c>
      <c r="G4408" s="2" t="s">
        <v>17</v>
      </c>
    </row>
    <row r="4409" spans="1:7" x14ac:dyDescent="0.2">
      <c r="A4409" s="2" t="s">
        <v>5628</v>
      </c>
      <c r="B4409" s="2" t="s">
        <v>5637</v>
      </c>
      <c r="C4409" s="2" t="s">
        <v>5633</v>
      </c>
      <c r="D4409" s="2" t="s">
        <v>10</v>
      </c>
      <c r="E4409" s="2" t="s">
        <v>16</v>
      </c>
      <c r="F4409" s="2">
        <v>1</v>
      </c>
      <c r="G4409" s="2" t="s">
        <v>17</v>
      </c>
    </row>
    <row r="4410" spans="1:7" x14ac:dyDescent="0.2">
      <c r="A4410" s="2" t="s">
        <v>5628</v>
      </c>
      <c r="B4410" s="2" t="s">
        <v>5638</v>
      </c>
      <c r="C4410" s="2" t="s">
        <v>5639</v>
      </c>
      <c r="D4410" s="2" t="s">
        <v>10</v>
      </c>
      <c r="E4410" s="2" t="s">
        <v>16</v>
      </c>
      <c r="F4410" s="2">
        <v>1</v>
      </c>
      <c r="G4410" s="2" t="s">
        <v>17</v>
      </c>
    </row>
    <row r="4411" spans="1:7" x14ac:dyDescent="0.2">
      <c r="A4411" s="2" t="s">
        <v>5628</v>
      </c>
      <c r="B4411" s="2" t="s">
        <v>5640</v>
      </c>
      <c r="C4411" s="2" t="s">
        <v>5639</v>
      </c>
      <c r="D4411" s="2" t="s">
        <v>10</v>
      </c>
      <c r="E4411" s="2" t="s">
        <v>16</v>
      </c>
      <c r="F4411" s="2">
        <v>1</v>
      </c>
      <c r="G4411" s="2" t="s">
        <v>17</v>
      </c>
    </row>
    <row r="4412" spans="1:7" x14ac:dyDescent="0.2">
      <c r="A4412" s="2" t="s">
        <v>5641</v>
      </c>
      <c r="B4412" s="2" t="s">
        <v>5642</v>
      </c>
      <c r="C4412" s="2" t="s">
        <v>5643</v>
      </c>
      <c r="D4412" s="2" t="s">
        <v>10</v>
      </c>
      <c r="E4412" s="2" t="s">
        <v>16</v>
      </c>
      <c r="F4412" s="2">
        <v>1</v>
      </c>
      <c r="G4412" s="2" t="s">
        <v>17</v>
      </c>
    </row>
    <row r="4413" spans="1:7" x14ac:dyDescent="0.2">
      <c r="A4413" s="2" t="s">
        <v>5641</v>
      </c>
      <c r="B4413" s="2" t="s">
        <v>5644</v>
      </c>
      <c r="C4413" s="2" t="s">
        <v>5643</v>
      </c>
      <c r="D4413" s="2" t="s">
        <v>10</v>
      </c>
      <c r="E4413" s="2" t="s">
        <v>16</v>
      </c>
      <c r="F4413" s="2">
        <v>1</v>
      </c>
      <c r="G4413" s="2" t="s">
        <v>17</v>
      </c>
    </row>
    <row r="4414" spans="1:7" x14ac:dyDescent="0.2">
      <c r="A4414" s="2" t="s">
        <v>5641</v>
      </c>
      <c r="B4414" s="2" t="s">
        <v>5645</v>
      </c>
      <c r="C4414" s="2" t="s">
        <v>1983</v>
      </c>
      <c r="D4414" s="2" t="s">
        <v>10</v>
      </c>
      <c r="E4414" s="2" t="s">
        <v>16</v>
      </c>
      <c r="F4414" s="2">
        <v>1</v>
      </c>
      <c r="G4414" s="2" t="s">
        <v>17</v>
      </c>
    </row>
    <row r="4415" spans="1:7" x14ac:dyDescent="0.2">
      <c r="A4415" s="2" t="s">
        <v>5641</v>
      </c>
      <c r="B4415" s="2" t="s">
        <v>4680</v>
      </c>
      <c r="C4415" s="2" t="s">
        <v>1990</v>
      </c>
      <c r="D4415" s="2" t="s">
        <v>10</v>
      </c>
      <c r="E4415" s="2" t="s">
        <v>16</v>
      </c>
      <c r="F4415" s="2">
        <v>1</v>
      </c>
      <c r="G4415" s="2" t="s">
        <v>17</v>
      </c>
    </row>
    <row r="4416" spans="1:7" x14ac:dyDescent="0.2">
      <c r="A4416" s="2" t="s">
        <v>5641</v>
      </c>
      <c r="B4416" s="2" t="s">
        <v>5646</v>
      </c>
      <c r="C4416" s="2" t="s">
        <v>1983</v>
      </c>
      <c r="D4416" s="2" t="s">
        <v>10</v>
      </c>
      <c r="E4416" s="2" t="s">
        <v>16</v>
      </c>
      <c r="F4416" s="2">
        <v>1</v>
      </c>
      <c r="G4416" s="2" t="s">
        <v>17</v>
      </c>
    </row>
    <row r="4417" spans="1:7" x14ac:dyDescent="0.2">
      <c r="A4417" s="2" t="s">
        <v>5641</v>
      </c>
      <c r="B4417" s="2" t="s">
        <v>5647</v>
      </c>
      <c r="C4417" s="2" t="s">
        <v>1991</v>
      </c>
      <c r="D4417" s="2" t="s">
        <v>10</v>
      </c>
      <c r="E4417" s="2" t="s">
        <v>16</v>
      </c>
      <c r="F4417" s="2">
        <v>1</v>
      </c>
      <c r="G4417" s="2" t="s">
        <v>17</v>
      </c>
    </row>
    <row r="4418" spans="1:7" x14ac:dyDescent="0.2">
      <c r="A4418" s="2" t="s">
        <v>5641</v>
      </c>
      <c r="B4418" s="2" t="s">
        <v>3041</v>
      </c>
      <c r="C4418" s="2" t="s">
        <v>1983</v>
      </c>
      <c r="D4418" s="2" t="s">
        <v>10</v>
      </c>
      <c r="E4418" s="2" t="s">
        <v>16</v>
      </c>
      <c r="F4418" s="2">
        <v>1</v>
      </c>
      <c r="G4418" s="2" t="s">
        <v>17</v>
      </c>
    </row>
    <row r="4419" spans="1:7" x14ac:dyDescent="0.2">
      <c r="A4419" s="2" t="s">
        <v>5641</v>
      </c>
      <c r="B4419" s="2" t="s">
        <v>3638</v>
      </c>
      <c r="C4419" s="2" t="s">
        <v>1991</v>
      </c>
      <c r="D4419" s="2" t="s">
        <v>10</v>
      </c>
      <c r="E4419" s="2" t="s">
        <v>16</v>
      </c>
      <c r="F4419" s="2">
        <v>1</v>
      </c>
      <c r="G4419" s="2" t="s">
        <v>17</v>
      </c>
    </row>
    <row r="4420" spans="1:7" x14ac:dyDescent="0.2">
      <c r="A4420" s="2" t="s">
        <v>5641</v>
      </c>
      <c r="B4420" s="2" t="s">
        <v>5648</v>
      </c>
      <c r="C4420" s="2" t="s">
        <v>5649</v>
      </c>
      <c r="D4420" s="2" t="s">
        <v>10</v>
      </c>
      <c r="E4420" s="2" t="s">
        <v>16</v>
      </c>
      <c r="F4420" s="2">
        <v>1</v>
      </c>
      <c r="G4420" s="2" t="s">
        <v>17</v>
      </c>
    </row>
    <row r="4421" spans="1:7" x14ac:dyDescent="0.2">
      <c r="A4421" s="2" t="s">
        <v>5641</v>
      </c>
      <c r="B4421" s="2" t="s">
        <v>4681</v>
      </c>
      <c r="C4421" s="2" t="s">
        <v>4682</v>
      </c>
      <c r="D4421" s="2" t="s">
        <v>10</v>
      </c>
      <c r="E4421" s="2" t="s">
        <v>52</v>
      </c>
      <c r="F4421" s="2">
        <v>2</v>
      </c>
      <c r="G4421" s="2" t="s">
        <v>12</v>
      </c>
    </row>
    <row r="4422" spans="1:7" x14ac:dyDescent="0.2">
      <c r="A4422" s="2" t="s">
        <v>5641</v>
      </c>
      <c r="B4422" s="2" t="s">
        <v>4686</v>
      </c>
      <c r="C4422" s="2" t="s">
        <v>4682</v>
      </c>
      <c r="D4422" s="2" t="s">
        <v>10</v>
      </c>
      <c r="E4422" s="2" t="s">
        <v>52</v>
      </c>
      <c r="F4422" s="2">
        <v>2</v>
      </c>
      <c r="G4422" s="2" t="s">
        <v>12</v>
      </c>
    </row>
    <row r="4423" spans="1:7" x14ac:dyDescent="0.2">
      <c r="A4423" s="2" t="s">
        <v>5641</v>
      </c>
      <c r="B4423" s="2" t="s">
        <v>4687</v>
      </c>
      <c r="C4423" s="2" t="s">
        <v>4688</v>
      </c>
      <c r="D4423" s="2" t="s">
        <v>10</v>
      </c>
      <c r="E4423" s="2" t="s">
        <v>16</v>
      </c>
      <c r="F4423" s="2">
        <v>1</v>
      </c>
      <c r="G4423" s="2" t="s">
        <v>17</v>
      </c>
    </row>
    <row r="4424" spans="1:7" x14ac:dyDescent="0.2">
      <c r="A4424" s="2" t="s">
        <v>5641</v>
      </c>
      <c r="B4424" s="2" t="s">
        <v>5650</v>
      </c>
      <c r="C4424" s="2" t="s">
        <v>5651</v>
      </c>
      <c r="D4424" s="2" t="s">
        <v>10</v>
      </c>
      <c r="E4424" s="2" t="s">
        <v>52</v>
      </c>
      <c r="F4424" s="2">
        <v>2</v>
      </c>
      <c r="G4424" s="2" t="s">
        <v>17</v>
      </c>
    </row>
    <row r="4425" spans="1:7" x14ac:dyDescent="0.2">
      <c r="A4425" s="2" t="s">
        <v>5641</v>
      </c>
      <c r="B4425" s="2" t="s">
        <v>5652</v>
      </c>
      <c r="C4425" s="2" t="s">
        <v>5653</v>
      </c>
      <c r="D4425" s="2" t="s">
        <v>10</v>
      </c>
      <c r="E4425" s="2" t="s">
        <v>11</v>
      </c>
      <c r="F4425" s="2">
        <v>1</v>
      </c>
      <c r="G4425" s="2" t="s">
        <v>17</v>
      </c>
    </row>
    <row r="4426" spans="1:7" x14ac:dyDescent="0.2">
      <c r="A4426" s="2" t="s">
        <v>5641</v>
      </c>
      <c r="B4426" s="2" t="s">
        <v>5654</v>
      </c>
      <c r="C4426" s="2" t="s">
        <v>1985</v>
      </c>
      <c r="D4426" s="2" t="s">
        <v>10</v>
      </c>
      <c r="E4426" s="2" t="s">
        <v>16</v>
      </c>
      <c r="F4426" s="2">
        <v>1</v>
      </c>
      <c r="G4426" s="2" t="s">
        <v>17</v>
      </c>
    </row>
    <row r="4427" spans="1:7" x14ac:dyDescent="0.2">
      <c r="A4427" s="2" t="s">
        <v>5641</v>
      </c>
      <c r="B4427" s="2" t="s">
        <v>5655</v>
      </c>
      <c r="C4427" s="2" t="s">
        <v>5653</v>
      </c>
      <c r="D4427" s="2" t="s">
        <v>10</v>
      </c>
      <c r="E4427" s="2" t="s">
        <v>11</v>
      </c>
      <c r="F4427" s="2">
        <v>1</v>
      </c>
      <c r="G4427" s="2" t="s">
        <v>17</v>
      </c>
    </row>
    <row r="4428" spans="1:7" x14ac:dyDescent="0.2">
      <c r="A4428" s="2" t="s">
        <v>5641</v>
      </c>
      <c r="B4428" s="2" t="s">
        <v>5656</v>
      </c>
      <c r="C4428" s="2" t="s">
        <v>5651</v>
      </c>
      <c r="D4428" s="2" t="s">
        <v>10</v>
      </c>
      <c r="E4428" s="2" t="s">
        <v>52</v>
      </c>
      <c r="F4428" s="2">
        <v>2</v>
      </c>
      <c r="G4428" s="2" t="s">
        <v>17</v>
      </c>
    </row>
    <row r="4429" spans="1:7" x14ac:dyDescent="0.2">
      <c r="A4429" s="2" t="s">
        <v>5641</v>
      </c>
      <c r="B4429" s="2" t="s">
        <v>5657</v>
      </c>
      <c r="C4429" s="2" t="s">
        <v>5649</v>
      </c>
      <c r="D4429" s="2" t="s">
        <v>10</v>
      </c>
      <c r="E4429" s="2" t="s">
        <v>16</v>
      </c>
      <c r="F4429" s="2">
        <v>1</v>
      </c>
      <c r="G4429" s="2" t="s">
        <v>17</v>
      </c>
    </row>
    <row r="4430" spans="1:7" x14ac:dyDescent="0.2">
      <c r="A4430" s="2" t="s">
        <v>5641</v>
      </c>
      <c r="B4430" s="2" t="s">
        <v>4694</v>
      </c>
      <c r="C4430" s="2" t="s">
        <v>4688</v>
      </c>
      <c r="D4430" s="2" t="s">
        <v>10</v>
      </c>
      <c r="E4430" s="2" t="s">
        <v>16</v>
      </c>
      <c r="F4430" s="2">
        <v>1</v>
      </c>
      <c r="G4430" s="2" t="s">
        <v>17</v>
      </c>
    </row>
    <row r="4431" spans="1:7" x14ac:dyDescent="0.2">
      <c r="A4431" s="2" t="s">
        <v>5641</v>
      </c>
      <c r="B4431" s="2" t="s">
        <v>5658</v>
      </c>
      <c r="C4431" s="2" t="s">
        <v>5653</v>
      </c>
      <c r="D4431" s="2" t="s">
        <v>10</v>
      </c>
      <c r="E4431" s="2" t="s">
        <v>11</v>
      </c>
      <c r="F4431" s="2">
        <v>1</v>
      </c>
      <c r="G4431" s="2" t="s">
        <v>17</v>
      </c>
    </row>
    <row r="4432" spans="1:7" x14ac:dyDescent="0.2">
      <c r="A4432" s="2" t="s">
        <v>5659</v>
      </c>
      <c r="B4432" s="2" t="s">
        <v>5660</v>
      </c>
      <c r="C4432" s="2" t="s">
        <v>5661</v>
      </c>
      <c r="D4432" s="2" t="s">
        <v>10</v>
      </c>
      <c r="E4432" s="2" t="s">
        <v>16</v>
      </c>
      <c r="F4432" s="2">
        <v>1</v>
      </c>
      <c r="G4432" s="2" t="s">
        <v>17</v>
      </c>
    </row>
    <row r="4433" spans="1:7" x14ac:dyDescent="0.2">
      <c r="A4433" s="2" t="s">
        <v>5662</v>
      </c>
      <c r="B4433" s="2" t="s">
        <v>5648</v>
      </c>
      <c r="C4433" s="2" t="s">
        <v>5649</v>
      </c>
      <c r="D4433" s="2" t="s">
        <v>10</v>
      </c>
      <c r="E4433" s="2" t="s">
        <v>16</v>
      </c>
      <c r="F4433" s="2">
        <v>1</v>
      </c>
      <c r="G4433" s="2" t="s">
        <v>17</v>
      </c>
    </row>
    <row r="4434" spans="1:7" x14ac:dyDescent="0.2">
      <c r="A4434" s="2" t="s">
        <v>5662</v>
      </c>
      <c r="B4434" s="2" t="s">
        <v>5596</v>
      </c>
      <c r="C4434" s="2" t="s">
        <v>5597</v>
      </c>
      <c r="D4434" s="2" t="s">
        <v>10</v>
      </c>
      <c r="E4434" s="2" t="s">
        <v>16</v>
      </c>
      <c r="F4434" s="2">
        <v>1</v>
      </c>
      <c r="G4434" s="2" t="s">
        <v>17</v>
      </c>
    </row>
    <row r="4435" spans="1:7" x14ac:dyDescent="0.2">
      <c r="A4435" s="2" t="s">
        <v>5662</v>
      </c>
      <c r="B4435" s="2" t="s">
        <v>5663</v>
      </c>
      <c r="C4435" s="2" t="s">
        <v>5664</v>
      </c>
      <c r="D4435" s="2" t="s">
        <v>10</v>
      </c>
      <c r="E4435" s="2" t="s">
        <v>16</v>
      </c>
      <c r="F4435" s="2">
        <v>1</v>
      </c>
      <c r="G4435" s="2" t="s">
        <v>17</v>
      </c>
    </row>
    <row r="4436" spans="1:7" x14ac:dyDescent="0.2">
      <c r="A4436" s="2" t="s">
        <v>5662</v>
      </c>
      <c r="B4436" s="2" t="s">
        <v>5657</v>
      </c>
      <c r="C4436" s="2" t="s">
        <v>5649</v>
      </c>
      <c r="D4436" s="2" t="s">
        <v>10</v>
      </c>
      <c r="E4436" s="2" t="s">
        <v>16</v>
      </c>
      <c r="F4436" s="2">
        <v>1</v>
      </c>
      <c r="G4436" s="2" t="s">
        <v>17</v>
      </c>
    </row>
    <row r="4437" spans="1:7" x14ac:dyDescent="0.2">
      <c r="A4437" s="2" t="s">
        <v>5665</v>
      </c>
      <c r="B4437" s="2">
        <v>50</v>
      </c>
      <c r="C4437" s="2" t="s">
        <v>5666</v>
      </c>
      <c r="D4437" s="2" t="s">
        <v>10</v>
      </c>
      <c r="E4437" s="2" t="s">
        <v>52</v>
      </c>
      <c r="F4437" s="2">
        <v>2</v>
      </c>
      <c r="G4437" s="2" t="s">
        <v>12</v>
      </c>
    </row>
    <row r="4438" spans="1:7" x14ac:dyDescent="0.2">
      <c r="A4438" s="2" t="s">
        <v>5665</v>
      </c>
      <c r="B4438" s="2" t="s">
        <v>5667</v>
      </c>
      <c r="C4438" s="2" t="s">
        <v>5666</v>
      </c>
      <c r="D4438" s="2" t="s">
        <v>10</v>
      </c>
      <c r="E4438" s="2" t="s">
        <v>52</v>
      </c>
      <c r="F4438" s="2">
        <v>2</v>
      </c>
      <c r="G4438" s="2" t="s">
        <v>12</v>
      </c>
    </row>
    <row r="4439" spans="1:7" x14ac:dyDescent="0.2">
      <c r="A4439" s="2" t="s">
        <v>5665</v>
      </c>
      <c r="B4439" s="2" t="s">
        <v>5668</v>
      </c>
      <c r="C4439" s="2" t="s">
        <v>5666</v>
      </c>
      <c r="D4439" s="2" t="s">
        <v>10</v>
      </c>
      <c r="E4439" s="2" t="s">
        <v>52</v>
      </c>
      <c r="F4439" s="2">
        <v>2</v>
      </c>
      <c r="G4439" s="2" t="s">
        <v>12</v>
      </c>
    </row>
    <row r="4440" spans="1:7" x14ac:dyDescent="0.2">
      <c r="A4440" s="2" t="s">
        <v>5665</v>
      </c>
      <c r="B4440" s="2">
        <v>60</v>
      </c>
      <c r="C4440" s="2" t="s">
        <v>5669</v>
      </c>
      <c r="D4440" s="2" t="s">
        <v>10</v>
      </c>
      <c r="E4440" s="2" t="s">
        <v>52</v>
      </c>
      <c r="F4440" s="2">
        <v>2</v>
      </c>
      <c r="G4440" s="2" t="s">
        <v>12</v>
      </c>
    </row>
    <row r="4441" spans="1:7" x14ac:dyDescent="0.2">
      <c r="A4441" s="2" t="s">
        <v>5665</v>
      </c>
      <c r="B4441" s="2">
        <v>70</v>
      </c>
      <c r="C4441" s="2" t="s">
        <v>5670</v>
      </c>
      <c r="D4441" s="2" t="s">
        <v>10</v>
      </c>
      <c r="E4441" s="2" t="s">
        <v>11</v>
      </c>
      <c r="F4441" s="2">
        <v>2</v>
      </c>
      <c r="G4441" s="2" t="s">
        <v>12</v>
      </c>
    </row>
    <row r="4442" spans="1:7" x14ac:dyDescent="0.2">
      <c r="A4442" s="2" t="s">
        <v>5665</v>
      </c>
      <c r="B4442" s="2">
        <v>100</v>
      </c>
      <c r="C4442" s="2" t="s">
        <v>5671</v>
      </c>
      <c r="D4442" s="2" t="s">
        <v>10</v>
      </c>
      <c r="E4442" s="2" t="s">
        <v>11</v>
      </c>
      <c r="F4442" s="2">
        <v>2</v>
      </c>
      <c r="G4442" s="2" t="s">
        <v>12</v>
      </c>
    </row>
    <row r="4443" spans="1:7" x14ac:dyDescent="0.2">
      <c r="A4443" s="2" t="s">
        <v>5665</v>
      </c>
      <c r="B4443" s="2" t="s">
        <v>5672</v>
      </c>
      <c r="C4443" s="2" t="s">
        <v>4160</v>
      </c>
      <c r="D4443" s="2" t="s">
        <v>10</v>
      </c>
      <c r="E4443" s="2" t="s">
        <v>52</v>
      </c>
      <c r="F4443" s="2">
        <v>2</v>
      </c>
      <c r="G4443" s="2" t="s">
        <v>12</v>
      </c>
    </row>
    <row r="4444" spans="1:7" x14ac:dyDescent="0.2">
      <c r="A4444" s="2" t="s">
        <v>5665</v>
      </c>
      <c r="B4444" s="2" t="s">
        <v>5673</v>
      </c>
      <c r="C4444" s="2" t="s">
        <v>5674</v>
      </c>
      <c r="D4444" s="2" t="s">
        <v>10</v>
      </c>
      <c r="E4444" s="2" t="s">
        <v>16</v>
      </c>
      <c r="F4444" s="2">
        <v>1</v>
      </c>
      <c r="G4444" s="2" t="s">
        <v>17</v>
      </c>
    </row>
    <row r="4445" spans="1:7" x14ac:dyDescent="0.2">
      <c r="A4445" s="2" t="s">
        <v>5665</v>
      </c>
      <c r="B4445" s="2" t="s">
        <v>5675</v>
      </c>
      <c r="C4445" s="2" t="s">
        <v>5676</v>
      </c>
      <c r="D4445" s="2" t="s">
        <v>10</v>
      </c>
      <c r="E4445" s="2" t="s">
        <v>16</v>
      </c>
      <c r="F4445" s="2">
        <v>1</v>
      </c>
      <c r="G4445" s="2" t="s">
        <v>17</v>
      </c>
    </row>
    <row r="4446" spans="1:7" x14ac:dyDescent="0.2">
      <c r="A4446" s="2" t="s">
        <v>5665</v>
      </c>
      <c r="B4446" s="2" t="s">
        <v>5677</v>
      </c>
      <c r="C4446" s="2" t="s">
        <v>5678</v>
      </c>
      <c r="D4446" s="2" t="s">
        <v>10</v>
      </c>
      <c r="E4446" s="2" t="s">
        <v>16</v>
      </c>
      <c r="F4446" s="2">
        <v>1</v>
      </c>
      <c r="G4446" s="2" t="s">
        <v>17</v>
      </c>
    </row>
    <row r="4447" spans="1:7" x14ac:dyDescent="0.2">
      <c r="A4447" s="2" t="s">
        <v>5665</v>
      </c>
      <c r="B4447" s="2" t="s">
        <v>5679</v>
      </c>
      <c r="C4447" s="2" t="s">
        <v>5680</v>
      </c>
      <c r="D4447" s="2" t="s">
        <v>10</v>
      </c>
      <c r="E4447" s="2" t="s">
        <v>11</v>
      </c>
      <c r="F4447" s="2">
        <v>1</v>
      </c>
      <c r="G4447" s="2" t="s">
        <v>12</v>
      </c>
    </row>
    <row r="4448" spans="1:7" x14ac:dyDescent="0.2">
      <c r="A4448" s="2" t="s">
        <v>5665</v>
      </c>
      <c r="B4448" s="2" t="s">
        <v>5681</v>
      </c>
      <c r="C4448" s="2" t="s">
        <v>4160</v>
      </c>
      <c r="D4448" s="2" t="s">
        <v>10</v>
      </c>
      <c r="E4448" s="2" t="s">
        <v>52</v>
      </c>
      <c r="F4448" s="2">
        <v>2</v>
      </c>
      <c r="G4448" s="2" t="s">
        <v>12</v>
      </c>
    </row>
    <row r="4449" spans="1:7" x14ac:dyDescent="0.2">
      <c r="A4449" s="2" t="s">
        <v>5665</v>
      </c>
      <c r="B4449" s="2" t="s">
        <v>5682</v>
      </c>
      <c r="C4449" s="2" t="s">
        <v>4160</v>
      </c>
      <c r="D4449" s="2" t="s">
        <v>10</v>
      </c>
      <c r="E4449" s="2" t="s">
        <v>52</v>
      </c>
      <c r="F4449" s="2">
        <v>2</v>
      </c>
      <c r="G4449" s="2" t="s">
        <v>12</v>
      </c>
    </row>
    <row r="4450" spans="1:7" x14ac:dyDescent="0.2">
      <c r="A4450" s="2" t="s">
        <v>5665</v>
      </c>
      <c r="B4450" s="2" t="s">
        <v>5683</v>
      </c>
      <c r="C4450" s="2" t="s">
        <v>4160</v>
      </c>
      <c r="D4450" s="2" t="s">
        <v>10</v>
      </c>
      <c r="E4450" s="2" t="s">
        <v>52</v>
      </c>
      <c r="F4450" s="2">
        <v>2</v>
      </c>
      <c r="G4450" s="2" t="s">
        <v>12</v>
      </c>
    </row>
    <row r="4451" spans="1:7" x14ac:dyDescent="0.2">
      <c r="A4451" s="2" t="s">
        <v>5665</v>
      </c>
      <c r="B4451" s="2" t="s">
        <v>5684</v>
      </c>
      <c r="C4451" s="2" t="s">
        <v>5685</v>
      </c>
      <c r="D4451" s="2" t="s">
        <v>10</v>
      </c>
      <c r="E4451" s="2" t="s">
        <v>11</v>
      </c>
      <c r="F4451" s="2">
        <v>2</v>
      </c>
      <c r="G4451" s="2" t="s">
        <v>12</v>
      </c>
    </row>
    <row r="4452" spans="1:7" x14ac:dyDescent="0.2">
      <c r="A4452" s="2" t="s">
        <v>5665</v>
      </c>
      <c r="B4452" s="2" t="s">
        <v>5686</v>
      </c>
      <c r="C4452" s="2" t="s">
        <v>5685</v>
      </c>
      <c r="D4452" s="2" t="s">
        <v>10</v>
      </c>
      <c r="E4452" s="2" t="s">
        <v>11</v>
      </c>
      <c r="F4452" s="2">
        <v>2</v>
      </c>
      <c r="G4452" s="2" t="s">
        <v>12</v>
      </c>
    </row>
    <row r="4453" spans="1:7" x14ac:dyDescent="0.2">
      <c r="A4453" s="2" t="s">
        <v>5665</v>
      </c>
      <c r="B4453" s="2" t="s">
        <v>5687</v>
      </c>
      <c r="C4453" s="2" t="s">
        <v>5680</v>
      </c>
      <c r="D4453" s="2" t="s">
        <v>10</v>
      </c>
      <c r="E4453" s="2" t="s">
        <v>11</v>
      </c>
      <c r="F4453" s="2">
        <v>1</v>
      </c>
      <c r="G4453" s="2" t="s">
        <v>12</v>
      </c>
    </row>
    <row r="4454" spans="1:7" x14ac:dyDescent="0.2">
      <c r="A4454" s="2" t="s">
        <v>5665</v>
      </c>
      <c r="B4454" s="2" t="s">
        <v>5688</v>
      </c>
      <c r="C4454" s="2" t="s">
        <v>5666</v>
      </c>
      <c r="D4454" s="2" t="s">
        <v>10</v>
      </c>
      <c r="E4454" s="2" t="s">
        <v>52</v>
      </c>
      <c r="F4454" s="2">
        <v>2</v>
      </c>
      <c r="G4454" s="2" t="s">
        <v>12</v>
      </c>
    </row>
    <row r="4455" spans="1:7" x14ac:dyDescent="0.2">
      <c r="A4455" s="2" t="s">
        <v>5665</v>
      </c>
      <c r="B4455" s="2" t="s">
        <v>5689</v>
      </c>
      <c r="C4455" s="2" t="s">
        <v>4160</v>
      </c>
      <c r="D4455" s="2" t="s">
        <v>10</v>
      </c>
      <c r="E4455" s="2" t="s">
        <v>52</v>
      </c>
      <c r="F4455" s="2">
        <v>2</v>
      </c>
      <c r="G4455" s="2" t="s">
        <v>12</v>
      </c>
    </row>
    <row r="4456" spans="1:7" x14ac:dyDescent="0.2">
      <c r="A4456" s="2" t="s">
        <v>5665</v>
      </c>
      <c r="B4456" s="2" t="s">
        <v>5690</v>
      </c>
      <c r="C4456" s="2" t="s">
        <v>5691</v>
      </c>
      <c r="D4456" s="2" t="s">
        <v>10</v>
      </c>
      <c r="E4456" s="2" t="s">
        <v>16</v>
      </c>
      <c r="F4456" s="2">
        <v>1</v>
      </c>
      <c r="G4456" s="2" t="s">
        <v>17</v>
      </c>
    </row>
    <row r="4457" spans="1:7" x14ac:dyDescent="0.2">
      <c r="A4457" s="2" t="s">
        <v>5665</v>
      </c>
      <c r="B4457" s="2" t="s">
        <v>5692</v>
      </c>
      <c r="C4457" s="2" t="s">
        <v>4160</v>
      </c>
      <c r="D4457" s="2" t="s">
        <v>10</v>
      </c>
      <c r="E4457" s="2" t="s">
        <v>52</v>
      </c>
      <c r="F4457" s="2">
        <v>2</v>
      </c>
      <c r="G4457" s="2" t="s">
        <v>12</v>
      </c>
    </row>
    <row r="4458" spans="1:7" x14ac:dyDescent="0.2">
      <c r="A4458" s="2" t="s">
        <v>5665</v>
      </c>
      <c r="B4458" s="2" t="s">
        <v>5693</v>
      </c>
      <c r="C4458" s="2" t="s">
        <v>5666</v>
      </c>
      <c r="D4458" s="2" t="s">
        <v>10</v>
      </c>
      <c r="E4458" s="2" t="s">
        <v>52</v>
      </c>
      <c r="F4458" s="2">
        <v>2</v>
      </c>
      <c r="G4458" s="2" t="s">
        <v>12</v>
      </c>
    </row>
    <row r="4459" spans="1:7" x14ac:dyDescent="0.2">
      <c r="A4459" s="2" t="s">
        <v>5665</v>
      </c>
      <c r="B4459" s="2" t="s">
        <v>5694</v>
      </c>
      <c r="C4459" s="2" t="s">
        <v>5691</v>
      </c>
      <c r="D4459" s="2" t="s">
        <v>10</v>
      </c>
      <c r="E4459" s="2" t="s">
        <v>16</v>
      </c>
      <c r="F4459" s="2">
        <v>1</v>
      </c>
      <c r="G4459" s="2" t="s">
        <v>17</v>
      </c>
    </row>
    <row r="4460" spans="1:7" x14ac:dyDescent="0.2">
      <c r="A4460" s="2" t="s">
        <v>5665</v>
      </c>
      <c r="B4460" s="2" t="s">
        <v>5695</v>
      </c>
      <c r="C4460" s="2" t="s">
        <v>5696</v>
      </c>
      <c r="D4460" s="2" t="s">
        <v>10</v>
      </c>
      <c r="E4460" s="2" t="s">
        <v>16</v>
      </c>
      <c r="F4460" s="2">
        <v>1</v>
      </c>
      <c r="G4460" s="2" t="s">
        <v>17</v>
      </c>
    </row>
    <row r="4461" spans="1:7" x14ac:dyDescent="0.2">
      <c r="A4461" s="2" t="s">
        <v>5665</v>
      </c>
      <c r="B4461" s="2" t="s">
        <v>5697</v>
      </c>
      <c r="C4461" s="2" t="s">
        <v>4160</v>
      </c>
      <c r="D4461" s="2" t="s">
        <v>10</v>
      </c>
      <c r="E4461" s="2" t="s">
        <v>52</v>
      </c>
      <c r="F4461" s="2">
        <v>2</v>
      </c>
      <c r="G4461" s="2" t="s">
        <v>12</v>
      </c>
    </row>
    <row r="4462" spans="1:7" x14ac:dyDescent="0.2">
      <c r="A4462" s="2" t="s">
        <v>5665</v>
      </c>
      <c r="B4462" s="2" t="s">
        <v>5698</v>
      </c>
      <c r="C4462" s="2" t="s">
        <v>5699</v>
      </c>
      <c r="D4462" s="2" t="s">
        <v>10</v>
      </c>
      <c r="E4462" s="2" t="s">
        <v>16</v>
      </c>
      <c r="F4462" s="2">
        <v>1</v>
      </c>
      <c r="G4462" s="2" t="s">
        <v>17</v>
      </c>
    </row>
    <row r="4463" spans="1:7" x14ac:dyDescent="0.2">
      <c r="A4463" s="2" t="s">
        <v>5700</v>
      </c>
      <c r="B4463" s="2" t="s">
        <v>5701</v>
      </c>
      <c r="C4463" s="2" t="s">
        <v>5702</v>
      </c>
      <c r="D4463" s="2" t="s">
        <v>10</v>
      </c>
      <c r="E4463" s="2" t="s">
        <v>11</v>
      </c>
      <c r="F4463" s="2">
        <v>1</v>
      </c>
      <c r="G4463" s="2" t="s">
        <v>17</v>
      </c>
    </row>
    <row r="4464" spans="1:7" x14ac:dyDescent="0.2">
      <c r="A4464" s="2" t="s">
        <v>5700</v>
      </c>
      <c r="B4464" s="2" t="s">
        <v>5703</v>
      </c>
      <c r="C4464" s="2" t="s">
        <v>5702</v>
      </c>
      <c r="D4464" s="2" t="s">
        <v>10</v>
      </c>
      <c r="E4464" s="2" t="s">
        <v>11</v>
      </c>
      <c r="F4464" s="2">
        <v>1</v>
      </c>
      <c r="G4464" s="2" t="s">
        <v>17</v>
      </c>
    </row>
    <row r="4465" spans="1:7" x14ac:dyDescent="0.2">
      <c r="A4465" s="2" t="s">
        <v>5704</v>
      </c>
      <c r="B4465" s="2" t="s">
        <v>5705</v>
      </c>
      <c r="C4465" s="2" t="s">
        <v>5706</v>
      </c>
      <c r="D4465" s="2" t="s">
        <v>10</v>
      </c>
      <c r="E4465" s="2" t="s">
        <v>16</v>
      </c>
      <c r="F4465" s="2">
        <v>3</v>
      </c>
      <c r="G4465" s="2" t="s">
        <v>17</v>
      </c>
    </row>
    <row r="4466" spans="1:7" x14ac:dyDescent="0.2">
      <c r="A4466" s="2" t="s">
        <v>5704</v>
      </c>
      <c r="B4466" s="2" t="s">
        <v>5707</v>
      </c>
      <c r="C4466" s="2" t="s">
        <v>5706</v>
      </c>
      <c r="D4466" s="2" t="s">
        <v>10</v>
      </c>
      <c r="E4466" s="2" t="s">
        <v>16</v>
      </c>
      <c r="F4466" s="2">
        <v>3</v>
      </c>
      <c r="G4466" s="2" t="s">
        <v>17</v>
      </c>
    </row>
    <row r="4467" spans="1:7" x14ac:dyDescent="0.2">
      <c r="A4467" s="2" t="s">
        <v>5704</v>
      </c>
      <c r="B4467" s="2" t="s">
        <v>5708</v>
      </c>
      <c r="C4467" s="2" t="s">
        <v>5706</v>
      </c>
      <c r="D4467" s="2" t="s">
        <v>10</v>
      </c>
      <c r="E4467" s="2" t="s">
        <v>16</v>
      </c>
      <c r="F4467" s="2">
        <v>3</v>
      </c>
      <c r="G4467" s="2" t="s">
        <v>17</v>
      </c>
    </row>
    <row r="4468" spans="1:7" x14ac:dyDescent="0.2">
      <c r="A4468" s="2" t="s">
        <v>5709</v>
      </c>
      <c r="B4468" s="2" t="s">
        <v>1037</v>
      </c>
      <c r="C4468" s="2" t="s">
        <v>1038</v>
      </c>
      <c r="D4468" s="2" t="s">
        <v>10</v>
      </c>
      <c r="E4468" s="2" t="s">
        <v>16</v>
      </c>
      <c r="F4468" s="2">
        <v>1</v>
      </c>
      <c r="G4468" s="2" t="s">
        <v>17</v>
      </c>
    </row>
    <row r="4469" spans="1:7" x14ac:dyDescent="0.2">
      <c r="A4469" s="2" t="s">
        <v>5709</v>
      </c>
      <c r="B4469" s="2" t="s">
        <v>1039</v>
      </c>
      <c r="C4469" s="2" t="s">
        <v>1038</v>
      </c>
      <c r="D4469" s="2" t="s">
        <v>10</v>
      </c>
      <c r="E4469" s="2" t="s">
        <v>16</v>
      </c>
      <c r="F4469" s="2">
        <v>1</v>
      </c>
      <c r="G4469" s="2" t="s">
        <v>17</v>
      </c>
    </row>
    <row r="4470" spans="1:7" x14ac:dyDescent="0.2">
      <c r="A4470" s="2" t="s">
        <v>5710</v>
      </c>
      <c r="B4470" s="2" t="s">
        <v>1037</v>
      </c>
      <c r="C4470" s="2" t="s">
        <v>1038</v>
      </c>
      <c r="D4470" s="2" t="s">
        <v>10</v>
      </c>
      <c r="E4470" s="2" t="s">
        <v>16</v>
      </c>
      <c r="F4470" s="2">
        <v>1</v>
      </c>
      <c r="G4470" s="2" t="s">
        <v>17</v>
      </c>
    </row>
    <row r="4471" spans="1:7" x14ac:dyDescent="0.2">
      <c r="A4471" s="2" t="s">
        <v>5710</v>
      </c>
      <c r="B4471" s="2" t="s">
        <v>1039</v>
      </c>
      <c r="C4471" s="2" t="s">
        <v>1038</v>
      </c>
      <c r="D4471" s="2" t="s">
        <v>10</v>
      </c>
      <c r="E4471" s="2" t="s">
        <v>16</v>
      </c>
      <c r="F4471" s="2">
        <v>1</v>
      </c>
      <c r="G4471" s="2" t="s">
        <v>17</v>
      </c>
    </row>
    <row r="4472" spans="1:7" x14ac:dyDescent="0.2">
      <c r="A4472" s="2" t="s">
        <v>5711</v>
      </c>
      <c r="B4472" s="2" t="s">
        <v>625</v>
      </c>
      <c r="C4472" s="2" t="s">
        <v>626</v>
      </c>
      <c r="D4472" s="2" t="s">
        <v>10</v>
      </c>
      <c r="E4472" s="2" t="s">
        <v>11</v>
      </c>
      <c r="F4472" s="2">
        <v>2</v>
      </c>
      <c r="G4472" s="2" t="s">
        <v>17</v>
      </c>
    </row>
    <row r="4473" spans="1:7" x14ac:dyDescent="0.2">
      <c r="A4473" s="2" t="s">
        <v>5711</v>
      </c>
      <c r="B4473" s="2" t="s">
        <v>648</v>
      </c>
      <c r="C4473" s="2" t="s">
        <v>626</v>
      </c>
      <c r="D4473" s="2" t="s">
        <v>10</v>
      </c>
      <c r="E4473" s="2" t="s">
        <v>11</v>
      </c>
      <c r="F4473" s="2">
        <v>2</v>
      </c>
      <c r="G4473" s="2" t="s">
        <v>17</v>
      </c>
    </row>
    <row r="4474" spans="1:7" x14ac:dyDescent="0.2">
      <c r="A4474" s="2" t="s">
        <v>5712</v>
      </c>
      <c r="B4474" s="2" t="s">
        <v>5713</v>
      </c>
      <c r="C4474" s="2" t="s">
        <v>5714</v>
      </c>
      <c r="D4474" s="2" t="s">
        <v>10</v>
      </c>
      <c r="E4474" s="2" t="s">
        <v>16</v>
      </c>
      <c r="F4474" s="2">
        <v>1</v>
      </c>
      <c r="G4474" s="2" t="s">
        <v>17</v>
      </c>
    </row>
    <row r="4475" spans="1:7" x14ac:dyDescent="0.2">
      <c r="A4475" s="2" t="s">
        <v>5712</v>
      </c>
      <c r="B4475" s="2" t="s">
        <v>5715</v>
      </c>
      <c r="C4475" s="2" t="s">
        <v>5716</v>
      </c>
      <c r="D4475" s="2" t="s">
        <v>10</v>
      </c>
      <c r="E4475" s="2" t="s">
        <v>16</v>
      </c>
      <c r="F4475" s="2">
        <v>1</v>
      </c>
      <c r="G4475" s="2" t="s">
        <v>17</v>
      </c>
    </row>
    <row r="4476" spans="1:7" x14ac:dyDescent="0.2">
      <c r="A4476" s="2" t="s">
        <v>5712</v>
      </c>
      <c r="B4476" s="2" t="s">
        <v>5717</v>
      </c>
      <c r="C4476" s="2" t="s">
        <v>5714</v>
      </c>
      <c r="D4476" s="2" t="s">
        <v>10</v>
      </c>
      <c r="E4476" s="2" t="s">
        <v>16</v>
      </c>
      <c r="F4476" s="2">
        <v>1</v>
      </c>
      <c r="G4476" s="2" t="s">
        <v>17</v>
      </c>
    </row>
    <row r="4477" spans="1:7" x14ac:dyDescent="0.2">
      <c r="A4477" s="2" t="s">
        <v>5712</v>
      </c>
      <c r="B4477" s="2" t="s">
        <v>5718</v>
      </c>
      <c r="C4477" s="2" t="s">
        <v>5716</v>
      </c>
      <c r="D4477" s="2" t="s">
        <v>10</v>
      </c>
      <c r="E4477" s="2" t="s">
        <v>16</v>
      </c>
      <c r="F4477" s="2">
        <v>1</v>
      </c>
      <c r="G4477" s="2" t="s">
        <v>17</v>
      </c>
    </row>
    <row r="4478" spans="1:7" x14ac:dyDescent="0.2">
      <c r="A4478" s="2" t="s">
        <v>5712</v>
      </c>
      <c r="B4478" s="2" t="s">
        <v>5719</v>
      </c>
      <c r="C4478" s="2" t="s">
        <v>5716</v>
      </c>
      <c r="D4478" s="2" t="s">
        <v>10</v>
      </c>
      <c r="E4478" s="2" t="s">
        <v>16</v>
      </c>
      <c r="F4478" s="2">
        <v>1</v>
      </c>
      <c r="G4478" s="2" t="s">
        <v>17</v>
      </c>
    </row>
    <row r="4479" spans="1:7" x14ac:dyDescent="0.2">
      <c r="A4479" s="2" t="s">
        <v>5712</v>
      </c>
      <c r="B4479" s="2" t="s">
        <v>5720</v>
      </c>
      <c r="C4479" s="2" t="s">
        <v>5716</v>
      </c>
      <c r="D4479" s="2" t="s">
        <v>10</v>
      </c>
      <c r="E4479" s="2" t="s">
        <v>16</v>
      </c>
      <c r="F4479" s="2">
        <v>1</v>
      </c>
      <c r="G4479" s="2" t="s">
        <v>17</v>
      </c>
    </row>
    <row r="4480" spans="1:7" x14ac:dyDescent="0.2">
      <c r="A4480" s="2" t="s">
        <v>5712</v>
      </c>
      <c r="B4480" s="2" t="s">
        <v>5721</v>
      </c>
      <c r="C4480" s="2" t="s">
        <v>5716</v>
      </c>
      <c r="D4480" s="2" t="s">
        <v>10</v>
      </c>
      <c r="E4480" s="2" t="s">
        <v>16</v>
      </c>
      <c r="F4480" s="2">
        <v>1</v>
      </c>
      <c r="G4480" s="2" t="s">
        <v>17</v>
      </c>
    </row>
    <row r="4481" spans="1:7" x14ac:dyDescent="0.2">
      <c r="A4481" s="2" t="s">
        <v>5722</v>
      </c>
      <c r="B4481" s="2">
        <v>192</v>
      </c>
      <c r="C4481" s="2" t="s">
        <v>5723</v>
      </c>
      <c r="D4481" s="2" t="s">
        <v>10</v>
      </c>
      <c r="E4481" s="2" t="s">
        <v>16</v>
      </c>
      <c r="F4481" s="2">
        <v>1</v>
      </c>
      <c r="G4481" s="2" t="s">
        <v>17</v>
      </c>
    </row>
    <row r="4482" spans="1:7" x14ac:dyDescent="0.2">
      <c r="A4482" s="2" t="s">
        <v>5722</v>
      </c>
      <c r="B4482" s="2" t="s">
        <v>5724</v>
      </c>
      <c r="C4482" s="2" t="s">
        <v>5725</v>
      </c>
      <c r="D4482" s="2" t="s">
        <v>10</v>
      </c>
      <c r="E4482" s="2" t="s">
        <v>16</v>
      </c>
      <c r="F4482" s="2">
        <v>1</v>
      </c>
      <c r="G4482" s="2" t="s">
        <v>17</v>
      </c>
    </row>
    <row r="4483" spans="1:7" x14ac:dyDescent="0.2">
      <c r="A4483" s="2" t="s">
        <v>5726</v>
      </c>
      <c r="B4483" s="2" t="s">
        <v>1431</v>
      </c>
      <c r="C4483" s="2" t="s">
        <v>1432</v>
      </c>
      <c r="D4483" s="2" t="s">
        <v>10</v>
      </c>
      <c r="E4483" s="2" t="s">
        <v>16</v>
      </c>
      <c r="F4483" s="2">
        <v>1</v>
      </c>
      <c r="G4483" s="2" t="s">
        <v>17</v>
      </c>
    </row>
    <row r="4484" spans="1:7" x14ac:dyDescent="0.2">
      <c r="A4484" s="2" t="s">
        <v>5726</v>
      </c>
      <c r="B4484" s="2" t="s">
        <v>1433</v>
      </c>
      <c r="C4484" s="2" t="s">
        <v>1434</v>
      </c>
      <c r="D4484" s="2" t="s">
        <v>10</v>
      </c>
      <c r="E4484" s="2" t="s">
        <v>16</v>
      </c>
      <c r="F4484" s="2">
        <v>1</v>
      </c>
      <c r="G4484" s="2" t="s">
        <v>17</v>
      </c>
    </row>
    <row r="4485" spans="1:7" x14ac:dyDescent="0.2">
      <c r="A4485" s="2" t="s">
        <v>5726</v>
      </c>
      <c r="B4485" s="2" t="s">
        <v>5727</v>
      </c>
      <c r="C4485" s="2" t="s">
        <v>292</v>
      </c>
      <c r="D4485" s="2" t="s">
        <v>10</v>
      </c>
      <c r="E4485" s="2" t="s">
        <v>16</v>
      </c>
      <c r="F4485" s="2">
        <v>1</v>
      </c>
      <c r="G4485" s="2" t="s">
        <v>17</v>
      </c>
    </row>
    <row r="4486" spans="1:7" x14ac:dyDescent="0.2">
      <c r="A4486" s="2" t="s">
        <v>5726</v>
      </c>
      <c r="B4486" s="2" t="s">
        <v>5728</v>
      </c>
      <c r="C4486" s="2" t="s">
        <v>5729</v>
      </c>
      <c r="D4486" s="2" t="s">
        <v>10</v>
      </c>
      <c r="E4486" s="2" t="s">
        <v>16</v>
      </c>
      <c r="F4486" s="2">
        <v>1</v>
      </c>
      <c r="G4486" s="2" t="s">
        <v>17</v>
      </c>
    </row>
    <row r="4487" spans="1:7" x14ac:dyDescent="0.2">
      <c r="A4487" s="2" t="s">
        <v>5726</v>
      </c>
      <c r="B4487" s="2" t="s">
        <v>59</v>
      </c>
      <c r="C4487" s="2" t="s">
        <v>60</v>
      </c>
      <c r="D4487" s="2" t="s">
        <v>10</v>
      </c>
      <c r="E4487" s="2" t="s">
        <v>16</v>
      </c>
      <c r="F4487" s="2">
        <v>1</v>
      </c>
      <c r="G4487" s="2" t="s">
        <v>17</v>
      </c>
    </row>
    <row r="4488" spans="1:7" x14ac:dyDescent="0.2">
      <c r="A4488" s="2" t="s">
        <v>5726</v>
      </c>
      <c r="B4488" s="2" t="s">
        <v>713</v>
      </c>
      <c r="C4488" s="2" t="s">
        <v>440</v>
      </c>
      <c r="D4488" s="2" t="s">
        <v>10</v>
      </c>
      <c r="E4488" s="2" t="s">
        <v>16</v>
      </c>
      <c r="F4488" s="2">
        <v>1</v>
      </c>
      <c r="G4488" s="2" t="s">
        <v>17</v>
      </c>
    </row>
    <row r="4489" spans="1:7" x14ac:dyDescent="0.2">
      <c r="A4489" s="2" t="s">
        <v>5726</v>
      </c>
      <c r="B4489" s="2" t="s">
        <v>1682</v>
      </c>
      <c r="C4489" s="2" t="s">
        <v>1683</v>
      </c>
      <c r="D4489" s="2" t="s">
        <v>10</v>
      </c>
      <c r="E4489" s="2" t="s">
        <v>16</v>
      </c>
      <c r="F4489" s="2">
        <v>1</v>
      </c>
      <c r="G4489" s="2" t="s">
        <v>17</v>
      </c>
    </row>
    <row r="4490" spans="1:7" x14ac:dyDescent="0.2">
      <c r="A4490" s="2" t="s">
        <v>5726</v>
      </c>
      <c r="B4490" s="2" t="s">
        <v>5730</v>
      </c>
      <c r="C4490" s="2" t="s">
        <v>292</v>
      </c>
      <c r="D4490" s="2" t="s">
        <v>10</v>
      </c>
      <c r="E4490" s="2" t="s">
        <v>16</v>
      </c>
      <c r="F4490" s="2">
        <v>1</v>
      </c>
      <c r="G4490" s="2" t="s">
        <v>17</v>
      </c>
    </row>
    <row r="4491" spans="1:7" x14ac:dyDescent="0.2">
      <c r="A4491" s="2" t="s">
        <v>5731</v>
      </c>
      <c r="B4491" s="2" t="s">
        <v>2161</v>
      </c>
      <c r="C4491" s="2" t="s">
        <v>5732</v>
      </c>
      <c r="D4491" s="2" t="s">
        <v>10</v>
      </c>
      <c r="E4491" s="2" t="s">
        <v>16</v>
      </c>
      <c r="F4491" s="2">
        <v>1</v>
      </c>
      <c r="G4491" s="2" t="s">
        <v>17</v>
      </c>
    </row>
    <row r="4492" spans="1:7" x14ac:dyDescent="0.2">
      <c r="A4492" s="2" t="s">
        <v>5733</v>
      </c>
      <c r="B4492" s="2" t="s">
        <v>5734</v>
      </c>
      <c r="C4492" s="2" t="s">
        <v>5735</v>
      </c>
      <c r="D4492" s="2" t="s">
        <v>29</v>
      </c>
      <c r="E4492" s="2" t="s">
        <v>52</v>
      </c>
      <c r="F4492" s="2">
        <v>2</v>
      </c>
      <c r="G4492" s="2" t="s">
        <v>17</v>
      </c>
    </row>
    <row r="4493" spans="1:7" x14ac:dyDescent="0.2">
      <c r="A4493" s="2" t="s">
        <v>5733</v>
      </c>
      <c r="B4493" s="2" t="s">
        <v>5736</v>
      </c>
      <c r="C4493" s="2" t="s">
        <v>773</v>
      </c>
      <c r="D4493" s="2" t="s">
        <v>10</v>
      </c>
      <c r="E4493" s="2" t="s">
        <v>52</v>
      </c>
      <c r="F4493" s="2">
        <v>1</v>
      </c>
      <c r="G4493" s="2" t="s">
        <v>17</v>
      </c>
    </row>
    <row r="4494" spans="1:7" x14ac:dyDescent="0.2">
      <c r="A4494" s="2" t="s">
        <v>5733</v>
      </c>
      <c r="B4494" s="2" t="s">
        <v>649</v>
      </c>
      <c r="C4494" s="2" t="s">
        <v>643</v>
      </c>
      <c r="D4494" s="2" t="s">
        <v>10</v>
      </c>
      <c r="E4494" s="2" t="s">
        <v>52</v>
      </c>
      <c r="F4494" s="2">
        <v>2</v>
      </c>
      <c r="G4494" s="2" t="s">
        <v>12</v>
      </c>
    </row>
    <row r="4495" spans="1:7" x14ac:dyDescent="0.2">
      <c r="A4495" s="2" t="s">
        <v>5733</v>
      </c>
      <c r="B4495" s="2" t="s">
        <v>5737</v>
      </c>
      <c r="C4495" s="2" t="s">
        <v>773</v>
      </c>
      <c r="D4495" s="2" t="s">
        <v>10</v>
      </c>
      <c r="E4495" s="2" t="s">
        <v>52</v>
      </c>
      <c r="F4495" s="2">
        <v>1</v>
      </c>
      <c r="G4495" s="2" t="s">
        <v>17</v>
      </c>
    </row>
    <row r="4496" spans="1:7" x14ac:dyDescent="0.2">
      <c r="A4496" s="2" t="s">
        <v>5733</v>
      </c>
      <c r="B4496" s="2" t="s">
        <v>5738</v>
      </c>
      <c r="C4496" s="2" t="s">
        <v>5735</v>
      </c>
      <c r="D4496" s="2" t="s">
        <v>29</v>
      </c>
      <c r="E4496" s="2" t="s">
        <v>52</v>
      </c>
      <c r="F4496" s="2">
        <v>2</v>
      </c>
      <c r="G4496" s="2" t="s">
        <v>17</v>
      </c>
    </row>
    <row r="4497" spans="1:7" x14ac:dyDescent="0.2">
      <c r="A4497" s="2" t="s">
        <v>5739</v>
      </c>
      <c r="B4497" s="2" t="s">
        <v>3229</v>
      </c>
      <c r="C4497" s="2" t="s">
        <v>3230</v>
      </c>
      <c r="D4497" s="2" t="s">
        <v>10</v>
      </c>
      <c r="E4497" s="2" t="s">
        <v>16</v>
      </c>
      <c r="F4497" s="2">
        <v>1</v>
      </c>
      <c r="G4497" s="2" t="s">
        <v>17</v>
      </c>
    </row>
    <row r="4498" spans="1:7" x14ac:dyDescent="0.2">
      <c r="A4498" s="2" t="s">
        <v>5739</v>
      </c>
      <c r="B4498" s="2" t="s">
        <v>3231</v>
      </c>
      <c r="C4498" s="2" t="s">
        <v>3230</v>
      </c>
      <c r="D4498" s="2" t="s">
        <v>10</v>
      </c>
      <c r="E4498" s="2" t="s">
        <v>16</v>
      </c>
      <c r="F4498" s="2">
        <v>1</v>
      </c>
      <c r="G4498" s="2" t="s">
        <v>17</v>
      </c>
    </row>
    <row r="4499" spans="1:7" x14ac:dyDescent="0.2">
      <c r="A4499" s="2" t="s">
        <v>5740</v>
      </c>
      <c r="B4499" s="2" t="s">
        <v>5741</v>
      </c>
      <c r="C4499" s="2" t="s">
        <v>5742</v>
      </c>
      <c r="D4499" s="2" t="s">
        <v>10</v>
      </c>
      <c r="E4499" s="2" t="s">
        <v>16</v>
      </c>
      <c r="F4499" s="2">
        <v>1</v>
      </c>
      <c r="G4499" s="2" t="s">
        <v>17</v>
      </c>
    </row>
    <row r="4500" spans="1:7" x14ac:dyDescent="0.2">
      <c r="A4500" s="2" t="s">
        <v>5743</v>
      </c>
      <c r="B4500" s="2" t="s">
        <v>5744</v>
      </c>
      <c r="C4500" s="2" t="s">
        <v>5745</v>
      </c>
      <c r="D4500" s="2" t="s">
        <v>29</v>
      </c>
      <c r="E4500" s="2" t="s">
        <v>16</v>
      </c>
      <c r="F4500" s="2">
        <v>1</v>
      </c>
      <c r="G4500" s="2" t="s">
        <v>17</v>
      </c>
    </row>
    <row r="4501" spans="1:7" x14ac:dyDescent="0.2">
      <c r="A4501" s="2" t="s">
        <v>5743</v>
      </c>
      <c r="B4501" s="2" t="s">
        <v>5746</v>
      </c>
      <c r="C4501" s="2" t="s">
        <v>5745</v>
      </c>
      <c r="D4501" s="2" t="s">
        <v>29</v>
      </c>
      <c r="E4501" s="2" t="s">
        <v>16</v>
      </c>
      <c r="F4501" s="2">
        <v>1</v>
      </c>
      <c r="G4501" s="2" t="s">
        <v>17</v>
      </c>
    </row>
    <row r="4502" spans="1:7" x14ac:dyDescent="0.2">
      <c r="A4502" s="2" t="s">
        <v>5747</v>
      </c>
      <c r="B4502" s="2" t="s">
        <v>5748</v>
      </c>
      <c r="C4502" s="2" t="s">
        <v>5749</v>
      </c>
      <c r="D4502" s="2" t="s">
        <v>10</v>
      </c>
      <c r="E4502" s="2" t="s">
        <v>16</v>
      </c>
      <c r="F4502" s="2">
        <v>1</v>
      </c>
      <c r="G4502" s="2" t="s">
        <v>17</v>
      </c>
    </row>
    <row r="4503" spans="1:7" x14ac:dyDescent="0.2">
      <c r="A4503" s="2" t="s">
        <v>5750</v>
      </c>
      <c r="B4503" s="2" t="s">
        <v>5751</v>
      </c>
      <c r="C4503" s="2" t="s">
        <v>5752</v>
      </c>
      <c r="D4503" s="2" t="s">
        <v>10</v>
      </c>
      <c r="E4503" s="2" t="s">
        <v>16</v>
      </c>
      <c r="F4503" s="2">
        <v>1</v>
      </c>
      <c r="G4503" s="2" t="s">
        <v>17</v>
      </c>
    </row>
    <row r="4504" spans="1:7" x14ac:dyDescent="0.2">
      <c r="A4504" s="2" t="s">
        <v>5753</v>
      </c>
      <c r="B4504" s="2" t="s">
        <v>5754</v>
      </c>
      <c r="C4504" s="2" t="s">
        <v>5755</v>
      </c>
      <c r="D4504" s="2" t="s">
        <v>10</v>
      </c>
      <c r="E4504" s="2" t="s">
        <v>16</v>
      </c>
      <c r="F4504" s="2">
        <v>1</v>
      </c>
      <c r="G4504" s="2" t="s">
        <v>17</v>
      </c>
    </row>
    <row r="4505" spans="1:7" x14ac:dyDescent="0.2">
      <c r="A4505" s="2" t="s">
        <v>5753</v>
      </c>
      <c r="B4505" s="2" t="s">
        <v>5756</v>
      </c>
      <c r="C4505" s="2" t="s">
        <v>5755</v>
      </c>
      <c r="D4505" s="2" t="s">
        <v>10</v>
      </c>
      <c r="E4505" s="2" t="s">
        <v>16</v>
      </c>
      <c r="F4505" s="2">
        <v>1</v>
      </c>
      <c r="G4505" s="2" t="s">
        <v>17</v>
      </c>
    </row>
    <row r="4506" spans="1:7" x14ac:dyDescent="0.2">
      <c r="A4506" s="2" t="s">
        <v>5757</v>
      </c>
      <c r="B4506" s="2">
        <v>204</v>
      </c>
      <c r="C4506" s="2" t="s">
        <v>794</v>
      </c>
      <c r="D4506" s="2" t="s">
        <v>56</v>
      </c>
      <c r="E4506" s="2" t="s">
        <v>52</v>
      </c>
      <c r="F4506" s="2">
        <v>1</v>
      </c>
      <c r="G4506" s="2" t="s">
        <v>17</v>
      </c>
    </row>
    <row r="4507" spans="1:7" x14ac:dyDescent="0.2">
      <c r="A4507" s="2" t="s">
        <v>5757</v>
      </c>
      <c r="B4507" s="2">
        <v>205</v>
      </c>
      <c r="C4507" s="2" t="s">
        <v>794</v>
      </c>
      <c r="D4507" s="2" t="s">
        <v>56</v>
      </c>
      <c r="E4507" s="2" t="s">
        <v>52</v>
      </c>
      <c r="F4507" s="2">
        <v>1</v>
      </c>
      <c r="G4507" s="2" t="s">
        <v>17</v>
      </c>
    </row>
    <row r="4508" spans="1:7" x14ac:dyDescent="0.2">
      <c r="A4508" s="2" t="s">
        <v>5757</v>
      </c>
      <c r="B4508" s="2" t="s">
        <v>3549</v>
      </c>
      <c r="C4508" s="2" t="s">
        <v>3550</v>
      </c>
      <c r="D4508" s="2" t="s">
        <v>10</v>
      </c>
      <c r="E4508" s="2" t="s">
        <v>16</v>
      </c>
      <c r="F4508" s="2">
        <v>1</v>
      </c>
      <c r="G4508" s="2" t="s">
        <v>17</v>
      </c>
    </row>
    <row r="4509" spans="1:7" x14ac:dyDescent="0.2">
      <c r="A4509" s="2" t="s">
        <v>5757</v>
      </c>
      <c r="B4509" s="2" t="s">
        <v>5758</v>
      </c>
      <c r="C4509" s="2" t="s">
        <v>5759</v>
      </c>
      <c r="D4509" s="2" t="s">
        <v>10</v>
      </c>
      <c r="E4509" s="2" t="s">
        <v>16</v>
      </c>
      <c r="F4509" s="2">
        <v>1</v>
      </c>
      <c r="G4509" s="2" t="s">
        <v>17</v>
      </c>
    </row>
    <row r="4510" spans="1:7" x14ac:dyDescent="0.2">
      <c r="A4510" s="2" t="s">
        <v>5757</v>
      </c>
      <c r="B4510" s="2" t="s">
        <v>5760</v>
      </c>
      <c r="C4510" s="2" t="s">
        <v>2424</v>
      </c>
      <c r="D4510" s="2" t="s">
        <v>56</v>
      </c>
      <c r="E4510" s="2" t="s">
        <v>52</v>
      </c>
      <c r="F4510" s="2">
        <v>1</v>
      </c>
      <c r="G4510" s="2" t="s">
        <v>17</v>
      </c>
    </row>
    <row r="4511" spans="1:7" x14ac:dyDescent="0.2">
      <c r="A4511" s="2" t="s">
        <v>5757</v>
      </c>
      <c r="B4511" s="2" t="s">
        <v>2751</v>
      </c>
      <c r="C4511" s="2" t="s">
        <v>2752</v>
      </c>
      <c r="D4511" s="2" t="s">
        <v>56</v>
      </c>
      <c r="E4511" s="2" t="s">
        <v>52</v>
      </c>
      <c r="F4511" s="2">
        <v>2</v>
      </c>
      <c r="G4511" s="2" t="s">
        <v>12</v>
      </c>
    </row>
    <row r="4512" spans="1:7" x14ac:dyDescent="0.2">
      <c r="A4512" s="2" t="s">
        <v>5757</v>
      </c>
      <c r="B4512" s="2" t="s">
        <v>3647</v>
      </c>
      <c r="C4512" s="2" t="s">
        <v>3550</v>
      </c>
      <c r="D4512" s="2" t="s">
        <v>10</v>
      </c>
      <c r="E4512" s="2" t="s">
        <v>16</v>
      </c>
      <c r="F4512" s="2">
        <v>1</v>
      </c>
      <c r="G4512" s="2" t="s">
        <v>17</v>
      </c>
    </row>
    <row r="4513" spans="1:7" x14ac:dyDescent="0.2">
      <c r="A4513" s="2" t="s">
        <v>5757</v>
      </c>
      <c r="B4513" s="2" t="s">
        <v>5761</v>
      </c>
      <c r="C4513" s="2" t="s">
        <v>5759</v>
      </c>
      <c r="D4513" s="2" t="s">
        <v>10</v>
      </c>
      <c r="E4513" s="2" t="s">
        <v>16</v>
      </c>
      <c r="F4513" s="2">
        <v>1</v>
      </c>
      <c r="G4513" s="2" t="s">
        <v>17</v>
      </c>
    </row>
    <row r="4514" spans="1:7" x14ac:dyDescent="0.2">
      <c r="A4514" s="2" t="s">
        <v>5757</v>
      </c>
      <c r="B4514" s="2" t="s">
        <v>5762</v>
      </c>
      <c r="C4514" s="2" t="s">
        <v>5763</v>
      </c>
      <c r="D4514" s="2" t="s">
        <v>10</v>
      </c>
      <c r="E4514" s="2" t="s">
        <v>16</v>
      </c>
      <c r="F4514" s="2">
        <v>2</v>
      </c>
      <c r="G4514" s="2" t="s">
        <v>17</v>
      </c>
    </row>
    <row r="4515" spans="1:7" x14ac:dyDescent="0.2">
      <c r="A4515" s="2" t="s">
        <v>5757</v>
      </c>
      <c r="B4515" s="2" t="s">
        <v>2471</v>
      </c>
      <c r="C4515" s="2" t="s">
        <v>2424</v>
      </c>
      <c r="D4515" s="2" t="s">
        <v>56</v>
      </c>
      <c r="E4515" s="2" t="s">
        <v>52</v>
      </c>
      <c r="F4515" s="2">
        <v>1</v>
      </c>
      <c r="G4515" s="2" t="s">
        <v>17</v>
      </c>
    </row>
    <row r="4516" spans="1:7" x14ac:dyDescent="0.2">
      <c r="A4516" s="2" t="s">
        <v>5757</v>
      </c>
      <c r="B4516" s="2" t="s">
        <v>5764</v>
      </c>
      <c r="C4516" s="2" t="s">
        <v>5765</v>
      </c>
      <c r="D4516" s="2" t="s">
        <v>10</v>
      </c>
      <c r="E4516" s="2" t="s">
        <v>16</v>
      </c>
      <c r="F4516" s="2">
        <v>1</v>
      </c>
      <c r="G4516" s="2" t="s">
        <v>17</v>
      </c>
    </row>
    <row r="4517" spans="1:7" x14ac:dyDescent="0.2">
      <c r="A4517" s="2" t="s">
        <v>5757</v>
      </c>
      <c r="B4517" s="2" t="s">
        <v>5766</v>
      </c>
      <c r="C4517" s="2" t="s">
        <v>2204</v>
      </c>
      <c r="D4517" s="2" t="s">
        <v>10</v>
      </c>
      <c r="E4517" s="2" t="s">
        <v>16</v>
      </c>
      <c r="F4517" s="2">
        <v>1</v>
      </c>
      <c r="G4517" s="2" t="s">
        <v>17</v>
      </c>
    </row>
    <row r="4518" spans="1:7" x14ac:dyDescent="0.2">
      <c r="A4518" s="2" t="s">
        <v>5757</v>
      </c>
      <c r="B4518" s="2" t="s">
        <v>5767</v>
      </c>
      <c r="C4518" s="2" t="s">
        <v>5768</v>
      </c>
      <c r="D4518" s="2" t="s">
        <v>10</v>
      </c>
      <c r="E4518" s="2" t="s">
        <v>52</v>
      </c>
      <c r="F4518" s="2">
        <v>1</v>
      </c>
      <c r="G4518" s="2" t="s">
        <v>17</v>
      </c>
    </row>
    <row r="4519" spans="1:7" x14ac:dyDescent="0.2">
      <c r="A4519" s="2" t="s">
        <v>5757</v>
      </c>
      <c r="B4519" s="2" t="s">
        <v>5769</v>
      </c>
      <c r="C4519" s="2" t="s">
        <v>5768</v>
      </c>
      <c r="D4519" s="2" t="s">
        <v>10</v>
      </c>
      <c r="E4519" s="2" t="s">
        <v>52</v>
      </c>
      <c r="F4519" s="2">
        <v>1</v>
      </c>
      <c r="G4519" s="2" t="s">
        <v>17</v>
      </c>
    </row>
    <row r="4520" spans="1:7" x14ac:dyDescent="0.2">
      <c r="A4520" s="2" t="s">
        <v>5757</v>
      </c>
      <c r="B4520" s="2" t="s">
        <v>3754</v>
      </c>
      <c r="C4520" s="2" t="s">
        <v>3550</v>
      </c>
      <c r="D4520" s="2" t="s">
        <v>10</v>
      </c>
      <c r="E4520" s="2" t="s">
        <v>16</v>
      </c>
      <c r="F4520" s="2">
        <v>1</v>
      </c>
      <c r="G4520" s="2" t="s">
        <v>17</v>
      </c>
    </row>
    <row r="4521" spans="1:7" x14ac:dyDescent="0.2">
      <c r="A4521" s="2" t="s">
        <v>5757</v>
      </c>
      <c r="B4521" s="2" t="s">
        <v>2822</v>
      </c>
      <c r="C4521" s="2" t="s">
        <v>2752</v>
      </c>
      <c r="D4521" s="2" t="s">
        <v>56</v>
      </c>
      <c r="E4521" s="2" t="s">
        <v>52</v>
      </c>
      <c r="F4521" s="2">
        <v>2</v>
      </c>
      <c r="G4521" s="2" t="s">
        <v>12</v>
      </c>
    </row>
    <row r="4522" spans="1:7" x14ac:dyDescent="0.2">
      <c r="A4522" s="2" t="s">
        <v>5757</v>
      </c>
      <c r="B4522" s="2" t="s">
        <v>2299</v>
      </c>
      <c r="C4522" s="2" t="s">
        <v>2204</v>
      </c>
      <c r="D4522" s="2" t="s">
        <v>10</v>
      </c>
      <c r="E4522" s="2" t="s">
        <v>16</v>
      </c>
      <c r="F4522" s="2">
        <v>1</v>
      </c>
      <c r="G4522" s="2" t="s">
        <v>17</v>
      </c>
    </row>
    <row r="4523" spans="1:7" x14ac:dyDescent="0.2">
      <c r="A4523" s="2" t="s">
        <v>5757</v>
      </c>
      <c r="B4523" s="2" t="s">
        <v>5770</v>
      </c>
      <c r="C4523" s="2" t="s">
        <v>5771</v>
      </c>
      <c r="D4523" s="2" t="s">
        <v>10</v>
      </c>
      <c r="E4523" s="2" t="s">
        <v>11</v>
      </c>
      <c r="F4523" s="2">
        <v>1</v>
      </c>
      <c r="G4523" s="2" t="s">
        <v>17</v>
      </c>
    </row>
    <row r="4524" spans="1:7" x14ac:dyDescent="0.2">
      <c r="A4524" s="2" t="s">
        <v>5757</v>
      </c>
      <c r="B4524" s="2" t="s">
        <v>5772</v>
      </c>
      <c r="C4524" s="2" t="s">
        <v>5771</v>
      </c>
      <c r="D4524" s="2" t="s">
        <v>10</v>
      </c>
      <c r="E4524" s="2" t="s">
        <v>11</v>
      </c>
      <c r="F4524" s="2">
        <v>1</v>
      </c>
      <c r="G4524" s="2" t="s">
        <v>17</v>
      </c>
    </row>
    <row r="4525" spans="1:7" x14ac:dyDescent="0.2">
      <c r="A4525" s="2" t="s">
        <v>5757</v>
      </c>
      <c r="B4525" s="2" t="s">
        <v>5773</v>
      </c>
      <c r="C4525" s="2" t="s">
        <v>2204</v>
      </c>
      <c r="D4525" s="2" t="s">
        <v>10</v>
      </c>
      <c r="E4525" s="2" t="s">
        <v>16</v>
      </c>
      <c r="F4525" s="2">
        <v>1</v>
      </c>
      <c r="G4525" s="2" t="s">
        <v>17</v>
      </c>
    </row>
    <row r="4526" spans="1:7" x14ac:dyDescent="0.2">
      <c r="A4526" s="2" t="s">
        <v>5757</v>
      </c>
      <c r="B4526" s="2" t="s">
        <v>5774</v>
      </c>
      <c r="C4526" s="2" t="s">
        <v>2329</v>
      </c>
      <c r="D4526" s="2" t="s">
        <v>10</v>
      </c>
      <c r="E4526" s="2" t="s">
        <v>52</v>
      </c>
      <c r="F4526" s="2">
        <v>1</v>
      </c>
      <c r="G4526" s="2" t="s">
        <v>17</v>
      </c>
    </row>
    <row r="4527" spans="1:7" x14ac:dyDescent="0.2">
      <c r="A4527" s="2" t="s">
        <v>5757</v>
      </c>
      <c r="B4527" s="2" t="s">
        <v>5775</v>
      </c>
      <c r="C4527" s="2" t="s">
        <v>5768</v>
      </c>
      <c r="D4527" s="2" t="s">
        <v>10</v>
      </c>
      <c r="E4527" s="2" t="s">
        <v>52</v>
      </c>
      <c r="F4527" s="2">
        <v>1</v>
      </c>
      <c r="G4527" s="2" t="s">
        <v>17</v>
      </c>
    </row>
    <row r="4528" spans="1:7" x14ac:dyDescent="0.2">
      <c r="A4528" s="2" t="s">
        <v>5757</v>
      </c>
      <c r="B4528" s="2" t="s">
        <v>5776</v>
      </c>
      <c r="C4528" s="2" t="s">
        <v>5777</v>
      </c>
      <c r="D4528" s="2" t="s">
        <v>10</v>
      </c>
      <c r="E4528" s="2" t="s">
        <v>52</v>
      </c>
      <c r="F4528" s="2">
        <v>1</v>
      </c>
      <c r="G4528" s="2" t="s">
        <v>17</v>
      </c>
    </row>
    <row r="4529" spans="1:7" x14ac:dyDescent="0.2">
      <c r="A4529" s="2" t="s">
        <v>5757</v>
      </c>
      <c r="B4529" s="2" t="s">
        <v>3453</v>
      </c>
      <c r="C4529" s="2" t="s">
        <v>2204</v>
      </c>
      <c r="D4529" s="2" t="s">
        <v>10</v>
      </c>
      <c r="E4529" s="2" t="s">
        <v>16</v>
      </c>
      <c r="F4529" s="2">
        <v>1</v>
      </c>
      <c r="G4529" s="2" t="s">
        <v>17</v>
      </c>
    </row>
    <row r="4530" spans="1:7" x14ac:dyDescent="0.2">
      <c r="A4530" s="2" t="s">
        <v>5757</v>
      </c>
      <c r="B4530" s="2" t="s">
        <v>1002</v>
      </c>
      <c r="C4530" s="2" t="s">
        <v>794</v>
      </c>
      <c r="D4530" s="2" t="s">
        <v>56</v>
      </c>
      <c r="E4530" s="2" t="s">
        <v>52</v>
      </c>
      <c r="F4530" s="2">
        <v>1</v>
      </c>
      <c r="G4530" s="2" t="s">
        <v>17</v>
      </c>
    </row>
    <row r="4531" spans="1:7" x14ac:dyDescent="0.2">
      <c r="A4531" s="2" t="s">
        <v>5757</v>
      </c>
      <c r="B4531" s="2" t="s">
        <v>5778</v>
      </c>
      <c r="C4531" s="2" t="s">
        <v>5765</v>
      </c>
      <c r="D4531" s="2" t="s">
        <v>10</v>
      </c>
      <c r="E4531" s="2" t="s">
        <v>16</v>
      </c>
      <c r="F4531" s="2">
        <v>1</v>
      </c>
      <c r="G4531" s="2" t="s">
        <v>17</v>
      </c>
    </row>
    <row r="4532" spans="1:7" x14ac:dyDescent="0.2">
      <c r="A4532" s="2" t="s">
        <v>5757</v>
      </c>
      <c r="B4532" s="2" t="s">
        <v>5779</v>
      </c>
      <c r="C4532" s="2" t="s">
        <v>5765</v>
      </c>
      <c r="D4532" s="2" t="s">
        <v>10</v>
      </c>
      <c r="E4532" s="2" t="s">
        <v>16</v>
      </c>
      <c r="F4532" s="2">
        <v>1</v>
      </c>
      <c r="G4532" s="2" t="s">
        <v>17</v>
      </c>
    </row>
    <row r="4533" spans="1:7" x14ac:dyDescent="0.2">
      <c r="A4533" s="2" t="s">
        <v>5757</v>
      </c>
      <c r="B4533" s="2" t="s">
        <v>5780</v>
      </c>
      <c r="C4533" s="2" t="s">
        <v>5765</v>
      </c>
      <c r="D4533" s="2" t="s">
        <v>10</v>
      </c>
      <c r="E4533" s="2" t="s">
        <v>16</v>
      </c>
      <c r="F4533" s="2">
        <v>1</v>
      </c>
      <c r="G4533" s="2" t="s">
        <v>17</v>
      </c>
    </row>
    <row r="4534" spans="1:7" x14ac:dyDescent="0.2">
      <c r="A4534" s="2" t="s">
        <v>5781</v>
      </c>
      <c r="B4534" s="2" t="s">
        <v>5782</v>
      </c>
      <c r="C4534" s="2" t="s">
        <v>1369</v>
      </c>
      <c r="D4534" s="2" t="s">
        <v>10</v>
      </c>
      <c r="E4534" s="2" t="s">
        <v>16</v>
      </c>
      <c r="F4534" s="2">
        <v>1</v>
      </c>
      <c r="G4534" s="2" t="s">
        <v>17</v>
      </c>
    </row>
    <row r="4535" spans="1:7" x14ac:dyDescent="0.2">
      <c r="A4535" s="2" t="s">
        <v>5783</v>
      </c>
      <c r="B4535" s="2" t="s">
        <v>5784</v>
      </c>
      <c r="C4535" s="2" t="s">
        <v>5785</v>
      </c>
      <c r="D4535" s="2" t="s">
        <v>10</v>
      </c>
      <c r="E4535" s="2" t="s">
        <v>16</v>
      </c>
      <c r="F4535" s="2">
        <v>1</v>
      </c>
      <c r="G4535" s="2" t="s">
        <v>17</v>
      </c>
    </row>
    <row r="4536" spans="1:7" x14ac:dyDescent="0.2">
      <c r="A4536" s="2" t="s">
        <v>5783</v>
      </c>
      <c r="B4536" s="2" t="s">
        <v>5786</v>
      </c>
      <c r="C4536" s="2" t="s">
        <v>5785</v>
      </c>
      <c r="D4536" s="2" t="s">
        <v>10</v>
      </c>
      <c r="E4536" s="2" t="s">
        <v>16</v>
      </c>
      <c r="F4536" s="2">
        <v>1</v>
      </c>
      <c r="G4536" s="2" t="s">
        <v>17</v>
      </c>
    </row>
    <row r="4537" spans="1:7" x14ac:dyDescent="0.2">
      <c r="A4537" s="2" t="s">
        <v>5783</v>
      </c>
      <c r="B4537" s="2" t="s">
        <v>5787</v>
      </c>
      <c r="C4537" s="2" t="s">
        <v>5785</v>
      </c>
      <c r="D4537" s="2" t="s">
        <v>10</v>
      </c>
      <c r="E4537" s="2" t="s">
        <v>16</v>
      </c>
      <c r="F4537" s="2">
        <v>1</v>
      </c>
      <c r="G4537" s="2" t="s">
        <v>17</v>
      </c>
    </row>
    <row r="4538" spans="1:7" x14ac:dyDescent="0.2">
      <c r="A4538" s="2" t="s">
        <v>5783</v>
      </c>
      <c r="B4538" s="2" t="s">
        <v>5788</v>
      </c>
      <c r="C4538" s="2" t="s">
        <v>5785</v>
      </c>
      <c r="D4538" s="2" t="s">
        <v>10</v>
      </c>
      <c r="E4538" s="2" t="s">
        <v>16</v>
      </c>
      <c r="F4538" s="2">
        <v>1</v>
      </c>
      <c r="G4538" s="2" t="s">
        <v>17</v>
      </c>
    </row>
    <row r="4539" spans="1:7" x14ac:dyDescent="0.2">
      <c r="A4539" s="2" t="s">
        <v>5783</v>
      </c>
      <c r="B4539" s="2" t="s">
        <v>5789</v>
      </c>
      <c r="C4539" s="2" t="s">
        <v>5785</v>
      </c>
      <c r="D4539" s="2" t="s">
        <v>10</v>
      </c>
      <c r="E4539" s="2" t="s">
        <v>16</v>
      </c>
      <c r="F4539" s="2">
        <v>1</v>
      </c>
      <c r="G4539" s="2" t="s">
        <v>17</v>
      </c>
    </row>
    <row r="4540" spans="1:7" x14ac:dyDescent="0.2">
      <c r="A4540" s="2" t="s">
        <v>5783</v>
      </c>
      <c r="B4540" s="2" t="s">
        <v>5790</v>
      </c>
      <c r="C4540" s="2" t="s">
        <v>5785</v>
      </c>
      <c r="D4540" s="2" t="s">
        <v>10</v>
      </c>
      <c r="E4540" s="2" t="s">
        <v>16</v>
      </c>
      <c r="F4540" s="2">
        <v>1</v>
      </c>
      <c r="G4540" s="2" t="s">
        <v>17</v>
      </c>
    </row>
    <row r="4541" spans="1:7" x14ac:dyDescent="0.2">
      <c r="A4541" s="2" t="s">
        <v>5783</v>
      </c>
      <c r="B4541" s="2" t="s">
        <v>5791</v>
      </c>
      <c r="C4541" s="2" t="s">
        <v>5785</v>
      </c>
      <c r="D4541" s="2" t="s">
        <v>10</v>
      </c>
      <c r="E4541" s="2" t="s">
        <v>16</v>
      </c>
      <c r="F4541" s="2">
        <v>1</v>
      </c>
      <c r="G4541" s="2" t="s">
        <v>17</v>
      </c>
    </row>
    <row r="4542" spans="1:7" x14ac:dyDescent="0.2">
      <c r="A4542" s="2" t="s">
        <v>5783</v>
      </c>
      <c r="B4542" s="2" t="s">
        <v>5792</v>
      </c>
      <c r="C4542" s="2" t="s">
        <v>5785</v>
      </c>
      <c r="D4542" s="2" t="s">
        <v>10</v>
      </c>
      <c r="E4542" s="2" t="s">
        <v>16</v>
      </c>
      <c r="F4542" s="2">
        <v>1</v>
      </c>
      <c r="G4542" s="2" t="s">
        <v>17</v>
      </c>
    </row>
    <row r="4543" spans="1:7" x14ac:dyDescent="0.2">
      <c r="A4543" s="2" t="s">
        <v>5783</v>
      </c>
      <c r="B4543" s="2" t="s">
        <v>5793</v>
      </c>
      <c r="C4543" s="2" t="s">
        <v>5785</v>
      </c>
      <c r="D4543" s="2" t="s">
        <v>10</v>
      </c>
      <c r="E4543" s="2" t="s">
        <v>16</v>
      </c>
      <c r="F4543" s="2">
        <v>1</v>
      </c>
      <c r="G4543" s="2" t="s">
        <v>17</v>
      </c>
    </row>
    <row r="4544" spans="1:7" x14ac:dyDescent="0.2">
      <c r="A4544" s="2" t="s">
        <v>5794</v>
      </c>
      <c r="B4544" s="2" t="s">
        <v>5795</v>
      </c>
      <c r="C4544" s="2" t="s">
        <v>5796</v>
      </c>
      <c r="D4544" s="2" t="s">
        <v>10</v>
      </c>
      <c r="E4544" s="2" t="s">
        <v>52</v>
      </c>
      <c r="F4544" s="2">
        <v>2</v>
      </c>
      <c r="G4544" s="2" t="s">
        <v>17</v>
      </c>
    </row>
    <row r="4545" spans="1:7" x14ac:dyDescent="0.2">
      <c r="A4545" s="2" t="s">
        <v>5794</v>
      </c>
      <c r="B4545" s="2" t="s">
        <v>5797</v>
      </c>
      <c r="C4545" s="2" t="s">
        <v>5796</v>
      </c>
      <c r="D4545" s="2" t="s">
        <v>10</v>
      </c>
      <c r="E4545" s="2" t="s">
        <v>52</v>
      </c>
      <c r="F4545" s="2">
        <v>2</v>
      </c>
      <c r="G4545" s="2" t="s">
        <v>17</v>
      </c>
    </row>
    <row r="4546" spans="1:7" x14ac:dyDescent="0.2">
      <c r="A4546" s="2" t="s">
        <v>5794</v>
      </c>
      <c r="B4546" s="2" t="s">
        <v>5798</v>
      </c>
      <c r="C4546" s="2" t="s">
        <v>5796</v>
      </c>
      <c r="D4546" s="2" t="s">
        <v>10</v>
      </c>
      <c r="E4546" s="2" t="s">
        <v>52</v>
      </c>
      <c r="F4546" s="2">
        <v>2</v>
      </c>
      <c r="G4546" s="2" t="s">
        <v>17</v>
      </c>
    </row>
    <row r="4547" spans="1:7" x14ac:dyDescent="0.2">
      <c r="A4547" s="2" t="s">
        <v>5794</v>
      </c>
      <c r="B4547" s="2" t="s">
        <v>5799</v>
      </c>
      <c r="C4547" s="2" t="s">
        <v>5796</v>
      </c>
      <c r="D4547" s="2" t="s">
        <v>10</v>
      </c>
      <c r="E4547" s="2" t="s">
        <v>52</v>
      </c>
      <c r="F4547" s="2">
        <v>2</v>
      </c>
      <c r="G4547" s="2" t="s">
        <v>17</v>
      </c>
    </row>
    <row r="4548" spans="1:7" x14ac:dyDescent="0.2">
      <c r="A4548" s="2" t="s">
        <v>5794</v>
      </c>
      <c r="B4548" s="2" t="s">
        <v>5800</v>
      </c>
      <c r="C4548" s="2" t="s">
        <v>5796</v>
      </c>
      <c r="D4548" s="2" t="s">
        <v>10</v>
      </c>
      <c r="E4548" s="2" t="s">
        <v>52</v>
      </c>
      <c r="F4548" s="2">
        <v>2</v>
      </c>
      <c r="G4548" s="2" t="s">
        <v>17</v>
      </c>
    </row>
    <row r="4549" spans="1:7" x14ac:dyDescent="0.2">
      <c r="A4549" s="2" t="s">
        <v>5794</v>
      </c>
      <c r="B4549" s="2" t="s">
        <v>1736</v>
      </c>
      <c r="C4549" s="2" t="s">
        <v>1734</v>
      </c>
      <c r="D4549" s="2" t="s">
        <v>10</v>
      </c>
      <c r="E4549" s="2" t="s">
        <v>11</v>
      </c>
      <c r="F4549" s="2">
        <v>2</v>
      </c>
      <c r="G4549" s="2" t="s">
        <v>12</v>
      </c>
    </row>
    <row r="4550" spans="1:7" x14ac:dyDescent="0.2">
      <c r="A4550" s="2" t="s">
        <v>5794</v>
      </c>
      <c r="B4550" s="2" t="s">
        <v>5801</v>
      </c>
      <c r="C4550" s="2" t="s">
        <v>5796</v>
      </c>
      <c r="D4550" s="2" t="s">
        <v>10</v>
      </c>
      <c r="E4550" s="2" t="s">
        <v>52</v>
      </c>
      <c r="F4550" s="2">
        <v>2</v>
      </c>
      <c r="G4550" s="2" t="s">
        <v>17</v>
      </c>
    </row>
    <row r="4551" spans="1:7" x14ac:dyDescent="0.2">
      <c r="A4551" s="2" t="s">
        <v>5794</v>
      </c>
      <c r="B4551" s="2" t="s">
        <v>5802</v>
      </c>
      <c r="C4551" s="2" t="s">
        <v>5796</v>
      </c>
      <c r="D4551" s="2" t="s">
        <v>10</v>
      </c>
      <c r="E4551" s="2" t="s">
        <v>52</v>
      </c>
      <c r="F4551" s="2">
        <v>2</v>
      </c>
      <c r="G4551" s="2" t="s">
        <v>17</v>
      </c>
    </row>
    <row r="4552" spans="1:7" x14ac:dyDescent="0.2">
      <c r="A4552" s="2" t="s">
        <v>5794</v>
      </c>
      <c r="B4552" s="2" t="s">
        <v>5803</v>
      </c>
      <c r="C4552" s="2" t="s">
        <v>5796</v>
      </c>
      <c r="D4552" s="2" t="s">
        <v>10</v>
      </c>
      <c r="E4552" s="2" t="s">
        <v>52</v>
      </c>
      <c r="F4552" s="2">
        <v>2</v>
      </c>
      <c r="G4552" s="2" t="s">
        <v>17</v>
      </c>
    </row>
    <row r="4553" spans="1:7" x14ac:dyDescent="0.2">
      <c r="A4553" s="2" t="s">
        <v>5794</v>
      </c>
      <c r="B4553" s="2" t="s">
        <v>5804</v>
      </c>
      <c r="C4553" s="2" t="s">
        <v>5796</v>
      </c>
      <c r="D4553" s="2" t="s">
        <v>10</v>
      </c>
      <c r="E4553" s="2" t="s">
        <v>52</v>
      </c>
      <c r="F4553" s="2">
        <v>2</v>
      </c>
      <c r="G4553" s="2" t="s">
        <v>17</v>
      </c>
    </row>
    <row r="4554" spans="1:7" x14ac:dyDescent="0.2">
      <c r="A4554" s="2" t="s">
        <v>5794</v>
      </c>
      <c r="B4554" s="2" t="s">
        <v>5805</v>
      </c>
      <c r="C4554" s="2" t="s">
        <v>5796</v>
      </c>
      <c r="D4554" s="2" t="s">
        <v>10</v>
      </c>
      <c r="E4554" s="2" t="s">
        <v>52</v>
      </c>
      <c r="F4554" s="2">
        <v>2</v>
      </c>
      <c r="G4554" s="2" t="s">
        <v>17</v>
      </c>
    </row>
    <row r="4555" spans="1:7" x14ac:dyDescent="0.2">
      <c r="A4555" s="2" t="s">
        <v>5794</v>
      </c>
      <c r="B4555" s="2" t="s">
        <v>1735</v>
      </c>
      <c r="C4555" s="2" t="s">
        <v>1734</v>
      </c>
      <c r="D4555" s="2" t="s">
        <v>10</v>
      </c>
      <c r="E4555" s="2" t="s">
        <v>11</v>
      </c>
      <c r="F4555" s="2">
        <v>2</v>
      </c>
      <c r="G4555" s="2" t="s">
        <v>12</v>
      </c>
    </row>
    <row r="4556" spans="1:7" x14ac:dyDescent="0.2">
      <c r="A4556" s="2" t="s">
        <v>5794</v>
      </c>
      <c r="B4556" s="2" t="s">
        <v>39</v>
      </c>
      <c r="C4556" s="2" t="s">
        <v>1734</v>
      </c>
      <c r="D4556" s="2" t="s">
        <v>10</v>
      </c>
      <c r="E4556" s="2" t="s">
        <v>11</v>
      </c>
      <c r="F4556" s="2">
        <v>2</v>
      </c>
      <c r="G4556" s="2" t="s">
        <v>12</v>
      </c>
    </row>
    <row r="4557" spans="1:7" x14ac:dyDescent="0.2">
      <c r="A4557" s="2" t="s">
        <v>5806</v>
      </c>
      <c r="B4557" s="2" t="s">
        <v>437</v>
      </c>
      <c r="C4557" s="2" t="s">
        <v>5525</v>
      </c>
      <c r="D4557" s="2" t="s">
        <v>10</v>
      </c>
      <c r="E4557" s="2" t="s">
        <v>16</v>
      </c>
      <c r="F4557" s="2">
        <v>1</v>
      </c>
      <c r="G4557" s="2" t="s">
        <v>17</v>
      </c>
    </row>
    <row r="4558" spans="1:7" x14ac:dyDescent="0.2">
      <c r="A4558" s="2" t="s">
        <v>5807</v>
      </c>
      <c r="B4558" s="2" t="s">
        <v>5808</v>
      </c>
      <c r="C4558" s="2" t="s">
        <v>5809</v>
      </c>
      <c r="D4558" s="2" t="s">
        <v>10</v>
      </c>
      <c r="E4558" s="2" t="s">
        <v>16</v>
      </c>
      <c r="F4558" s="2">
        <v>1</v>
      </c>
      <c r="G4558" s="2" t="s">
        <v>17</v>
      </c>
    </row>
    <row r="4559" spans="1:7" x14ac:dyDescent="0.2">
      <c r="A4559" s="2" t="s">
        <v>5807</v>
      </c>
      <c r="B4559" s="2" t="s">
        <v>5810</v>
      </c>
      <c r="C4559" s="2" t="s">
        <v>5809</v>
      </c>
      <c r="D4559" s="2" t="s">
        <v>10</v>
      </c>
      <c r="E4559" s="2" t="s">
        <v>16</v>
      </c>
      <c r="F4559" s="2">
        <v>1</v>
      </c>
      <c r="G4559" s="2" t="s">
        <v>17</v>
      </c>
    </row>
    <row r="4560" spans="1:7" x14ac:dyDescent="0.2">
      <c r="A4560" s="2" t="s">
        <v>5811</v>
      </c>
      <c r="B4560" s="2" t="s">
        <v>5812</v>
      </c>
      <c r="C4560" s="2" t="s">
        <v>5813</v>
      </c>
      <c r="D4560" s="2" t="s">
        <v>29</v>
      </c>
      <c r="E4560" s="2" t="s">
        <v>16</v>
      </c>
      <c r="F4560" s="2">
        <v>2</v>
      </c>
      <c r="G4560" s="2" t="s">
        <v>17</v>
      </c>
    </row>
    <row r="4561" spans="1:7" x14ac:dyDescent="0.2">
      <c r="A4561" s="2" t="s">
        <v>5811</v>
      </c>
      <c r="B4561" s="2" t="s">
        <v>5814</v>
      </c>
      <c r="C4561" s="2" t="s">
        <v>5813</v>
      </c>
      <c r="D4561" s="2" t="s">
        <v>29</v>
      </c>
      <c r="E4561" s="2" t="s">
        <v>16</v>
      </c>
      <c r="F4561" s="2">
        <v>2</v>
      </c>
      <c r="G4561" s="2" t="s">
        <v>17</v>
      </c>
    </row>
    <row r="4562" spans="1:7" x14ac:dyDescent="0.2">
      <c r="A4562" s="2" t="s">
        <v>5815</v>
      </c>
      <c r="B4562" s="2" t="s">
        <v>5816</v>
      </c>
      <c r="C4562" s="2" t="s">
        <v>5817</v>
      </c>
      <c r="D4562" s="2" t="s">
        <v>10</v>
      </c>
      <c r="E4562" s="2" t="s">
        <v>16</v>
      </c>
      <c r="F4562" s="2">
        <v>1</v>
      </c>
      <c r="G4562" s="2" t="s">
        <v>17</v>
      </c>
    </row>
    <row r="4563" spans="1:7" x14ac:dyDescent="0.2">
      <c r="A4563" s="2" t="s">
        <v>5815</v>
      </c>
      <c r="B4563" s="2" t="s">
        <v>5818</v>
      </c>
      <c r="C4563" s="2" t="s">
        <v>5817</v>
      </c>
      <c r="D4563" s="2" t="s">
        <v>10</v>
      </c>
      <c r="E4563" s="2" t="s">
        <v>16</v>
      </c>
      <c r="F4563" s="2">
        <v>1</v>
      </c>
      <c r="G4563" s="2" t="s">
        <v>17</v>
      </c>
    </row>
    <row r="4564" spans="1:7" x14ac:dyDescent="0.2">
      <c r="A4564" s="2" t="s">
        <v>5819</v>
      </c>
      <c r="B4564" s="2" t="s">
        <v>5820</v>
      </c>
      <c r="C4564" s="2" t="s">
        <v>5821</v>
      </c>
      <c r="D4564" s="2" t="s">
        <v>10</v>
      </c>
      <c r="E4564" s="2" t="s">
        <v>16</v>
      </c>
      <c r="F4564" s="2">
        <v>1</v>
      </c>
      <c r="G4564" s="2" t="s">
        <v>17</v>
      </c>
    </row>
    <row r="4565" spans="1:7" x14ac:dyDescent="0.2">
      <c r="A4565" s="2" t="s">
        <v>5819</v>
      </c>
      <c r="B4565" s="2" t="s">
        <v>5822</v>
      </c>
      <c r="C4565" s="2" t="s">
        <v>5823</v>
      </c>
      <c r="D4565" s="2" t="s">
        <v>10</v>
      </c>
      <c r="E4565" s="2" t="s">
        <v>16</v>
      </c>
      <c r="F4565" s="2">
        <v>1</v>
      </c>
      <c r="G4565" s="2" t="s">
        <v>17</v>
      </c>
    </row>
    <row r="4566" spans="1:7" x14ac:dyDescent="0.2">
      <c r="A4566" s="2" t="s">
        <v>5819</v>
      </c>
      <c r="B4566" s="2" t="s">
        <v>5824</v>
      </c>
      <c r="C4566" s="2" t="s">
        <v>5821</v>
      </c>
      <c r="D4566" s="2" t="s">
        <v>10</v>
      </c>
      <c r="E4566" s="2" t="s">
        <v>16</v>
      </c>
      <c r="F4566" s="2">
        <v>1</v>
      </c>
      <c r="G4566" s="2" t="s">
        <v>17</v>
      </c>
    </row>
    <row r="4567" spans="1:7" x14ac:dyDescent="0.2">
      <c r="A4567" s="2" t="s">
        <v>5819</v>
      </c>
      <c r="B4567" s="2" t="s">
        <v>5531</v>
      </c>
      <c r="C4567" s="2" t="s">
        <v>5823</v>
      </c>
      <c r="D4567" s="2" t="s">
        <v>10</v>
      </c>
      <c r="E4567" s="2" t="s">
        <v>16</v>
      </c>
      <c r="F4567" s="2">
        <v>1</v>
      </c>
      <c r="G4567" s="2" t="s">
        <v>17</v>
      </c>
    </row>
    <row r="4568" spans="1:7" x14ac:dyDescent="0.2">
      <c r="A4568" s="2" t="s">
        <v>5825</v>
      </c>
      <c r="B4568" s="2" t="s">
        <v>5440</v>
      </c>
      <c r="C4568" s="2" t="s">
        <v>2630</v>
      </c>
      <c r="D4568" s="2" t="s">
        <v>10</v>
      </c>
      <c r="E4568" s="2" t="s">
        <v>16</v>
      </c>
      <c r="F4568" s="2">
        <v>1</v>
      </c>
      <c r="G4568" s="2" t="s">
        <v>17</v>
      </c>
    </row>
    <row r="4569" spans="1:7" x14ac:dyDescent="0.2">
      <c r="A4569" s="2" t="s">
        <v>5826</v>
      </c>
      <c r="B4569" s="2" t="s">
        <v>5827</v>
      </c>
      <c r="C4569" s="2" t="s">
        <v>5828</v>
      </c>
      <c r="D4569" s="2" t="s">
        <v>10</v>
      </c>
      <c r="E4569" s="2" t="s">
        <v>16</v>
      </c>
      <c r="F4569" s="2">
        <v>1</v>
      </c>
      <c r="G4569" s="2" t="s">
        <v>17</v>
      </c>
    </row>
    <row r="4570" spans="1:7" x14ac:dyDescent="0.2">
      <c r="A4570" s="2" t="s">
        <v>5829</v>
      </c>
      <c r="B4570" s="2" t="s">
        <v>5830</v>
      </c>
      <c r="C4570" s="2" t="s">
        <v>5831</v>
      </c>
      <c r="D4570" s="2" t="s">
        <v>10</v>
      </c>
      <c r="E4570" s="2" t="s">
        <v>16</v>
      </c>
      <c r="F4570" s="2">
        <v>1</v>
      </c>
      <c r="G4570" s="2" t="s">
        <v>17</v>
      </c>
    </row>
    <row r="4571" spans="1:7" x14ac:dyDescent="0.2">
      <c r="A4571" s="2" t="s">
        <v>5829</v>
      </c>
      <c r="B4571" s="2" t="s">
        <v>5832</v>
      </c>
      <c r="C4571" s="2" t="s">
        <v>5831</v>
      </c>
      <c r="D4571" s="2" t="s">
        <v>10</v>
      </c>
      <c r="E4571" s="2" t="s">
        <v>16</v>
      </c>
      <c r="F4571" s="2">
        <v>1</v>
      </c>
      <c r="G4571" s="2" t="s">
        <v>17</v>
      </c>
    </row>
    <row r="4572" spans="1:7" x14ac:dyDescent="0.2">
      <c r="A4572" s="2" t="s">
        <v>5833</v>
      </c>
      <c r="B4572" s="2">
        <v>24</v>
      </c>
      <c r="C4572" s="2" t="s">
        <v>5834</v>
      </c>
      <c r="D4572" s="2" t="s">
        <v>10</v>
      </c>
      <c r="E4572" s="2" t="s">
        <v>11</v>
      </c>
      <c r="F4572" s="2">
        <v>2</v>
      </c>
      <c r="G4572" s="2" t="s">
        <v>17</v>
      </c>
    </row>
    <row r="4573" spans="1:7" x14ac:dyDescent="0.2">
      <c r="A4573" s="2" t="s">
        <v>5833</v>
      </c>
      <c r="B4573" s="2">
        <v>25</v>
      </c>
      <c r="C4573" s="2" t="s">
        <v>5835</v>
      </c>
      <c r="D4573" s="2" t="s">
        <v>10</v>
      </c>
      <c r="E4573" s="2" t="s">
        <v>11</v>
      </c>
      <c r="F4573" s="2">
        <v>2</v>
      </c>
      <c r="G4573" s="2" t="s">
        <v>17</v>
      </c>
    </row>
    <row r="4574" spans="1:7" x14ac:dyDescent="0.2">
      <c r="A4574" s="2" t="s">
        <v>5833</v>
      </c>
      <c r="B4574" s="2">
        <v>28</v>
      </c>
      <c r="C4574" s="2" t="s">
        <v>5836</v>
      </c>
      <c r="D4574" s="2" t="s">
        <v>10</v>
      </c>
      <c r="E4574" s="2" t="s">
        <v>11</v>
      </c>
      <c r="F4574" s="2">
        <v>2</v>
      </c>
      <c r="G4574" s="2" t="s">
        <v>17</v>
      </c>
    </row>
    <row r="4575" spans="1:7" x14ac:dyDescent="0.2">
      <c r="A4575" s="2" t="s">
        <v>5833</v>
      </c>
      <c r="B4575" s="2">
        <v>29</v>
      </c>
      <c r="C4575" s="2" t="s">
        <v>5836</v>
      </c>
      <c r="D4575" s="2" t="s">
        <v>10</v>
      </c>
      <c r="E4575" s="2" t="s">
        <v>11</v>
      </c>
      <c r="F4575" s="2">
        <v>2</v>
      </c>
      <c r="G4575" s="2" t="s">
        <v>17</v>
      </c>
    </row>
    <row r="4576" spans="1:7" x14ac:dyDescent="0.2">
      <c r="A4576" s="2" t="s">
        <v>5833</v>
      </c>
      <c r="B4576" s="2">
        <v>31</v>
      </c>
      <c r="C4576" s="2" t="s">
        <v>5837</v>
      </c>
      <c r="D4576" s="2" t="s">
        <v>10</v>
      </c>
      <c r="E4576" s="2" t="s">
        <v>11</v>
      </c>
      <c r="F4576" s="2">
        <v>2</v>
      </c>
      <c r="G4576" s="2" t="s">
        <v>12</v>
      </c>
    </row>
    <row r="4577" spans="1:7" x14ac:dyDescent="0.2">
      <c r="A4577" s="2" t="s">
        <v>5833</v>
      </c>
      <c r="B4577" s="2">
        <v>35</v>
      </c>
      <c r="C4577" s="2" t="s">
        <v>5838</v>
      </c>
      <c r="D4577" s="2" t="s">
        <v>10</v>
      </c>
      <c r="E4577" s="2" t="s">
        <v>11</v>
      </c>
      <c r="F4577" s="2">
        <v>2</v>
      </c>
      <c r="G4577" s="2" t="s">
        <v>12</v>
      </c>
    </row>
    <row r="4578" spans="1:7" x14ac:dyDescent="0.2">
      <c r="A4578" s="2" t="s">
        <v>5833</v>
      </c>
      <c r="B4578" s="2">
        <v>36</v>
      </c>
      <c r="C4578" s="2" t="s">
        <v>5838</v>
      </c>
      <c r="D4578" s="2" t="s">
        <v>10</v>
      </c>
      <c r="E4578" s="2" t="s">
        <v>11</v>
      </c>
      <c r="F4578" s="2">
        <v>2</v>
      </c>
      <c r="G4578" s="2" t="s">
        <v>12</v>
      </c>
    </row>
    <row r="4579" spans="1:7" x14ac:dyDescent="0.2">
      <c r="A4579" s="2" t="s">
        <v>5833</v>
      </c>
      <c r="B4579" s="2">
        <v>55</v>
      </c>
      <c r="C4579" s="2" t="s">
        <v>5839</v>
      </c>
      <c r="D4579" s="2" t="s">
        <v>10</v>
      </c>
      <c r="E4579" s="2" t="s">
        <v>11</v>
      </c>
      <c r="F4579" s="2">
        <v>2</v>
      </c>
      <c r="G4579" s="2" t="s">
        <v>12</v>
      </c>
    </row>
    <row r="4580" spans="1:7" x14ac:dyDescent="0.2">
      <c r="A4580" s="2" t="s">
        <v>5833</v>
      </c>
      <c r="B4580" s="2" t="s">
        <v>5840</v>
      </c>
      <c r="C4580" s="2" t="s">
        <v>5838</v>
      </c>
      <c r="D4580" s="2" t="s">
        <v>10</v>
      </c>
      <c r="E4580" s="2" t="s">
        <v>11</v>
      </c>
      <c r="F4580" s="2">
        <v>2</v>
      </c>
      <c r="G4580" s="2" t="s">
        <v>12</v>
      </c>
    </row>
    <row r="4581" spans="1:7" x14ac:dyDescent="0.2">
      <c r="A4581" s="2" t="s">
        <v>5833</v>
      </c>
      <c r="B4581" s="2" t="s">
        <v>5841</v>
      </c>
      <c r="C4581" s="2" t="s">
        <v>5838</v>
      </c>
      <c r="D4581" s="2" t="s">
        <v>10</v>
      </c>
      <c r="E4581" s="2" t="s">
        <v>11</v>
      </c>
      <c r="F4581" s="2">
        <v>2</v>
      </c>
      <c r="G4581" s="2" t="s">
        <v>12</v>
      </c>
    </row>
    <row r="4582" spans="1:7" x14ac:dyDescent="0.2">
      <c r="A4582" s="2" t="s">
        <v>5833</v>
      </c>
      <c r="B4582" s="2" t="s">
        <v>5842</v>
      </c>
      <c r="C4582" s="2" t="s">
        <v>5838</v>
      </c>
      <c r="D4582" s="2" t="s">
        <v>10</v>
      </c>
      <c r="E4582" s="2" t="s">
        <v>11</v>
      </c>
      <c r="F4582" s="2">
        <v>2</v>
      </c>
      <c r="G4582" s="2" t="s">
        <v>12</v>
      </c>
    </row>
    <row r="4583" spans="1:7" x14ac:dyDescent="0.2">
      <c r="A4583" s="2" t="s">
        <v>5833</v>
      </c>
      <c r="B4583" s="2" t="s">
        <v>5843</v>
      </c>
      <c r="C4583" s="2" t="s">
        <v>5838</v>
      </c>
      <c r="D4583" s="2" t="s">
        <v>10</v>
      </c>
      <c r="E4583" s="2" t="s">
        <v>11</v>
      </c>
      <c r="F4583" s="2">
        <v>2</v>
      </c>
      <c r="G4583" s="2" t="s">
        <v>12</v>
      </c>
    </row>
    <row r="4584" spans="1:7" x14ac:dyDescent="0.2">
      <c r="A4584" s="2" t="s">
        <v>5833</v>
      </c>
      <c r="B4584" s="2" t="s">
        <v>5844</v>
      </c>
      <c r="C4584" s="2" t="s">
        <v>5838</v>
      </c>
      <c r="D4584" s="2" t="s">
        <v>10</v>
      </c>
      <c r="E4584" s="2" t="s">
        <v>11</v>
      </c>
      <c r="F4584" s="2">
        <v>2</v>
      </c>
      <c r="G4584" s="2" t="s">
        <v>12</v>
      </c>
    </row>
    <row r="4585" spans="1:7" x14ac:dyDescent="0.2">
      <c r="A4585" s="2" t="s">
        <v>5833</v>
      </c>
      <c r="B4585" s="2" t="s">
        <v>5845</v>
      </c>
      <c r="C4585" s="2" t="s">
        <v>5838</v>
      </c>
      <c r="D4585" s="2" t="s">
        <v>10</v>
      </c>
      <c r="E4585" s="2" t="s">
        <v>11</v>
      </c>
      <c r="F4585" s="2">
        <v>2</v>
      </c>
      <c r="G4585" s="2" t="s">
        <v>12</v>
      </c>
    </row>
    <row r="4586" spans="1:7" x14ac:dyDescent="0.2">
      <c r="A4586" s="2" t="s">
        <v>5833</v>
      </c>
      <c r="B4586" s="2" t="s">
        <v>5846</v>
      </c>
      <c r="C4586" s="2" t="s">
        <v>5838</v>
      </c>
      <c r="D4586" s="2" t="s">
        <v>10</v>
      </c>
      <c r="E4586" s="2" t="s">
        <v>11</v>
      </c>
      <c r="F4586" s="2">
        <v>2</v>
      </c>
      <c r="G4586" s="2" t="s">
        <v>12</v>
      </c>
    </row>
    <row r="4587" spans="1:7" x14ac:dyDescent="0.2">
      <c r="A4587" s="2" t="s">
        <v>5847</v>
      </c>
      <c r="B4587" s="2" t="s">
        <v>5848</v>
      </c>
      <c r="C4587" s="2" t="s">
        <v>299</v>
      </c>
      <c r="D4587" s="2" t="s">
        <v>10</v>
      </c>
      <c r="E4587" s="2" t="s">
        <v>16</v>
      </c>
      <c r="F4587" s="2">
        <v>1</v>
      </c>
      <c r="G4587" s="2" t="s">
        <v>17</v>
      </c>
    </row>
    <row r="4588" spans="1:7" x14ac:dyDescent="0.2">
      <c r="A4588" s="2" t="s">
        <v>5847</v>
      </c>
      <c r="B4588" s="2" t="s">
        <v>5849</v>
      </c>
      <c r="C4588" s="2" t="s">
        <v>299</v>
      </c>
      <c r="D4588" s="2" t="s">
        <v>10</v>
      </c>
      <c r="E4588" s="2" t="s">
        <v>16</v>
      </c>
      <c r="F4588" s="2">
        <v>1</v>
      </c>
      <c r="G4588" s="2" t="s">
        <v>17</v>
      </c>
    </row>
    <row r="4589" spans="1:7" x14ac:dyDescent="0.2">
      <c r="A4589" s="2" t="s">
        <v>5850</v>
      </c>
      <c r="B4589" s="2" t="s">
        <v>5851</v>
      </c>
      <c r="C4589" s="2" t="s">
        <v>5852</v>
      </c>
      <c r="D4589" s="2" t="s">
        <v>10</v>
      </c>
      <c r="E4589" s="2" t="s">
        <v>16</v>
      </c>
      <c r="F4589" s="2">
        <v>1</v>
      </c>
      <c r="G4589" s="2" t="s">
        <v>17</v>
      </c>
    </row>
    <row r="4590" spans="1:7" x14ac:dyDescent="0.2">
      <c r="A4590" s="2" t="s">
        <v>5850</v>
      </c>
      <c r="B4590" s="2" t="s">
        <v>5853</v>
      </c>
      <c r="C4590" s="2" t="s">
        <v>5852</v>
      </c>
      <c r="D4590" s="2" t="s">
        <v>10</v>
      </c>
      <c r="E4590" s="2" t="s">
        <v>16</v>
      </c>
      <c r="F4590" s="2">
        <v>1</v>
      </c>
      <c r="G4590" s="2" t="s">
        <v>17</v>
      </c>
    </row>
    <row r="4591" spans="1:7" x14ac:dyDescent="0.2">
      <c r="A4591" s="2" t="s">
        <v>5854</v>
      </c>
      <c r="B4591" s="2" t="s">
        <v>5855</v>
      </c>
      <c r="C4591" s="2" t="s">
        <v>5856</v>
      </c>
      <c r="D4591" s="2" t="s">
        <v>10</v>
      </c>
      <c r="E4591" s="2" t="s">
        <v>16</v>
      </c>
      <c r="F4591" s="2">
        <v>1</v>
      </c>
      <c r="G4591" s="2" t="s">
        <v>17</v>
      </c>
    </row>
    <row r="4592" spans="1:7" x14ac:dyDescent="0.2">
      <c r="A4592" s="2" t="s">
        <v>5854</v>
      </c>
      <c r="B4592" s="2" t="s">
        <v>5857</v>
      </c>
      <c r="C4592" s="2" t="s">
        <v>5856</v>
      </c>
      <c r="D4592" s="2" t="s">
        <v>10</v>
      </c>
      <c r="E4592" s="2" t="s">
        <v>16</v>
      </c>
      <c r="F4592" s="2">
        <v>1</v>
      </c>
      <c r="G4592" s="2" t="s">
        <v>17</v>
      </c>
    </row>
    <row r="4593" spans="1:7" x14ac:dyDescent="0.2">
      <c r="A4593" s="2" t="s">
        <v>5854</v>
      </c>
      <c r="B4593" s="2" t="s">
        <v>5858</v>
      </c>
      <c r="C4593" s="2" t="s">
        <v>5856</v>
      </c>
      <c r="D4593" s="2" t="s">
        <v>10</v>
      </c>
      <c r="E4593" s="2" t="s">
        <v>16</v>
      </c>
      <c r="F4593" s="2">
        <v>1</v>
      </c>
      <c r="G4593" s="2" t="s">
        <v>17</v>
      </c>
    </row>
    <row r="4594" spans="1:7" x14ac:dyDescent="0.2">
      <c r="A4594" s="2" t="s">
        <v>5854</v>
      </c>
      <c r="B4594" s="2" t="s">
        <v>5859</v>
      </c>
      <c r="C4594" s="2" t="s">
        <v>5856</v>
      </c>
      <c r="D4594" s="2" t="s">
        <v>10</v>
      </c>
      <c r="E4594" s="2" t="s">
        <v>16</v>
      </c>
      <c r="F4594" s="2">
        <v>1</v>
      </c>
      <c r="G4594" s="2" t="s">
        <v>17</v>
      </c>
    </row>
    <row r="4595" spans="1:7" x14ac:dyDescent="0.2">
      <c r="A4595" s="2" t="s">
        <v>5854</v>
      </c>
      <c r="B4595" s="2" t="s">
        <v>5860</v>
      </c>
      <c r="C4595" s="2" t="s">
        <v>5856</v>
      </c>
      <c r="D4595" s="2" t="s">
        <v>10</v>
      </c>
      <c r="E4595" s="2" t="s">
        <v>16</v>
      </c>
      <c r="F4595" s="2">
        <v>1</v>
      </c>
      <c r="G4595" s="2" t="s">
        <v>17</v>
      </c>
    </row>
    <row r="4596" spans="1:7" x14ac:dyDescent="0.2">
      <c r="A4596" s="2" t="s">
        <v>5854</v>
      </c>
      <c r="B4596" s="2" t="s">
        <v>5861</v>
      </c>
      <c r="C4596" s="2" t="s">
        <v>5856</v>
      </c>
      <c r="D4596" s="2" t="s">
        <v>10</v>
      </c>
      <c r="E4596" s="2" t="s">
        <v>16</v>
      </c>
      <c r="F4596" s="2">
        <v>1</v>
      </c>
      <c r="G4596" s="2" t="s">
        <v>17</v>
      </c>
    </row>
    <row r="4597" spans="1:7" x14ac:dyDescent="0.2">
      <c r="A4597" s="2" t="s">
        <v>5854</v>
      </c>
      <c r="B4597" s="2" t="s">
        <v>5862</v>
      </c>
      <c r="C4597" s="2" t="s">
        <v>5856</v>
      </c>
      <c r="D4597" s="2" t="s">
        <v>10</v>
      </c>
      <c r="E4597" s="2" t="s">
        <v>16</v>
      </c>
      <c r="F4597" s="2">
        <v>1</v>
      </c>
      <c r="G4597" s="2" t="s">
        <v>17</v>
      </c>
    </row>
    <row r="4598" spans="1:7" x14ac:dyDescent="0.2">
      <c r="A4598" s="2" t="s">
        <v>5854</v>
      </c>
      <c r="B4598" s="2" t="s">
        <v>5863</v>
      </c>
      <c r="C4598" s="2" t="s">
        <v>5864</v>
      </c>
      <c r="D4598" s="2" t="s">
        <v>10</v>
      </c>
      <c r="E4598" s="2" t="s">
        <v>52</v>
      </c>
      <c r="F4598" s="2">
        <v>1</v>
      </c>
      <c r="G4598" s="2" t="s">
        <v>17</v>
      </c>
    </row>
    <row r="4599" spans="1:7" x14ac:dyDescent="0.2">
      <c r="A4599" s="2" t="s">
        <v>5854</v>
      </c>
      <c r="B4599" s="2" t="s">
        <v>5865</v>
      </c>
      <c r="C4599" s="2" t="s">
        <v>5864</v>
      </c>
      <c r="D4599" s="2" t="s">
        <v>10</v>
      </c>
      <c r="E4599" s="2" t="s">
        <v>52</v>
      </c>
      <c r="F4599" s="2">
        <v>1</v>
      </c>
      <c r="G4599" s="2" t="s">
        <v>17</v>
      </c>
    </row>
    <row r="4600" spans="1:7" x14ac:dyDescent="0.2">
      <c r="A4600" s="2" t="s">
        <v>5854</v>
      </c>
      <c r="B4600" s="2" t="s">
        <v>5866</v>
      </c>
      <c r="C4600" s="2" t="s">
        <v>5864</v>
      </c>
      <c r="D4600" s="2" t="s">
        <v>10</v>
      </c>
      <c r="E4600" s="2" t="s">
        <v>52</v>
      </c>
      <c r="F4600" s="2">
        <v>1</v>
      </c>
      <c r="G4600" s="2" t="s">
        <v>17</v>
      </c>
    </row>
    <row r="4601" spans="1:7" x14ac:dyDescent="0.2">
      <c r="A4601" s="2" t="s">
        <v>5854</v>
      </c>
      <c r="B4601" s="2" t="s">
        <v>5867</v>
      </c>
      <c r="C4601" s="2" t="s">
        <v>5864</v>
      </c>
      <c r="D4601" s="2" t="s">
        <v>10</v>
      </c>
      <c r="E4601" s="2" t="s">
        <v>52</v>
      </c>
      <c r="F4601" s="2">
        <v>1</v>
      </c>
      <c r="G4601" s="2" t="s">
        <v>17</v>
      </c>
    </row>
    <row r="4602" spans="1:7" x14ac:dyDescent="0.2">
      <c r="A4602" s="2" t="s">
        <v>5854</v>
      </c>
      <c r="B4602" s="2" t="s">
        <v>5868</v>
      </c>
      <c r="C4602" s="2" t="s">
        <v>5864</v>
      </c>
      <c r="D4602" s="2" t="s">
        <v>10</v>
      </c>
      <c r="E4602" s="2" t="s">
        <v>52</v>
      </c>
      <c r="F4602" s="2">
        <v>1</v>
      </c>
      <c r="G4602" s="2" t="s">
        <v>17</v>
      </c>
    </row>
    <row r="4603" spans="1:7" x14ac:dyDescent="0.2">
      <c r="A4603" s="2" t="s">
        <v>5854</v>
      </c>
      <c r="B4603" s="2" t="s">
        <v>5869</v>
      </c>
      <c r="C4603" s="2" t="s">
        <v>5864</v>
      </c>
      <c r="D4603" s="2" t="s">
        <v>10</v>
      </c>
      <c r="E4603" s="2" t="s">
        <v>52</v>
      </c>
      <c r="F4603" s="2">
        <v>1</v>
      </c>
      <c r="G4603" s="2" t="s">
        <v>17</v>
      </c>
    </row>
    <row r="4604" spans="1:7" x14ac:dyDescent="0.2">
      <c r="A4604" s="2" t="s">
        <v>5854</v>
      </c>
      <c r="B4604" s="2" t="s">
        <v>4412</v>
      </c>
      <c r="C4604" s="2" t="s">
        <v>5864</v>
      </c>
      <c r="D4604" s="2" t="s">
        <v>10</v>
      </c>
      <c r="E4604" s="2" t="s">
        <v>52</v>
      </c>
      <c r="F4604" s="2">
        <v>1</v>
      </c>
      <c r="G4604" s="2" t="s">
        <v>17</v>
      </c>
    </row>
    <row r="4605" spans="1:7" x14ac:dyDescent="0.2">
      <c r="A4605" s="2" t="s">
        <v>5854</v>
      </c>
      <c r="B4605" s="2" t="s">
        <v>5870</v>
      </c>
      <c r="C4605" s="2" t="s">
        <v>5864</v>
      </c>
      <c r="D4605" s="2" t="s">
        <v>10</v>
      </c>
      <c r="E4605" s="2" t="s">
        <v>52</v>
      </c>
      <c r="F4605" s="2">
        <v>1</v>
      </c>
      <c r="G4605" s="2" t="s">
        <v>17</v>
      </c>
    </row>
    <row r="4606" spans="1:7" x14ac:dyDescent="0.2">
      <c r="A4606" s="2" t="s">
        <v>5871</v>
      </c>
      <c r="B4606" s="2" t="s">
        <v>5872</v>
      </c>
      <c r="C4606" s="2" t="s">
        <v>5873</v>
      </c>
      <c r="D4606" s="2" t="s">
        <v>10</v>
      </c>
      <c r="E4606" s="2" t="s">
        <v>16</v>
      </c>
      <c r="F4606" s="2">
        <v>1</v>
      </c>
      <c r="G4606" s="2" t="s">
        <v>17</v>
      </c>
    </row>
    <row r="4607" spans="1:7" x14ac:dyDescent="0.2">
      <c r="A4607" s="2" t="s">
        <v>5871</v>
      </c>
      <c r="B4607" s="2" t="s">
        <v>4877</v>
      </c>
      <c r="C4607" s="2" t="s">
        <v>5874</v>
      </c>
      <c r="D4607" s="2" t="s">
        <v>10</v>
      </c>
      <c r="E4607" s="2" t="s">
        <v>52</v>
      </c>
      <c r="F4607" s="2">
        <v>2</v>
      </c>
      <c r="G4607" s="2" t="s">
        <v>17</v>
      </c>
    </row>
    <row r="4608" spans="1:7" x14ac:dyDescent="0.2">
      <c r="A4608" s="2" t="s">
        <v>5871</v>
      </c>
      <c r="B4608" s="2" t="s">
        <v>5875</v>
      </c>
      <c r="C4608" s="2" t="s">
        <v>5291</v>
      </c>
      <c r="D4608" s="2" t="s">
        <v>10</v>
      </c>
      <c r="E4608" s="2" t="s">
        <v>16</v>
      </c>
      <c r="F4608" s="2">
        <v>1</v>
      </c>
      <c r="G4608" s="2" t="s">
        <v>17</v>
      </c>
    </row>
    <row r="4609" spans="1:7" x14ac:dyDescent="0.2">
      <c r="A4609" s="2" t="s">
        <v>5871</v>
      </c>
      <c r="B4609" s="2" t="s">
        <v>5876</v>
      </c>
      <c r="C4609" s="2" t="s">
        <v>5291</v>
      </c>
      <c r="D4609" s="2" t="s">
        <v>10</v>
      </c>
      <c r="E4609" s="2" t="s">
        <v>16</v>
      </c>
      <c r="F4609" s="2">
        <v>1</v>
      </c>
      <c r="G4609" s="2" t="s">
        <v>17</v>
      </c>
    </row>
    <row r="4610" spans="1:7" x14ac:dyDescent="0.2">
      <c r="A4610" s="2" t="s">
        <v>5871</v>
      </c>
      <c r="B4610" s="2" t="s">
        <v>5877</v>
      </c>
      <c r="C4610" s="2" t="s">
        <v>5291</v>
      </c>
      <c r="D4610" s="2" t="s">
        <v>10</v>
      </c>
      <c r="E4610" s="2" t="s">
        <v>16</v>
      </c>
      <c r="F4610" s="2">
        <v>1</v>
      </c>
      <c r="G4610" s="2" t="s">
        <v>17</v>
      </c>
    </row>
    <row r="4611" spans="1:7" x14ac:dyDescent="0.2">
      <c r="A4611" s="2" t="s">
        <v>5871</v>
      </c>
      <c r="B4611" s="2" t="s">
        <v>5878</v>
      </c>
      <c r="C4611" s="2" t="s">
        <v>5879</v>
      </c>
      <c r="D4611" s="2" t="s">
        <v>10</v>
      </c>
      <c r="E4611" s="2" t="s">
        <v>16</v>
      </c>
      <c r="F4611" s="2">
        <v>2</v>
      </c>
      <c r="G4611" s="2" t="s">
        <v>17</v>
      </c>
    </row>
    <row r="4612" spans="1:7" x14ac:dyDescent="0.2">
      <c r="A4612" s="2" t="s">
        <v>5871</v>
      </c>
      <c r="B4612" s="2" t="s">
        <v>5880</v>
      </c>
      <c r="C4612" s="2" t="s">
        <v>5874</v>
      </c>
      <c r="D4612" s="2" t="s">
        <v>10</v>
      </c>
      <c r="E4612" s="2" t="s">
        <v>52</v>
      </c>
      <c r="F4612" s="2">
        <v>2</v>
      </c>
      <c r="G4612" s="2" t="s">
        <v>17</v>
      </c>
    </row>
    <row r="4613" spans="1:7" x14ac:dyDescent="0.2">
      <c r="A4613" s="2" t="s">
        <v>5871</v>
      </c>
      <c r="B4613" s="2" t="s">
        <v>5881</v>
      </c>
      <c r="C4613" s="2" t="s">
        <v>5882</v>
      </c>
      <c r="D4613" s="2" t="s">
        <v>10</v>
      </c>
      <c r="E4613" s="2" t="s">
        <v>16</v>
      </c>
      <c r="F4613" s="2">
        <v>1</v>
      </c>
      <c r="G4613" s="2" t="s">
        <v>17</v>
      </c>
    </row>
    <row r="4614" spans="1:7" x14ac:dyDescent="0.2">
      <c r="A4614" s="2" t="s">
        <v>5871</v>
      </c>
      <c r="B4614" s="2" t="s">
        <v>5883</v>
      </c>
      <c r="C4614" s="2" t="s">
        <v>5882</v>
      </c>
      <c r="D4614" s="2" t="s">
        <v>10</v>
      </c>
      <c r="E4614" s="2" t="s">
        <v>16</v>
      </c>
      <c r="F4614" s="2">
        <v>1</v>
      </c>
      <c r="G4614" s="2" t="s">
        <v>17</v>
      </c>
    </row>
    <row r="4615" spans="1:7" x14ac:dyDescent="0.2">
      <c r="A4615" s="2" t="s">
        <v>5871</v>
      </c>
      <c r="B4615" s="2" t="s">
        <v>5884</v>
      </c>
      <c r="C4615" s="2" t="s">
        <v>5873</v>
      </c>
      <c r="D4615" s="2" t="s">
        <v>10</v>
      </c>
      <c r="E4615" s="2" t="s">
        <v>16</v>
      </c>
      <c r="F4615" s="2">
        <v>1</v>
      </c>
      <c r="G4615" s="2" t="s">
        <v>17</v>
      </c>
    </row>
    <row r="4616" spans="1:7" x14ac:dyDescent="0.2">
      <c r="A4616" s="2" t="s">
        <v>5871</v>
      </c>
      <c r="B4616" s="2" t="s">
        <v>5885</v>
      </c>
      <c r="C4616" s="2" t="s">
        <v>5886</v>
      </c>
      <c r="D4616" s="2" t="s">
        <v>10</v>
      </c>
      <c r="E4616" s="2" t="s">
        <v>11</v>
      </c>
      <c r="F4616" s="2">
        <v>1</v>
      </c>
      <c r="G4616" s="2" t="s">
        <v>17</v>
      </c>
    </row>
    <row r="4617" spans="1:7" x14ac:dyDescent="0.2">
      <c r="A4617" s="2" t="s">
        <v>5871</v>
      </c>
      <c r="B4617" s="2" t="s">
        <v>5887</v>
      </c>
      <c r="C4617" s="2" t="s">
        <v>5886</v>
      </c>
      <c r="D4617" s="2" t="s">
        <v>10</v>
      </c>
      <c r="E4617" s="2" t="s">
        <v>11</v>
      </c>
      <c r="F4617" s="2">
        <v>1</v>
      </c>
      <c r="G4617" s="2" t="s">
        <v>17</v>
      </c>
    </row>
    <row r="4618" spans="1:7" x14ac:dyDescent="0.2">
      <c r="A4618" s="2" t="s">
        <v>5871</v>
      </c>
      <c r="B4618" s="2" t="s">
        <v>5888</v>
      </c>
      <c r="C4618" s="2" t="s">
        <v>5879</v>
      </c>
      <c r="D4618" s="2" t="s">
        <v>10</v>
      </c>
      <c r="E4618" s="2" t="s">
        <v>16</v>
      </c>
      <c r="F4618" s="2">
        <v>2</v>
      </c>
      <c r="G4618" s="2" t="s">
        <v>17</v>
      </c>
    </row>
    <row r="4619" spans="1:7" x14ac:dyDescent="0.2">
      <c r="A4619" s="2" t="s">
        <v>5871</v>
      </c>
      <c r="B4619" s="2" t="s">
        <v>5889</v>
      </c>
      <c r="C4619" s="2" t="s">
        <v>5291</v>
      </c>
      <c r="D4619" s="2" t="s">
        <v>10</v>
      </c>
      <c r="E4619" s="2" t="s">
        <v>16</v>
      </c>
      <c r="F4619" s="2">
        <v>1</v>
      </c>
      <c r="G4619" s="2" t="s">
        <v>17</v>
      </c>
    </row>
    <row r="4620" spans="1:7" x14ac:dyDescent="0.2">
      <c r="A4620" s="2" t="s">
        <v>5871</v>
      </c>
      <c r="B4620" s="2" t="s">
        <v>5890</v>
      </c>
      <c r="C4620" s="2" t="s">
        <v>5882</v>
      </c>
      <c r="D4620" s="2" t="s">
        <v>10</v>
      </c>
      <c r="E4620" s="2" t="s">
        <v>16</v>
      </c>
      <c r="F4620" s="2">
        <v>1</v>
      </c>
      <c r="G4620" s="2" t="s">
        <v>17</v>
      </c>
    </row>
    <row r="4621" spans="1:7" x14ac:dyDescent="0.2">
      <c r="A4621" s="2" t="s">
        <v>5871</v>
      </c>
      <c r="B4621" s="2" t="s">
        <v>5891</v>
      </c>
      <c r="C4621" s="2" t="s">
        <v>5882</v>
      </c>
      <c r="D4621" s="2" t="s">
        <v>10</v>
      </c>
      <c r="E4621" s="2" t="s">
        <v>16</v>
      </c>
      <c r="F4621" s="2">
        <v>1</v>
      </c>
      <c r="G4621" s="2" t="s">
        <v>17</v>
      </c>
    </row>
    <row r="4622" spans="1:7" x14ac:dyDescent="0.2">
      <c r="A4622" s="2" t="s">
        <v>5892</v>
      </c>
      <c r="B4622" s="2" t="s">
        <v>5893</v>
      </c>
      <c r="C4622" s="2" t="s">
        <v>5894</v>
      </c>
      <c r="D4622" s="2" t="s">
        <v>10</v>
      </c>
      <c r="E4622" s="2" t="s">
        <v>11</v>
      </c>
      <c r="F4622" s="2">
        <v>2</v>
      </c>
      <c r="G4622" s="2" t="s">
        <v>12</v>
      </c>
    </row>
    <row r="4623" spans="1:7" x14ac:dyDescent="0.2">
      <c r="A4623" s="2" t="s">
        <v>5892</v>
      </c>
      <c r="B4623" s="2" t="s">
        <v>5895</v>
      </c>
      <c r="C4623" s="2" t="s">
        <v>5680</v>
      </c>
      <c r="D4623" s="2" t="s">
        <v>10</v>
      </c>
      <c r="E4623" s="2" t="s">
        <v>11</v>
      </c>
      <c r="F4623" s="2">
        <v>1</v>
      </c>
      <c r="G4623" s="2" t="s">
        <v>12</v>
      </c>
    </row>
    <row r="4624" spans="1:7" x14ac:dyDescent="0.2">
      <c r="A4624" s="2" t="s">
        <v>5892</v>
      </c>
      <c r="B4624" s="2" t="s">
        <v>5896</v>
      </c>
      <c r="C4624" s="2" t="s">
        <v>5680</v>
      </c>
      <c r="D4624" s="2" t="s">
        <v>10</v>
      </c>
      <c r="E4624" s="2" t="s">
        <v>11</v>
      </c>
      <c r="F4624" s="2">
        <v>1</v>
      </c>
      <c r="G4624" s="2" t="s">
        <v>12</v>
      </c>
    </row>
    <row r="4625" spans="1:7" x14ac:dyDescent="0.2">
      <c r="A4625" s="2" t="s">
        <v>5892</v>
      </c>
      <c r="B4625" s="2" t="s">
        <v>5897</v>
      </c>
      <c r="C4625" s="2" t="s">
        <v>5894</v>
      </c>
      <c r="D4625" s="2" t="s">
        <v>10</v>
      </c>
      <c r="E4625" s="2" t="s">
        <v>11</v>
      </c>
      <c r="F4625" s="2">
        <v>2</v>
      </c>
      <c r="G4625" s="2" t="s">
        <v>12</v>
      </c>
    </row>
    <row r="4626" spans="1:7" x14ac:dyDescent="0.2">
      <c r="A4626" s="2" t="s">
        <v>5892</v>
      </c>
      <c r="B4626" s="2" t="s">
        <v>5898</v>
      </c>
      <c r="C4626" s="2" t="s">
        <v>5680</v>
      </c>
      <c r="D4626" s="2" t="s">
        <v>10</v>
      </c>
      <c r="E4626" s="2" t="s">
        <v>11</v>
      </c>
      <c r="F4626" s="2">
        <v>1</v>
      </c>
      <c r="G4626" s="2" t="s">
        <v>12</v>
      </c>
    </row>
    <row r="4627" spans="1:7" x14ac:dyDescent="0.2">
      <c r="A4627" s="2" t="s">
        <v>5892</v>
      </c>
      <c r="B4627" s="2" t="s">
        <v>5899</v>
      </c>
      <c r="C4627" s="2" t="s">
        <v>5680</v>
      </c>
      <c r="D4627" s="2" t="s">
        <v>10</v>
      </c>
      <c r="E4627" s="2" t="s">
        <v>11</v>
      </c>
      <c r="F4627" s="2">
        <v>1</v>
      </c>
      <c r="G4627" s="2" t="s">
        <v>12</v>
      </c>
    </row>
    <row r="4628" spans="1:7" x14ac:dyDescent="0.2">
      <c r="A4628" s="2" t="s">
        <v>5892</v>
      </c>
      <c r="B4628" s="2" t="s">
        <v>5900</v>
      </c>
      <c r="C4628" s="2" t="s">
        <v>5680</v>
      </c>
      <c r="D4628" s="2" t="s">
        <v>10</v>
      </c>
      <c r="E4628" s="2" t="s">
        <v>11</v>
      </c>
      <c r="F4628" s="2">
        <v>1</v>
      </c>
      <c r="G4628" s="2" t="s">
        <v>12</v>
      </c>
    </row>
    <row r="4629" spans="1:7" x14ac:dyDescent="0.2">
      <c r="A4629" s="2" t="s">
        <v>5892</v>
      </c>
      <c r="B4629" s="2" t="s">
        <v>5901</v>
      </c>
      <c r="C4629" s="2" t="s">
        <v>5894</v>
      </c>
      <c r="D4629" s="2" t="s">
        <v>10</v>
      </c>
      <c r="E4629" s="2" t="s">
        <v>11</v>
      </c>
      <c r="F4629" s="2">
        <v>2</v>
      </c>
      <c r="G4629" s="2" t="s">
        <v>12</v>
      </c>
    </row>
    <row r="4630" spans="1:7" x14ac:dyDescent="0.2">
      <c r="A4630" s="2" t="s">
        <v>5892</v>
      </c>
      <c r="B4630" s="2" t="s">
        <v>5902</v>
      </c>
      <c r="C4630" s="2" t="s">
        <v>5680</v>
      </c>
      <c r="D4630" s="2" t="s">
        <v>10</v>
      </c>
      <c r="E4630" s="2" t="s">
        <v>11</v>
      </c>
      <c r="F4630" s="2">
        <v>1</v>
      </c>
      <c r="G4630" s="2" t="s">
        <v>12</v>
      </c>
    </row>
    <row r="4631" spans="1:7" x14ac:dyDescent="0.2">
      <c r="A4631" s="2" t="s">
        <v>5892</v>
      </c>
      <c r="B4631" s="2" t="s">
        <v>5903</v>
      </c>
      <c r="C4631" s="2" t="s">
        <v>5680</v>
      </c>
      <c r="D4631" s="2" t="s">
        <v>10</v>
      </c>
      <c r="E4631" s="2" t="s">
        <v>11</v>
      </c>
      <c r="F4631" s="2">
        <v>1</v>
      </c>
      <c r="G4631" s="2" t="s">
        <v>12</v>
      </c>
    </row>
    <row r="4632" spans="1:7" x14ac:dyDescent="0.2">
      <c r="A4632" s="2" t="s">
        <v>5892</v>
      </c>
      <c r="B4632" s="2" t="s">
        <v>2033</v>
      </c>
      <c r="C4632" s="2" t="s">
        <v>5894</v>
      </c>
      <c r="D4632" s="2" t="s">
        <v>10</v>
      </c>
      <c r="E4632" s="2" t="s">
        <v>11</v>
      </c>
      <c r="F4632" s="2">
        <v>2</v>
      </c>
      <c r="G4632" s="2" t="s">
        <v>12</v>
      </c>
    </row>
    <row r="4633" spans="1:7" x14ac:dyDescent="0.2">
      <c r="A4633" s="2" t="s">
        <v>5892</v>
      </c>
      <c r="B4633" s="2" t="s">
        <v>5904</v>
      </c>
      <c r="C4633" s="2" t="s">
        <v>5894</v>
      </c>
      <c r="D4633" s="2" t="s">
        <v>10</v>
      </c>
      <c r="E4633" s="2" t="s">
        <v>11</v>
      </c>
      <c r="F4633" s="2">
        <v>2</v>
      </c>
      <c r="G4633" s="2" t="s">
        <v>12</v>
      </c>
    </row>
    <row r="4634" spans="1:7" x14ac:dyDescent="0.2">
      <c r="A4634" s="2" t="s">
        <v>5892</v>
      </c>
      <c r="B4634" s="2" t="s">
        <v>5905</v>
      </c>
      <c r="C4634" s="2" t="s">
        <v>5680</v>
      </c>
      <c r="D4634" s="2" t="s">
        <v>10</v>
      </c>
      <c r="E4634" s="2" t="s">
        <v>11</v>
      </c>
      <c r="F4634" s="2">
        <v>1</v>
      </c>
      <c r="G4634" s="2" t="s">
        <v>12</v>
      </c>
    </row>
    <row r="4635" spans="1:7" x14ac:dyDescent="0.2">
      <c r="A4635" s="2" t="s">
        <v>5892</v>
      </c>
      <c r="B4635" s="2" t="s">
        <v>5679</v>
      </c>
      <c r="C4635" s="2" t="s">
        <v>5680</v>
      </c>
      <c r="D4635" s="2" t="s">
        <v>10</v>
      </c>
      <c r="E4635" s="2" t="s">
        <v>11</v>
      </c>
      <c r="F4635" s="2">
        <v>1</v>
      </c>
      <c r="G4635" s="2" t="s">
        <v>12</v>
      </c>
    </row>
    <row r="4636" spans="1:7" x14ac:dyDescent="0.2">
      <c r="A4636" s="2" t="s">
        <v>5892</v>
      </c>
      <c r="B4636" s="2" t="s">
        <v>5687</v>
      </c>
      <c r="C4636" s="2" t="s">
        <v>5680</v>
      </c>
      <c r="D4636" s="2" t="s">
        <v>10</v>
      </c>
      <c r="E4636" s="2" t="s">
        <v>11</v>
      </c>
      <c r="F4636" s="2">
        <v>1</v>
      </c>
      <c r="G4636" s="2" t="s">
        <v>12</v>
      </c>
    </row>
    <row r="4637" spans="1:7" x14ac:dyDescent="0.2">
      <c r="A4637" s="2" t="s">
        <v>5906</v>
      </c>
      <c r="B4637" s="2" t="s">
        <v>5907</v>
      </c>
      <c r="C4637" s="2" t="s">
        <v>5908</v>
      </c>
      <c r="D4637" s="2" t="s">
        <v>10</v>
      </c>
      <c r="E4637" s="2" t="s">
        <v>16</v>
      </c>
      <c r="F4637" s="2">
        <v>1</v>
      </c>
      <c r="G4637" s="2" t="s">
        <v>12</v>
      </c>
    </row>
    <row r="4638" spans="1:7" x14ac:dyDescent="0.2">
      <c r="A4638" s="2" t="s">
        <v>5906</v>
      </c>
      <c r="B4638" s="2" t="s">
        <v>5909</v>
      </c>
      <c r="C4638" s="2" t="s">
        <v>5910</v>
      </c>
      <c r="D4638" s="2" t="s">
        <v>10</v>
      </c>
      <c r="E4638" s="2" t="s">
        <v>16</v>
      </c>
      <c r="F4638" s="2">
        <v>1</v>
      </c>
      <c r="G4638" s="2" t="s">
        <v>17</v>
      </c>
    </row>
    <row r="4639" spans="1:7" x14ac:dyDescent="0.2">
      <c r="A4639" s="2" t="s">
        <v>5906</v>
      </c>
      <c r="B4639" s="2" t="s">
        <v>5911</v>
      </c>
      <c r="C4639" s="2" t="s">
        <v>5908</v>
      </c>
      <c r="D4639" s="2" t="s">
        <v>10</v>
      </c>
      <c r="E4639" s="2" t="s">
        <v>16</v>
      </c>
      <c r="F4639" s="2">
        <v>1</v>
      </c>
      <c r="G4639" s="2" t="s">
        <v>12</v>
      </c>
    </row>
    <row r="4640" spans="1:7" x14ac:dyDescent="0.2">
      <c r="A4640" s="2" t="s">
        <v>5906</v>
      </c>
      <c r="B4640" s="2" t="s">
        <v>860</v>
      </c>
      <c r="C4640" s="2" t="s">
        <v>5910</v>
      </c>
      <c r="D4640" s="2" t="s">
        <v>10</v>
      </c>
      <c r="E4640" s="2" t="s">
        <v>16</v>
      </c>
      <c r="F4640" s="2">
        <v>1</v>
      </c>
      <c r="G4640" s="2" t="s">
        <v>17</v>
      </c>
    </row>
    <row r="4641" spans="1:7" x14ac:dyDescent="0.2">
      <c r="A4641" s="2" t="s">
        <v>5912</v>
      </c>
      <c r="B4641" s="2" t="s">
        <v>5913</v>
      </c>
      <c r="C4641" s="2" t="s">
        <v>5914</v>
      </c>
      <c r="D4641" s="2" t="s">
        <v>10</v>
      </c>
      <c r="E4641" s="2" t="s">
        <v>16</v>
      </c>
      <c r="F4641" s="2">
        <v>1</v>
      </c>
      <c r="G4641" s="2" t="s">
        <v>17</v>
      </c>
    </row>
    <row r="4642" spans="1:7" x14ac:dyDescent="0.2">
      <c r="A4642" s="2" t="s">
        <v>5915</v>
      </c>
      <c r="B4642" s="2" t="s">
        <v>5916</v>
      </c>
      <c r="C4642" s="2" t="s">
        <v>5917</v>
      </c>
      <c r="D4642" s="2" t="s">
        <v>10</v>
      </c>
      <c r="E4642" s="2" t="s">
        <v>16</v>
      </c>
      <c r="F4642" s="2">
        <v>1</v>
      </c>
      <c r="G4642" s="2" t="s">
        <v>17</v>
      </c>
    </row>
    <row r="4643" spans="1:7" x14ac:dyDescent="0.2">
      <c r="A4643" s="2" t="s">
        <v>5918</v>
      </c>
      <c r="B4643" s="2" t="s">
        <v>1371</v>
      </c>
      <c r="C4643" s="2" t="s">
        <v>1372</v>
      </c>
      <c r="D4643" s="2" t="s">
        <v>10</v>
      </c>
      <c r="E4643" s="2" t="s">
        <v>16</v>
      </c>
      <c r="F4643" s="2">
        <v>1</v>
      </c>
      <c r="G4643" s="2" t="s">
        <v>17</v>
      </c>
    </row>
    <row r="4644" spans="1:7" x14ac:dyDescent="0.2">
      <c r="A4644" s="2" t="s">
        <v>5918</v>
      </c>
      <c r="B4644" s="2" t="s">
        <v>1373</v>
      </c>
      <c r="C4644" s="2" t="s">
        <v>1374</v>
      </c>
      <c r="D4644" s="2" t="s">
        <v>10</v>
      </c>
      <c r="E4644" s="2" t="s">
        <v>16</v>
      </c>
      <c r="F4644" s="2">
        <v>1</v>
      </c>
      <c r="G4644" s="2" t="s">
        <v>17</v>
      </c>
    </row>
    <row r="4645" spans="1:7" x14ac:dyDescent="0.2">
      <c r="A4645" s="2" t="s">
        <v>5918</v>
      </c>
      <c r="B4645" s="2" t="s">
        <v>142</v>
      </c>
      <c r="C4645" s="2" t="s">
        <v>1381</v>
      </c>
      <c r="D4645" s="2" t="s">
        <v>10</v>
      </c>
      <c r="E4645" s="2" t="s">
        <v>16</v>
      </c>
      <c r="F4645" s="2">
        <v>1</v>
      </c>
      <c r="G4645" s="2" t="s">
        <v>17</v>
      </c>
    </row>
    <row r="4646" spans="1:7" x14ac:dyDescent="0.2">
      <c r="A4646" s="2" t="s">
        <v>5918</v>
      </c>
      <c r="B4646" s="2" t="s">
        <v>1375</v>
      </c>
      <c r="C4646" s="2" t="s">
        <v>1376</v>
      </c>
      <c r="D4646" s="2" t="s">
        <v>10</v>
      </c>
      <c r="E4646" s="2" t="s">
        <v>16</v>
      </c>
      <c r="F4646" s="2">
        <v>1</v>
      </c>
      <c r="G4646" s="2" t="s">
        <v>17</v>
      </c>
    </row>
    <row r="4647" spans="1:7" x14ac:dyDescent="0.2">
      <c r="A4647" s="2" t="s">
        <v>5919</v>
      </c>
      <c r="B4647" s="2" t="s">
        <v>5920</v>
      </c>
      <c r="C4647" s="2" t="s">
        <v>5921</v>
      </c>
      <c r="D4647" s="2" t="s">
        <v>10</v>
      </c>
      <c r="E4647" s="2" t="s">
        <v>52</v>
      </c>
      <c r="F4647" s="2">
        <v>1</v>
      </c>
      <c r="G4647" s="2" t="s">
        <v>17</v>
      </c>
    </row>
    <row r="4648" spans="1:7" x14ac:dyDescent="0.2">
      <c r="A4648" s="2" t="s">
        <v>5919</v>
      </c>
      <c r="B4648" s="2" t="s">
        <v>5922</v>
      </c>
      <c r="C4648" s="2" t="s">
        <v>5923</v>
      </c>
      <c r="D4648" s="2" t="s">
        <v>10</v>
      </c>
      <c r="E4648" s="2" t="s">
        <v>16</v>
      </c>
      <c r="F4648" s="2">
        <v>1</v>
      </c>
      <c r="G4648" s="2" t="s">
        <v>17</v>
      </c>
    </row>
    <row r="4649" spans="1:7" x14ac:dyDescent="0.2">
      <c r="A4649" s="2" t="s">
        <v>5919</v>
      </c>
      <c r="B4649" s="2" t="s">
        <v>5924</v>
      </c>
      <c r="C4649" s="2" t="s">
        <v>5923</v>
      </c>
      <c r="D4649" s="2" t="s">
        <v>10</v>
      </c>
      <c r="E4649" s="2" t="s">
        <v>16</v>
      </c>
      <c r="F4649" s="2">
        <v>1</v>
      </c>
      <c r="G4649" s="2" t="s">
        <v>17</v>
      </c>
    </row>
    <row r="4650" spans="1:7" x14ac:dyDescent="0.2">
      <c r="A4650" s="2" t="s">
        <v>5925</v>
      </c>
      <c r="B4650" s="2" t="s">
        <v>5924</v>
      </c>
      <c r="C4650" s="2" t="s">
        <v>5923</v>
      </c>
      <c r="D4650" s="2" t="s">
        <v>10</v>
      </c>
      <c r="E4650" s="2" t="s">
        <v>16</v>
      </c>
      <c r="F4650" s="2">
        <v>1</v>
      </c>
      <c r="G4650" s="2" t="s">
        <v>17</v>
      </c>
    </row>
    <row r="4651" spans="1:7" x14ac:dyDescent="0.2">
      <c r="A4651" s="2" t="s">
        <v>5925</v>
      </c>
      <c r="B4651" s="2" t="s">
        <v>5926</v>
      </c>
      <c r="C4651" s="2" t="s">
        <v>5927</v>
      </c>
      <c r="D4651" s="2" t="s">
        <v>10</v>
      </c>
      <c r="E4651" s="2" t="s">
        <v>16</v>
      </c>
      <c r="F4651" s="2">
        <v>1</v>
      </c>
      <c r="G4651" s="2" t="s">
        <v>17</v>
      </c>
    </row>
    <row r="4652" spans="1:7" x14ac:dyDescent="0.2">
      <c r="A4652" s="2" t="s">
        <v>5925</v>
      </c>
      <c r="B4652" s="2" t="s">
        <v>5922</v>
      </c>
      <c r="C4652" s="2" t="s">
        <v>5923</v>
      </c>
      <c r="D4652" s="2" t="s">
        <v>10</v>
      </c>
      <c r="E4652" s="2" t="s">
        <v>16</v>
      </c>
      <c r="F4652" s="2">
        <v>1</v>
      </c>
      <c r="G4652" s="2" t="s">
        <v>17</v>
      </c>
    </row>
    <row r="4653" spans="1:7" x14ac:dyDescent="0.2">
      <c r="A4653" s="2" t="s">
        <v>5925</v>
      </c>
      <c r="B4653" s="2" t="s">
        <v>5928</v>
      </c>
      <c r="C4653" s="2" t="s">
        <v>5927</v>
      </c>
      <c r="D4653" s="2" t="s">
        <v>10</v>
      </c>
      <c r="E4653" s="2" t="s">
        <v>16</v>
      </c>
      <c r="F4653" s="2">
        <v>1</v>
      </c>
      <c r="G4653" s="2" t="s">
        <v>17</v>
      </c>
    </row>
    <row r="4654" spans="1:7" x14ac:dyDescent="0.2">
      <c r="A4654" s="2" t="s">
        <v>5929</v>
      </c>
      <c r="B4654" s="2" t="s">
        <v>5930</v>
      </c>
      <c r="C4654" s="2" t="s">
        <v>5931</v>
      </c>
      <c r="D4654" s="2" t="s">
        <v>10</v>
      </c>
      <c r="E4654" s="2" t="s">
        <v>16</v>
      </c>
      <c r="F4654" s="2">
        <v>1</v>
      </c>
      <c r="G4654" s="2" t="s">
        <v>17</v>
      </c>
    </row>
    <row r="4655" spans="1:7" x14ac:dyDescent="0.2">
      <c r="A4655" s="2" t="s">
        <v>5929</v>
      </c>
      <c r="B4655" s="2" t="s">
        <v>5932</v>
      </c>
      <c r="C4655" s="2" t="s">
        <v>5931</v>
      </c>
      <c r="D4655" s="2" t="s">
        <v>10</v>
      </c>
      <c r="E4655" s="2" t="s">
        <v>16</v>
      </c>
      <c r="F4655" s="2">
        <v>1</v>
      </c>
      <c r="G4655" s="2" t="s">
        <v>17</v>
      </c>
    </row>
    <row r="4656" spans="1:7" x14ac:dyDescent="0.2">
      <c r="A4656" s="2" t="s">
        <v>5929</v>
      </c>
      <c r="B4656" s="2" t="s">
        <v>5933</v>
      </c>
      <c r="C4656" s="2" t="s">
        <v>5934</v>
      </c>
      <c r="D4656" s="2" t="s">
        <v>10</v>
      </c>
      <c r="E4656" s="2" t="s">
        <v>16</v>
      </c>
      <c r="F4656" s="2">
        <v>1</v>
      </c>
      <c r="G4656" s="2" t="s">
        <v>17</v>
      </c>
    </row>
    <row r="4657" spans="1:7" x14ac:dyDescent="0.2">
      <c r="A4657" s="2" t="s">
        <v>5935</v>
      </c>
      <c r="B4657" s="2" t="s">
        <v>5936</v>
      </c>
      <c r="C4657" s="2" t="s">
        <v>5937</v>
      </c>
      <c r="D4657" s="2" t="s">
        <v>10</v>
      </c>
      <c r="E4657" s="2" t="s">
        <v>16</v>
      </c>
      <c r="F4657" s="2">
        <v>1</v>
      </c>
      <c r="G4657" s="2" t="s">
        <v>17</v>
      </c>
    </row>
    <row r="4658" spans="1:7" x14ac:dyDescent="0.2">
      <c r="A4658" s="2" t="s">
        <v>5935</v>
      </c>
      <c r="B4658" s="2" t="s">
        <v>5938</v>
      </c>
      <c r="C4658" s="2" t="s">
        <v>5939</v>
      </c>
      <c r="D4658" s="2" t="s">
        <v>10</v>
      </c>
      <c r="E4658" s="2" t="s">
        <v>16</v>
      </c>
      <c r="F4658" s="2">
        <v>1</v>
      </c>
      <c r="G4658" s="2" t="s">
        <v>17</v>
      </c>
    </row>
    <row r="4659" spans="1:7" x14ac:dyDescent="0.2">
      <c r="A4659" s="2" t="s">
        <v>5935</v>
      </c>
      <c r="B4659" s="2" t="s">
        <v>5940</v>
      </c>
      <c r="C4659" s="2" t="s">
        <v>5941</v>
      </c>
      <c r="D4659" s="2" t="s">
        <v>10</v>
      </c>
      <c r="E4659" s="2" t="s">
        <v>16</v>
      </c>
      <c r="F4659" s="2">
        <v>1</v>
      </c>
      <c r="G4659" s="2" t="s">
        <v>17</v>
      </c>
    </row>
    <row r="4660" spans="1:7" x14ac:dyDescent="0.2">
      <c r="A4660" s="2" t="s">
        <v>5935</v>
      </c>
      <c r="B4660" s="2" t="s">
        <v>4610</v>
      </c>
      <c r="C4660" s="2" t="s">
        <v>4611</v>
      </c>
      <c r="D4660" s="2" t="s">
        <v>10</v>
      </c>
      <c r="E4660" s="2" t="s">
        <v>16</v>
      </c>
      <c r="F4660" s="2">
        <v>1</v>
      </c>
      <c r="G4660" s="2" t="s">
        <v>17</v>
      </c>
    </row>
    <row r="4661" spans="1:7" x14ac:dyDescent="0.2">
      <c r="A4661" s="2" t="s">
        <v>5942</v>
      </c>
      <c r="B4661" s="2" t="s">
        <v>5943</v>
      </c>
      <c r="C4661" s="2" t="s">
        <v>5944</v>
      </c>
      <c r="D4661" s="2" t="s">
        <v>10</v>
      </c>
      <c r="E4661" s="2" t="s">
        <v>16</v>
      </c>
      <c r="F4661" s="2">
        <v>1</v>
      </c>
      <c r="G4661" s="2" t="s">
        <v>17</v>
      </c>
    </row>
    <row r="4662" spans="1:7" x14ac:dyDescent="0.2">
      <c r="A4662" s="2" t="s">
        <v>5942</v>
      </c>
      <c r="B4662" s="2" t="s">
        <v>5945</v>
      </c>
      <c r="C4662" s="2" t="s">
        <v>5944</v>
      </c>
      <c r="D4662" s="2" t="s">
        <v>10</v>
      </c>
      <c r="E4662" s="2" t="s">
        <v>16</v>
      </c>
      <c r="F4662" s="2">
        <v>1</v>
      </c>
      <c r="G4662" s="2" t="s">
        <v>17</v>
      </c>
    </row>
    <row r="4663" spans="1:7" x14ac:dyDescent="0.2">
      <c r="A4663" s="2" t="s">
        <v>5946</v>
      </c>
      <c r="B4663" s="2" t="s">
        <v>5947</v>
      </c>
      <c r="C4663" s="2" t="s">
        <v>5948</v>
      </c>
      <c r="D4663" s="2" t="s">
        <v>10</v>
      </c>
      <c r="E4663" s="2" t="s">
        <v>16</v>
      </c>
      <c r="F4663" s="2">
        <v>1</v>
      </c>
      <c r="G4663" s="2" t="s">
        <v>17</v>
      </c>
    </row>
    <row r="4664" spans="1:7" x14ac:dyDescent="0.2">
      <c r="A4664" s="2" t="s">
        <v>5949</v>
      </c>
      <c r="B4664" s="2" t="s">
        <v>5950</v>
      </c>
      <c r="C4664" s="2" t="s">
        <v>794</v>
      </c>
      <c r="D4664" s="2" t="s">
        <v>56</v>
      </c>
      <c r="E4664" s="2" t="s">
        <v>52</v>
      </c>
      <c r="F4664" s="2">
        <v>1</v>
      </c>
      <c r="G4664" s="2" t="s">
        <v>17</v>
      </c>
    </row>
    <row r="4665" spans="1:7" x14ac:dyDescent="0.2">
      <c r="A4665" s="2" t="s">
        <v>5951</v>
      </c>
      <c r="B4665" s="2" t="s">
        <v>5952</v>
      </c>
      <c r="C4665" s="2" t="s">
        <v>5953</v>
      </c>
      <c r="D4665" s="2" t="s">
        <v>10</v>
      </c>
      <c r="E4665" s="2" t="s">
        <v>16</v>
      </c>
      <c r="F4665" s="2">
        <v>1</v>
      </c>
      <c r="G4665" s="2" t="s">
        <v>17</v>
      </c>
    </row>
    <row r="4666" spans="1:7" x14ac:dyDescent="0.2">
      <c r="A4666" s="2" t="s">
        <v>5951</v>
      </c>
      <c r="B4666" s="2" t="s">
        <v>1977</v>
      </c>
      <c r="C4666" s="2" t="s">
        <v>5953</v>
      </c>
      <c r="D4666" s="2" t="s">
        <v>10</v>
      </c>
      <c r="E4666" s="2" t="s">
        <v>16</v>
      </c>
      <c r="F4666" s="2">
        <v>1</v>
      </c>
      <c r="G4666" s="2" t="s">
        <v>17</v>
      </c>
    </row>
    <row r="4667" spans="1:7" x14ac:dyDescent="0.2">
      <c r="A4667" s="2" t="s">
        <v>5954</v>
      </c>
      <c r="B4667" s="2" t="s">
        <v>5955</v>
      </c>
      <c r="C4667" s="2" t="s">
        <v>763</v>
      </c>
      <c r="D4667" s="2" t="s">
        <v>10</v>
      </c>
      <c r="E4667" s="2" t="s">
        <v>16</v>
      </c>
      <c r="F4667" s="2">
        <v>1</v>
      </c>
      <c r="G4667" s="2" t="s">
        <v>17</v>
      </c>
    </row>
    <row r="4668" spans="1:7" x14ac:dyDescent="0.2">
      <c r="A4668" s="2" t="s">
        <v>5956</v>
      </c>
      <c r="B4668" s="2" t="s">
        <v>5957</v>
      </c>
      <c r="C4668" s="2" t="s">
        <v>5958</v>
      </c>
      <c r="D4668" s="2" t="s">
        <v>10</v>
      </c>
      <c r="E4668" s="2" t="s">
        <v>16</v>
      </c>
      <c r="F4668" s="2">
        <v>1</v>
      </c>
      <c r="G4668" s="2" t="s">
        <v>17</v>
      </c>
    </row>
    <row r="4669" spans="1:7" x14ac:dyDescent="0.2">
      <c r="A4669" s="2" t="s">
        <v>5956</v>
      </c>
      <c r="B4669" s="2" t="s">
        <v>5959</v>
      </c>
      <c r="C4669" s="2" t="s">
        <v>5960</v>
      </c>
      <c r="D4669" s="2" t="s">
        <v>10</v>
      </c>
      <c r="E4669" s="2" t="s">
        <v>16</v>
      </c>
      <c r="F4669" s="2">
        <v>1</v>
      </c>
      <c r="G4669" s="2" t="s">
        <v>17</v>
      </c>
    </row>
    <row r="4670" spans="1:7" x14ac:dyDescent="0.2">
      <c r="A4670" s="2" t="s">
        <v>5956</v>
      </c>
      <c r="B4670" s="2" t="s">
        <v>1699</v>
      </c>
      <c r="C4670" s="2" t="s">
        <v>1700</v>
      </c>
      <c r="D4670" s="2" t="s">
        <v>10</v>
      </c>
      <c r="E4670" s="2" t="s">
        <v>11</v>
      </c>
      <c r="F4670" s="2">
        <v>2</v>
      </c>
      <c r="G4670" s="2" t="s">
        <v>12</v>
      </c>
    </row>
    <row r="4671" spans="1:7" x14ac:dyDescent="0.2">
      <c r="A4671" s="2" t="s">
        <v>5961</v>
      </c>
      <c r="B4671" s="2" t="s">
        <v>5962</v>
      </c>
      <c r="C4671" s="2" t="s">
        <v>5963</v>
      </c>
      <c r="D4671" s="2" t="s">
        <v>10</v>
      </c>
      <c r="E4671" s="2" t="s">
        <v>16</v>
      </c>
      <c r="F4671" s="2">
        <v>1</v>
      </c>
      <c r="G4671" s="2" t="s">
        <v>17</v>
      </c>
    </row>
    <row r="4672" spans="1:7" x14ac:dyDescent="0.2">
      <c r="A4672" s="2" t="s">
        <v>5964</v>
      </c>
      <c r="B4672" s="2" t="s">
        <v>5965</v>
      </c>
      <c r="C4672" s="2" t="s">
        <v>5966</v>
      </c>
      <c r="D4672" s="2" t="s">
        <v>10</v>
      </c>
      <c r="E4672" s="2" t="s">
        <v>16</v>
      </c>
      <c r="F4672" s="2">
        <v>1</v>
      </c>
      <c r="G4672" s="2" t="s">
        <v>17</v>
      </c>
    </row>
    <row r="4673" spans="1:7" x14ac:dyDescent="0.2">
      <c r="A4673" s="2" t="s">
        <v>5964</v>
      </c>
      <c r="B4673" s="2" t="s">
        <v>1522</v>
      </c>
      <c r="C4673" s="2" t="s">
        <v>5966</v>
      </c>
      <c r="D4673" s="2" t="s">
        <v>10</v>
      </c>
      <c r="E4673" s="2" t="s">
        <v>16</v>
      </c>
      <c r="F4673" s="2">
        <v>1</v>
      </c>
      <c r="G4673" s="2" t="s">
        <v>17</v>
      </c>
    </row>
    <row r="4674" spans="1:7" x14ac:dyDescent="0.2">
      <c r="A4674" s="2" t="s">
        <v>5967</v>
      </c>
      <c r="B4674" s="2" t="s">
        <v>5968</v>
      </c>
      <c r="C4674" s="2" t="s">
        <v>228</v>
      </c>
      <c r="D4674" s="2" t="s">
        <v>10</v>
      </c>
      <c r="E4674" s="2" t="s">
        <v>16</v>
      </c>
      <c r="F4674" s="2">
        <v>1</v>
      </c>
      <c r="G4674" s="2" t="s">
        <v>17</v>
      </c>
    </row>
    <row r="4675" spans="1:7" x14ac:dyDescent="0.2">
      <c r="A4675" s="2" t="s">
        <v>5967</v>
      </c>
      <c r="B4675" s="2" t="s">
        <v>5969</v>
      </c>
      <c r="C4675" s="2" t="s">
        <v>1880</v>
      </c>
      <c r="D4675" s="2" t="s">
        <v>10</v>
      </c>
      <c r="E4675" s="2" t="s">
        <v>16</v>
      </c>
      <c r="F4675" s="2">
        <v>1</v>
      </c>
      <c r="G4675" s="2" t="s">
        <v>17</v>
      </c>
    </row>
    <row r="4676" spans="1:7" x14ac:dyDescent="0.2">
      <c r="A4676" s="2" t="s">
        <v>5970</v>
      </c>
      <c r="B4676" s="2" t="s">
        <v>5971</v>
      </c>
      <c r="C4676" s="2" t="s">
        <v>1315</v>
      </c>
      <c r="D4676" s="2" t="s">
        <v>10</v>
      </c>
      <c r="E4676" s="2" t="s">
        <v>16</v>
      </c>
      <c r="F4676" s="2">
        <v>1</v>
      </c>
      <c r="G4676" s="2" t="s">
        <v>17</v>
      </c>
    </row>
    <row r="4677" spans="1:7" x14ac:dyDescent="0.2">
      <c r="A4677" s="2" t="s">
        <v>5970</v>
      </c>
      <c r="B4677" s="2" t="s">
        <v>5972</v>
      </c>
      <c r="C4677" s="2" t="s">
        <v>1315</v>
      </c>
      <c r="D4677" s="2" t="s">
        <v>10</v>
      </c>
      <c r="E4677" s="2" t="s">
        <v>16</v>
      </c>
      <c r="F4677" s="2">
        <v>1</v>
      </c>
      <c r="G4677" s="2" t="s">
        <v>17</v>
      </c>
    </row>
    <row r="4678" spans="1:7" x14ac:dyDescent="0.2">
      <c r="A4678" s="2" t="s">
        <v>5973</v>
      </c>
      <c r="B4678" s="2" t="s">
        <v>5974</v>
      </c>
      <c r="C4678" s="2" t="s">
        <v>5975</v>
      </c>
      <c r="D4678" s="2" t="s">
        <v>10</v>
      </c>
      <c r="E4678" s="2" t="s">
        <v>16</v>
      </c>
      <c r="F4678" s="2">
        <v>1</v>
      </c>
      <c r="G4678" s="2" t="s">
        <v>17</v>
      </c>
    </row>
    <row r="4679" spans="1:7" x14ac:dyDescent="0.2">
      <c r="A4679" s="2" t="s">
        <v>5973</v>
      </c>
      <c r="B4679" s="2" t="s">
        <v>5976</v>
      </c>
      <c r="C4679" s="2" t="s">
        <v>5975</v>
      </c>
      <c r="D4679" s="2" t="s">
        <v>10</v>
      </c>
      <c r="E4679" s="2" t="s">
        <v>16</v>
      </c>
      <c r="F4679" s="2">
        <v>1</v>
      </c>
      <c r="G4679" s="2" t="s">
        <v>17</v>
      </c>
    </row>
    <row r="4680" spans="1:7" x14ac:dyDescent="0.2">
      <c r="A4680" s="2" t="s">
        <v>5977</v>
      </c>
      <c r="B4680" s="2" t="s">
        <v>5978</v>
      </c>
      <c r="C4680" s="2" t="s">
        <v>5979</v>
      </c>
      <c r="D4680" s="2" t="s">
        <v>10</v>
      </c>
      <c r="E4680" s="2" t="s">
        <v>16</v>
      </c>
      <c r="F4680" s="2">
        <v>1</v>
      </c>
      <c r="G4680" s="2" t="s">
        <v>17</v>
      </c>
    </row>
    <row r="4681" spans="1:7" x14ac:dyDescent="0.2">
      <c r="A4681" s="2" t="s">
        <v>5977</v>
      </c>
      <c r="B4681" s="2" t="s">
        <v>5980</v>
      </c>
      <c r="C4681" s="2" t="s">
        <v>5979</v>
      </c>
      <c r="D4681" s="2" t="s">
        <v>10</v>
      </c>
      <c r="E4681" s="2" t="s">
        <v>16</v>
      </c>
      <c r="F4681" s="2">
        <v>1</v>
      </c>
      <c r="G4681" s="2" t="s">
        <v>17</v>
      </c>
    </row>
    <row r="4682" spans="1:7" x14ac:dyDescent="0.2">
      <c r="A4682" s="2" t="s">
        <v>5981</v>
      </c>
      <c r="B4682" s="2" t="s">
        <v>59</v>
      </c>
      <c r="C4682" s="2" t="s">
        <v>60</v>
      </c>
      <c r="D4682" s="2" t="s">
        <v>10</v>
      </c>
      <c r="E4682" s="2" t="s">
        <v>16</v>
      </c>
      <c r="F4682" s="2">
        <v>1</v>
      </c>
      <c r="G4682" s="2" t="s">
        <v>17</v>
      </c>
    </row>
    <row r="4683" spans="1:7" x14ac:dyDescent="0.2">
      <c r="A4683" s="2" t="s">
        <v>5982</v>
      </c>
      <c r="B4683" s="2" t="s">
        <v>3739</v>
      </c>
      <c r="C4683" s="2" t="s">
        <v>3882</v>
      </c>
      <c r="D4683" s="2" t="s">
        <v>10</v>
      </c>
      <c r="E4683" s="2" t="s">
        <v>16</v>
      </c>
      <c r="F4683" s="2">
        <v>1</v>
      </c>
      <c r="G4683" s="2" t="s">
        <v>12</v>
      </c>
    </row>
    <row r="4684" spans="1:7" x14ac:dyDescent="0.2">
      <c r="A4684" s="2" t="s">
        <v>5982</v>
      </c>
      <c r="B4684" s="2" t="s">
        <v>5983</v>
      </c>
      <c r="C4684" s="2" t="s">
        <v>3882</v>
      </c>
      <c r="D4684" s="2" t="s">
        <v>10</v>
      </c>
      <c r="E4684" s="2" t="s">
        <v>16</v>
      </c>
      <c r="F4684" s="2">
        <v>1</v>
      </c>
      <c r="G4684" s="2" t="s">
        <v>12</v>
      </c>
    </row>
    <row r="4685" spans="1:7" x14ac:dyDescent="0.2">
      <c r="A4685" s="2" t="s">
        <v>5984</v>
      </c>
      <c r="B4685" s="2" t="s">
        <v>5985</v>
      </c>
      <c r="C4685" s="2" t="s">
        <v>5986</v>
      </c>
      <c r="D4685" s="2" t="s">
        <v>10</v>
      </c>
      <c r="E4685" s="2" t="s">
        <v>16</v>
      </c>
      <c r="F4685" s="2">
        <v>1</v>
      </c>
      <c r="G4685" s="2" t="s">
        <v>17</v>
      </c>
    </row>
    <row r="4686" spans="1:7" x14ac:dyDescent="0.2">
      <c r="A4686" s="2" t="s">
        <v>5984</v>
      </c>
      <c r="B4686" s="2" t="s">
        <v>5987</v>
      </c>
      <c r="C4686" s="2" t="s">
        <v>5986</v>
      </c>
      <c r="D4686" s="2" t="s">
        <v>10</v>
      </c>
      <c r="E4686" s="2" t="s">
        <v>16</v>
      </c>
      <c r="F4686" s="2">
        <v>1</v>
      </c>
      <c r="G4686" s="2" t="s">
        <v>17</v>
      </c>
    </row>
    <row r="4687" spans="1:7" x14ac:dyDescent="0.2">
      <c r="A4687" s="2" t="s">
        <v>5984</v>
      </c>
      <c r="B4687" s="2" t="s">
        <v>1710</v>
      </c>
      <c r="C4687" s="2" t="s">
        <v>5986</v>
      </c>
      <c r="D4687" s="2" t="s">
        <v>10</v>
      </c>
      <c r="E4687" s="2" t="s">
        <v>16</v>
      </c>
      <c r="F4687" s="2">
        <v>1</v>
      </c>
      <c r="G4687" s="2" t="s">
        <v>17</v>
      </c>
    </row>
    <row r="4688" spans="1:7" x14ac:dyDescent="0.2">
      <c r="A4688" s="2" t="s">
        <v>5984</v>
      </c>
      <c r="B4688" s="2" t="s">
        <v>5988</v>
      </c>
      <c r="C4688" s="2" t="s">
        <v>5986</v>
      </c>
      <c r="D4688" s="2" t="s">
        <v>10</v>
      </c>
      <c r="E4688" s="2" t="s">
        <v>16</v>
      </c>
      <c r="F4688" s="2">
        <v>1</v>
      </c>
      <c r="G4688" s="2" t="s">
        <v>17</v>
      </c>
    </row>
    <row r="4689" spans="1:7" x14ac:dyDescent="0.2">
      <c r="A4689" s="2" t="s">
        <v>5989</v>
      </c>
      <c r="B4689" s="2" t="s">
        <v>5990</v>
      </c>
      <c r="C4689" s="2" t="s">
        <v>5991</v>
      </c>
      <c r="D4689" s="2" t="s">
        <v>10</v>
      </c>
      <c r="E4689" s="2" t="s">
        <v>16</v>
      </c>
      <c r="F4689" s="2">
        <v>1</v>
      </c>
      <c r="G4689" s="2" t="s">
        <v>17</v>
      </c>
    </row>
    <row r="4690" spans="1:7" x14ac:dyDescent="0.2">
      <c r="A4690" s="2" t="s">
        <v>5992</v>
      </c>
      <c r="B4690" s="2" t="s">
        <v>5993</v>
      </c>
      <c r="C4690" s="2" t="s">
        <v>5994</v>
      </c>
      <c r="D4690" s="2" t="s">
        <v>10</v>
      </c>
      <c r="E4690" s="2" t="s">
        <v>16</v>
      </c>
      <c r="F4690" s="2">
        <v>1</v>
      </c>
      <c r="G4690" s="2" t="s">
        <v>17</v>
      </c>
    </row>
    <row r="4691" spans="1:7" x14ac:dyDescent="0.2">
      <c r="A4691" s="2" t="s">
        <v>5992</v>
      </c>
      <c r="B4691" s="2" t="s">
        <v>5995</v>
      </c>
      <c r="C4691" s="2" t="s">
        <v>5994</v>
      </c>
      <c r="D4691" s="2" t="s">
        <v>10</v>
      </c>
      <c r="E4691" s="2" t="s">
        <v>16</v>
      </c>
      <c r="F4691" s="2">
        <v>1</v>
      </c>
      <c r="G4691" s="2" t="s">
        <v>17</v>
      </c>
    </row>
    <row r="4692" spans="1:7" x14ac:dyDescent="0.2">
      <c r="A4692" s="2" t="s">
        <v>5996</v>
      </c>
      <c r="B4692" s="2" t="s">
        <v>5997</v>
      </c>
      <c r="C4692" s="2" t="s">
        <v>5998</v>
      </c>
      <c r="D4692" s="2" t="s">
        <v>10</v>
      </c>
      <c r="E4692" s="2" t="s">
        <v>16</v>
      </c>
      <c r="F4692" s="2">
        <v>1</v>
      </c>
      <c r="G4692" s="2" t="s">
        <v>17</v>
      </c>
    </row>
    <row r="4693" spans="1:7" x14ac:dyDescent="0.2">
      <c r="A4693" s="2" t="s">
        <v>5999</v>
      </c>
      <c r="B4693" s="2" t="s">
        <v>814</v>
      </c>
      <c r="C4693" s="2" t="s">
        <v>6000</v>
      </c>
      <c r="D4693" s="2" t="s">
        <v>10</v>
      </c>
      <c r="E4693" s="2" t="s">
        <v>16</v>
      </c>
      <c r="F4693" s="2">
        <v>1</v>
      </c>
      <c r="G4693" s="2" t="s">
        <v>17</v>
      </c>
    </row>
    <row r="4694" spans="1:7" x14ac:dyDescent="0.2">
      <c r="A4694" s="2" t="s">
        <v>6001</v>
      </c>
      <c r="B4694" s="2" t="s">
        <v>6002</v>
      </c>
      <c r="C4694" s="2" t="s">
        <v>411</v>
      </c>
      <c r="D4694" s="2" t="s">
        <v>10</v>
      </c>
      <c r="E4694" s="2" t="s">
        <v>16</v>
      </c>
      <c r="F4694" s="2">
        <v>1</v>
      </c>
      <c r="G4694" s="2" t="s">
        <v>17</v>
      </c>
    </row>
    <row r="4695" spans="1:7" x14ac:dyDescent="0.2">
      <c r="A4695" s="2" t="s">
        <v>6001</v>
      </c>
      <c r="B4695" s="2" t="s">
        <v>410</v>
      </c>
      <c r="C4695" s="2" t="s">
        <v>411</v>
      </c>
      <c r="D4695" s="2" t="s">
        <v>10</v>
      </c>
      <c r="E4695" s="2" t="s">
        <v>16</v>
      </c>
      <c r="F4695" s="2">
        <v>1</v>
      </c>
      <c r="G4695" s="2" t="s">
        <v>17</v>
      </c>
    </row>
    <row r="4696" spans="1:7" x14ac:dyDescent="0.2">
      <c r="A4696" s="2" t="s">
        <v>6001</v>
      </c>
      <c r="B4696" s="2" t="s">
        <v>412</v>
      </c>
      <c r="C4696" s="2" t="s">
        <v>411</v>
      </c>
      <c r="D4696" s="2" t="s">
        <v>10</v>
      </c>
      <c r="E4696" s="2" t="s">
        <v>16</v>
      </c>
      <c r="F4696" s="2">
        <v>1</v>
      </c>
      <c r="G4696" s="2" t="s">
        <v>17</v>
      </c>
    </row>
    <row r="4697" spans="1:7" x14ac:dyDescent="0.2">
      <c r="A4697" s="2" t="s">
        <v>6003</v>
      </c>
      <c r="B4697" s="2" t="s">
        <v>6004</v>
      </c>
      <c r="C4697" s="2" t="s">
        <v>6005</v>
      </c>
      <c r="D4697" s="2" t="s">
        <v>10</v>
      </c>
      <c r="E4697" s="2" t="s">
        <v>16</v>
      </c>
      <c r="F4697" s="2">
        <v>1</v>
      </c>
      <c r="G4697" s="2" t="s">
        <v>17</v>
      </c>
    </row>
    <row r="4698" spans="1:7" x14ac:dyDescent="0.2">
      <c r="A4698" s="2" t="s">
        <v>6003</v>
      </c>
      <c r="B4698" s="2" t="s">
        <v>6006</v>
      </c>
      <c r="C4698" s="2" t="s">
        <v>6007</v>
      </c>
      <c r="D4698" s="2" t="s">
        <v>10</v>
      </c>
      <c r="E4698" s="2" t="s">
        <v>16</v>
      </c>
      <c r="F4698" s="2">
        <v>1</v>
      </c>
      <c r="G4698" s="2" t="s">
        <v>17</v>
      </c>
    </row>
    <row r="4699" spans="1:7" x14ac:dyDescent="0.2">
      <c r="A4699" s="2" t="s">
        <v>6003</v>
      </c>
      <c r="B4699" s="2" t="s">
        <v>6008</v>
      </c>
      <c r="C4699" s="2" t="s">
        <v>6009</v>
      </c>
      <c r="D4699" s="2" t="s">
        <v>10</v>
      </c>
      <c r="E4699" s="2" t="s">
        <v>52</v>
      </c>
      <c r="F4699" s="2">
        <v>1</v>
      </c>
      <c r="G4699" s="2" t="s">
        <v>17</v>
      </c>
    </row>
    <row r="4700" spans="1:7" x14ac:dyDescent="0.2">
      <c r="A4700" s="2" t="s">
        <v>6003</v>
      </c>
      <c r="B4700" s="2" t="s">
        <v>6010</v>
      </c>
      <c r="C4700" s="2" t="s">
        <v>6009</v>
      </c>
      <c r="D4700" s="2" t="s">
        <v>10</v>
      </c>
      <c r="E4700" s="2" t="s">
        <v>52</v>
      </c>
      <c r="F4700" s="2">
        <v>1</v>
      </c>
      <c r="G4700" s="2" t="s">
        <v>17</v>
      </c>
    </row>
    <row r="4701" spans="1:7" x14ac:dyDescent="0.2">
      <c r="A4701" s="2" t="s">
        <v>6003</v>
      </c>
      <c r="B4701" s="2" t="s">
        <v>6011</v>
      </c>
      <c r="C4701" s="2" t="s">
        <v>6012</v>
      </c>
      <c r="D4701" s="2" t="s">
        <v>10</v>
      </c>
      <c r="E4701" s="2" t="s">
        <v>16</v>
      </c>
      <c r="F4701" s="2">
        <v>1</v>
      </c>
      <c r="G4701" s="2" t="s">
        <v>17</v>
      </c>
    </row>
    <row r="4702" spans="1:7" x14ac:dyDescent="0.2">
      <c r="A4702" s="2" t="s">
        <v>6003</v>
      </c>
      <c r="B4702" s="2" t="s">
        <v>6013</v>
      </c>
      <c r="C4702" s="2" t="s">
        <v>6014</v>
      </c>
      <c r="D4702" s="2" t="s">
        <v>10</v>
      </c>
      <c r="E4702" s="2" t="s">
        <v>16</v>
      </c>
      <c r="F4702" s="2">
        <v>1</v>
      </c>
      <c r="G4702" s="2" t="s">
        <v>17</v>
      </c>
    </row>
    <row r="4703" spans="1:7" x14ac:dyDescent="0.2">
      <c r="A4703" s="2" t="s">
        <v>6003</v>
      </c>
      <c r="B4703" s="2" t="s">
        <v>6015</v>
      </c>
      <c r="C4703" s="2" t="s">
        <v>6014</v>
      </c>
      <c r="D4703" s="2" t="s">
        <v>10</v>
      </c>
      <c r="E4703" s="2" t="s">
        <v>16</v>
      </c>
      <c r="F4703" s="2">
        <v>1</v>
      </c>
      <c r="G4703" s="2" t="s">
        <v>17</v>
      </c>
    </row>
    <row r="4704" spans="1:7" x14ac:dyDescent="0.2">
      <c r="A4704" s="2" t="s">
        <v>6003</v>
      </c>
      <c r="B4704" s="2" t="s">
        <v>6016</v>
      </c>
      <c r="C4704" s="2" t="s">
        <v>6014</v>
      </c>
      <c r="D4704" s="2" t="s">
        <v>10</v>
      </c>
      <c r="E4704" s="2" t="s">
        <v>16</v>
      </c>
      <c r="F4704" s="2">
        <v>1</v>
      </c>
      <c r="G4704" s="2" t="s">
        <v>17</v>
      </c>
    </row>
    <row r="4705" spans="1:7" x14ac:dyDescent="0.2">
      <c r="A4705" s="2" t="s">
        <v>6003</v>
      </c>
      <c r="B4705" s="2" t="s">
        <v>6017</v>
      </c>
      <c r="C4705" s="2" t="s">
        <v>6007</v>
      </c>
      <c r="D4705" s="2" t="s">
        <v>10</v>
      </c>
      <c r="E4705" s="2" t="s">
        <v>16</v>
      </c>
      <c r="F4705" s="2">
        <v>1</v>
      </c>
      <c r="G4705" s="2" t="s">
        <v>17</v>
      </c>
    </row>
    <row r="4706" spans="1:7" x14ac:dyDescent="0.2">
      <c r="A4706" s="2" t="s">
        <v>6003</v>
      </c>
      <c r="B4706" s="2" t="s">
        <v>6018</v>
      </c>
      <c r="C4706" s="2" t="s">
        <v>6007</v>
      </c>
      <c r="D4706" s="2" t="s">
        <v>10</v>
      </c>
      <c r="E4706" s="2" t="s">
        <v>16</v>
      </c>
      <c r="F4706" s="2">
        <v>1</v>
      </c>
      <c r="G4706" s="2" t="s">
        <v>17</v>
      </c>
    </row>
    <row r="4707" spans="1:7" x14ac:dyDescent="0.2">
      <c r="A4707" s="2" t="s">
        <v>6003</v>
      </c>
      <c r="B4707" s="2" t="s">
        <v>6019</v>
      </c>
      <c r="C4707" s="2" t="s">
        <v>6007</v>
      </c>
      <c r="D4707" s="2" t="s">
        <v>10</v>
      </c>
      <c r="E4707" s="2" t="s">
        <v>16</v>
      </c>
      <c r="F4707" s="2">
        <v>1</v>
      </c>
      <c r="G4707" s="2" t="s">
        <v>17</v>
      </c>
    </row>
    <row r="4708" spans="1:7" x14ac:dyDescent="0.2">
      <c r="A4708" s="2" t="s">
        <v>6003</v>
      </c>
      <c r="B4708" s="2" t="s">
        <v>6020</v>
      </c>
      <c r="C4708" s="2" t="s">
        <v>6007</v>
      </c>
      <c r="D4708" s="2" t="s">
        <v>10</v>
      </c>
      <c r="E4708" s="2" t="s">
        <v>16</v>
      </c>
      <c r="F4708" s="2">
        <v>1</v>
      </c>
      <c r="G4708" s="2" t="s">
        <v>17</v>
      </c>
    </row>
    <row r="4709" spans="1:7" x14ac:dyDescent="0.2">
      <c r="A4709" s="2" t="s">
        <v>6003</v>
      </c>
      <c r="B4709" s="2" t="s">
        <v>6021</v>
      </c>
      <c r="C4709" s="2" t="s">
        <v>6007</v>
      </c>
      <c r="D4709" s="2" t="s">
        <v>10</v>
      </c>
      <c r="E4709" s="2" t="s">
        <v>16</v>
      </c>
      <c r="F4709" s="2">
        <v>1</v>
      </c>
      <c r="G4709" s="2" t="s">
        <v>17</v>
      </c>
    </row>
    <row r="4710" spans="1:7" x14ac:dyDescent="0.2">
      <c r="A4710" s="2" t="s">
        <v>6003</v>
      </c>
      <c r="B4710" s="2" t="s">
        <v>6022</v>
      </c>
      <c r="C4710" s="2" t="s">
        <v>6007</v>
      </c>
      <c r="D4710" s="2" t="s">
        <v>10</v>
      </c>
      <c r="E4710" s="2" t="s">
        <v>16</v>
      </c>
      <c r="F4710" s="2">
        <v>1</v>
      </c>
      <c r="G4710" s="2" t="s">
        <v>17</v>
      </c>
    </row>
    <row r="4711" spans="1:7" x14ac:dyDescent="0.2">
      <c r="A4711" s="2" t="s">
        <v>6003</v>
      </c>
      <c r="B4711" s="2" t="s">
        <v>6023</v>
      </c>
      <c r="C4711" s="2" t="s">
        <v>6007</v>
      </c>
      <c r="D4711" s="2" t="s">
        <v>10</v>
      </c>
      <c r="E4711" s="2" t="s">
        <v>16</v>
      </c>
      <c r="F4711" s="2">
        <v>1</v>
      </c>
      <c r="G4711" s="2" t="s">
        <v>17</v>
      </c>
    </row>
    <row r="4712" spans="1:7" x14ac:dyDescent="0.2">
      <c r="A4712" s="2" t="s">
        <v>6003</v>
      </c>
      <c r="B4712" s="2" t="s">
        <v>6024</v>
      </c>
      <c r="C4712" s="2" t="s">
        <v>6007</v>
      </c>
      <c r="D4712" s="2" t="s">
        <v>10</v>
      </c>
      <c r="E4712" s="2" t="s">
        <v>16</v>
      </c>
      <c r="F4712" s="2">
        <v>1</v>
      </c>
      <c r="G4712" s="2" t="s">
        <v>17</v>
      </c>
    </row>
    <row r="4713" spans="1:7" x14ac:dyDescent="0.2">
      <c r="A4713" s="2" t="s">
        <v>6003</v>
      </c>
      <c r="B4713" s="2" t="s">
        <v>6025</v>
      </c>
      <c r="C4713" s="2" t="s">
        <v>6007</v>
      </c>
      <c r="D4713" s="2" t="s">
        <v>10</v>
      </c>
      <c r="E4713" s="2" t="s">
        <v>16</v>
      </c>
      <c r="F4713" s="2">
        <v>1</v>
      </c>
      <c r="G4713" s="2" t="s">
        <v>17</v>
      </c>
    </row>
    <row r="4714" spans="1:7" x14ac:dyDescent="0.2">
      <c r="A4714" s="2" t="s">
        <v>6003</v>
      </c>
      <c r="B4714" s="2" t="s">
        <v>6026</v>
      </c>
      <c r="C4714" s="2" t="s">
        <v>6005</v>
      </c>
      <c r="D4714" s="2" t="s">
        <v>10</v>
      </c>
      <c r="E4714" s="2" t="s">
        <v>16</v>
      </c>
      <c r="F4714" s="2">
        <v>1</v>
      </c>
      <c r="G4714" s="2" t="s">
        <v>17</v>
      </c>
    </row>
    <row r="4715" spans="1:7" x14ac:dyDescent="0.2">
      <c r="A4715" s="2" t="s">
        <v>6003</v>
      </c>
      <c r="B4715" s="2" t="s">
        <v>6027</v>
      </c>
      <c r="C4715" s="2" t="s">
        <v>6028</v>
      </c>
      <c r="D4715" s="2" t="s">
        <v>10</v>
      </c>
      <c r="E4715" s="2" t="s">
        <v>16</v>
      </c>
      <c r="F4715" s="2">
        <v>1</v>
      </c>
      <c r="G4715" s="2" t="s">
        <v>17</v>
      </c>
    </row>
    <row r="4716" spans="1:7" x14ac:dyDescent="0.2">
      <c r="A4716" s="2" t="s">
        <v>6003</v>
      </c>
      <c r="B4716" s="2" t="s">
        <v>6029</v>
      </c>
      <c r="C4716" s="2" t="s">
        <v>6028</v>
      </c>
      <c r="D4716" s="2" t="s">
        <v>10</v>
      </c>
      <c r="E4716" s="2" t="s">
        <v>16</v>
      </c>
      <c r="F4716" s="2">
        <v>1</v>
      </c>
      <c r="G4716" s="2" t="s">
        <v>17</v>
      </c>
    </row>
    <row r="4717" spans="1:7" x14ac:dyDescent="0.2">
      <c r="A4717" s="2" t="s">
        <v>6003</v>
      </c>
      <c r="B4717" s="2" t="s">
        <v>6030</v>
      </c>
      <c r="C4717" s="2" t="s">
        <v>6031</v>
      </c>
      <c r="D4717" s="2" t="s">
        <v>10</v>
      </c>
      <c r="E4717" s="2" t="s">
        <v>52</v>
      </c>
      <c r="F4717" s="2">
        <v>1</v>
      </c>
      <c r="G4717" s="2" t="s">
        <v>17</v>
      </c>
    </row>
    <row r="4718" spans="1:7" x14ac:dyDescent="0.2">
      <c r="A4718" s="2" t="s">
        <v>6003</v>
      </c>
      <c r="B4718" s="2" t="s">
        <v>6032</v>
      </c>
      <c r="C4718" s="2" t="s">
        <v>6033</v>
      </c>
      <c r="D4718" s="2" t="s">
        <v>10</v>
      </c>
      <c r="E4718" s="2" t="s">
        <v>52</v>
      </c>
      <c r="F4718" s="2">
        <v>1</v>
      </c>
      <c r="G4718" s="2" t="s">
        <v>17</v>
      </c>
    </row>
    <row r="4719" spans="1:7" x14ac:dyDescent="0.2">
      <c r="A4719" s="2" t="s">
        <v>6003</v>
      </c>
      <c r="B4719" s="2" t="s">
        <v>6034</v>
      </c>
      <c r="C4719" s="2" t="s">
        <v>6035</v>
      </c>
      <c r="D4719" s="2" t="s">
        <v>10</v>
      </c>
      <c r="E4719" s="2" t="s">
        <v>11</v>
      </c>
      <c r="F4719" s="2">
        <v>2</v>
      </c>
      <c r="G4719" s="2" t="s">
        <v>17</v>
      </c>
    </row>
    <row r="4720" spans="1:7" x14ac:dyDescent="0.2">
      <c r="A4720" s="2" t="s">
        <v>6003</v>
      </c>
      <c r="B4720" s="2" t="s">
        <v>6036</v>
      </c>
      <c r="C4720" s="2" t="s">
        <v>6009</v>
      </c>
      <c r="D4720" s="2" t="s">
        <v>10</v>
      </c>
      <c r="E4720" s="2" t="s">
        <v>52</v>
      </c>
      <c r="F4720" s="2">
        <v>1</v>
      </c>
      <c r="G4720" s="2" t="s">
        <v>17</v>
      </c>
    </row>
    <row r="4721" spans="1:7" x14ac:dyDescent="0.2">
      <c r="A4721" s="2" t="s">
        <v>6003</v>
      </c>
      <c r="B4721" s="2" t="s">
        <v>6037</v>
      </c>
      <c r="C4721" s="2" t="s">
        <v>6038</v>
      </c>
      <c r="D4721" s="2" t="s">
        <v>10</v>
      </c>
      <c r="E4721" s="2" t="s">
        <v>16</v>
      </c>
      <c r="F4721" s="2">
        <v>2</v>
      </c>
      <c r="G4721" s="2" t="s">
        <v>12</v>
      </c>
    </row>
    <row r="4722" spans="1:7" x14ac:dyDescent="0.2">
      <c r="A4722" s="2" t="s">
        <v>6003</v>
      </c>
      <c r="B4722" s="2" t="s">
        <v>6039</v>
      </c>
      <c r="C4722" s="2" t="s">
        <v>6040</v>
      </c>
      <c r="D4722" s="2" t="s">
        <v>10</v>
      </c>
      <c r="E4722" s="2" t="s">
        <v>16</v>
      </c>
      <c r="F4722" s="2">
        <v>1</v>
      </c>
      <c r="G4722" s="2" t="s">
        <v>17</v>
      </c>
    </row>
    <row r="4723" spans="1:7" x14ac:dyDescent="0.2">
      <c r="A4723" s="2" t="s">
        <v>6003</v>
      </c>
      <c r="B4723" s="2" t="s">
        <v>4495</v>
      </c>
      <c r="C4723" s="2" t="s">
        <v>6007</v>
      </c>
      <c r="D4723" s="2" t="s">
        <v>10</v>
      </c>
      <c r="E4723" s="2" t="s">
        <v>16</v>
      </c>
      <c r="F4723" s="2">
        <v>1</v>
      </c>
      <c r="G4723" s="2" t="s">
        <v>17</v>
      </c>
    </row>
    <row r="4724" spans="1:7" x14ac:dyDescent="0.2">
      <c r="A4724" s="2" t="s">
        <v>6003</v>
      </c>
      <c r="B4724" s="2" t="s">
        <v>6041</v>
      </c>
      <c r="C4724" s="2" t="s">
        <v>6014</v>
      </c>
      <c r="D4724" s="2" t="s">
        <v>10</v>
      </c>
      <c r="E4724" s="2" t="s">
        <v>16</v>
      </c>
      <c r="F4724" s="2">
        <v>1</v>
      </c>
      <c r="G4724" s="2" t="s">
        <v>17</v>
      </c>
    </row>
    <row r="4725" spans="1:7" x14ac:dyDescent="0.2">
      <c r="A4725" s="2" t="s">
        <v>6003</v>
      </c>
      <c r="B4725" s="2" t="s">
        <v>6042</v>
      </c>
      <c r="C4725" s="2" t="s">
        <v>6033</v>
      </c>
      <c r="D4725" s="2" t="s">
        <v>10</v>
      </c>
      <c r="E4725" s="2" t="s">
        <v>52</v>
      </c>
      <c r="F4725" s="2">
        <v>1</v>
      </c>
      <c r="G4725" s="2" t="s">
        <v>17</v>
      </c>
    </row>
    <row r="4726" spans="1:7" x14ac:dyDescent="0.2">
      <c r="A4726" s="2" t="s">
        <v>6003</v>
      </c>
      <c r="B4726" s="2" t="s">
        <v>6043</v>
      </c>
      <c r="C4726" s="2" t="s">
        <v>6028</v>
      </c>
      <c r="D4726" s="2" t="s">
        <v>10</v>
      </c>
      <c r="E4726" s="2" t="s">
        <v>16</v>
      </c>
      <c r="F4726" s="2">
        <v>1</v>
      </c>
      <c r="G4726" s="2" t="s">
        <v>17</v>
      </c>
    </row>
    <row r="4727" spans="1:7" x14ac:dyDescent="0.2">
      <c r="A4727" s="2" t="s">
        <v>6003</v>
      </c>
      <c r="B4727" s="2" t="s">
        <v>6044</v>
      </c>
      <c r="C4727" s="2" t="s">
        <v>6035</v>
      </c>
      <c r="D4727" s="2" t="s">
        <v>10</v>
      </c>
      <c r="E4727" s="2" t="s">
        <v>11</v>
      </c>
      <c r="F4727" s="2">
        <v>2</v>
      </c>
      <c r="G4727" s="2" t="s">
        <v>17</v>
      </c>
    </row>
    <row r="4728" spans="1:7" x14ac:dyDescent="0.2">
      <c r="A4728" s="2" t="s">
        <v>6003</v>
      </c>
      <c r="B4728" s="2" t="s">
        <v>6045</v>
      </c>
      <c r="C4728" s="2" t="s">
        <v>6009</v>
      </c>
      <c r="D4728" s="2" t="s">
        <v>10</v>
      </c>
      <c r="E4728" s="2" t="s">
        <v>52</v>
      </c>
      <c r="F4728" s="2">
        <v>1</v>
      </c>
      <c r="G4728" s="2" t="s">
        <v>17</v>
      </c>
    </row>
    <row r="4729" spans="1:7" x14ac:dyDescent="0.2">
      <c r="A4729" s="2" t="s">
        <v>6003</v>
      </c>
      <c r="B4729" s="2" t="s">
        <v>6046</v>
      </c>
      <c r="C4729" s="2" t="s">
        <v>6038</v>
      </c>
      <c r="D4729" s="2" t="s">
        <v>10</v>
      </c>
      <c r="E4729" s="2" t="s">
        <v>16</v>
      </c>
      <c r="F4729" s="2">
        <v>2</v>
      </c>
      <c r="G4729" s="2" t="s">
        <v>12</v>
      </c>
    </row>
    <row r="4730" spans="1:7" x14ac:dyDescent="0.2">
      <c r="A4730" s="2" t="s">
        <v>6003</v>
      </c>
      <c r="B4730" s="2" t="s">
        <v>2057</v>
      </c>
      <c r="C4730" s="2" t="s">
        <v>6007</v>
      </c>
      <c r="D4730" s="2" t="s">
        <v>10</v>
      </c>
      <c r="E4730" s="2" t="s">
        <v>16</v>
      </c>
      <c r="F4730" s="2">
        <v>1</v>
      </c>
      <c r="G4730" s="2" t="s">
        <v>17</v>
      </c>
    </row>
    <row r="4731" spans="1:7" x14ac:dyDescent="0.2">
      <c r="A4731" s="2" t="s">
        <v>6003</v>
      </c>
      <c r="B4731" s="2" t="s">
        <v>6047</v>
      </c>
      <c r="C4731" s="2" t="s">
        <v>6012</v>
      </c>
      <c r="D4731" s="2" t="s">
        <v>10</v>
      </c>
      <c r="E4731" s="2" t="s">
        <v>16</v>
      </c>
      <c r="F4731" s="2">
        <v>1</v>
      </c>
      <c r="G4731" s="2" t="s">
        <v>17</v>
      </c>
    </row>
    <row r="4732" spans="1:7" x14ac:dyDescent="0.2">
      <c r="A4732" s="2" t="s">
        <v>6003</v>
      </c>
      <c r="B4732" s="2" t="s">
        <v>3793</v>
      </c>
      <c r="C4732" s="2" t="s">
        <v>6014</v>
      </c>
      <c r="D4732" s="2" t="s">
        <v>10</v>
      </c>
      <c r="E4732" s="2" t="s">
        <v>16</v>
      </c>
      <c r="F4732" s="2">
        <v>1</v>
      </c>
      <c r="G4732" s="2" t="s">
        <v>17</v>
      </c>
    </row>
    <row r="4733" spans="1:7" x14ac:dyDescent="0.2">
      <c r="A4733" s="2" t="s">
        <v>6003</v>
      </c>
      <c r="B4733" s="2" t="s">
        <v>6048</v>
      </c>
      <c r="C4733" s="2" t="s">
        <v>6049</v>
      </c>
      <c r="D4733" s="2" t="s">
        <v>10</v>
      </c>
      <c r="E4733" s="2" t="s">
        <v>52</v>
      </c>
      <c r="F4733" s="2">
        <v>1</v>
      </c>
      <c r="G4733" s="2" t="s">
        <v>17</v>
      </c>
    </row>
    <row r="4734" spans="1:7" x14ac:dyDescent="0.2">
      <c r="A4734" s="2" t="s">
        <v>6050</v>
      </c>
      <c r="B4734" s="2" t="s">
        <v>6051</v>
      </c>
      <c r="C4734" s="2" t="s">
        <v>6052</v>
      </c>
      <c r="D4734" s="2" t="s">
        <v>64</v>
      </c>
      <c r="E4734" s="2" t="s">
        <v>16</v>
      </c>
      <c r="F4734" s="2">
        <v>1</v>
      </c>
      <c r="G4734" s="2" t="s">
        <v>17</v>
      </c>
    </row>
    <row r="4735" spans="1:7" x14ac:dyDescent="0.2">
      <c r="A4735" s="2" t="s">
        <v>6050</v>
      </c>
      <c r="B4735" s="2" t="s">
        <v>6053</v>
      </c>
      <c r="C4735" s="2" t="s">
        <v>6052</v>
      </c>
      <c r="D4735" s="2" t="s">
        <v>64</v>
      </c>
      <c r="E4735" s="2" t="s">
        <v>16</v>
      </c>
      <c r="F4735" s="2">
        <v>1</v>
      </c>
      <c r="G4735" s="2" t="s">
        <v>17</v>
      </c>
    </row>
    <row r="4736" spans="1:7" x14ac:dyDescent="0.2">
      <c r="A4736" s="2" t="s">
        <v>6050</v>
      </c>
      <c r="B4736" s="2" t="s">
        <v>6054</v>
      </c>
      <c r="C4736" s="2" t="s">
        <v>6055</v>
      </c>
      <c r="D4736" s="2" t="s">
        <v>64</v>
      </c>
      <c r="E4736" s="2" t="s">
        <v>16</v>
      </c>
      <c r="F4736" s="2">
        <v>1</v>
      </c>
      <c r="G4736" s="2" t="s">
        <v>17</v>
      </c>
    </row>
    <row r="4737" spans="1:7" x14ac:dyDescent="0.2">
      <c r="A4737" s="2" t="s">
        <v>6050</v>
      </c>
      <c r="B4737" s="2" t="s">
        <v>6056</v>
      </c>
      <c r="C4737" s="2" t="s">
        <v>6057</v>
      </c>
      <c r="D4737" s="2" t="s">
        <v>64</v>
      </c>
      <c r="E4737" s="2" t="s">
        <v>52</v>
      </c>
      <c r="F4737" s="2">
        <v>1</v>
      </c>
      <c r="G4737" s="2" t="s">
        <v>17</v>
      </c>
    </row>
    <row r="4738" spans="1:7" x14ac:dyDescent="0.2">
      <c r="A4738" s="2" t="s">
        <v>6050</v>
      </c>
      <c r="B4738" s="2" t="s">
        <v>6058</v>
      </c>
      <c r="C4738" s="2" t="s">
        <v>6059</v>
      </c>
      <c r="D4738" s="2" t="s">
        <v>64</v>
      </c>
      <c r="E4738" s="2" t="s">
        <v>52</v>
      </c>
      <c r="F4738" s="2">
        <v>1</v>
      </c>
      <c r="G4738" s="2" t="s">
        <v>17</v>
      </c>
    </row>
    <row r="4739" spans="1:7" x14ac:dyDescent="0.2">
      <c r="A4739" s="2" t="s">
        <v>6060</v>
      </c>
      <c r="B4739" s="2" t="s">
        <v>6061</v>
      </c>
      <c r="C4739" s="2" t="s">
        <v>6062</v>
      </c>
      <c r="D4739" s="2" t="s">
        <v>10</v>
      </c>
      <c r="E4739" s="2" t="s">
        <v>16</v>
      </c>
      <c r="F4739" s="2">
        <v>1</v>
      </c>
      <c r="G4739" s="2" t="s">
        <v>17</v>
      </c>
    </row>
    <row r="4740" spans="1:7" x14ac:dyDescent="0.2">
      <c r="A4740" s="2" t="s">
        <v>6060</v>
      </c>
      <c r="B4740" s="2" t="s">
        <v>6063</v>
      </c>
      <c r="C4740" s="2" t="s">
        <v>6064</v>
      </c>
      <c r="D4740" s="2" t="s">
        <v>10</v>
      </c>
      <c r="E4740" s="2" t="s">
        <v>16</v>
      </c>
      <c r="F4740" s="2">
        <v>1</v>
      </c>
      <c r="G4740" s="2" t="s">
        <v>17</v>
      </c>
    </row>
    <row r="4741" spans="1:7" x14ac:dyDescent="0.2">
      <c r="A4741" s="2" t="s">
        <v>6065</v>
      </c>
      <c r="B4741" s="2" t="s">
        <v>6066</v>
      </c>
      <c r="C4741" s="2" t="s">
        <v>6067</v>
      </c>
      <c r="D4741" s="2" t="s">
        <v>10</v>
      </c>
      <c r="E4741" s="2" t="s">
        <v>16</v>
      </c>
      <c r="F4741" s="2">
        <v>1</v>
      </c>
      <c r="G4741" s="2" t="s">
        <v>17</v>
      </c>
    </row>
    <row r="4742" spans="1:7" x14ac:dyDescent="0.2">
      <c r="A4742" s="2" t="s">
        <v>6068</v>
      </c>
      <c r="B4742" s="2" t="s">
        <v>6069</v>
      </c>
      <c r="C4742" s="2" t="s">
        <v>6070</v>
      </c>
      <c r="D4742" s="2" t="s">
        <v>10</v>
      </c>
      <c r="E4742" s="2" t="s">
        <v>16</v>
      </c>
      <c r="F4742" s="2">
        <v>1</v>
      </c>
      <c r="G4742" s="2" t="s">
        <v>17</v>
      </c>
    </row>
    <row r="4743" spans="1:7" x14ac:dyDescent="0.2">
      <c r="A4743" s="2" t="s">
        <v>6068</v>
      </c>
      <c r="B4743" s="2" t="s">
        <v>6071</v>
      </c>
      <c r="C4743" s="2" t="s">
        <v>6070</v>
      </c>
      <c r="D4743" s="2" t="s">
        <v>10</v>
      </c>
      <c r="E4743" s="2" t="s">
        <v>16</v>
      </c>
      <c r="F4743" s="2">
        <v>1</v>
      </c>
      <c r="G4743" s="2" t="s">
        <v>17</v>
      </c>
    </row>
    <row r="4744" spans="1:7" x14ac:dyDescent="0.2">
      <c r="A4744" s="2" t="s">
        <v>6072</v>
      </c>
      <c r="B4744" s="2" t="s">
        <v>1478</v>
      </c>
      <c r="C4744" s="2" t="s">
        <v>1479</v>
      </c>
      <c r="D4744" s="2" t="s">
        <v>10</v>
      </c>
      <c r="E4744" s="2" t="s">
        <v>16</v>
      </c>
      <c r="F4744" s="2">
        <v>1</v>
      </c>
      <c r="G4744" s="2" t="s">
        <v>17</v>
      </c>
    </row>
    <row r="4745" spans="1:7" x14ac:dyDescent="0.2">
      <c r="A4745" s="2" t="s">
        <v>6072</v>
      </c>
      <c r="B4745" s="2" t="s">
        <v>1480</v>
      </c>
      <c r="C4745" s="2" t="s">
        <v>1479</v>
      </c>
      <c r="D4745" s="2" t="s">
        <v>10</v>
      </c>
      <c r="E4745" s="2" t="s">
        <v>16</v>
      </c>
      <c r="F4745" s="2">
        <v>1</v>
      </c>
      <c r="G4745" s="2" t="s">
        <v>17</v>
      </c>
    </row>
    <row r="4746" spans="1:7" x14ac:dyDescent="0.2">
      <c r="A4746" s="2" t="s">
        <v>6073</v>
      </c>
      <c r="B4746" s="2" t="s">
        <v>6074</v>
      </c>
      <c r="C4746" s="2" t="s">
        <v>6075</v>
      </c>
      <c r="D4746" s="2" t="s">
        <v>10</v>
      </c>
      <c r="E4746" s="2" t="s">
        <v>11</v>
      </c>
      <c r="F4746" s="2">
        <v>2</v>
      </c>
      <c r="G4746" s="2" t="s">
        <v>12</v>
      </c>
    </row>
    <row r="4747" spans="1:7" x14ac:dyDescent="0.2">
      <c r="A4747" s="2" t="s">
        <v>6073</v>
      </c>
      <c r="B4747" s="2" t="s">
        <v>6076</v>
      </c>
      <c r="C4747" s="2" t="s">
        <v>6077</v>
      </c>
      <c r="D4747" s="2" t="s">
        <v>10</v>
      </c>
      <c r="E4747" s="2" t="s">
        <v>52</v>
      </c>
      <c r="F4747" s="2">
        <v>2</v>
      </c>
      <c r="G4747" s="2" t="s">
        <v>12</v>
      </c>
    </row>
    <row r="4748" spans="1:7" x14ac:dyDescent="0.2">
      <c r="A4748" s="2" t="s">
        <v>6073</v>
      </c>
      <c r="B4748" s="2" t="s">
        <v>6078</v>
      </c>
      <c r="C4748" s="2" t="s">
        <v>306</v>
      </c>
      <c r="D4748" s="2" t="s">
        <v>10</v>
      </c>
      <c r="E4748" s="2" t="s">
        <v>16</v>
      </c>
      <c r="F4748" s="2">
        <v>1</v>
      </c>
      <c r="G4748" s="2" t="s">
        <v>17</v>
      </c>
    </row>
    <row r="4749" spans="1:7" x14ac:dyDescent="0.2">
      <c r="A4749" s="2" t="s">
        <v>6073</v>
      </c>
      <c r="B4749" s="2" t="s">
        <v>2595</v>
      </c>
      <c r="C4749" s="2" t="s">
        <v>6079</v>
      </c>
      <c r="D4749" s="2" t="s">
        <v>29</v>
      </c>
      <c r="E4749" s="2" t="s">
        <v>16</v>
      </c>
      <c r="F4749" s="2">
        <v>2</v>
      </c>
      <c r="G4749" s="2" t="s">
        <v>12</v>
      </c>
    </row>
    <row r="4750" spans="1:7" x14ac:dyDescent="0.2">
      <c r="A4750" s="2" t="s">
        <v>6073</v>
      </c>
      <c r="B4750" s="2" t="s">
        <v>6080</v>
      </c>
      <c r="C4750" s="2" t="s">
        <v>6081</v>
      </c>
      <c r="D4750" s="2" t="s">
        <v>10</v>
      </c>
      <c r="E4750" s="2" t="s">
        <v>52</v>
      </c>
      <c r="F4750" s="2">
        <v>2</v>
      </c>
      <c r="G4750" s="2" t="s">
        <v>12</v>
      </c>
    </row>
    <row r="4751" spans="1:7" x14ac:dyDescent="0.2">
      <c r="A4751" s="2" t="s">
        <v>6073</v>
      </c>
      <c r="B4751" s="2" t="s">
        <v>5907</v>
      </c>
      <c r="C4751" s="2" t="s">
        <v>5908</v>
      </c>
      <c r="D4751" s="2" t="s">
        <v>10</v>
      </c>
      <c r="E4751" s="2" t="s">
        <v>16</v>
      </c>
      <c r="F4751" s="2">
        <v>1</v>
      </c>
      <c r="G4751" s="2" t="s">
        <v>12</v>
      </c>
    </row>
    <row r="4752" spans="1:7" x14ac:dyDescent="0.2">
      <c r="A4752" s="2" t="s">
        <v>6073</v>
      </c>
      <c r="B4752" s="2" t="s">
        <v>4069</v>
      </c>
      <c r="C4752" s="2" t="s">
        <v>6082</v>
      </c>
      <c r="D4752" s="2" t="s">
        <v>10</v>
      </c>
      <c r="E4752" s="2" t="s">
        <v>16</v>
      </c>
      <c r="F4752" s="2">
        <v>1</v>
      </c>
      <c r="G4752" s="2" t="s">
        <v>17</v>
      </c>
    </row>
    <row r="4753" spans="1:7" x14ac:dyDescent="0.2">
      <c r="A4753" s="2" t="s">
        <v>6073</v>
      </c>
      <c r="B4753" s="2" t="s">
        <v>6083</v>
      </c>
      <c r="C4753" s="2" t="s">
        <v>6084</v>
      </c>
      <c r="D4753" s="2" t="s">
        <v>10</v>
      </c>
      <c r="E4753" s="2" t="s">
        <v>16</v>
      </c>
      <c r="F4753" s="2">
        <v>2</v>
      </c>
      <c r="G4753" s="2" t="s">
        <v>12</v>
      </c>
    </row>
    <row r="4754" spans="1:7" x14ac:dyDescent="0.2">
      <c r="A4754" s="2" t="s">
        <v>6073</v>
      </c>
      <c r="B4754" s="2" t="s">
        <v>6085</v>
      </c>
      <c r="C4754" s="2" t="s">
        <v>6086</v>
      </c>
      <c r="D4754" s="2" t="s">
        <v>10</v>
      </c>
      <c r="E4754" s="2" t="s">
        <v>52</v>
      </c>
      <c r="F4754" s="2">
        <v>2</v>
      </c>
      <c r="G4754" s="2" t="s">
        <v>12</v>
      </c>
    </row>
    <row r="4755" spans="1:7" x14ac:dyDescent="0.2">
      <c r="A4755" s="2" t="s">
        <v>6073</v>
      </c>
      <c r="B4755" s="2" t="s">
        <v>6087</v>
      </c>
      <c r="C4755" s="2" t="s">
        <v>6088</v>
      </c>
      <c r="D4755" s="2" t="s">
        <v>10</v>
      </c>
      <c r="E4755" s="2" t="s">
        <v>11</v>
      </c>
      <c r="F4755" s="2">
        <v>2</v>
      </c>
      <c r="G4755" s="2" t="s">
        <v>12</v>
      </c>
    </row>
    <row r="4756" spans="1:7" x14ac:dyDescent="0.2">
      <c r="A4756" s="2" t="s">
        <v>6073</v>
      </c>
      <c r="B4756" s="2" t="s">
        <v>6089</v>
      </c>
      <c r="C4756" s="2" t="s">
        <v>6090</v>
      </c>
      <c r="D4756" s="2" t="s">
        <v>10</v>
      </c>
      <c r="E4756" s="2" t="s">
        <v>52</v>
      </c>
      <c r="F4756" s="2">
        <v>2</v>
      </c>
      <c r="G4756" s="2" t="s">
        <v>12</v>
      </c>
    </row>
    <row r="4757" spans="1:7" x14ac:dyDescent="0.2">
      <c r="A4757" s="2" t="s">
        <v>6073</v>
      </c>
      <c r="B4757" s="2" t="s">
        <v>6091</v>
      </c>
      <c r="C4757" s="2" t="s">
        <v>6090</v>
      </c>
      <c r="D4757" s="2" t="s">
        <v>10</v>
      </c>
      <c r="E4757" s="2" t="s">
        <v>52</v>
      </c>
      <c r="F4757" s="2">
        <v>2</v>
      </c>
      <c r="G4757" s="2" t="s">
        <v>12</v>
      </c>
    </row>
    <row r="4758" spans="1:7" x14ac:dyDescent="0.2">
      <c r="A4758" s="2" t="s">
        <v>6073</v>
      </c>
      <c r="B4758" s="2" t="s">
        <v>6092</v>
      </c>
      <c r="C4758" s="2" t="s">
        <v>6090</v>
      </c>
      <c r="D4758" s="2" t="s">
        <v>10</v>
      </c>
      <c r="E4758" s="2" t="s">
        <v>52</v>
      </c>
      <c r="F4758" s="2">
        <v>2</v>
      </c>
      <c r="G4758" s="2" t="s">
        <v>12</v>
      </c>
    </row>
    <row r="4759" spans="1:7" x14ac:dyDescent="0.2">
      <c r="A4759" s="2" t="s">
        <v>6073</v>
      </c>
      <c r="B4759" s="2" t="s">
        <v>2796</v>
      </c>
      <c r="C4759" s="2" t="s">
        <v>2679</v>
      </c>
      <c r="D4759" s="2" t="s">
        <v>10</v>
      </c>
      <c r="E4759" s="2" t="s">
        <v>11</v>
      </c>
      <c r="F4759" s="2">
        <v>4</v>
      </c>
      <c r="G4759" s="2" t="s">
        <v>1069</v>
      </c>
    </row>
    <row r="4760" spans="1:7" x14ac:dyDescent="0.2">
      <c r="A4760" s="2" t="s">
        <v>6073</v>
      </c>
      <c r="B4760" s="2" t="s">
        <v>6093</v>
      </c>
      <c r="C4760" s="2" t="s">
        <v>6075</v>
      </c>
      <c r="D4760" s="2" t="s">
        <v>10</v>
      </c>
      <c r="E4760" s="2" t="s">
        <v>11</v>
      </c>
      <c r="F4760" s="2">
        <v>2</v>
      </c>
      <c r="G4760" s="2" t="s">
        <v>12</v>
      </c>
    </row>
    <row r="4761" spans="1:7" x14ac:dyDescent="0.2">
      <c r="A4761" s="2" t="s">
        <v>6073</v>
      </c>
      <c r="B4761" s="2" t="s">
        <v>5897</v>
      </c>
      <c r="C4761" s="2" t="s">
        <v>5894</v>
      </c>
      <c r="D4761" s="2" t="s">
        <v>10</v>
      </c>
      <c r="E4761" s="2" t="s">
        <v>11</v>
      </c>
      <c r="F4761" s="2">
        <v>2</v>
      </c>
      <c r="G4761" s="2" t="s">
        <v>12</v>
      </c>
    </row>
    <row r="4762" spans="1:7" x14ac:dyDescent="0.2">
      <c r="A4762" s="2" t="s">
        <v>6073</v>
      </c>
      <c r="B4762" s="2" t="s">
        <v>6094</v>
      </c>
      <c r="C4762" s="2" t="s">
        <v>6095</v>
      </c>
      <c r="D4762" s="2" t="s">
        <v>10</v>
      </c>
      <c r="E4762" s="2" t="s">
        <v>16</v>
      </c>
      <c r="F4762" s="2">
        <v>1</v>
      </c>
      <c r="G4762" s="2" t="s">
        <v>17</v>
      </c>
    </row>
    <row r="4763" spans="1:7" x14ac:dyDescent="0.2">
      <c r="A4763" s="2" t="s">
        <v>6073</v>
      </c>
      <c r="B4763" s="2" t="s">
        <v>6096</v>
      </c>
      <c r="C4763" s="2" t="s">
        <v>5910</v>
      </c>
      <c r="D4763" s="2" t="s">
        <v>10</v>
      </c>
      <c r="E4763" s="2" t="s">
        <v>16</v>
      </c>
      <c r="F4763" s="2">
        <v>1</v>
      </c>
      <c r="G4763" s="2" t="s">
        <v>17</v>
      </c>
    </row>
    <row r="4764" spans="1:7" x14ac:dyDescent="0.2">
      <c r="A4764" s="2" t="s">
        <v>6073</v>
      </c>
      <c r="B4764" s="2" t="s">
        <v>6097</v>
      </c>
      <c r="C4764" s="2" t="s">
        <v>6098</v>
      </c>
      <c r="D4764" s="2" t="s">
        <v>10</v>
      </c>
      <c r="E4764" s="2" t="s">
        <v>16</v>
      </c>
      <c r="F4764" s="2">
        <v>1</v>
      </c>
      <c r="G4764" s="2" t="s">
        <v>17</v>
      </c>
    </row>
    <row r="4765" spans="1:7" x14ac:dyDescent="0.2">
      <c r="A4765" s="2" t="s">
        <v>6073</v>
      </c>
      <c r="B4765" s="2" t="s">
        <v>6099</v>
      </c>
      <c r="C4765" s="2" t="s">
        <v>6100</v>
      </c>
      <c r="D4765" s="2" t="s">
        <v>10</v>
      </c>
      <c r="E4765" s="2" t="s">
        <v>16</v>
      </c>
      <c r="F4765" s="2">
        <v>2</v>
      </c>
      <c r="G4765" s="2" t="s">
        <v>12</v>
      </c>
    </row>
    <row r="4766" spans="1:7" x14ac:dyDescent="0.2">
      <c r="A4766" s="2" t="s">
        <v>6073</v>
      </c>
      <c r="B4766" s="2" t="s">
        <v>6101</v>
      </c>
      <c r="C4766" s="2" t="s">
        <v>6082</v>
      </c>
      <c r="D4766" s="2" t="s">
        <v>10</v>
      </c>
      <c r="E4766" s="2" t="s">
        <v>16</v>
      </c>
      <c r="F4766" s="2">
        <v>1</v>
      </c>
      <c r="G4766" s="2" t="s">
        <v>17</v>
      </c>
    </row>
    <row r="4767" spans="1:7" x14ac:dyDescent="0.2">
      <c r="A4767" s="2" t="s">
        <v>6073</v>
      </c>
      <c r="B4767" s="2" t="s">
        <v>6102</v>
      </c>
      <c r="C4767" s="2" t="s">
        <v>6103</v>
      </c>
      <c r="D4767" s="2" t="s">
        <v>10</v>
      </c>
      <c r="E4767" s="2" t="s">
        <v>11</v>
      </c>
      <c r="F4767" s="2">
        <v>1</v>
      </c>
      <c r="G4767" s="2" t="s">
        <v>12</v>
      </c>
    </row>
    <row r="4768" spans="1:7" x14ac:dyDescent="0.2">
      <c r="A4768" s="2" t="s">
        <v>6073</v>
      </c>
      <c r="B4768" s="2" t="s">
        <v>6104</v>
      </c>
      <c r="C4768" s="2" t="s">
        <v>6105</v>
      </c>
      <c r="D4768" s="2" t="s">
        <v>10</v>
      </c>
      <c r="E4768" s="2" t="s">
        <v>11</v>
      </c>
      <c r="F4768" s="2">
        <v>2</v>
      </c>
      <c r="G4768" s="2" t="s">
        <v>12</v>
      </c>
    </row>
    <row r="4769" spans="1:7" x14ac:dyDescent="0.2">
      <c r="A4769" s="2" t="s">
        <v>6073</v>
      </c>
      <c r="B4769" s="2" t="s">
        <v>6106</v>
      </c>
      <c r="C4769" s="2" t="s">
        <v>6095</v>
      </c>
      <c r="D4769" s="2" t="s">
        <v>10</v>
      </c>
      <c r="E4769" s="2" t="s">
        <v>16</v>
      </c>
      <c r="F4769" s="2">
        <v>1</v>
      </c>
      <c r="G4769" s="2" t="s">
        <v>17</v>
      </c>
    </row>
    <row r="4770" spans="1:7" x14ac:dyDescent="0.2">
      <c r="A4770" s="2" t="s">
        <v>6073</v>
      </c>
      <c r="B4770" s="2" t="s">
        <v>6107</v>
      </c>
      <c r="C4770" s="2" t="s">
        <v>6108</v>
      </c>
      <c r="D4770" s="2" t="s">
        <v>29</v>
      </c>
      <c r="E4770" s="2" t="s">
        <v>16</v>
      </c>
      <c r="F4770" s="2">
        <v>2</v>
      </c>
      <c r="G4770" s="2" t="s">
        <v>17</v>
      </c>
    </row>
    <row r="4771" spans="1:7" x14ac:dyDescent="0.2">
      <c r="A4771" s="2" t="s">
        <v>6073</v>
      </c>
      <c r="B4771" s="2" t="s">
        <v>6109</v>
      </c>
      <c r="C4771" s="2" t="s">
        <v>6095</v>
      </c>
      <c r="D4771" s="2" t="s">
        <v>10</v>
      </c>
      <c r="E4771" s="2" t="s">
        <v>16</v>
      </c>
      <c r="F4771" s="2">
        <v>1</v>
      </c>
      <c r="G4771" s="2" t="s">
        <v>17</v>
      </c>
    </row>
    <row r="4772" spans="1:7" x14ac:dyDescent="0.2">
      <c r="A4772" s="2" t="s">
        <v>6073</v>
      </c>
      <c r="B4772" s="2" t="s">
        <v>6110</v>
      </c>
      <c r="C4772" s="2" t="s">
        <v>5910</v>
      </c>
      <c r="D4772" s="2" t="s">
        <v>10</v>
      </c>
      <c r="E4772" s="2" t="s">
        <v>16</v>
      </c>
      <c r="F4772" s="2">
        <v>1</v>
      </c>
      <c r="G4772" s="2" t="s">
        <v>17</v>
      </c>
    </row>
    <row r="4773" spans="1:7" x14ac:dyDescent="0.2">
      <c r="A4773" s="2" t="s">
        <v>6073</v>
      </c>
      <c r="B4773" s="2" t="s">
        <v>6111</v>
      </c>
      <c r="C4773" s="2" t="s">
        <v>6108</v>
      </c>
      <c r="D4773" s="2" t="s">
        <v>29</v>
      </c>
      <c r="E4773" s="2" t="s">
        <v>16</v>
      </c>
      <c r="F4773" s="2">
        <v>2</v>
      </c>
      <c r="G4773" s="2" t="s">
        <v>17</v>
      </c>
    </row>
    <row r="4774" spans="1:7" x14ac:dyDescent="0.2">
      <c r="A4774" s="2" t="s">
        <v>6073</v>
      </c>
      <c r="B4774" s="2" t="s">
        <v>6112</v>
      </c>
      <c r="C4774" s="2" t="s">
        <v>6108</v>
      </c>
      <c r="D4774" s="2" t="s">
        <v>29</v>
      </c>
      <c r="E4774" s="2" t="s">
        <v>16</v>
      </c>
      <c r="F4774" s="2">
        <v>2</v>
      </c>
      <c r="G4774" s="2" t="s">
        <v>17</v>
      </c>
    </row>
    <row r="4775" spans="1:7" x14ac:dyDescent="0.2">
      <c r="A4775" s="2" t="s">
        <v>6073</v>
      </c>
      <c r="B4775" s="2" t="s">
        <v>6113</v>
      </c>
      <c r="C4775" s="2" t="s">
        <v>5908</v>
      </c>
      <c r="D4775" s="2" t="s">
        <v>10</v>
      </c>
      <c r="E4775" s="2" t="s">
        <v>16</v>
      </c>
      <c r="F4775" s="2">
        <v>1</v>
      </c>
      <c r="G4775" s="2" t="s">
        <v>12</v>
      </c>
    </row>
    <row r="4776" spans="1:7" x14ac:dyDescent="0.2">
      <c r="A4776" s="2" t="s">
        <v>6073</v>
      </c>
      <c r="B4776" s="2" t="s">
        <v>6114</v>
      </c>
      <c r="C4776" s="2" t="s">
        <v>5813</v>
      </c>
      <c r="D4776" s="2" t="s">
        <v>29</v>
      </c>
      <c r="E4776" s="2" t="s">
        <v>16</v>
      </c>
      <c r="F4776" s="2">
        <v>2</v>
      </c>
      <c r="G4776" s="2" t="s">
        <v>17</v>
      </c>
    </row>
    <row r="4777" spans="1:7" x14ac:dyDescent="0.2">
      <c r="A4777" s="2" t="s">
        <v>6073</v>
      </c>
      <c r="B4777" s="2" t="s">
        <v>6115</v>
      </c>
      <c r="C4777" s="2" t="s">
        <v>6098</v>
      </c>
      <c r="D4777" s="2" t="s">
        <v>10</v>
      </c>
      <c r="E4777" s="2" t="s">
        <v>16</v>
      </c>
      <c r="F4777" s="2">
        <v>1</v>
      </c>
      <c r="G4777" s="2" t="s">
        <v>17</v>
      </c>
    </row>
    <row r="4778" spans="1:7" x14ac:dyDescent="0.2">
      <c r="A4778" s="2" t="s">
        <v>6073</v>
      </c>
      <c r="B4778" s="2" t="s">
        <v>6116</v>
      </c>
      <c r="C4778" s="2" t="s">
        <v>6100</v>
      </c>
      <c r="D4778" s="2" t="s">
        <v>10</v>
      </c>
      <c r="E4778" s="2" t="s">
        <v>16</v>
      </c>
      <c r="F4778" s="2">
        <v>2</v>
      </c>
      <c r="G4778" s="2" t="s">
        <v>12</v>
      </c>
    </row>
    <row r="4779" spans="1:7" x14ac:dyDescent="0.2">
      <c r="A4779" s="2" t="s">
        <v>6073</v>
      </c>
      <c r="B4779" s="2" t="s">
        <v>6117</v>
      </c>
      <c r="C4779" s="2" t="s">
        <v>6082</v>
      </c>
      <c r="D4779" s="2" t="s">
        <v>10</v>
      </c>
      <c r="E4779" s="2" t="s">
        <v>16</v>
      </c>
      <c r="F4779" s="2">
        <v>1</v>
      </c>
      <c r="G4779" s="2" t="s">
        <v>17</v>
      </c>
    </row>
    <row r="4780" spans="1:7" x14ac:dyDescent="0.2">
      <c r="A4780" s="2" t="s">
        <v>6073</v>
      </c>
      <c r="B4780" s="2" t="s">
        <v>6118</v>
      </c>
      <c r="C4780" s="2" t="s">
        <v>6079</v>
      </c>
      <c r="D4780" s="2" t="s">
        <v>29</v>
      </c>
      <c r="E4780" s="2" t="s">
        <v>16</v>
      </c>
      <c r="F4780" s="2">
        <v>2</v>
      </c>
      <c r="G4780" s="2" t="s">
        <v>12</v>
      </c>
    </row>
    <row r="4781" spans="1:7" x14ac:dyDescent="0.2">
      <c r="A4781" s="2" t="s">
        <v>6073</v>
      </c>
      <c r="B4781" s="2" t="s">
        <v>6119</v>
      </c>
      <c r="C4781" s="2" t="s">
        <v>6120</v>
      </c>
      <c r="D4781" s="2" t="s">
        <v>29</v>
      </c>
      <c r="E4781" s="2" t="s">
        <v>16</v>
      </c>
      <c r="F4781" s="2">
        <v>2</v>
      </c>
      <c r="G4781" s="2" t="s">
        <v>17</v>
      </c>
    </row>
    <row r="4782" spans="1:7" x14ac:dyDescent="0.2">
      <c r="A4782" s="2" t="s">
        <v>6073</v>
      </c>
      <c r="B4782" s="2" t="s">
        <v>5734</v>
      </c>
      <c r="C4782" s="2" t="s">
        <v>5735</v>
      </c>
      <c r="D4782" s="2" t="s">
        <v>29</v>
      </c>
      <c r="E4782" s="2" t="s">
        <v>52</v>
      </c>
      <c r="F4782" s="2">
        <v>2</v>
      </c>
      <c r="G4782" s="2" t="s">
        <v>17</v>
      </c>
    </row>
    <row r="4783" spans="1:7" x14ac:dyDescent="0.2">
      <c r="A4783" s="2" t="s">
        <v>6073</v>
      </c>
      <c r="B4783" s="2" t="s">
        <v>6121</v>
      </c>
      <c r="C4783" s="2" t="s">
        <v>6103</v>
      </c>
      <c r="D4783" s="2" t="s">
        <v>10</v>
      </c>
      <c r="E4783" s="2" t="s">
        <v>11</v>
      </c>
      <c r="F4783" s="2">
        <v>1</v>
      </c>
      <c r="G4783" s="2" t="s">
        <v>12</v>
      </c>
    </row>
    <row r="4784" spans="1:7" x14ac:dyDescent="0.2">
      <c r="A4784" s="2" t="s">
        <v>6073</v>
      </c>
      <c r="B4784" s="2" t="s">
        <v>6122</v>
      </c>
      <c r="C4784" s="2" t="s">
        <v>4162</v>
      </c>
      <c r="D4784" s="2" t="s">
        <v>10</v>
      </c>
      <c r="E4784" s="2" t="s">
        <v>16</v>
      </c>
      <c r="F4784" s="2">
        <v>2</v>
      </c>
      <c r="G4784" s="2" t="s">
        <v>12</v>
      </c>
    </row>
    <row r="4785" spans="1:7" x14ac:dyDescent="0.2">
      <c r="A4785" s="2" t="s">
        <v>6073</v>
      </c>
      <c r="B4785" s="2" t="s">
        <v>6123</v>
      </c>
      <c r="C4785" s="2" t="s">
        <v>6084</v>
      </c>
      <c r="D4785" s="2" t="s">
        <v>10</v>
      </c>
      <c r="E4785" s="2" t="s">
        <v>16</v>
      </c>
      <c r="F4785" s="2">
        <v>2</v>
      </c>
      <c r="G4785" s="2" t="s">
        <v>12</v>
      </c>
    </row>
    <row r="4786" spans="1:7" x14ac:dyDescent="0.2">
      <c r="A4786" s="2" t="s">
        <v>6073</v>
      </c>
      <c r="B4786" s="2" t="s">
        <v>6124</v>
      </c>
      <c r="C4786" s="2" t="s">
        <v>6079</v>
      </c>
      <c r="D4786" s="2" t="s">
        <v>29</v>
      </c>
      <c r="E4786" s="2" t="s">
        <v>16</v>
      </c>
      <c r="F4786" s="2">
        <v>2</v>
      </c>
      <c r="G4786" s="2" t="s">
        <v>12</v>
      </c>
    </row>
    <row r="4787" spans="1:7" x14ac:dyDescent="0.2">
      <c r="A4787" s="2" t="s">
        <v>6073</v>
      </c>
      <c r="B4787" s="2" t="s">
        <v>6125</v>
      </c>
      <c r="C4787" s="2" t="s">
        <v>6075</v>
      </c>
      <c r="D4787" s="2" t="s">
        <v>10</v>
      </c>
      <c r="E4787" s="2" t="s">
        <v>11</v>
      </c>
      <c r="F4787" s="2">
        <v>2</v>
      </c>
      <c r="G4787" s="2" t="s">
        <v>12</v>
      </c>
    </row>
    <row r="4788" spans="1:7" x14ac:dyDescent="0.2">
      <c r="A4788" s="2" t="s">
        <v>6073</v>
      </c>
      <c r="B4788" s="2" t="s">
        <v>6126</v>
      </c>
      <c r="C4788" s="2" t="s">
        <v>6075</v>
      </c>
      <c r="D4788" s="2" t="s">
        <v>10</v>
      </c>
      <c r="E4788" s="2" t="s">
        <v>11</v>
      </c>
      <c r="F4788" s="2">
        <v>2</v>
      </c>
      <c r="G4788" s="2" t="s">
        <v>12</v>
      </c>
    </row>
    <row r="4789" spans="1:7" x14ac:dyDescent="0.2">
      <c r="A4789" s="2" t="s">
        <v>6073</v>
      </c>
      <c r="B4789" s="2" t="s">
        <v>6127</v>
      </c>
      <c r="C4789" s="2" t="s">
        <v>6081</v>
      </c>
      <c r="D4789" s="2" t="s">
        <v>10</v>
      </c>
      <c r="E4789" s="2" t="s">
        <v>52</v>
      </c>
      <c r="F4789" s="2">
        <v>2</v>
      </c>
      <c r="G4789" s="2" t="s">
        <v>12</v>
      </c>
    </row>
    <row r="4790" spans="1:7" x14ac:dyDescent="0.2">
      <c r="A4790" s="2" t="s">
        <v>6073</v>
      </c>
      <c r="B4790" s="2" t="s">
        <v>6128</v>
      </c>
      <c r="C4790" s="2" t="s">
        <v>6077</v>
      </c>
      <c r="D4790" s="2" t="s">
        <v>10</v>
      </c>
      <c r="E4790" s="2" t="s">
        <v>52</v>
      </c>
      <c r="F4790" s="2">
        <v>2</v>
      </c>
      <c r="G4790" s="2" t="s">
        <v>12</v>
      </c>
    </row>
    <row r="4791" spans="1:7" x14ac:dyDescent="0.2">
      <c r="A4791" s="2" t="s">
        <v>6073</v>
      </c>
      <c r="B4791" s="2" t="s">
        <v>6129</v>
      </c>
      <c r="C4791" s="2" t="s">
        <v>306</v>
      </c>
      <c r="D4791" s="2" t="s">
        <v>10</v>
      </c>
      <c r="E4791" s="2" t="s">
        <v>16</v>
      </c>
      <c r="F4791" s="2">
        <v>1</v>
      </c>
      <c r="G4791" s="2" t="s">
        <v>17</v>
      </c>
    </row>
    <row r="4792" spans="1:7" x14ac:dyDescent="0.2">
      <c r="A4792" s="2" t="s">
        <v>6073</v>
      </c>
      <c r="B4792" s="2" t="s">
        <v>6130</v>
      </c>
      <c r="C4792" s="2" t="s">
        <v>306</v>
      </c>
      <c r="D4792" s="2" t="s">
        <v>10</v>
      </c>
      <c r="E4792" s="2" t="s">
        <v>16</v>
      </c>
      <c r="F4792" s="2">
        <v>1</v>
      </c>
      <c r="G4792" s="2" t="s">
        <v>17</v>
      </c>
    </row>
    <row r="4793" spans="1:7" x14ac:dyDescent="0.2">
      <c r="A4793" s="2" t="s">
        <v>6073</v>
      </c>
      <c r="B4793" s="2" t="s">
        <v>6131</v>
      </c>
      <c r="C4793" s="2" t="s">
        <v>773</v>
      </c>
      <c r="D4793" s="2" t="s">
        <v>10</v>
      </c>
      <c r="E4793" s="2" t="s">
        <v>52</v>
      </c>
      <c r="F4793" s="2">
        <v>1</v>
      </c>
      <c r="G4793" s="2" t="s">
        <v>17</v>
      </c>
    </row>
    <row r="4794" spans="1:7" x14ac:dyDescent="0.2">
      <c r="A4794" s="2" t="s">
        <v>6073</v>
      </c>
      <c r="B4794" s="2" t="s">
        <v>6132</v>
      </c>
      <c r="C4794" s="2" t="s">
        <v>6088</v>
      </c>
      <c r="D4794" s="2" t="s">
        <v>10</v>
      </c>
      <c r="E4794" s="2" t="s">
        <v>11</v>
      </c>
      <c r="F4794" s="2">
        <v>2</v>
      </c>
      <c r="G4794" s="2" t="s">
        <v>12</v>
      </c>
    </row>
    <row r="4795" spans="1:7" x14ac:dyDescent="0.2">
      <c r="A4795" s="2" t="s">
        <v>6073</v>
      </c>
      <c r="B4795" s="2" t="s">
        <v>6133</v>
      </c>
      <c r="C4795" s="2" t="s">
        <v>6088</v>
      </c>
      <c r="D4795" s="2" t="s">
        <v>10</v>
      </c>
      <c r="E4795" s="2" t="s">
        <v>11</v>
      </c>
      <c r="F4795" s="2">
        <v>2</v>
      </c>
      <c r="G4795" s="2" t="s">
        <v>12</v>
      </c>
    </row>
    <row r="4796" spans="1:7" x14ac:dyDescent="0.2">
      <c r="A4796" s="2" t="s">
        <v>6073</v>
      </c>
      <c r="B4796" s="2" t="s">
        <v>6134</v>
      </c>
      <c r="C4796" s="2" t="s">
        <v>6088</v>
      </c>
      <c r="D4796" s="2" t="s">
        <v>10</v>
      </c>
      <c r="E4796" s="2" t="s">
        <v>11</v>
      </c>
      <c r="F4796" s="2">
        <v>2</v>
      </c>
      <c r="G4796" s="2" t="s">
        <v>12</v>
      </c>
    </row>
    <row r="4797" spans="1:7" x14ac:dyDescent="0.2">
      <c r="A4797" s="2" t="s">
        <v>6073</v>
      </c>
      <c r="B4797" s="2" t="s">
        <v>6135</v>
      </c>
      <c r="C4797" s="2" t="s">
        <v>6108</v>
      </c>
      <c r="D4797" s="2" t="s">
        <v>29</v>
      </c>
      <c r="E4797" s="2" t="s">
        <v>16</v>
      </c>
      <c r="F4797" s="2">
        <v>2</v>
      </c>
      <c r="G4797" s="2" t="s">
        <v>17</v>
      </c>
    </row>
    <row r="4798" spans="1:7" x14ac:dyDescent="0.2">
      <c r="A4798" s="2" t="s">
        <v>6073</v>
      </c>
      <c r="B4798" s="2" t="s">
        <v>6136</v>
      </c>
      <c r="C4798" s="2" t="s">
        <v>6086</v>
      </c>
      <c r="D4798" s="2" t="s">
        <v>10</v>
      </c>
      <c r="E4798" s="2" t="s">
        <v>52</v>
      </c>
      <c r="F4798" s="2">
        <v>2</v>
      </c>
      <c r="G4798" s="2" t="s">
        <v>12</v>
      </c>
    </row>
    <row r="4799" spans="1:7" x14ac:dyDescent="0.2">
      <c r="A4799" s="2" t="s">
        <v>6073</v>
      </c>
      <c r="B4799" s="2" t="s">
        <v>6137</v>
      </c>
      <c r="C4799" s="2" t="s">
        <v>6077</v>
      </c>
      <c r="D4799" s="2" t="s">
        <v>10</v>
      </c>
      <c r="E4799" s="2" t="s">
        <v>52</v>
      </c>
      <c r="F4799" s="2">
        <v>2</v>
      </c>
      <c r="G4799" s="2" t="s">
        <v>12</v>
      </c>
    </row>
    <row r="4800" spans="1:7" x14ac:dyDescent="0.2">
      <c r="A4800" s="2" t="s">
        <v>6073</v>
      </c>
      <c r="B4800" s="2" t="s">
        <v>6138</v>
      </c>
      <c r="C4800" s="2" t="s">
        <v>6088</v>
      </c>
      <c r="D4800" s="2" t="s">
        <v>10</v>
      </c>
      <c r="E4800" s="2" t="s">
        <v>11</v>
      </c>
      <c r="F4800" s="2">
        <v>2</v>
      </c>
      <c r="G4800" s="2" t="s">
        <v>12</v>
      </c>
    </row>
    <row r="4801" spans="1:7" x14ac:dyDescent="0.2">
      <c r="A4801" s="2" t="s">
        <v>6073</v>
      </c>
      <c r="B4801" s="2" t="s">
        <v>6139</v>
      </c>
      <c r="C4801" s="2" t="s">
        <v>6088</v>
      </c>
      <c r="D4801" s="2" t="s">
        <v>10</v>
      </c>
      <c r="E4801" s="2" t="s">
        <v>11</v>
      </c>
      <c r="F4801" s="2">
        <v>2</v>
      </c>
      <c r="G4801" s="2" t="s">
        <v>12</v>
      </c>
    </row>
    <row r="4802" spans="1:7" x14ac:dyDescent="0.2">
      <c r="A4802" s="2" t="s">
        <v>6073</v>
      </c>
      <c r="B4802" s="2" t="s">
        <v>6140</v>
      </c>
      <c r="C4802" s="2" t="s">
        <v>6088</v>
      </c>
      <c r="D4802" s="2" t="s">
        <v>10</v>
      </c>
      <c r="E4802" s="2" t="s">
        <v>11</v>
      </c>
      <c r="F4802" s="2">
        <v>2</v>
      </c>
      <c r="G4802" s="2" t="s">
        <v>12</v>
      </c>
    </row>
    <row r="4803" spans="1:7" x14ac:dyDescent="0.2">
      <c r="A4803" s="2" t="s">
        <v>6073</v>
      </c>
      <c r="B4803" s="2" t="s">
        <v>6141</v>
      </c>
      <c r="C4803" s="2" t="s">
        <v>6090</v>
      </c>
      <c r="D4803" s="2" t="s">
        <v>10</v>
      </c>
      <c r="E4803" s="2" t="s">
        <v>52</v>
      </c>
      <c r="F4803" s="2">
        <v>2</v>
      </c>
      <c r="G4803" s="2" t="s">
        <v>12</v>
      </c>
    </row>
    <row r="4804" spans="1:7" x14ac:dyDescent="0.2">
      <c r="A4804" s="2" t="s">
        <v>6073</v>
      </c>
      <c r="B4804" s="2" t="s">
        <v>6142</v>
      </c>
      <c r="C4804" s="2" t="s">
        <v>6098</v>
      </c>
      <c r="D4804" s="2" t="s">
        <v>10</v>
      </c>
      <c r="E4804" s="2" t="s">
        <v>16</v>
      </c>
      <c r="F4804" s="2">
        <v>1</v>
      </c>
      <c r="G4804" s="2" t="s">
        <v>17</v>
      </c>
    </row>
    <row r="4805" spans="1:7" x14ac:dyDescent="0.2">
      <c r="A4805" s="2" t="s">
        <v>6073</v>
      </c>
      <c r="B4805" s="2" t="s">
        <v>6143</v>
      </c>
      <c r="C4805" s="2" t="s">
        <v>6079</v>
      </c>
      <c r="D4805" s="2" t="s">
        <v>29</v>
      </c>
      <c r="E4805" s="2" t="s">
        <v>16</v>
      </c>
      <c r="F4805" s="2">
        <v>2</v>
      </c>
      <c r="G4805" s="2" t="s">
        <v>12</v>
      </c>
    </row>
    <row r="4806" spans="1:7" x14ac:dyDescent="0.2">
      <c r="A4806" s="2" t="s">
        <v>6073</v>
      </c>
      <c r="B4806" s="2" t="s">
        <v>6144</v>
      </c>
      <c r="C4806" s="2" t="s">
        <v>6075</v>
      </c>
      <c r="D4806" s="2" t="s">
        <v>10</v>
      </c>
      <c r="E4806" s="2" t="s">
        <v>11</v>
      </c>
      <c r="F4806" s="2">
        <v>2</v>
      </c>
      <c r="G4806" s="2" t="s">
        <v>12</v>
      </c>
    </row>
    <row r="4807" spans="1:7" x14ac:dyDescent="0.2">
      <c r="A4807" s="2" t="s">
        <v>6073</v>
      </c>
      <c r="B4807" s="2" t="s">
        <v>6145</v>
      </c>
      <c r="C4807" s="2" t="s">
        <v>5813</v>
      </c>
      <c r="D4807" s="2" t="s">
        <v>29</v>
      </c>
      <c r="E4807" s="2" t="s">
        <v>16</v>
      </c>
      <c r="F4807" s="2">
        <v>2</v>
      </c>
      <c r="G4807" s="2" t="s">
        <v>17</v>
      </c>
    </row>
    <row r="4808" spans="1:7" x14ac:dyDescent="0.2">
      <c r="A4808" s="2" t="s">
        <v>6073</v>
      </c>
      <c r="B4808" s="2" t="s">
        <v>6146</v>
      </c>
      <c r="C4808" s="2" t="s">
        <v>6108</v>
      </c>
      <c r="D4808" s="2" t="s">
        <v>29</v>
      </c>
      <c r="E4808" s="2" t="s">
        <v>16</v>
      </c>
      <c r="F4808" s="2">
        <v>2</v>
      </c>
      <c r="G4808" s="2" t="s">
        <v>17</v>
      </c>
    </row>
    <row r="4809" spans="1:7" x14ac:dyDescent="0.2">
      <c r="A4809" s="2" t="s">
        <v>6073</v>
      </c>
      <c r="B4809" s="2" t="s">
        <v>2811</v>
      </c>
      <c r="C4809" s="2" t="s">
        <v>2679</v>
      </c>
      <c r="D4809" s="2" t="s">
        <v>10</v>
      </c>
      <c r="E4809" s="2" t="s">
        <v>11</v>
      </c>
      <c r="F4809" s="2">
        <v>4</v>
      </c>
      <c r="G4809" s="2" t="s">
        <v>1069</v>
      </c>
    </row>
    <row r="4810" spans="1:7" x14ac:dyDescent="0.2">
      <c r="A4810" s="2" t="s">
        <v>6073</v>
      </c>
      <c r="B4810" s="2" t="s">
        <v>6147</v>
      </c>
      <c r="C4810" s="2" t="s">
        <v>6075</v>
      </c>
      <c r="D4810" s="2" t="s">
        <v>10</v>
      </c>
      <c r="E4810" s="2" t="s">
        <v>11</v>
      </c>
      <c r="F4810" s="2">
        <v>2</v>
      </c>
      <c r="G4810" s="2" t="s">
        <v>12</v>
      </c>
    </row>
    <row r="4811" spans="1:7" x14ac:dyDescent="0.2">
      <c r="A4811" s="2" t="s">
        <v>6073</v>
      </c>
      <c r="B4811" s="2" t="s">
        <v>118</v>
      </c>
      <c r="C4811" s="2" t="s">
        <v>6120</v>
      </c>
      <c r="D4811" s="2" t="s">
        <v>29</v>
      </c>
      <c r="E4811" s="2" t="s">
        <v>16</v>
      </c>
      <c r="F4811" s="2">
        <v>2</v>
      </c>
      <c r="G4811" s="2" t="s">
        <v>17</v>
      </c>
    </row>
    <row r="4812" spans="1:7" x14ac:dyDescent="0.2">
      <c r="A4812" s="2" t="s">
        <v>6073</v>
      </c>
      <c r="B4812" s="2" t="s">
        <v>6148</v>
      </c>
      <c r="C4812" s="2" t="s">
        <v>6081</v>
      </c>
      <c r="D4812" s="2" t="s">
        <v>10</v>
      </c>
      <c r="E4812" s="2" t="s">
        <v>52</v>
      </c>
      <c r="F4812" s="2">
        <v>2</v>
      </c>
      <c r="G4812" s="2" t="s">
        <v>12</v>
      </c>
    </row>
    <row r="4813" spans="1:7" x14ac:dyDescent="0.2">
      <c r="A4813" s="2" t="s">
        <v>6073</v>
      </c>
      <c r="B4813" s="2" t="s">
        <v>6149</v>
      </c>
      <c r="C4813" s="2" t="s">
        <v>6081</v>
      </c>
      <c r="D4813" s="2" t="s">
        <v>10</v>
      </c>
      <c r="E4813" s="2" t="s">
        <v>52</v>
      </c>
      <c r="F4813" s="2">
        <v>2</v>
      </c>
      <c r="G4813" s="2" t="s">
        <v>12</v>
      </c>
    </row>
    <row r="4814" spans="1:7" x14ac:dyDescent="0.2">
      <c r="A4814" s="2" t="s">
        <v>6073</v>
      </c>
      <c r="B4814" s="2" t="s">
        <v>6150</v>
      </c>
      <c r="C4814" s="2" t="s">
        <v>4162</v>
      </c>
      <c r="D4814" s="2" t="s">
        <v>10</v>
      </c>
      <c r="E4814" s="2" t="s">
        <v>16</v>
      </c>
      <c r="F4814" s="2">
        <v>2</v>
      </c>
      <c r="G4814" s="2" t="s">
        <v>12</v>
      </c>
    </row>
    <row r="4815" spans="1:7" x14ac:dyDescent="0.2">
      <c r="A4815" s="2" t="s">
        <v>6073</v>
      </c>
      <c r="B4815" s="2" t="s">
        <v>652</v>
      </c>
      <c r="C4815" s="2" t="s">
        <v>6103</v>
      </c>
      <c r="D4815" s="2" t="s">
        <v>10</v>
      </c>
      <c r="E4815" s="2" t="s">
        <v>11</v>
      </c>
      <c r="F4815" s="2">
        <v>1</v>
      </c>
      <c r="G4815" s="2" t="s">
        <v>12</v>
      </c>
    </row>
    <row r="4816" spans="1:7" x14ac:dyDescent="0.2">
      <c r="A4816" s="2" t="s">
        <v>6073</v>
      </c>
      <c r="B4816" s="2" t="s">
        <v>6151</v>
      </c>
      <c r="C4816" s="2" t="s">
        <v>6075</v>
      </c>
      <c r="D4816" s="2" t="s">
        <v>10</v>
      </c>
      <c r="E4816" s="2" t="s">
        <v>11</v>
      </c>
      <c r="F4816" s="2">
        <v>2</v>
      </c>
      <c r="G4816" s="2" t="s">
        <v>12</v>
      </c>
    </row>
    <row r="4817" spans="1:7" x14ac:dyDescent="0.2">
      <c r="A4817" s="2" t="s">
        <v>6073</v>
      </c>
      <c r="B4817" s="2" t="s">
        <v>2033</v>
      </c>
      <c r="C4817" s="2" t="s">
        <v>5894</v>
      </c>
      <c r="D4817" s="2" t="s">
        <v>10</v>
      </c>
      <c r="E4817" s="2" t="s">
        <v>11</v>
      </c>
      <c r="F4817" s="2">
        <v>2</v>
      </c>
      <c r="G4817" s="2" t="s">
        <v>12</v>
      </c>
    </row>
    <row r="4818" spans="1:7" x14ac:dyDescent="0.2">
      <c r="A4818" s="2" t="s">
        <v>6073</v>
      </c>
      <c r="B4818" s="2" t="s">
        <v>6152</v>
      </c>
      <c r="C4818" s="2" t="s">
        <v>6081</v>
      </c>
      <c r="D4818" s="2" t="s">
        <v>10</v>
      </c>
      <c r="E4818" s="2" t="s">
        <v>52</v>
      </c>
      <c r="F4818" s="2">
        <v>2</v>
      </c>
      <c r="G4818" s="2" t="s">
        <v>12</v>
      </c>
    </row>
    <row r="4819" spans="1:7" x14ac:dyDescent="0.2">
      <c r="A4819" s="2" t="s">
        <v>6073</v>
      </c>
      <c r="B4819" s="2" t="s">
        <v>4560</v>
      </c>
      <c r="C4819" s="2" t="s">
        <v>4162</v>
      </c>
      <c r="D4819" s="2" t="s">
        <v>10</v>
      </c>
      <c r="E4819" s="2" t="s">
        <v>16</v>
      </c>
      <c r="F4819" s="2">
        <v>2</v>
      </c>
      <c r="G4819" s="2" t="s">
        <v>12</v>
      </c>
    </row>
    <row r="4820" spans="1:7" x14ac:dyDescent="0.2">
      <c r="A4820" s="2" t="s">
        <v>6073</v>
      </c>
      <c r="B4820" s="2" t="s">
        <v>6153</v>
      </c>
      <c r="C4820" s="2" t="s">
        <v>4165</v>
      </c>
      <c r="D4820" s="2" t="s">
        <v>10</v>
      </c>
      <c r="E4820" s="2" t="s">
        <v>52</v>
      </c>
      <c r="F4820" s="2">
        <v>2</v>
      </c>
      <c r="G4820" s="2" t="s">
        <v>12</v>
      </c>
    </row>
    <row r="4821" spans="1:7" x14ac:dyDescent="0.2">
      <c r="A4821" s="2" t="s">
        <v>6073</v>
      </c>
      <c r="B4821" s="2" t="s">
        <v>6154</v>
      </c>
      <c r="C4821" s="2" t="s">
        <v>4162</v>
      </c>
      <c r="D4821" s="2" t="s">
        <v>10</v>
      </c>
      <c r="E4821" s="2" t="s">
        <v>16</v>
      </c>
      <c r="F4821" s="2">
        <v>2</v>
      </c>
      <c r="G4821" s="2" t="s">
        <v>12</v>
      </c>
    </row>
    <row r="4822" spans="1:7" x14ac:dyDescent="0.2">
      <c r="A4822" s="2" t="s">
        <v>6073</v>
      </c>
      <c r="B4822" s="2" t="s">
        <v>6155</v>
      </c>
      <c r="C4822" s="2" t="s">
        <v>6079</v>
      </c>
      <c r="D4822" s="2" t="s">
        <v>29</v>
      </c>
      <c r="E4822" s="2" t="s">
        <v>16</v>
      </c>
      <c r="F4822" s="2">
        <v>2</v>
      </c>
      <c r="G4822" s="2" t="s">
        <v>12</v>
      </c>
    </row>
    <row r="4823" spans="1:7" x14ac:dyDescent="0.2">
      <c r="A4823" s="2" t="s">
        <v>6073</v>
      </c>
      <c r="B4823" s="2" t="s">
        <v>6156</v>
      </c>
      <c r="C4823" s="2" t="s">
        <v>306</v>
      </c>
      <c r="D4823" s="2" t="s">
        <v>10</v>
      </c>
      <c r="E4823" s="2" t="s">
        <v>16</v>
      </c>
      <c r="F4823" s="2">
        <v>1</v>
      </c>
      <c r="G4823" s="2" t="s">
        <v>17</v>
      </c>
    </row>
    <row r="4824" spans="1:7" x14ac:dyDescent="0.2">
      <c r="A4824" s="2" t="s">
        <v>6073</v>
      </c>
      <c r="B4824" s="2" t="s">
        <v>6157</v>
      </c>
      <c r="C4824" s="2" t="s">
        <v>5908</v>
      </c>
      <c r="D4824" s="2" t="s">
        <v>10</v>
      </c>
      <c r="E4824" s="2" t="s">
        <v>16</v>
      </c>
      <c r="F4824" s="2">
        <v>1</v>
      </c>
      <c r="G4824" s="2" t="s">
        <v>12</v>
      </c>
    </row>
    <row r="4825" spans="1:7" x14ac:dyDescent="0.2">
      <c r="A4825" s="2" t="s">
        <v>6073</v>
      </c>
      <c r="B4825" s="2" t="s">
        <v>6158</v>
      </c>
      <c r="C4825" s="2" t="s">
        <v>6077</v>
      </c>
      <c r="D4825" s="2" t="s">
        <v>10</v>
      </c>
      <c r="E4825" s="2" t="s">
        <v>52</v>
      </c>
      <c r="F4825" s="2">
        <v>2</v>
      </c>
      <c r="G4825" s="2" t="s">
        <v>12</v>
      </c>
    </row>
    <row r="4826" spans="1:7" x14ac:dyDescent="0.2">
      <c r="A4826" s="2" t="s">
        <v>6073</v>
      </c>
      <c r="B4826" s="2" t="s">
        <v>6159</v>
      </c>
      <c r="C4826" s="2" t="s">
        <v>6090</v>
      </c>
      <c r="D4826" s="2" t="s">
        <v>10</v>
      </c>
      <c r="E4826" s="2" t="s">
        <v>52</v>
      </c>
      <c r="F4826" s="2">
        <v>2</v>
      </c>
      <c r="G4826" s="2" t="s">
        <v>12</v>
      </c>
    </row>
    <row r="4827" spans="1:7" x14ac:dyDescent="0.2">
      <c r="A4827" s="2" t="s">
        <v>6073</v>
      </c>
      <c r="B4827" s="2" t="s">
        <v>6160</v>
      </c>
      <c r="C4827" s="2" t="s">
        <v>6084</v>
      </c>
      <c r="D4827" s="2" t="s">
        <v>10</v>
      </c>
      <c r="E4827" s="2" t="s">
        <v>16</v>
      </c>
      <c r="F4827" s="2">
        <v>2</v>
      </c>
      <c r="G4827" s="2" t="s">
        <v>12</v>
      </c>
    </row>
    <row r="4828" spans="1:7" x14ac:dyDescent="0.2">
      <c r="A4828" s="2" t="s">
        <v>6073</v>
      </c>
      <c r="B4828" s="2" t="s">
        <v>6161</v>
      </c>
      <c r="C4828" s="2" t="s">
        <v>6100</v>
      </c>
      <c r="D4828" s="2" t="s">
        <v>10</v>
      </c>
      <c r="E4828" s="2" t="s">
        <v>16</v>
      </c>
      <c r="F4828" s="2">
        <v>2</v>
      </c>
      <c r="G4828" s="2" t="s">
        <v>12</v>
      </c>
    </row>
    <row r="4829" spans="1:7" x14ac:dyDescent="0.2">
      <c r="A4829" s="2" t="s">
        <v>6073</v>
      </c>
      <c r="B4829" s="2" t="s">
        <v>6162</v>
      </c>
      <c r="C4829" s="2" t="s">
        <v>6105</v>
      </c>
      <c r="D4829" s="2" t="s">
        <v>10</v>
      </c>
      <c r="E4829" s="2" t="s">
        <v>11</v>
      </c>
      <c r="F4829" s="2">
        <v>2</v>
      </c>
      <c r="G4829" s="2" t="s">
        <v>12</v>
      </c>
    </row>
    <row r="4830" spans="1:7" x14ac:dyDescent="0.2">
      <c r="A4830" s="2" t="s">
        <v>6073</v>
      </c>
      <c r="B4830" s="2" t="s">
        <v>4561</v>
      </c>
      <c r="C4830" s="2" t="s">
        <v>4162</v>
      </c>
      <c r="D4830" s="2" t="s">
        <v>10</v>
      </c>
      <c r="E4830" s="2" t="s">
        <v>16</v>
      </c>
      <c r="F4830" s="2">
        <v>2</v>
      </c>
      <c r="G4830" s="2" t="s">
        <v>12</v>
      </c>
    </row>
    <row r="4831" spans="1:7" x14ac:dyDescent="0.2">
      <c r="A4831" s="2" t="s">
        <v>6073</v>
      </c>
      <c r="B4831" s="2" t="s">
        <v>6163</v>
      </c>
      <c r="C4831" s="2" t="s">
        <v>6084</v>
      </c>
      <c r="D4831" s="2" t="s">
        <v>10</v>
      </c>
      <c r="E4831" s="2" t="s">
        <v>16</v>
      </c>
      <c r="F4831" s="2">
        <v>2</v>
      </c>
      <c r="G4831" s="2" t="s">
        <v>12</v>
      </c>
    </row>
    <row r="4832" spans="1:7" x14ac:dyDescent="0.2">
      <c r="A4832" s="2" t="s">
        <v>6073</v>
      </c>
      <c r="B4832" s="2" t="s">
        <v>6164</v>
      </c>
      <c r="C4832" s="2" t="s">
        <v>773</v>
      </c>
      <c r="D4832" s="2" t="s">
        <v>10</v>
      </c>
      <c r="E4832" s="2" t="s">
        <v>52</v>
      </c>
      <c r="F4832" s="2">
        <v>1</v>
      </c>
      <c r="G4832" s="2" t="s">
        <v>17</v>
      </c>
    </row>
    <row r="4833" spans="1:7" x14ac:dyDescent="0.2">
      <c r="A4833" s="2" t="s">
        <v>6073</v>
      </c>
      <c r="B4833" s="2" t="s">
        <v>5738</v>
      </c>
      <c r="C4833" s="2" t="s">
        <v>5735</v>
      </c>
      <c r="D4833" s="2" t="s">
        <v>29</v>
      </c>
      <c r="E4833" s="2" t="s">
        <v>52</v>
      </c>
      <c r="F4833" s="2">
        <v>2</v>
      </c>
      <c r="G4833" s="2" t="s">
        <v>17</v>
      </c>
    </row>
    <row r="4834" spans="1:7" x14ac:dyDescent="0.2">
      <c r="A4834" s="2" t="s">
        <v>6073</v>
      </c>
      <c r="B4834" s="2" t="s">
        <v>6165</v>
      </c>
      <c r="C4834" s="2" t="s">
        <v>4165</v>
      </c>
      <c r="D4834" s="2" t="s">
        <v>10</v>
      </c>
      <c r="E4834" s="2" t="s">
        <v>52</v>
      </c>
      <c r="F4834" s="2">
        <v>2</v>
      </c>
      <c r="G4834" s="2" t="s">
        <v>12</v>
      </c>
    </row>
    <row r="4835" spans="1:7" x14ac:dyDescent="0.2">
      <c r="A4835" s="2" t="s">
        <v>6073</v>
      </c>
      <c r="B4835" s="2" t="s">
        <v>6166</v>
      </c>
      <c r="C4835" s="2" t="s">
        <v>6079</v>
      </c>
      <c r="D4835" s="2" t="s">
        <v>29</v>
      </c>
      <c r="E4835" s="2" t="s">
        <v>16</v>
      </c>
      <c r="F4835" s="2">
        <v>2</v>
      </c>
      <c r="G4835" s="2" t="s">
        <v>12</v>
      </c>
    </row>
    <row r="4836" spans="1:7" x14ac:dyDescent="0.2">
      <c r="A4836" s="2" t="s">
        <v>6073</v>
      </c>
      <c r="B4836" s="2" t="s">
        <v>6167</v>
      </c>
      <c r="C4836" s="2" t="s">
        <v>6077</v>
      </c>
      <c r="D4836" s="2" t="s">
        <v>10</v>
      </c>
      <c r="E4836" s="2" t="s">
        <v>52</v>
      </c>
      <c r="F4836" s="2">
        <v>2</v>
      </c>
      <c r="G4836" s="2" t="s">
        <v>12</v>
      </c>
    </row>
    <row r="4837" spans="1:7" x14ac:dyDescent="0.2">
      <c r="A4837" s="2" t="s">
        <v>6073</v>
      </c>
      <c r="B4837" s="2" t="s">
        <v>6168</v>
      </c>
      <c r="C4837" s="2" t="s">
        <v>6088</v>
      </c>
      <c r="D4837" s="2" t="s">
        <v>10</v>
      </c>
      <c r="E4837" s="2" t="s">
        <v>11</v>
      </c>
      <c r="F4837" s="2">
        <v>2</v>
      </c>
      <c r="G4837" s="2" t="s">
        <v>12</v>
      </c>
    </row>
    <row r="4838" spans="1:7" x14ac:dyDescent="0.2">
      <c r="A4838" s="2" t="s">
        <v>6073</v>
      </c>
      <c r="B4838" s="2" t="s">
        <v>6169</v>
      </c>
      <c r="C4838" s="2" t="s">
        <v>5813</v>
      </c>
      <c r="D4838" s="2" t="s">
        <v>29</v>
      </c>
      <c r="E4838" s="2" t="s">
        <v>16</v>
      </c>
      <c r="F4838" s="2">
        <v>2</v>
      </c>
      <c r="G4838" s="2" t="s">
        <v>17</v>
      </c>
    </row>
    <row r="4839" spans="1:7" x14ac:dyDescent="0.2">
      <c r="A4839" s="2" t="s">
        <v>6073</v>
      </c>
      <c r="B4839" s="2" t="s">
        <v>860</v>
      </c>
      <c r="C4839" s="2" t="s">
        <v>5910</v>
      </c>
      <c r="D4839" s="2" t="s">
        <v>10</v>
      </c>
      <c r="E4839" s="2" t="s">
        <v>16</v>
      </c>
      <c r="F4839" s="2">
        <v>1</v>
      </c>
      <c r="G4839" s="2" t="s">
        <v>17</v>
      </c>
    </row>
    <row r="4840" spans="1:7" x14ac:dyDescent="0.2">
      <c r="A4840" s="2" t="s">
        <v>6170</v>
      </c>
      <c r="B4840" s="2" t="s">
        <v>6171</v>
      </c>
      <c r="C4840" s="2" t="s">
        <v>1516</v>
      </c>
      <c r="D4840" s="2" t="s">
        <v>10</v>
      </c>
      <c r="E4840" s="2" t="s">
        <v>16</v>
      </c>
      <c r="F4840" s="2">
        <v>1</v>
      </c>
      <c r="G4840" s="2" t="s">
        <v>17</v>
      </c>
    </row>
    <row r="4841" spans="1:7" x14ac:dyDescent="0.2">
      <c r="A4841" s="2" t="s">
        <v>6170</v>
      </c>
      <c r="B4841" s="2" t="s">
        <v>6172</v>
      </c>
      <c r="C4841" s="2" t="s">
        <v>1516</v>
      </c>
      <c r="D4841" s="2" t="s">
        <v>10</v>
      </c>
      <c r="E4841" s="2" t="s">
        <v>16</v>
      </c>
      <c r="F4841" s="2">
        <v>1</v>
      </c>
      <c r="G4841" s="2" t="s">
        <v>17</v>
      </c>
    </row>
    <row r="4842" spans="1:7" x14ac:dyDescent="0.2">
      <c r="A4842" s="2" t="s">
        <v>6170</v>
      </c>
      <c r="B4842" s="2" t="s">
        <v>1515</v>
      </c>
      <c r="C4842" s="2" t="s">
        <v>1516</v>
      </c>
      <c r="D4842" s="2" t="s">
        <v>10</v>
      </c>
      <c r="E4842" s="2" t="s">
        <v>16</v>
      </c>
      <c r="F4842" s="2">
        <v>1</v>
      </c>
      <c r="G4842" s="2" t="s">
        <v>17</v>
      </c>
    </row>
    <row r="4843" spans="1:7" x14ac:dyDescent="0.2">
      <c r="A4843" s="2" t="s">
        <v>6170</v>
      </c>
      <c r="B4843" s="2" t="s">
        <v>1517</v>
      </c>
      <c r="C4843" s="2" t="s">
        <v>1516</v>
      </c>
      <c r="D4843" s="2" t="s">
        <v>10</v>
      </c>
      <c r="E4843" s="2" t="s">
        <v>16</v>
      </c>
      <c r="F4843" s="2">
        <v>1</v>
      </c>
      <c r="G4843" s="2" t="s">
        <v>17</v>
      </c>
    </row>
    <row r="4844" spans="1:7" x14ac:dyDescent="0.2">
      <c r="A4844" s="2" t="s">
        <v>6170</v>
      </c>
      <c r="B4844" s="2" t="s">
        <v>6173</v>
      </c>
      <c r="C4844" s="2" t="s">
        <v>1520</v>
      </c>
      <c r="D4844" s="2" t="s">
        <v>10</v>
      </c>
      <c r="E4844" s="2" t="s">
        <v>16</v>
      </c>
      <c r="F4844" s="2">
        <v>1</v>
      </c>
      <c r="G4844" s="2" t="s">
        <v>17</v>
      </c>
    </row>
    <row r="4845" spans="1:7" x14ac:dyDescent="0.2">
      <c r="A4845" s="2" t="s">
        <v>6170</v>
      </c>
      <c r="B4845" s="2" t="s">
        <v>6174</v>
      </c>
      <c r="C4845" s="2" t="s">
        <v>1520</v>
      </c>
      <c r="D4845" s="2" t="s">
        <v>10</v>
      </c>
      <c r="E4845" s="2" t="s">
        <v>16</v>
      </c>
      <c r="F4845" s="2">
        <v>1</v>
      </c>
      <c r="G4845" s="2" t="s">
        <v>17</v>
      </c>
    </row>
    <row r="4846" spans="1:7" x14ac:dyDescent="0.2">
      <c r="A4846" s="2" t="s">
        <v>6170</v>
      </c>
      <c r="B4846" s="2" t="s">
        <v>1519</v>
      </c>
      <c r="C4846" s="2" t="s">
        <v>1520</v>
      </c>
      <c r="D4846" s="2" t="s">
        <v>10</v>
      </c>
      <c r="E4846" s="2" t="s">
        <v>16</v>
      </c>
      <c r="F4846" s="2">
        <v>1</v>
      </c>
      <c r="G4846" s="2" t="s">
        <v>17</v>
      </c>
    </row>
    <row r="4847" spans="1:7" x14ac:dyDescent="0.2">
      <c r="A4847" s="2" t="s">
        <v>6170</v>
      </c>
      <c r="B4847" s="2" t="s">
        <v>6078</v>
      </c>
      <c r="C4847" s="2" t="s">
        <v>306</v>
      </c>
      <c r="D4847" s="2" t="s">
        <v>10</v>
      </c>
      <c r="E4847" s="2" t="s">
        <v>16</v>
      </c>
      <c r="F4847" s="2">
        <v>1</v>
      </c>
      <c r="G4847" s="2" t="s">
        <v>17</v>
      </c>
    </row>
    <row r="4848" spans="1:7" x14ac:dyDescent="0.2">
      <c r="A4848" s="2" t="s">
        <v>6170</v>
      </c>
      <c r="B4848" s="2" t="s">
        <v>1757</v>
      </c>
      <c r="C4848" s="2" t="s">
        <v>1520</v>
      </c>
      <c r="D4848" s="2" t="s">
        <v>10</v>
      </c>
      <c r="E4848" s="2" t="s">
        <v>16</v>
      </c>
      <c r="F4848" s="2">
        <v>1</v>
      </c>
      <c r="G4848" s="2" t="s">
        <v>17</v>
      </c>
    </row>
    <row r="4849" spans="1:7" x14ac:dyDescent="0.2">
      <c r="A4849" s="2" t="s">
        <v>6170</v>
      </c>
      <c r="B4849" s="2" t="s">
        <v>88</v>
      </c>
      <c r="C4849" s="2" t="s">
        <v>6175</v>
      </c>
      <c r="D4849" s="2" t="s">
        <v>10</v>
      </c>
      <c r="E4849" s="2" t="s">
        <v>16</v>
      </c>
      <c r="F4849" s="2">
        <v>2</v>
      </c>
      <c r="G4849" s="2" t="s">
        <v>17</v>
      </c>
    </row>
    <row r="4850" spans="1:7" x14ac:dyDescent="0.2">
      <c r="A4850" s="2" t="s">
        <v>6170</v>
      </c>
      <c r="B4850" s="2" t="s">
        <v>6129</v>
      </c>
      <c r="C4850" s="2" t="s">
        <v>306</v>
      </c>
      <c r="D4850" s="2" t="s">
        <v>10</v>
      </c>
      <c r="E4850" s="2" t="s">
        <v>16</v>
      </c>
      <c r="F4850" s="2">
        <v>1</v>
      </c>
      <c r="G4850" s="2" t="s">
        <v>17</v>
      </c>
    </row>
    <row r="4851" spans="1:7" x14ac:dyDescent="0.2">
      <c r="A4851" s="2" t="s">
        <v>6170</v>
      </c>
      <c r="B4851" s="2" t="s">
        <v>6130</v>
      </c>
      <c r="C4851" s="2" t="s">
        <v>306</v>
      </c>
      <c r="D4851" s="2" t="s">
        <v>10</v>
      </c>
      <c r="E4851" s="2" t="s">
        <v>16</v>
      </c>
      <c r="F4851" s="2">
        <v>1</v>
      </c>
      <c r="G4851" s="2" t="s">
        <v>17</v>
      </c>
    </row>
    <row r="4852" spans="1:7" x14ac:dyDescent="0.2">
      <c r="A4852" s="2" t="s">
        <v>6170</v>
      </c>
      <c r="B4852" s="2" t="s">
        <v>6131</v>
      </c>
      <c r="C4852" s="2" t="s">
        <v>773</v>
      </c>
      <c r="D4852" s="2" t="s">
        <v>10</v>
      </c>
      <c r="E4852" s="2" t="s">
        <v>52</v>
      </c>
      <c r="F4852" s="2">
        <v>1</v>
      </c>
      <c r="G4852" s="2" t="s">
        <v>17</v>
      </c>
    </row>
    <row r="4853" spans="1:7" x14ac:dyDescent="0.2">
      <c r="A4853" s="2" t="s">
        <v>6170</v>
      </c>
      <c r="B4853" s="2" t="s">
        <v>6132</v>
      </c>
      <c r="C4853" s="2" t="s">
        <v>6088</v>
      </c>
      <c r="D4853" s="2" t="s">
        <v>10</v>
      </c>
      <c r="E4853" s="2" t="s">
        <v>11</v>
      </c>
      <c r="F4853" s="2">
        <v>2</v>
      </c>
      <c r="G4853" s="2" t="s">
        <v>12</v>
      </c>
    </row>
    <row r="4854" spans="1:7" x14ac:dyDescent="0.2">
      <c r="A4854" s="2" t="s">
        <v>6170</v>
      </c>
      <c r="B4854" s="2" t="s">
        <v>6133</v>
      </c>
      <c r="C4854" s="2" t="s">
        <v>6088</v>
      </c>
      <c r="D4854" s="2" t="s">
        <v>10</v>
      </c>
      <c r="E4854" s="2" t="s">
        <v>11</v>
      </c>
      <c r="F4854" s="2">
        <v>2</v>
      </c>
      <c r="G4854" s="2" t="s">
        <v>12</v>
      </c>
    </row>
    <row r="4855" spans="1:7" x14ac:dyDescent="0.2">
      <c r="A4855" s="2" t="s">
        <v>6170</v>
      </c>
      <c r="B4855" s="2" t="s">
        <v>6134</v>
      </c>
      <c r="C4855" s="2" t="s">
        <v>6088</v>
      </c>
      <c r="D4855" s="2" t="s">
        <v>10</v>
      </c>
      <c r="E4855" s="2" t="s">
        <v>11</v>
      </c>
      <c r="F4855" s="2">
        <v>2</v>
      </c>
      <c r="G4855" s="2" t="s">
        <v>12</v>
      </c>
    </row>
    <row r="4856" spans="1:7" x14ac:dyDescent="0.2">
      <c r="A4856" s="2" t="s">
        <v>6170</v>
      </c>
      <c r="B4856" s="2" t="s">
        <v>6176</v>
      </c>
      <c r="C4856" s="2" t="s">
        <v>6088</v>
      </c>
      <c r="D4856" s="2" t="s">
        <v>10</v>
      </c>
      <c r="E4856" s="2" t="s">
        <v>11</v>
      </c>
      <c r="F4856" s="2">
        <v>2</v>
      </c>
      <c r="G4856" s="2" t="s">
        <v>12</v>
      </c>
    </row>
    <row r="4857" spans="1:7" x14ac:dyDescent="0.2">
      <c r="A4857" s="2" t="s">
        <v>6170</v>
      </c>
      <c r="B4857" s="2" t="s">
        <v>6177</v>
      </c>
      <c r="C4857" s="2" t="s">
        <v>6175</v>
      </c>
      <c r="D4857" s="2" t="s">
        <v>10</v>
      </c>
      <c r="E4857" s="2" t="s">
        <v>16</v>
      </c>
      <c r="F4857" s="2">
        <v>2</v>
      </c>
      <c r="G4857" s="2" t="s">
        <v>17</v>
      </c>
    </row>
    <row r="4858" spans="1:7" x14ac:dyDescent="0.2">
      <c r="A4858" s="2" t="s">
        <v>6170</v>
      </c>
      <c r="B4858" s="2" t="s">
        <v>6138</v>
      </c>
      <c r="C4858" s="2" t="s">
        <v>6088</v>
      </c>
      <c r="D4858" s="2" t="s">
        <v>10</v>
      </c>
      <c r="E4858" s="2" t="s">
        <v>11</v>
      </c>
      <c r="F4858" s="2">
        <v>2</v>
      </c>
      <c r="G4858" s="2" t="s">
        <v>12</v>
      </c>
    </row>
    <row r="4859" spans="1:7" x14ac:dyDescent="0.2">
      <c r="A4859" s="2" t="s">
        <v>6170</v>
      </c>
      <c r="B4859" s="2" t="s">
        <v>6139</v>
      </c>
      <c r="C4859" s="2" t="s">
        <v>6088</v>
      </c>
      <c r="D4859" s="2" t="s">
        <v>10</v>
      </c>
      <c r="E4859" s="2" t="s">
        <v>11</v>
      </c>
      <c r="F4859" s="2">
        <v>2</v>
      </c>
      <c r="G4859" s="2" t="s">
        <v>12</v>
      </c>
    </row>
    <row r="4860" spans="1:7" x14ac:dyDescent="0.2">
      <c r="A4860" s="2" t="s">
        <v>6170</v>
      </c>
      <c r="B4860" s="2" t="s">
        <v>6140</v>
      </c>
      <c r="C4860" s="2" t="s">
        <v>6088</v>
      </c>
      <c r="D4860" s="2" t="s">
        <v>10</v>
      </c>
      <c r="E4860" s="2" t="s">
        <v>11</v>
      </c>
      <c r="F4860" s="2">
        <v>2</v>
      </c>
      <c r="G4860" s="2" t="s">
        <v>12</v>
      </c>
    </row>
    <row r="4861" spans="1:7" x14ac:dyDescent="0.2">
      <c r="A4861" s="2" t="s">
        <v>6170</v>
      </c>
      <c r="B4861" s="2" t="s">
        <v>6178</v>
      </c>
      <c r="C4861" s="2" t="s">
        <v>6088</v>
      </c>
      <c r="D4861" s="2" t="s">
        <v>10</v>
      </c>
      <c r="E4861" s="2" t="s">
        <v>11</v>
      </c>
      <c r="F4861" s="2">
        <v>2</v>
      </c>
      <c r="G4861" s="2" t="s">
        <v>12</v>
      </c>
    </row>
    <row r="4862" spans="1:7" x14ac:dyDescent="0.2">
      <c r="A4862" s="2" t="s">
        <v>6170</v>
      </c>
      <c r="B4862" s="2" t="s">
        <v>6179</v>
      </c>
      <c r="C4862" s="2" t="s">
        <v>1516</v>
      </c>
      <c r="D4862" s="2" t="s">
        <v>10</v>
      </c>
      <c r="E4862" s="2" t="s">
        <v>16</v>
      </c>
      <c r="F4862" s="2">
        <v>1</v>
      </c>
      <c r="G4862" s="2" t="s">
        <v>17</v>
      </c>
    </row>
    <row r="4863" spans="1:7" x14ac:dyDescent="0.2">
      <c r="A4863" s="2" t="s">
        <v>6170</v>
      </c>
      <c r="B4863" s="2" t="s">
        <v>6156</v>
      </c>
      <c r="C4863" s="2" t="s">
        <v>306</v>
      </c>
      <c r="D4863" s="2" t="s">
        <v>10</v>
      </c>
      <c r="E4863" s="2" t="s">
        <v>16</v>
      </c>
      <c r="F4863" s="2">
        <v>1</v>
      </c>
      <c r="G4863" s="2" t="s">
        <v>17</v>
      </c>
    </row>
    <row r="4864" spans="1:7" x14ac:dyDescent="0.2">
      <c r="A4864" s="2" t="s">
        <v>6170</v>
      </c>
      <c r="B4864" s="2" t="s">
        <v>6180</v>
      </c>
      <c r="C4864" s="2" t="s">
        <v>1516</v>
      </c>
      <c r="D4864" s="2" t="s">
        <v>10</v>
      </c>
      <c r="E4864" s="2" t="s">
        <v>16</v>
      </c>
      <c r="F4864" s="2">
        <v>1</v>
      </c>
      <c r="G4864" s="2" t="s">
        <v>17</v>
      </c>
    </row>
    <row r="4865" spans="1:7" x14ac:dyDescent="0.2">
      <c r="A4865" s="2" t="s">
        <v>6170</v>
      </c>
      <c r="B4865" s="2" t="s">
        <v>676</v>
      </c>
      <c r="C4865" s="2" t="s">
        <v>1520</v>
      </c>
      <c r="D4865" s="2" t="s">
        <v>10</v>
      </c>
      <c r="E4865" s="2" t="s">
        <v>16</v>
      </c>
      <c r="F4865" s="2">
        <v>1</v>
      </c>
      <c r="G4865" s="2" t="s">
        <v>17</v>
      </c>
    </row>
    <row r="4866" spans="1:7" x14ac:dyDescent="0.2">
      <c r="A4866" s="2" t="s">
        <v>6170</v>
      </c>
      <c r="B4866" s="2" t="s">
        <v>1521</v>
      </c>
      <c r="C4866" s="2" t="s">
        <v>1516</v>
      </c>
      <c r="D4866" s="2" t="s">
        <v>10</v>
      </c>
      <c r="E4866" s="2" t="s">
        <v>16</v>
      </c>
      <c r="F4866" s="2">
        <v>1</v>
      </c>
      <c r="G4866" s="2" t="s">
        <v>17</v>
      </c>
    </row>
    <row r="4867" spans="1:7" x14ac:dyDescent="0.2">
      <c r="A4867" s="2" t="s">
        <v>6170</v>
      </c>
      <c r="B4867" s="2" t="s">
        <v>1522</v>
      </c>
      <c r="C4867" s="2" t="s">
        <v>1516</v>
      </c>
      <c r="D4867" s="2" t="s">
        <v>10</v>
      </c>
      <c r="E4867" s="2" t="s">
        <v>16</v>
      </c>
      <c r="F4867" s="2">
        <v>1</v>
      </c>
      <c r="G4867" s="2" t="s">
        <v>17</v>
      </c>
    </row>
    <row r="4868" spans="1:7" x14ac:dyDescent="0.2">
      <c r="A4868" s="2" t="s">
        <v>6170</v>
      </c>
      <c r="B4868" s="2" t="s">
        <v>465</v>
      </c>
      <c r="C4868" s="2" t="s">
        <v>1520</v>
      </c>
      <c r="D4868" s="2" t="s">
        <v>10</v>
      </c>
      <c r="E4868" s="2" t="s">
        <v>16</v>
      </c>
      <c r="F4868" s="2">
        <v>1</v>
      </c>
      <c r="G4868" s="2" t="s">
        <v>17</v>
      </c>
    </row>
    <row r="4869" spans="1:7" x14ac:dyDescent="0.2">
      <c r="A4869" s="2" t="s">
        <v>6170</v>
      </c>
      <c r="B4869" s="2" t="s">
        <v>6164</v>
      </c>
      <c r="C4869" s="2" t="s">
        <v>773</v>
      </c>
      <c r="D4869" s="2" t="s">
        <v>10</v>
      </c>
      <c r="E4869" s="2" t="s">
        <v>52</v>
      </c>
      <c r="F4869" s="2">
        <v>1</v>
      </c>
      <c r="G4869" s="2" t="s">
        <v>17</v>
      </c>
    </row>
    <row r="4870" spans="1:7" x14ac:dyDescent="0.2">
      <c r="A4870" s="2" t="s">
        <v>6181</v>
      </c>
      <c r="B4870" s="2" t="s">
        <v>5621</v>
      </c>
      <c r="C4870" s="2" t="s">
        <v>5622</v>
      </c>
      <c r="D4870" s="2" t="s">
        <v>10</v>
      </c>
      <c r="E4870" s="2" t="s">
        <v>16</v>
      </c>
      <c r="F4870" s="2">
        <v>1</v>
      </c>
      <c r="G4870" s="2" t="s">
        <v>17</v>
      </c>
    </row>
    <row r="4871" spans="1:7" x14ac:dyDescent="0.2">
      <c r="A4871" s="2" t="s">
        <v>6181</v>
      </c>
      <c r="B4871" s="2" t="s">
        <v>6182</v>
      </c>
      <c r="C4871" s="2" t="s">
        <v>5622</v>
      </c>
      <c r="D4871" s="2" t="s">
        <v>10</v>
      </c>
      <c r="E4871" s="2" t="s">
        <v>16</v>
      </c>
      <c r="F4871" s="2">
        <v>1</v>
      </c>
      <c r="G4871" s="2" t="s">
        <v>17</v>
      </c>
    </row>
    <row r="4872" spans="1:7" x14ac:dyDescent="0.2">
      <c r="A4872" s="2" t="s">
        <v>6181</v>
      </c>
      <c r="B4872" s="2" t="s">
        <v>5623</v>
      </c>
      <c r="C4872" s="2" t="s">
        <v>5622</v>
      </c>
      <c r="D4872" s="2" t="s">
        <v>10</v>
      </c>
      <c r="E4872" s="2" t="s">
        <v>16</v>
      </c>
      <c r="F4872" s="2">
        <v>1</v>
      </c>
      <c r="G4872" s="2" t="s">
        <v>17</v>
      </c>
    </row>
    <row r="4873" spans="1:7" x14ac:dyDescent="0.2">
      <c r="A4873" s="2" t="s">
        <v>6181</v>
      </c>
      <c r="B4873" s="2" t="s">
        <v>6183</v>
      </c>
      <c r="C4873" s="2" t="s">
        <v>5622</v>
      </c>
      <c r="D4873" s="2" t="s">
        <v>10</v>
      </c>
      <c r="E4873" s="2" t="s">
        <v>16</v>
      </c>
      <c r="F4873" s="2">
        <v>1</v>
      </c>
      <c r="G4873" s="2" t="s">
        <v>17</v>
      </c>
    </row>
    <row r="4874" spans="1:7" x14ac:dyDescent="0.2">
      <c r="A4874" s="2" t="s">
        <v>6181</v>
      </c>
      <c r="B4874" s="2" t="s">
        <v>6184</v>
      </c>
      <c r="C4874" s="2" t="s">
        <v>6185</v>
      </c>
      <c r="D4874" s="2" t="s">
        <v>10</v>
      </c>
      <c r="E4874" s="2" t="s">
        <v>16</v>
      </c>
      <c r="F4874" s="2">
        <v>1</v>
      </c>
      <c r="G4874" s="2" t="s">
        <v>17</v>
      </c>
    </row>
    <row r="4875" spans="1:7" x14ac:dyDescent="0.2">
      <c r="A4875" s="2" t="s">
        <v>6181</v>
      </c>
      <c r="B4875" s="2" t="s">
        <v>6186</v>
      </c>
      <c r="C4875" s="2" t="s">
        <v>6185</v>
      </c>
      <c r="D4875" s="2" t="s">
        <v>10</v>
      </c>
      <c r="E4875" s="2" t="s">
        <v>16</v>
      </c>
      <c r="F4875" s="2">
        <v>1</v>
      </c>
      <c r="G4875" s="2" t="s">
        <v>17</v>
      </c>
    </row>
    <row r="4876" spans="1:7" x14ac:dyDescent="0.2">
      <c r="A4876" s="2" t="s">
        <v>6187</v>
      </c>
      <c r="B4876" s="2" t="s">
        <v>5784</v>
      </c>
      <c r="C4876" s="2" t="s">
        <v>5785</v>
      </c>
      <c r="D4876" s="2" t="s">
        <v>10</v>
      </c>
      <c r="E4876" s="2" t="s">
        <v>16</v>
      </c>
      <c r="F4876" s="2">
        <v>1</v>
      </c>
      <c r="G4876" s="2" t="s">
        <v>17</v>
      </c>
    </row>
    <row r="4877" spans="1:7" x14ac:dyDescent="0.2">
      <c r="A4877" s="2" t="s">
        <v>6188</v>
      </c>
      <c r="B4877" s="2" t="s">
        <v>6189</v>
      </c>
      <c r="C4877" s="2" t="s">
        <v>6190</v>
      </c>
      <c r="D4877" s="2" t="s">
        <v>56</v>
      </c>
      <c r="E4877" s="2" t="s">
        <v>16</v>
      </c>
      <c r="F4877" s="2">
        <v>1</v>
      </c>
      <c r="G4877" s="2" t="s">
        <v>17</v>
      </c>
    </row>
    <row r="4878" spans="1:7" x14ac:dyDescent="0.2">
      <c r="A4878" s="2" t="s">
        <v>6188</v>
      </c>
      <c r="B4878" s="2" t="s">
        <v>6191</v>
      </c>
      <c r="C4878" s="2" t="s">
        <v>6190</v>
      </c>
      <c r="D4878" s="2" t="s">
        <v>56</v>
      </c>
      <c r="E4878" s="2" t="s">
        <v>16</v>
      </c>
      <c r="F4878" s="2">
        <v>1</v>
      </c>
      <c r="G4878" s="2" t="s">
        <v>17</v>
      </c>
    </row>
    <row r="4879" spans="1:7" x14ac:dyDescent="0.2">
      <c r="A4879" s="2" t="s">
        <v>6192</v>
      </c>
      <c r="B4879" s="2" t="s">
        <v>6193</v>
      </c>
      <c r="C4879" s="2" t="s">
        <v>6194</v>
      </c>
      <c r="D4879" s="2" t="s">
        <v>10</v>
      </c>
      <c r="E4879" s="2" t="s">
        <v>11</v>
      </c>
      <c r="F4879" s="2">
        <v>2</v>
      </c>
      <c r="G4879" s="2" t="s">
        <v>12</v>
      </c>
    </row>
    <row r="4880" spans="1:7" x14ac:dyDescent="0.2">
      <c r="A4880" s="2" t="s">
        <v>6192</v>
      </c>
      <c r="B4880" s="2" t="s">
        <v>6195</v>
      </c>
      <c r="C4880" s="2" t="s">
        <v>703</v>
      </c>
      <c r="D4880" s="2" t="s">
        <v>10</v>
      </c>
      <c r="E4880" s="2" t="s">
        <v>11</v>
      </c>
      <c r="F4880" s="2">
        <v>1</v>
      </c>
      <c r="G4880" s="2" t="s">
        <v>12</v>
      </c>
    </row>
    <row r="4881" spans="1:7" x14ac:dyDescent="0.2">
      <c r="A4881" s="2" t="s">
        <v>6192</v>
      </c>
      <c r="B4881" s="2" t="s">
        <v>6196</v>
      </c>
      <c r="C4881" s="2" t="s">
        <v>6197</v>
      </c>
      <c r="D4881" s="2" t="s">
        <v>10</v>
      </c>
      <c r="E4881" s="2" t="s">
        <v>11</v>
      </c>
      <c r="F4881" s="2">
        <v>1</v>
      </c>
      <c r="G4881" s="2" t="s">
        <v>12</v>
      </c>
    </row>
    <row r="4882" spans="1:7" x14ac:dyDescent="0.2">
      <c r="A4882" s="2" t="s">
        <v>6192</v>
      </c>
      <c r="B4882" s="2" t="s">
        <v>6198</v>
      </c>
      <c r="C4882" s="2" t="s">
        <v>6194</v>
      </c>
      <c r="D4882" s="2" t="s">
        <v>10</v>
      </c>
      <c r="E4882" s="2" t="s">
        <v>11</v>
      </c>
      <c r="F4882" s="2">
        <v>2</v>
      </c>
      <c r="G4882" s="2" t="s">
        <v>12</v>
      </c>
    </row>
    <row r="4883" spans="1:7" x14ac:dyDescent="0.2">
      <c r="A4883" s="2" t="s">
        <v>6192</v>
      </c>
      <c r="B4883" s="2" t="s">
        <v>6199</v>
      </c>
      <c r="C4883" s="2" t="s">
        <v>703</v>
      </c>
      <c r="D4883" s="2" t="s">
        <v>10</v>
      </c>
      <c r="E4883" s="2" t="s">
        <v>11</v>
      </c>
      <c r="F4883" s="2">
        <v>1</v>
      </c>
      <c r="G4883" s="2" t="s">
        <v>12</v>
      </c>
    </row>
    <row r="4884" spans="1:7" x14ac:dyDescent="0.2">
      <c r="A4884" s="2" t="s">
        <v>6192</v>
      </c>
      <c r="B4884" s="2" t="s">
        <v>6200</v>
      </c>
      <c r="C4884" s="2" t="s">
        <v>6197</v>
      </c>
      <c r="D4884" s="2" t="s">
        <v>10</v>
      </c>
      <c r="E4884" s="2" t="s">
        <v>11</v>
      </c>
      <c r="F4884" s="2">
        <v>1</v>
      </c>
      <c r="G4884" s="2" t="s">
        <v>12</v>
      </c>
    </row>
    <row r="4885" spans="1:7" x14ac:dyDescent="0.2">
      <c r="A4885" s="2" t="s">
        <v>6192</v>
      </c>
      <c r="B4885" s="2" t="s">
        <v>6201</v>
      </c>
      <c r="C4885" s="2" t="s">
        <v>6197</v>
      </c>
      <c r="D4885" s="2" t="s">
        <v>10</v>
      </c>
      <c r="E4885" s="2" t="s">
        <v>11</v>
      </c>
      <c r="F4885" s="2">
        <v>1</v>
      </c>
      <c r="G4885" s="2" t="s">
        <v>12</v>
      </c>
    </row>
    <row r="4886" spans="1:7" x14ac:dyDescent="0.2">
      <c r="A4886" s="2" t="s">
        <v>6202</v>
      </c>
      <c r="B4886" s="2" t="s">
        <v>6203</v>
      </c>
      <c r="C4886" s="2" t="s">
        <v>6204</v>
      </c>
      <c r="D4886" s="2" t="s">
        <v>10</v>
      </c>
      <c r="E4886" s="2" t="s">
        <v>52</v>
      </c>
      <c r="F4886" s="2">
        <v>2</v>
      </c>
      <c r="G4886" s="2" t="s">
        <v>17</v>
      </c>
    </row>
    <row r="4887" spans="1:7" x14ac:dyDescent="0.2">
      <c r="A4887" s="2" t="s">
        <v>6202</v>
      </c>
      <c r="B4887" s="2" t="s">
        <v>6205</v>
      </c>
      <c r="C4887" s="2" t="s">
        <v>6204</v>
      </c>
      <c r="D4887" s="2" t="s">
        <v>10</v>
      </c>
      <c r="E4887" s="2" t="s">
        <v>52</v>
      </c>
      <c r="F4887" s="2">
        <v>2</v>
      </c>
      <c r="G4887" s="2" t="s">
        <v>17</v>
      </c>
    </row>
    <row r="4888" spans="1:7" x14ac:dyDescent="0.2">
      <c r="A4888" s="2" t="s">
        <v>6202</v>
      </c>
      <c r="B4888" s="2" t="s">
        <v>6206</v>
      </c>
      <c r="C4888" s="2" t="s">
        <v>6207</v>
      </c>
      <c r="D4888" s="2" t="s">
        <v>10</v>
      </c>
      <c r="E4888" s="2" t="s">
        <v>52</v>
      </c>
      <c r="F4888" s="2">
        <v>2</v>
      </c>
      <c r="G4888" s="2" t="s">
        <v>17</v>
      </c>
    </row>
    <row r="4889" spans="1:7" x14ac:dyDescent="0.2">
      <c r="A4889" s="2" t="s">
        <v>6202</v>
      </c>
      <c r="B4889" s="2" t="s">
        <v>6208</v>
      </c>
      <c r="C4889" s="2" t="s">
        <v>6207</v>
      </c>
      <c r="D4889" s="2" t="s">
        <v>10</v>
      </c>
      <c r="E4889" s="2" t="s">
        <v>52</v>
      </c>
      <c r="F4889" s="2">
        <v>2</v>
      </c>
      <c r="G4889" s="2" t="s">
        <v>17</v>
      </c>
    </row>
    <row r="4890" spans="1:7" x14ac:dyDescent="0.2">
      <c r="A4890" s="2" t="s">
        <v>6202</v>
      </c>
      <c r="B4890" s="2" t="s">
        <v>6209</v>
      </c>
      <c r="C4890" s="2" t="s">
        <v>6210</v>
      </c>
      <c r="D4890" s="2" t="s">
        <v>10</v>
      </c>
      <c r="E4890" s="2" t="s">
        <v>11</v>
      </c>
      <c r="F4890" s="2">
        <v>2</v>
      </c>
      <c r="G4890" s="2" t="s">
        <v>12</v>
      </c>
    </row>
    <row r="4891" spans="1:7" x14ac:dyDescent="0.2">
      <c r="A4891" s="2" t="s">
        <v>6202</v>
      </c>
      <c r="B4891" s="2" t="s">
        <v>6211</v>
      </c>
      <c r="C4891" s="2" t="s">
        <v>6210</v>
      </c>
      <c r="D4891" s="2" t="s">
        <v>10</v>
      </c>
      <c r="E4891" s="2" t="s">
        <v>11</v>
      </c>
      <c r="F4891" s="2">
        <v>2</v>
      </c>
      <c r="G4891" s="2" t="s">
        <v>12</v>
      </c>
    </row>
    <row r="4892" spans="1:7" x14ac:dyDescent="0.2">
      <c r="A4892" s="2" t="s">
        <v>6202</v>
      </c>
      <c r="B4892" s="2" t="s">
        <v>6212</v>
      </c>
      <c r="C4892" s="2" t="s">
        <v>6210</v>
      </c>
      <c r="D4892" s="2" t="s">
        <v>10</v>
      </c>
      <c r="E4892" s="2" t="s">
        <v>11</v>
      </c>
      <c r="F4892" s="2">
        <v>2</v>
      </c>
      <c r="G4892" s="2" t="s">
        <v>12</v>
      </c>
    </row>
    <row r="4893" spans="1:7" x14ac:dyDescent="0.2">
      <c r="A4893" s="2" t="s">
        <v>6202</v>
      </c>
      <c r="B4893" s="2" t="s">
        <v>6213</v>
      </c>
      <c r="C4893" s="2" t="s">
        <v>6210</v>
      </c>
      <c r="D4893" s="2" t="s">
        <v>10</v>
      </c>
      <c r="E4893" s="2" t="s">
        <v>11</v>
      </c>
      <c r="F4893" s="2">
        <v>2</v>
      </c>
      <c r="G4893" s="2" t="s">
        <v>12</v>
      </c>
    </row>
    <row r="4894" spans="1:7" x14ac:dyDescent="0.2">
      <c r="A4894" s="2" t="s">
        <v>6202</v>
      </c>
      <c r="B4894" s="2" t="s">
        <v>6214</v>
      </c>
      <c r="C4894" s="2" t="s">
        <v>6210</v>
      </c>
      <c r="D4894" s="2" t="s">
        <v>10</v>
      </c>
      <c r="E4894" s="2" t="s">
        <v>11</v>
      </c>
      <c r="F4894" s="2">
        <v>2</v>
      </c>
      <c r="G4894" s="2" t="s">
        <v>12</v>
      </c>
    </row>
    <row r="4895" spans="1:7" x14ac:dyDescent="0.2">
      <c r="A4895" s="2" t="s">
        <v>6202</v>
      </c>
      <c r="B4895" s="2" t="s">
        <v>6215</v>
      </c>
      <c r="C4895" s="2" t="s">
        <v>6216</v>
      </c>
      <c r="D4895" s="2" t="s">
        <v>10</v>
      </c>
      <c r="E4895" s="2" t="s">
        <v>11</v>
      </c>
      <c r="F4895" s="2">
        <v>2</v>
      </c>
      <c r="G4895" s="2" t="s">
        <v>12</v>
      </c>
    </row>
    <row r="4896" spans="1:7" x14ac:dyDescent="0.2">
      <c r="A4896" s="2" t="s">
        <v>6202</v>
      </c>
      <c r="B4896" s="2" t="s">
        <v>6217</v>
      </c>
      <c r="C4896" s="2" t="s">
        <v>6216</v>
      </c>
      <c r="D4896" s="2" t="s">
        <v>10</v>
      </c>
      <c r="E4896" s="2" t="s">
        <v>11</v>
      </c>
      <c r="F4896" s="2">
        <v>2</v>
      </c>
      <c r="G4896" s="2" t="s">
        <v>12</v>
      </c>
    </row>
    <row r="4897" spans="1:7" x14ac:dyDescent="0.2">
      <c r="A4897" s="2" t="s">
        <v>6202</v>
      </c>
      <c r="B4897" s="2" t="s">
        <v>6218</v>
      </c>
      <c r="C4897" s="2" t="s">
        <v>6216</v>
      </c>
      <c r="D4897" s="2" t="s">
        <v>10</v>
      </c>
      <c r="E4897" s="2" t="s">
        <v>11</v>
      </c>
      <c r="F4897" s="2">
        <v>2</v>
      </c>
      <c r="G4897" s="2" t="s">
        <v>12</v>
      </c>
    </row>
    <row r="4898" spans="1:7" x14ac:dyDescent="0.2">
      <c r="A4898" s="2" t="s">
        <v>6202</v>
      </c>
      <c r="B4898" s="2" t="s">
        <v>6219</v>
      </c>
      <c r="C4898" s="2" t="s">
        <v>6220</v>
      </c>
      <c r="D4898" s="2" t="s">
        <v>10</v>
      </c>
      <c r="E4898" s="2" t="s">
        <v>11</v>
      </c>
      <c r="F4898" s="2">
        <v>2</v>
      </c>
      <c r="G4898" s="2" t="s">
        <v>12</v>
      </c>
    </row>
    <row r="4899" spans="1:7" x14ac:dyDescent="0.2">
      <c r="A4899" s="2" t="s">
        <v>6202</v>
      </c>
      <c r="B4899" s="2" t="s">
        <v>6221</v>
      </c>
      <c r="C4899" s="2" t="s">
        <v>6216</v>
      </c>
      <c r="D4899" s="2" t="s">
        <v>10</v>
      </c>
      <c r="E4899" s="2" t="s">
        <v>11</v>
      </c>
      <c r="F4899" s="2">
        <v>2</v>
      </c>
      <c r="G4899" s="2" t="s">
        <v>12</v>
      </c>
    </row>
    <row r="4900" spans="1:7" x14ac:dyDescent="0.2">
      <c r="A4900" s="2" t="s">
        <v>6202</v>
      </c>
      <c r="B4900" s="2" t="s">
        <v>6222</v>
      </c>
      <c r="C4900" s="2" t="s">
        <v>6216</v>
      </c>
      <c r="D4900" s="2" t="s">
        <v>10</v>
      </c>
      <c r="E4900" s="2" t="s">
        <v>11</v>
      </c>
      <c r="F4900" s="2">
        <v>2</v>
      </c>
      <c r="G4900" s="2" t="s">
        <v>12</v>
      </c>
    </row>
    <row r="4901" spans="1:7" x14ac:dyDescent="0.2">
      <c r="A4901" s="2" t="s">
        <v>6202</v>
      </c>
      <c r="B4901" s="2" t="s">
        <v>6223</v>
      </c>
      <c r="C4901" s="2" t="s">
        <v>6216</v>
      </c>
      <c r="D4901" s="2" t="s">
        <v>10</v>
      </c>
      <c r="E4901" s="2" t="s">
        <v>11</v>
      </c>
      <c r="F4901" s="2">
        <v>2</v>
      </c>
      <c r="G4901" s="2" t="s">
        <v>12</v>
      </c>
    </row>
    <row r="4902" spans="1:7" x14ac:dyDescent="0.2">
      <c r="A4902" s="2" t="s">
        <v>6202</v>
      </c>
      <c r="B4902" s="2" t="s">
        <v>6224</v>
      </c>
      <c r="C4902" s="2" t="s">
        <v>6216</v>
      </c>
      <c r="D4902" s="2" t="s">
        <v>10</v>
      </c>
      <c r="E4902" s="2" t="s">
        <v>11</v>
      </c>
      <c r="F4902" s="2">
        <v>2</v>
      </c>
      <c r="G4902" s="2" t="s">
        <v>12</v>
      </c>
    </row>
    <row r="4903" spans="1:7" x14ac:dyDescent="0.2">
      <c r="A4903" s="2" t="s">
        <v>6202</v>
      </c>
      <c r="B4903" s="2" t="s">
        <v>6225</v>
      </c>
      <c r="C4903" s="2" t="s">
        <v>6216</v>
      </c>
      <c r="D4903" s="2" t="s">
        <v>10</v>
      </c>
      <c r="E4903" s="2" t="s">
        <v>11</v>
      </c>
      <c r="F4903" s="2">
        <v>2</v>
      </c>
      <c r="G4903" s="2" t="s">
        <v>12</v>
      </c>
    </row>
    <row r="4904" spans="1:7" x14ac:dyDescent="0.2">
      <c r="A4904" s="2" t="s">
        <v>6202</v>
      </c>
      <c r="B4904" s="2" t="s">
        <v>6226</v>
      </c>
      <c r="C4904" s="2" t="s">
        <v>6216</v>
      </c>
      <c r="D4904" s="2" t="s">
        <v>10</v>
      </c>
      <c r="E4904" s="2" t="s">
        <v>11</v>
      </c>
      <c r="F4904" s="2">
        <v>2</v>
      </c>
      <c r="G4904" s="2" t="s">
        <v>12</v>
      </c>
    </row>
    <row r="4905" spans="1:7" x14ac:dyDescent="0.2">
      <c r="A4905" s="2" t="s">
        <v>6202</v>
      </c>
      <c r="B4905" s="2" t="s">
        <v>6227</v>
      </c>
      <c r="C4905" s="2" t="s">
        <v>6216</v>
      </c>
      <c r="D4905" s="2" t="s">
        <v>10</v>
      </c>
      <c r="E4905" s="2" t="s">
        <v>11</v>
      </c>
      <c r="F4905" s="2">
        <v>2</v>
      </c>
      <c r="G4905" s="2" t="s">
        <v>12</v>
      </c>
    </row>
    <row r="4906" spans="1:7" x14ac:dyDescent="0.2">
      <c r="A4906" s="2" t="s">
        <v>6202</v>
      </c>
      <c r="B4906" s="2" t="s">
        <v>6228</v>
      </c>
      <c r="C4906" s="2" t="s">
        <v>6220</v>
      </c>
      <c r="D4906" s="2" t="s">
        <v>10</v>
      </c>
      <c r="E4906" s="2" t="s">
        <v>11</v>
      </c>
      <c r="F4906" s="2">
        <v>2</v>
      </c>
      <c r="G4906" s="2" t="s">
        <v>12</v>
      </c>
    </row>
    <row r="4907" spans="1:7" x14ac:dyDescent="0.2">
      <c r="A4907" s="2" t="s">
        <v>6202</v>
      </c>
      <c r="B4907" s="2" t="s">
        <v>6229</v>
      </c>
      <c r="C4907" s="2" t="s">
        <v>6220</v>
      </c>
      <c r="D4907" s="2" t="s">
        <v>10</v>
      </c>
      <c r="E4907" s="2" t="s">
        <v>11</v>
      </c>
      <c r="F4907" s="2">
        <v>2</v>
      </c>
      <c r="G4907" s="2" t="s">
        <v>12</v>
      </c>
    </row>
    <row r="4908" spans="1:7" x14ac:dyDescent="0.2">
      <c r="A4908" s="2" t="s">
        <v>6202</v>
      </c>
      <c r="B4908" s="2" t="s">
        <v>6230</v>
      </c>
      <c r="C4908" s="2" t="s">
        <v>6220</v>
      </c>
      <c r="D4908" s="2" t="s">
        <v>10</v>
      </c>
      <c r="E4908" s="2" t="s">
        <v>11</v>
      </c>
      <c r="F4908" s="2">
        <v>2</v>
      </c>
      <c r="G4908" s="2" t="s">
        <v>12</v>
      </c>
    </row>
    <row r="4909" spans="1:7" x14ac:dyDescent="0.2">
      <c r="A4909" s="2" t="s">
        <v>6202</v>
      </c>
      <c r="B4909" s="2" t="s">
        <v>6231</v>
      </c>
      <c r="C4909" s="2" t="s">
        <v>6220</v>
      </c>
      <c r="D4909" s="2" t="s">
        <v>10</v>
      </c>
      <c r="E4909" s="2" t="s">
        <v>11</v>
      </c>
      <c r="F4909" s="2">
        <v>2</v>
      </c>
      <c r="G4909" s="2" t="s">
        <v>12</v>
      </c>
    </row>
    <row r="4910" spans="1:7" x14ac:dyDescent="0.2">
      <c r="A4910" s="2" t="s">
        <v>6202</v>
      </c>
      <c r="B4910" s="2" t="s">
        <v>6232</v>
      </c>
      <c r="C4910" s="2" t="s">
        <v>6210</v>
      </c>
      <c r="D4910" s="2" t="s">
        <v>10</v>
      </c>
      <c r="E4910" s="2" t="s">
        <v>11</v>
      </c>
      <c r="F4910" s="2">
        <v>2</v>
      </c>
      <c r="G4910" s="2" t="s">
        <v>12</v>
      </c>
    </row>
    <row r="4911" spans="1:7" x14ac:dyDescent="0.2">
      <c r="A4911" s="2" t="s">
        <v>6202</v>
      </c>
      <c r="B4911" s="2" t="s">
        <v>6233</v>
      </c>
      <c r="C4911" s="2" t="s">
        <v>6210</v>
      </c>
      <c r="D4911" s="2" t="s">
        <v>10</v>
      </c>
      <c r="E4911" s="2" t="s">
        <v>11</v>
      </c>
      <c r="F4911" s="2">
        <v>2</v>
      </c>
      <c r="G4911" s="2" t="s">
        <v>12</v>
      </c>
    </row>
    <row r="4912" spans="1:7" x14ac:dyDescent="0.2">
      <c r="A4912" s="2" t="s">
        <v>6202</v>
      </c>
      <c r="B4912" s="2" t="s">
        <v>6234</v>
      </c>
      <c r="C4912" s="2" t="s">
        <v>6220</v>
      </c>
      <c r="D4912" s="2" t="s">
        <v>10</v>
      </c>
      <c r="E4912" s="2" t="s">
        <v>11</v>
      </c>
      <c r="F4912" s="2">
        <v>2</v>
      </c>
      <c r="G4912" s="2" t="s">
        <v>12</v>
      </c>
    </row>
    <row r="4913" spans="1:7" x14ac:dyDescent="0.2">
      <c r="A4913" s="2" t="s">
        <v>6202</v>
      </c>
      <c r="B4913" s="2" t="s">
        <v>6235</v>
      </c>
      <c r="C4913" s="2" t="s">
        <v>6220</v>
      </c>
      <c r="D4913" s="2" t="s">
        <v>10</v>
      </c>
      <c r="E4913" s="2" t="s">
        <v>11</v>
      </c>
      <c r="F4913" s="2">
        <v>2</v>
      </c>
      <c r="G4913" s="2" t="s">
        <v>12</v>
      </c>
    </row>
    <row r="4914" spans="1:7" x14ac:dyDescent="0.2">
      <c r="A4914" s="2" t="s">
        <v>6202</v>
      </c>
      <c r="B4914" s="2" t="s">
        <v>6236</v>
      </c>
      <c r="C4914" s="2" t="s">
        <v>6210</v>
      </c>
      <c r="D4914" s="2" t="s">
        <v>10</v>
      </c>
      <c r="E4914" s="2" t="s">
        <v>11</v>
      </c>
      <c r="F4914" s="2">
        <v>2</v>
      </c>
      <c r="G4914" s="2" t="s">
        <v>12</v>
      </c>
    </row>
    <row r="4915" spans="1:7" x14ac:dyDescent="0.2">
      <c r="A4915" s="2" t="s">
        <v>6202</v>
      </c>
      <c r="B4915" s="2" t="s">
        <v>6237</v>
      </c>
      <c r="C4915" s="2" t="s">
        <v>6216</v>
      </c>
      <c r="D4915" s="2" t="s">
        <v>10</v>
      </c>
      <c r="E4915" s="2" t="s">
        <v>11</v>
      </c>
      <c r="F4915" s="2">
        <v>2</v>
      </c>
      <c r="G4915" s="2" t="s">
        <v>12</v>
      </c>
    </row>
    <row r="4916" spans="1:7" x14ac:dyDescent="0.2">
      <c r="A4916" s="2" t="s">
        <v>6202</v>
      </c>
      <c r="B4916" s="2" t="s">
        <v>6238</v>
      </c>
      <c r="C4916" s="2" t="s">
        <v>6216</v>
      </c>
      <c r="D4916" s="2" t="s">
        <v>10</v>
      </c>
      <c r="E4916" s="2" t="s">
        <v>11</v>
      </c>
      <c r="F4916" s="2">
        <v>2</v>
      </c>
      <c r="G4916" s="2" t="s">
        <v>12</v>
      </c>
    </row>
    <row r="4917" spans="1:7" x14ac:dyDescent="0.2">
      <c r="A4917" s="2" t="s">
        <v>6202</v>
      </c>
      <c r="B4917" s="2" t="s">
        <v>6239</v>
      </c>
      <c r="C4917" s="2" t="s">
        <v>6220</v>
      </c>
      <c r="D4917" s="2" t="s">
        <v>10</v>
      </c>
      <c r="E4917" s="2" t="s">
        <v>11</v>
      </c>
      <c r="F4917" s="2">
        <v>2</v>
      </c>
      <c r="G4917" s="2" t="s">
        <v>12</v>
      </c>
    </row>
    <row r="4918" spans="1:7" x14ac:dyDescent="0.2">
      <c r="A4918" s="2" t="s">
        <v>6202</v>
      </c>
      <c r="B4918" s="2" t="s">
        <v>6240</v>
      </c>
      <c r="C4918" s="2" t="s">
        <v>6220</v>
      </c>
      <c r="D4918" s="2" t="s">
        <v>10</v>
      </c>
      <c r="E4918" s="2" t="s">
        <v>11</v>
      </c>
      <c r="F4918" s="2">
        <v>2</v>
      </c>
      <c r="G4918" s="2" t="s">
        <v>12</v>
      </c>
    </row>
    <row r="4919" spans="1:7" x14ac:dyDescent="0.2">
      <c r="A4919" s="2" t="s">
        <v>6202</v>
      </c>
      <c r="B4919" s="2" t="s">
        <v>6241</v>
      </c>
      <c r="C4919" s="2" t="s">
        <v>6216</v>
      </c>
      <c r="D4919" s="2" t="s">
        <v>10</v>
      </c>
      <c r="E4919" s="2" t="s">
        <v>11</v>
      </c>
      <c r="F4919" s="2">
        <v>2</v>
      </c>
      <c r="G4919" s="2" t="s">
        <v>12</v>
      </c>
    </row>
    <row r="4920" spans="1:7" x14ac:dyDescent="0.2">
      <c r="A4920" s="2" t="s">
        <v>6202</v>
      </c>
      <c r="B4920" s="2" t="s">
        <v>6242</v>
      </c>
      <c r="C4920" s="2" t="s">
        <v>6216</v>
      </c>
      <c r="D4920" s="2" t="s">
        <v>10</v>
      </c>
      <c r="E4920" s="2" t="s">
        <v>11</v>
      </c>
      <c r="F4920" s="2">
        <v>2</v>
      </c>
      <c r="G4920" s="2" t="s">
        <v>12</v>
      </c>
    </row>
    <row r="4921" spans="1:7" x14ac:dyDescent="0.2">
      <c r="A4921" s="2" t="s">
        <v>6202</v>
      </c>
      <c r="B4921" s="2" t="s">
        <v>6243</v>
      </c>
      <c r="C4921" s="2" t="s">
        <v>6216</v>
      </c>
      <c r="D4921" s="2" t="s">
        <v>10</v>
      </c>
      <c r="E4921" s="2" t="s">
        <v>11</v>
      </c>
      <c r="F4921" s="2">
        <v>2</v>
      </c>
      <c r="G4921" s="2" t="s">
        <v>12</v>
      </c>
    </row>
    <row r="4922" spans="1:7" x14ac:dyDescent="0.2">
      <c r="A4922" s="2" t="s">
        <v>6202</v>
      </c>
      <c r="B4922" s="2" t="s">
        <v>6244</v>
      </c>
      <c r="C4922" s="2" t="s">
        <v>6216</v>
      </c>
      <c r="D4922" s="2" t="s">
        <v>10</v>
      </c>
      <c r="E4922" s="2" t="s">
        <v>11</v>
      </c>
      <c r="F4922" s="2">
        <v>2</v>
      </c>
      <c r="G4922" s="2" t="s">
        <v>12</v>
      </c>
    </row>
    <row r="4923" spans="1:7" x14ac:dyDescent="0.2">
      <c r="A4923" s="2" t="s">
        <v>6202</v>
      </c>
      <c r="B4923" s="2" t="s">
        <v>6245</v>
      </c>
      <c r="C4923" s="2" t="s">
        <v>6220</v>
      </c>
      <c r="D4923" s="2" t="s">
        <v>10</v>
      </c>
      <c r="E4923" s="2" t="s">
        <v>11</v>
      </c>
      <c r="F4923" s="2">
        <v>2</v>
      </c>
      <c r="G4923" s="2" t="s">
        <v>12</v>
      </c>
    </row>
    <row r="4924" spans="1:7" x14ac:dyDescent="0.2">
      <c r="A4924" s="2" t="s">
        <v>6202</v>
      </c>
      <c r="B4924" s="2" t="s">
        <v>6246</v>
      </c>
      <c r="C4924" s="2" t="s">
        <v>6210</v>
      </c>
      <c r="D4924" s="2" t="s">
        <v>10</v>
      </c>
      <c r="E4924" s="2" t="s">
        <v>11</v>
      </c>
      <c r="F4924" s="2">
        <v>2</v>
      </c>
      <c r="G4924" s="2" t="s">
        <v>12</v>
      </c>
    </row>
    <row r="4925" spans="1:7" x14ac:dyDescent="0.2">
      <c r="A4925" s="2" t="s">
        <v>6202</v>
      </c>
      <c r="B4925" s="2" t="s">
        <v>6247</v>
      </c>
      <c r="C4925" s="2" t="s">
        <v>6216</v>
      </c>
      <c r="D4925" s="2" t="s">
        <v>10</v>
      </c>
      <c r="E4925" s="2" t="s">
        <v>11</v>
      </c>
      <c r="F4925" s="2">
        <v>2</v>
      </c>
      <c r="G4925" s="2" t="s">
        <v>12</v>
      </c>
    </row>
    <row r="4926" spans="1:7" x14ac:dyDescent="0.2">
      <c r="A4926" s="2" t="s">
        <v>6202</v>
      </c>
      <c r="B4926" s="2" t="s">
        <v>6248</v>
      </c>
      <c r="C4926" s="2" t="s">
        <v>6204</v>
      </c>
      <c r="D4926" s="2" t="s">
        <v>10</v>
      </c>
      <c r="E4926" s="2" t="s">
        <v>52</v>
      </c>
      <c r="F4926" s="2">
        <v>2</v>
      </c>
      <c r="G4926" s="2" t="s">
        <v>17</v>
      </c>
    </row>
    <row r="4927" spans="1:7" x14ac:dyDescent="0.2">
      <c r="A4927" s="2" t="s">
        <v>6202</v>
      </c>
      <c r="B4927" s="2" t="s">
        <v>6249</v>
      </c>
      <c r="C4927" s="2" t="s">
        <v>6204</v>
      </c>
      <c r="D4927" s="2" t="s">
        <v>10</v>
      </c>
      <c r="E4927" s="2" t="s">
        <v>52</v>
      </c>
      <c r="F4927" s="2">
        <v>2</v>
      </c>
      <c r="G4927" s="2" t="s">
        <v>17</v>
      </c>
    </row>
    <row r="4928" spans="1:7" x14ac:dyDescent="0.2">
      <c r="A4928" s="2" t="s">
        <v>6202</v>
      </c>
      <c r="B4928" s="2" t="s">
        <v>6250</v>
      </c>
      <c r="C4928" s="2" t="s">
        <v>6207</v>
      </c>
      <c r="D4928" s="2" t="s">
        <v>10</v>
      </c>
      <c r="E4928" s="2" t="s">
        <v>52</v>
      </c>
      <c r="F4928" s="2">
        <v>2</v>
      </c>
      <c r="G4928" s="2" t="s">
        <v>17</v>
      </c>
    </row>
    <row r="4929" spans="1:7" x14ac:dyDescent="0.2">
      <c r="A4929" s="2" t="s">
        <v>6202</v>
      </c>
      <c r="B4929" s="2" t="s">
        <v>6251</v>
      </c>
      <c r="C4929" s="2" t="s">
        <v>6207</v>
      </c>
      <c r="D4929" s="2" t="s">
        <v>10</v>
      </c>
      <c r="E4929" s="2" t="s">
        <v>52</v>
      </c>
      <c r="F4929" s="2">
        <v>2</v>
      </c>
      <c r="G4929" s="2" t="s">
        <v>17</v>
      </c>
    </row>
    <row r="4930" spans="1:7" x14ac:dyDescent="0.2">
      <c r="A4930" s="2" t="s">
        <v>6202</v>
      </c>
      <c r="B4930" s="2" t="s">
        <v>6252</v>
      </c>
      <c r="C4930" s="2" t="s">
        <v>6216</v>
      </c>
      <c r="D4930" s="2" t="s">
        <v>10</v>
      </c>
      <c r="E4930" s="2" t="s">
        <v>11</v>
      </c>
      <c r="F4930" s="2">
        <v>2</v>
      </c>
      <c r="G4930" s="2" t="s">
        <v>12</v>
      </c>
    </row>
    <row r="4931" spans="1:7" x14ac:dyDescent="0.2">
      <c r="A4931" s="2" t="s">
        <v>6202</v>
      </c>
      <c r="B4931" s="2" t="s">
        <v>6253</v>
      </c>
      <c r="C4931" s="2" t="s">
        <v>6220</v>
      </c>
      <c r="D4931" s="2" t="s">
        <v>10</v>
      </c>
      <c r="E4931" s="2" t="s">
        <v>11</v>
      </c>
      <c r="F4931" s="2">
        <v>2</v>
      </c>
      <c r="G4931" s="2" t="s">
        <v>12</v>
      </c>
    </row>
    <row r="4932" spans="1:7" x14ac:dyDescent="0.2">
      <c r="A4932" s="2" t="s">
        <v>6202</v>
      </c>
      <c r="B4932" s="2" t="s">
        <v>6254</v>
      </c>
      <c r="C4932" s="2" t="s">
        <v>6216</v>
      </c>
      <c r="D4932" s="2" t="s">
        <v>10</v>
      </c>
      <c r="E4932" s="2" t="s">
        <v>11</v>
      </c>
      <c r="F4932" s="2">
        <v>2</v>
      </c>
      <c r="G4932" s="2" t="s">
        <v>12</v>
      </c>
    </row>
    <row r="4933" spans="1:7" x14ac:dyDescent="0.2">
      <c r="A4933" s="2" t="s">
        <v>6202</v>
      </c>
      <c r="B4933" s="2" t="s">
        <v>6255</v>
      </c>
      <c r="C4933" s="2" t="s">
        <v>6216</v>
      </c>
      <c r="D4933" s="2" t="s">
        <v>10</v>
      </c>
      <c r="E4933" s="2" t="s">
        <v>11</v>
      </c>
      <c r="F4933" s="2">
        <v>2</v>
      </c>
      <c r="G4933" s="2" t="s">
        <v>12</v>
      </c>
    </row>
    <row r="4934" spans="1:7" x14ac:dyDescent="0.2">
      <c r="A4934" s="2" t="s">
        <v>6202</v>
      </c>
      <c r="B4934" s="2" t="s">
        <v>6256</v>
      </c>
      <c r="C4934" s="2" t="s">
        <v>6220</v>
      </c>
      <c r="D4934" s="2" t="s">
        <v>10</v>
      </c>
      <c r="E4934" s="2" t="s">
        <v>11</v>
      </c>
      <c r="F4934" s="2">
        <v>2</v>
      </c>
      <c r="G4934" s="2" t="s">
        <v>12</v>
      </c>
    </row>
    <row r="4935" spans="1:7" x14ac:dyDescent="0.2">
      <c r="A4935" s="2" t="s">
        <v>6202</v>
      </c>
      <c r="B4935" s="2" t="s">
        <v>6257</v>
      </c>
      <c r="C4935" s="2" t="s">
        <v>6258</v>
      </c>
      <c r="D4935" s="2" t="s">
        <v>10</v>
      </c>
      <c r="E4935" s="2" t="s">
        <v>11</v>
      </c>
      <c r="F4935" s="2">
        <v>2</v>
      </c>
      <c r="G4935" s="2" t="s">
        <v>12</v>
      </c>
    </row>
    <row r="4936" spans="1:7" x14ac:dyDescent="0.2">
      <c r="A4936" s="2" t="s">
        <v>6202</v>
      </c>
      <c r="B4936" s="2" t="s">
        <v>6259</v>
      </c>
      <c r="C4936" s="2" t="s">
        <v>6260</v>
      </c>
      <c r="D4936" s="2" t="s">
        <v>10</v>
      </c>
      <c r="E4936" s="2" t="s">
        <v>11</v>
      </c>
      <c r="F4936" s="2">
        <v>2</v>
      </c>
      <c r="G4936" s="2" t="s">
        <v>12</v>
      </c>
    </row>
    <row r="4937" spans="1:7" x14ac:dyDescent="0.2">
      <c r="A4937" s="2" t="s">
        <v>6202</v>
      </c>
      <c r="B4937" s="2" t="s">
        <v>6261</v>
      </c>
      <c r="C4937" s="2" t="s">
        <v>6220</v>
      </c>
      <c r="D4937" s="2" t="s">
        <v>10</v>
      </c>
      <c r="E4937" s="2" t="s">
        <v>11</v>
      </c>
      <c r="F4937" s="2">
        <v>2</v>
      </c>
      <c r="G4937" s="2" t="s">
        <v>12</v>
      </c>
    </row>
    <row r="4938" spans="1:7" x14ac:dyDescent="0.2">
      <c r="A4938" s="2" t="s">
        <v>6202</v>
      </c>
      <c r="B4938" s="2" t="s">
        <v>6262</v>
      </c>
      <c r="C4938" s="2" t="s">
        <v>6263</v>
      </c>
      <c r="D4938" s="2" t="s">
        <v>10</v>
      </c>
      <c r="E4938" s="2" t="s">
        <v>11</v>
      </c>
      <c r="F4938" s="2">
        <v>2</v>
      </c>
      <c r="G4938" s="2" t="s">
        <v>12</v>
      </c>
    </row>
    <row r="4939" spans="1:7" x14ac:dyDescent="0.2">
      <c r="A4939" s="2" t="s">
        <v>6202</v>
      </c>
      <c r="B4939" s="2" t="s">
        <v>6264</v>
      </c>
      <c r="C4939" s="2" t="s">
        <v>6265</v>
      </c>
      <c r="D4939" s="2" t="s">
        <v>10</v>
      </c>
      <c r="E4939" s="2" t="s">
        <v>11</v>
      </c>
      <c r="F4939" s="2">
        <v>2</v>
      </c>
      <c r="G4939" s="2" t="s">
        <v>12</v>
      </c>
    </row>
    <row r="4940" spans="1:7" x14ac:dyDescent="0.2">
      <c r="A4940" s="2" t="s">
        <v>6202</v>
      </c>
      <c r="B4940" s="2" t="s">
        <v>6266</v>
      </c>
      <c r="C4940" s="2" t="s">
        <v>6267</v>
      </c>
      <c r="D4940" s="2" t="s">
        <v>10</v>
      </c>
      <c r="E4940" s="2" t="s">
        <v>11</v>
      </c>
      <c r="F4940" s="2">
        <v>2</v>
      </c>
      <c r="G4940" s="2" t="s">
        <v>12</v>
      </c>
    </row>
    <row r="4941" spans="1:7" x14ac:dyDescent="0.2">
      <c r="A4941" s="2" t="s">
        <v>6202</v>
      </c>
      <c r="B4941" s="2" t="s">
        <v>6268</v>
      </c>
      <c r="C4941" s="2" t="s">
        <v>6269</v>
      </c>
      <c r="D4941" s="2" t="s">
        <v>10</v>
      </c>
      <c r="E4941" s="2" t="s">
        <v>11</v>
      </c>
      <c r="F4941" s="2">
        <v>2</v>
      </c>
      <c r="G4941" s="2" t="s">
        <v>12</v>
      </c>
    </row>
    <row r="4942" spans="1:7" x14ac:dyDescent="0.2">
      <c r="A4942" s="2" t="s">
        <v>6202</v>
      </c>
      <c r="B4942" s="2" t="s">
        <v>6270</v>
      </c>
      <c r="C4942" s="2" t="s">
        <v>6271</v>
      </c>
      <c r="D4942" s="2" t="s">
        <v>10</v>
      </c>
      <c r="E4942" s="2" t="s">
        <v>11</v>
      </c>
      <c r="F4942" s="2">
        <v>2</v>
      </c>
      <c r="G4942" s="2" t="s">
        <v>12</v>
      </c>
    </row>
    <row r="4943" spans="1:7" x14ac:dyDescent="0.2">
      <c r="A4943" s="2" t="s">
        <v>6202</v>
      </c>
      <c r="B4943" s="2" t="s">
        <v>6272</v>
      </c>
      <c r="C4943" s="2" t="s">
        <v>6273</v>
      </c>
      <c r="D4943" s="2" t="s">
        <v>10</v>
      </c>
      <c r="E4943" s="2" t="s">
        <v>11</v>
      </c>
      <c r="F4943" s="2">
        <v>2</v>
      </c>
      <c r="G4943" s="2" t="s">
        <v>12</v>
      </c>
    </row>
    <row r="4944" spans="1:7" x14ac:dyDescent="0.2">
      <c r="A4944" s="2" t="s">
        <v>6202</v>
      </c>
      <c r="B4944" s="2" t="s">
        <v>6274</v>
      </c>
      <c r="C4944" s="2" t="s">
        <v>6271</v>
      </c>
      <c r="D4944" s="2" t="s">
        <v>10</v>
      </c>
      <c r="E4944" s="2" t="s">
        <v>11</v>
      </c>
      <c r="F4944" s="2">
        <v>2</v>
      </c>
      <c r="G4944" s="2" t="s">
        <v>12</v>
      </c>
    </row>
    <row r="4945" spans="1:7" x14ac:dyDescent="0.2">
      <c r="A4945" s="2" t="s">
        <v>6202</v>
      </c>
      <c r="B4945" s="2" t="s">
        <v>6275</v>
      </c>
      <c r="C4945" s="2" t="s">
        <v>6273</v>
      </c>
      <c r="D4945" s="2" t="s">
        <v>10</v>
      </c>
      <c r="E4945" s="2" t="s">
        <v>11</v>
      </c>
      <c r="F4945" s="2">
        <v>2</v>
      </c>
      <c r="G4945" s="2" t="s">
        <v>12</v>
      </c>
    </row>
    <row r="4946" spans="1:7" x14ac:dyDescent="0.2">
      <c r="A4946" s="2" t="s">
        <v>6202</v>
      </c>
      <c r="B4946" s="2" t="s">
        <v>6276</v>
      </c>
      <c r="C4946" s="2" t="s">
        <v>6277</v>
      </c>
      <c r="D4946" s="2" t="s">
        <v>10</v>
      </c>
      <c r="E4946" s="2" t="s">
        <v>11</v>
      </c>
      <c r="F4946" s="2">
        <v>2</v>
      </c>
      <c r="G4946" s="2" t="s">
        <v>12</v>
      </c>
    </row>
    <row r="4947" spans="1:7" x14ac:dyDescent="0.2">
      <c r="A4947" s="2" t="s">
        <v>6202</v>
      </c>
      <c r="B4947" s="2" t="s">
        <v>6278</v>
      </c>
      <c r="C4947" s="2" t="s">
        <v>6277</v>
      </c>
      <c r="D4947" s="2" t="s">
        <v>10</v>
      </c>
      <c r="E4947" s="2" t="s">
        <v>11</v>
      </c>
      <c r="F4947" s="2">
        <v>2</v>
      </c>
      <c r="G4947" s="2" t="s">
        <v>12</v>
      </c>
    </row>
    <row r="4948" spans="1:7" x14ac:dyDescent="0.2">
      <c r="A4948" s="2" t="s">
        <v>6279</v>
      </c>
      <c r="B4948" s="2" t="s">
        <v>6203</v>
      </c>
      <c r="C4948" s="2" t="s">
        <v>6204</v>
      </c>
      <c r="D4948" s="2" t="s">
        <v>10</v>
      </c>
      <c r="E4948" s="2" t="s">
        <v>52</v>
      </c>
      <c r="F4948" s="2">
        <v>2</v>
      </c>
      <c r="G4948" s="2" t="s">
        <v>17</v>
      </c>
    </row>
    <row r="4949" spans="1:7" x14ac:dyDescent="0.2">
      <c r="A4949" s="2" t="s">
        <v>6279</v>
      </c>
      <c r="B4949" s="2" t="s">
        <v>6205</v>
      </c>
      <c r="C4949" s="2" t="s">
        <v>6204</v>
      </c>
      <c r="D4949" s="2" t="s">
        <v>10</v>
      </c>
      <c r="E4949" s="2" t="s">
        <v>52</v>
      </c>
      <c r="F4949" s="2">
        <v>2</v>
      </c>
      <c r="G4949" s="2" t="s">
        <v>17</v>
      </c>
    </row>
    <row r="4950" spans="1:7" x14ac:dyDescent="0.2">
      <c r="A4950" s="2" t="s">
        <v>6279</v>
      </c>
      <c r="B4950" s="2" t="s">
        <v>6206</v>
      </c>
      <c r="C4950" s="2" t="s">
        <v>6207</v>
      </c>
      <c r="D4950" s="2" t="s">
        <v>10</v>
      </c>
      <c r="E4950" s="2" t="s">
        <v>52</v>
      </c>
      <c r="F4950" s="2">
        <v>2</v>
      </c>
      <c r="G4950" s="2" t="s">
        <v>17</v>
      </c>
    </row>
    <row r="4951" spans="1:7" x14ac:dyDescent="0.2">
      <c r="A4951" s="2" t="s">
        <v>6279</v>
      </c>
      <c r="B4951" s="2" t="s">
        <v>6208</v>
      </c>
      <c r="C4951" s="2" t="s">
        <v>6207</v>
      </c>
      <c r="D4951" s="2" t="s">
        <v>10</v>
      </c>
      <c r="E4951" s="2" t="s">
        <v>52</v>
      </c>
      <c r="F4951" s="2">
        <v>2</v>
      </c>
      <c r="G4951" s="2" t="s">
        <v>17</v>
      </c>
    </row>
    <row r="4952" spans="1:7" x14ac:dyDescent="0.2">
      <c r="A4952" s="2" t="s">
        <v>6279</v>
      </c>
      <c r="B4952" s="2" t="s">
        <v>6171</v>
      </c>
      <c r="C4952" s="2" t="s">
        <v>1516</v>
      </c>
      <c r="D4952" s="2" t="s">
        <v>10</v>
      </c>
      <c r="E4952" s="2" t="s">
        <v>16</v>
      </c>
      <c r="F4952" s="2">
        <v>1</v>
      </c>
      <c r="G4952" s="2" t="s">
        <v>17</v>
      </c>
    </row>
    <row r="4953" spans="1:7" x14ac:dyDescent="0.2">
      <c r="A4953" s="2" t="s">
        <v>6279</v>
      </c>
      <c r="B4953" s="2" t="s">
        <v>6172</v>
      </c>
      <c r="C4953" s="2" t="s">
        <v>1516</v>
      </c>
      <c r="D4953" s="2" t="s">
        <v>10</v>
      </c>
      <c r="E4953" s="2" t="s">
        <v>16</v>
      </c>
      <c r="F4953" s="2">
        <v>1</v>
      </c>
      <c r="G4953" s="2" t="s">
        <v>17</v>
      </c>
    </row>
    <row r="4954" spans="1:7" x14ac:dyDescent="0.2">
      <c r="A4954" s="2" t="s">
        <v>6279</v>
      </c>
      <c r="B4954" s="2" t="s">
        <v>6173</v>
      </c>
      <c r="C4954" s="2" t="s">
        <v>1520</v>
      </c>
      <c r="D4954" s="2" t="s">
        <v>10</v>
      </c>
      <c r="E4954" s="2" t="s">
        <v>16</v>
      </c>
      <c r="F4954" s="2">
        <v>1</v>
      </c>
      <c r="G4954" s="2" t="s">
        <v>17</v>
      </c>
    </row>
    <row r="4955" spans="1:7" x14ac:dyDescent="0.2">
      <c r="A4955" s="2" t="s">
        <v>6279</v>
      </c>
      <c r="B4955" s="2" t="s">
        <v>6174</v>
      </c>
      <c r="C4955" s="2" t="s">
        <v>1520</v>
      </c>
      <c r="D4955" s="2" t="s">
        <v>10</v>
      </c>
      <c r="E4955" s="2" t="s">
        <v>16</v>
      </c>
      <c r="F4955" s="2">
        <v>1</v>
      </c>
      <c r="G4955" s="2" t="s">
        <v>17</v>
      </c>
    </row>
    <row r="4956" spans="1:7" x14ac:dyDescent="0.2">
      <c r="A4956" s="2" t="s">
        <v>6279</v>
      </c>
      <c r="B4956" s="2" t="s">
        <v>6078</v>
      </c>
      <c r="C4956" s="2" t="s">
        <v>306</v>
      </c>
      <c r="D4956" s="2" t="s">
        <v>10</v>
      </c>
      <c r="E4956" s="2" t="s">
        <v>16</v>
      </c>
      <c r="F4956" s="2">
        <v>1</v>
      </c>
      <c r="G4956" s="2" t="s">
        <v>17</v>
      </c>
    </row>
    <row r="4957" spans="1:7" x14ac:dyDescent="0.2">
      <c r="A4957" s="2" t="s">
        <v>6279</v>
      </c>
      <c r="B4957" s="2" t="s">
        <v>1757</v>
      </c>
      <c r="C4957" s="2" t="s">
        <v>1520</v>
      </c>
      <c r="D4957" s="2" t="s">
        <v>10</v>
      </c>
      <c r="E4957" s="2" t="s">
        <v>16</v>
      </c>
      <c r="F4957" s="2">
        <v>1</v>
      </c>
      <c r="G4957" s="2" t="s">
        <v>17</v>
      </c>
    </row>
    <row r="4958" spans="1:7" x14ac:dyDescent="0.2">
      <c r="A4958" s="2" t="s">
        <v>6279</v>
      </c>
      <c r="B4958" s="2" t="s">
        <v>88</v>
      </c>
      <c r="C4958" s="2" t="s">
        <v>6175</v>
      </c>
      <c r="D4958" s="2" t="s">
        <v>10</v>
      </c>
      <c r="E4958" s="2" t="s">
        <v>16</v>
      </c>
      <c r="F4958" s="2">
        <v>2</v>
      </c>
      <c r="G4958" s="2" t="s">
        <v>17</v>
      </c>
    </row>
    <row r="4959" spans="1:7" x14ac:dyDescent="0.2">
      <c r="A4959" s="2" t="s">
        <v>6279</v>
      </c>
      <c r="B4959" s="2" t="s">
        <v>6129</v>
      </c>
      <c r="C4959" s="2" t="s">
        <v>306</v>
      </c>
      <c r="D4959" s="2" t="s">
        <v>10</v>
      </c>
      <c r="E4959" s="2" t="s">
        <v>16</v>
      </c>
      <c r="F4959" s="2">
        <v>1</v>
      </c>
      <c r="G4959" s="2" t="s">
        <v>17</v>
      </c>
    </row>
    <row r="4960" spans="1:7" x14ac:dyDescent="0.2">
      <c r="A4960" s="2" t="s">
        <v>6279</v>
      </c>
      <c r="B4960" s="2" t="s">
        <v>6130</v>
      </c>
      <c r="C4960" s="2" t="s">
        <v>306</v>
      </c>
      <c r="D4960" s="2" t="s">
        <v>10</v>
      </c>
      <c r="E4960" s="2" t="s">
        <v>16</v>
      </c>
      <c r="F4960" s="2">
        <v>1</v>
      </c>
      <c r="G4960" s="2" t="s">
        <v>17</v>
      </c>
    </row>
    <row r="4961" spans="1:7" x14ac:dyDescent="0.2">
      <c r="A4961" s="2" t="s">
        <v>6279</v>
      </c>
      <c r="B4961" s="2" t="s">
        <v>6131</v>
      </c>
      <c r="C4961" s="2" t="s">
        <v>773</v>
      </c>
      <c r="D4961" s="2" t="s">
        <v>10</v>
      </c>
      <c r="E4961" s="2" t="s">
        <v>52</v>
      </c>
      <c r="F4961" s="2">
        <v>1</v>
      </c>
      <c r="G4961" s="2" t="s">
        <v>17</v>
      </c>
    </row>
    <row r="4962" spans="1:7" x14ac:dyDescent="0.2">
      <c r="A4962" s="2" t="s">
        <v>6279</v>
      </c>
      <c r="B4962" s="2" t="s">
        <v>6132</v>
      </c>
      <c r="C4962" s="2" t="s">
        <v>6088</v>
      </c>
      <c r="D4962" s="2" t="s">
        <v>10</v>
      </c>
      <c r="E4962" s="2" t="s">
        <v>11</v>
      </c>
      <c r="F4962" s="2">
        <v>2</v>
      </c>
      <c r="G4962" s="2" t="s">
        <v>12</v>
      </c>
    </row>
    <row r="4963" spans="1:7" x14ac:dyDescent="0.2">
      <c r="A4963" s="2" t="s">
        <v>6279</v>
      </c>
      <c r="B4963" s="2" t="s">
        <v>6133</v>
      </c>
      <c r="C4963" s="2" t="s">
        <v>6088</v>
      </c>
      <c r="D4963" s="2" t="s">
        <v>10</v>
      </c>
      <c r="E4963" s="2" t="s">
        <v>11</v>
      </c>
      <c r="F4963" s="2">
        <v>2</v>
      </c>
      <c r="G4963" s="2" t="s">
        <v>12</v>
      </c>
    </row>
    <row r="4964" spans="1:7" x14ac:dyDescent="0.2">
      <c r="A4964" s="2" t="s">
        <v>6279</v>
      </c>
      <c r="B4964" s="2" t="s">
        <v>6232</v>
      </c>
      <c r="C4964" s="2" t="s">
        <v>6210</v>
      </c>
      <c r="D4964" s="2" t="s">
        <v>10</v>
      </c>
      <c r="E4964" s="2" t="s">
        <v>11</v>
      </c>
      <c r="F4964" s="2">
        <v>2</v>
      </c>
      <c r="G4964" s="2" t="s">
        <v>12</v>
      </c>
    </row>
    <row r="4965" spans="1:7" x14ac:dyDescent="0.2">
      <c r="A4965" s="2" t="s">
        <v>6279</v>
      </c>
      <c r="B4965" s="2" t="s">
        <v>6280</v>
      </c>
      <c r="C4965" s="2" t="s">
        <v>6210</v>
      </c>
      <c r="D4965" s="2" t="s">
        <v>10</v>
      </c>
      <c r="E4965" s="2" t="s">
        <v>11</v>
      </c>
      <c r="F4965" s="2">
        <v>2</v>
      </c>
      <c r="G4965" s="2" t="s">
        <v>12</v>
      </c>
    </row>
    <row r="4966" spans="1:7" x14ac:dyDescent="0.2">
      <c r="A4966" s="2" t="s">
        <v>6279</v>
      </c>
      <c r="B4966" s="2" t="s">
        <v>6134</v>
      </c>
      <c r="C4966" s="2" t="s">
        <v>6088</v>
      </c>
      <c r="D4966" s="2" t="s">
        <v>10</v>
      </c>
      <c r="E4966" s="2" t="s">
        <v>11</v>
      </c>
      <c r="F4966" s="2">
        <v>2</v>
      </c>
      <c r="G4966" s="2" t="s">
        <v>12</v>
      </c>
    </row>
    <row r="4967" spans="1:7" x14ac:dyDescent="0.2">
      <c r="A4967" s="2" t="s">
        <v>6279</v>
      </c>
      <c r="B4967" s="2" t="s">
        <v>6176</v>
      </c>
      <c r="C4967" s="2" t="s">
        <v>6088</v>
      </c>
      <c r="D4967" s="2" t="s">
        <v>10</v>
      </c>
      <c r="E4967" s="2" t="s">
        <v>11</v>
      </c>
      <c r="F4967" s="2">
        <v>2</v>
      </c>
      <c r="G4967" s="2" t="s">
        <v>12</v>
      </c>
    </row>
    <row r="4968" spans="1:7" x14ac:dyDescent="0.2">
      <c r="A4968" s="2" t="s">
        <v>6279</v>
      </c>
      <c r="B4968" s="2" t="s">
        <v>6177</v>
      </c>
      <c r="C4968" s="2" t="s">
        <v>6175</v>
      </c>
      <c r="D4968" s="2" t="s">
        <v>10</v>
      </c>
      <c r="E4968" s="2" t="s">
        <v>16</v>
      </c>
      <c r="F4968" s="2">
        <v>2</v>
      </c>
      <c r="G4968" s="2" t="s">
        <v>17</v>
      </c>
    </row>
    <row r="4969" spans="1:7" x14ac:dyDescent="0.2">
      <c r="A4969" s="2" t="s">
        <v>6279</v>
      </c>
      <c r="B4969" s="2" t="s">
        <v>6138</v>
      </c>
      <c r="C4969" s="2" t="s">
        <v>6088</v>
      </c>
      <c r="D4969" s="2" t="s">
        <v>10</v>
      </c>
      <c r="E4969" s="2" t="s">
        <v>11</v>
      </c>
      <c r="F4969" s="2">
        <v>2</v>
      </c>
      <c r="G4969" s="2" t="s">
        <v>12</v>
      </c>
    </row>
    <row r="4970" spans="1:7" x14ac:dyDescent="0.2">
      <c r="A4970" s="2" t="s">
        <v>6279</v>
      </c>
      <c r="B4970" s="2" t="s">
        <v>6139</v>
      </c>
      <c r="C4970" s="2" t="s">
        <v>6088</v>
      </c>
      <c r="D4970" s="2" t="s">
        <v>10</v>
      </c>
      <c r="E4970" s="2" t="s">
        <v>11</v>
      </c>
      <c r="F4970" s="2">
        <v>2</v>
      </c>
      <c r="G4970" s="2" t="s">
        <v>12</v>
      </c>
    </row>
    <row r="4971" spans="1:7" x14ac:dyDescent="0.2">
      <c r="A4971" s="2" t="s">
        <v>6279</v>
      </c>
      <c r="B4971" s="2" t="s">
        <v>6140</v>
      </c>
      <c r="C4971" s="2" t="s">
        <v>6088</v>
      </c>
      <c r="D4971" s="2" t="s">
        <v>10</v>
      </c>
      <c r="E4971" s="2" t="s">
        <v>11</v>
      </c>
      <c r="F4971" s="2">
        <v>2</v>
      </c>
      <c r="G4971" s="2" t="s">
        <v>12</v>
      </c>
    </row>
    <row r="4972" spans="1:7" x14ac:dyDescent="0.2">
      <c r="A4972" s="2" t="s">
        <v>6279</v>
      </c>
      <c r="B4972" s="2" t="s">
        <v>6178</v>
      </c>
      <c r="C4972" s="2" t="s">
        <v>6088</v>
      </c>
      <c r="D4972" s="2" t="s">
        <v>10</v>
      </c>
      <c r="E4972" s="2" t="s">
        <v>11</v>
      </c>
      <c r="F4972" s="2">
        <v>2</v>
      </c>
      <c r="G4972" s="2" t="s">
        <v>12</v>
      </c>
    </row>
    <row r="4973" spans="1:7" x14ac:dyDescent="0.2">
      <c r="A4973" s="2" t="s">
        <v>6279</v>
      </c>
      <c r="B4973" s="2" t="s">
        <v>6236</v>
      </c>
      <c r="C4973" s="2" t="s">
        <v>6210</v>
      </c>
      <c r="D4973" s="2" t="s">
        <v>10</v>
      </c>
      <c r="E4973" s="2" t="s">
        <v>11</v>
      </c>
      <c r="F4973" s="2">
        <v>2</v>
      </c>
      <c r="G4973" s="2" t="s">
        <v>12</v>
      </c>
    </row>
    <row r="4974" spans="1:7" x14ac:dyDescent="0.2">
      <c r="A4974" s="2" t="s">
        <v>6279</v>
      </c>
      <c r="B4974" s="2" t="s">
        <v>6281</v>
      </c>
      <c r="C4974" s="2" t="s">
        <v>6210</v>
      </c>
      <c r="D4974" s="2" t="s">
        <v>10</v>
      </c>
      <c r="E4974" s="2" t="s">
        <v>11</v>
      </c>
      <c r="F4974" s="2">
        <v>2</v>
      </c>
      <c r="G4974" s="2" t="s">
        <v>12</v>
      </c>
    </row>
    <row r="4975" spans="1:7" x14ac:dyDescent="0.2">
      <c r="A4975" s="2" t="s">
        <v>6279</v>
      </c>
      <c r="B4975" s="2" t="s">
        <v>6248</v>
      </c>
      <c r="C4975" s="2" t="s">
        <v>6204</v>
      </c>
      <c r="D4975" s="2" t="s">
        <v>10</v>
      </c>
      <c r="E4975" s="2" t="s">
        <v>52</v>
      </c>
      <c r="F4975" s="2">
        <v>2</v>
      </c>
      <c r="G4975" s="2" t="s">
        <v>17</v>
      </c>
    </row>
    <row r="4976" spans="1:7" x14ac:dyDescent="0.2">
      <c r="A4976" s="2" t="s">
        <v>6279</v>
      </c>
      <c r="B4976" s="2" t="s">
        <v>6249</v>
      </c>
      <c r="C4976" s="2" t="s">
        <v>6204</v>
      </c>
      <c r="D4976" s="2" t="s">
        <v>10</v>
      </c>
      <c r="E4976" s="2" t="s">
        <v>52</v>
      </c>
      <c r="F4976" s="2">
        <v>2</v>
      </c>
      <c r="G4976" s="2" t="s">
        <v>17</v>
      </c>
    </row>
    <row r="4977" spans="1:7" x14ac:dyDescent="0.2">
      <c r="A4977" s="2" t="s">
        <v>6279</v>
      </c>
      <c r="B4977" s="2" t="s">
        <v>6250</v>
      </c>
      <c r="C4977" s="2" t="s">
        <v>6207</v>
      </c>
      <c r="D4977" s="2" t="s">
        <v>10</v>
      </c>
      <c r="E4977" s="2" t="s">
        <v>52</v>
      </c>
      <c r="F4977" s="2">
        <v>2</v>
      </c>
      <c r="G4977" s="2" t="s">
        <v>17</v>
      </c>
    </row>
    <row r="4978" spans="1:7" x14ac:dyDescent="0.2">
      <c r="A4978" s="2" t="s">
        <v>6279</v>
      </c>
      <c r="B4978" s="2" t="s">
        <v>6251</v>
      </c>
      <c r="C4978" s="2" t="s">
        <v>6207</v>
      </c>
      <c r="D4978" s="2" t="s">
        <v>10</v>
      </c>
      <c r="E4978" s="2" t="s">
        <v>52</v>
      </c>
      <c r="F4978" s="2">
        <v>2</v>
      </c>
      <c r="G4978" s="2" t="s">
        <v>17</v>
      </c>
    </row>
    <row r="4979" spans="1:7" x14ac:dyDescent="0.2">
      <c r="A4979" s="2" t="s">
        <v>6279</v>
      </c>
      <c r="B4979" s="2" t="s">
        <v>6179</v>
      </c>
      <c r="C4979" s="2" t="s">
        <v>1516</v>
      </c>
      <c r="D4979" s="2" t="s">
        <v>10</v>
      </c>
      <c r="E4979" s="2" t="s">
        <v>16</v>
      </c>
      <c r="F4979" s="2">
        <v>1</v>
      </c>
      <c r="G4979" s="2" t="s">
        <v>17</v>
      </c>
    </row>
    <row r="4980" spans="1:7" x14ac:dyDescent="0.2">
      <c r="A4980" s="2" t="s">
        <v>6279</v>
      </c>
      <c r="B4980" s="2" t="s">
        <v>6156</v>
      </c>
      <c r="C4980" s="2" t="s">
        <v>306</v>
      </c>
      <c r="D4980" s="2" t="s">
        <v>10</v>
      </c>
      <c r="E4980" s="2" t="s">
        <v>16</v>
      </c>
      <c r="F4980" s="2">
        <v>1</v>
      </c>
      <c r="G4980" s="2" t="s">
        <v>17</v>
      </c>
    </row>
    <row r="4981" spans="1:7" x14ac:dyDescent="0.2">
      <c r="A4981" s="2" t="s">
        <v>6279</v>
      </c>
      <c r="B4981" s="2" t="s">
        <v>6180</v>
      </c>
      <c r="C4981" s="2" t="s">
        <v>1516</v>
      </c>
      <c r="D4981" s="2" t="s">
        <v>10</v>
      </c>
      <c r="E4981" s="2" t="s">
        <v>16</v>
      </c>
      <c r="F4981" s="2">
        <v>1</v>
      </c>
      <c r="G4981" s="2" t="s">
        <v>17</v>
      </c>
    </row>
    <row r="4982" spans="1:7" x14ac:dyDescent="0.2">
      <c r="A4982" s="2" t="s">
        <v>6279</v>
      </c>
      <c r="B4982" s="2" t="s">
        <v>676</v>
      </c>
      <c r="C4982" s="2" t="s">
        <v>1520</v>
      </c>
      <c r="D4982" s="2" t="s">
        <v>10</v>
      </c>
      <c r="E4982" s="2" t="s">
        <v>16</v>
      </c>
      <c r="F4982" s="2">
        <v>1</v>
      </c>
      <c r="G4982" s="2" t="s">
        <v>17</v>
      </c>
    </row>
    <row r="4983" spans="1:7" x14ac:dyDescent="0.2">
      <c r="A4983" s="2" t="s">
        <v>6279</v>
      </c>
      <c r="B4983" s="2" t="s">
        <v>6164</v>
      </c>
      <c r="C4983" s="2" t="s">
        <v>773</v>
      </c>
      <c r="D4983" s="2" t="s">
        <v>10</v>
      </c>
      <c r="E4983" s="2" t="s">
        <v>52</v>
      </c>
      <c r="F4983" s="2">
        <v>1</v>
      </c>
      <c r="G4983" s="2" t="s">
        <v>17</v>
      </c>
    </row>
    <row r="4984" spans="1:7" x14ac:dyDescent="0.2">
      <c r="A4984" s="2" t="s">
        <v>6282</v>
      </c>
      <c r="B4984" s="2" t="s">
        <v>5505</v>
      </c>
      <c r="C4984" s="2" t="s">
        <v>5506</v>
      </c>
      <c r="D4984" s="2" t="s">
        <v>10</v>
      </c>
      <c r="E4984" s="2" t="s">
        <v>16</v>
      </c>
      <c r="F4984" s="2">
        <v>1</v>
      </c>
      <c r="G4984" s="2" t="s">
        <v>17</v>
      </c>
    </row>
    <row r="4985" spans="1:7" x14ac:dyDescent="0.2">
      <c r="A4985" s="2" t="s">
        <v>6282</v>
      </c>
      <c r="B4985" s="2" t="s">
        <v>5507</v>
      </c>
      <c r="C4985" s="2" t="s">
        <v>5506</v>
      </c>
      <c r="D4985" s="2" t="s">
        <v>10</v>
      </c>
      <c r="E4985" s="2" t="s">
        <v>16</v>
      </c>
      <c r="F4985" s="2">
        <v>1</v>
      </c>
      <c r="G4985" s="2" t="s">
        <v>17</v>
      </c>
    </row>
    <row r="4986" spans="1:7" x14ac:dyDescent="0.2">
      <c r="A4986" s="2" t="s">
        <v>6283</v>
      </c>
      <c r="B4986" s="2" t="s">
        <v>6284</v>
      </c>
      <c r="C4986" s="2" t="s">
        <v>6285</v>
      </c>
      <c r="D4986" s="2" t="s">
        <v>10</v>
      </c>
      <c r="E4986" s="2" t="s">
        <v>16</v>
      </c>
      <c r="F4986" s="2">
        <v>1</v>
      </c>
      <c r="G4986" s="2" t="s">
        <v>17</v>
      </c>
    </row>
    <row r="4987" spans="1:7" x14ac:dyDescent="0.2">
      <c r="A4987" s="2" t="s">
        <v>6286</v>
      </c>
      <c r="B4987" s="2" t="s">
        <v>3177</v>
      </c>
      <c r="C4987" s="2" t="s">
        <v>3178</v>
      </c>
      <c r="D4987" s="2" t="s">
        <v>10</v>
      </c>
      <c r="E4987" s="2" t="s">
        <v>16</v>
      </c>
      <c r="F4987" s="2">
        <v>1</v>
      </c>
      <c r="G4987" s="2" t="s">
        <v>17</v>
      </c>
    </row>
    <row r="4988" spans="1:7" x14ac:dyDescent="0.2">
      <c r="A4988" s="2" t="s">
        <v>6286</v>
      </c>
      <c r="B4988" s="2" t="s">
        <v>3180</v>
      </c>
      <c r="C4988" s="2" t="s">
        <v>3178</v>
      </c>
      <c r="D4988" s="2" t="s">
        <v>10</v>
      </c>
      <c r="E4988" s="2" t="s">
        <v>16</v>
      </c>
      <c r="F4988" s="2">
        <v>1</v>
      </c>
      <c r="G4988" s="2" t="s">
        <v>17</v>
      </c>
    </row>
    <row r="4989" spans="1:7" x14ac:dyDescent="0.2">
      <c r="A4989" s="2" t="s">
        <v>6287</v>
      </c>
      <c r="B4989" s="2" t="s">
        <v>4209</v>
      </c>
      <c r="C4989" s="2" t="s">
        <v>2630</v>
      </c>
      <c r="D4989" s="2" t="s">
        <v>10</v>
      </c>
      <c r="E4989" s="2" t="s">
        <v>16</v>
      </c>
      <c r="F4989" s="2">
        <v>1</v>
      </c>
      <c r="G4989" s="2" t="s">
        <v>17</v>
      </c>
    </row>
    <row r="4990" spans="1:7" x14ac:dyDescent="0.2">
      <c r="A4990" s="2" t="s">
        <v>6287</v>
      </c>
      <c r="B4990" s="2" t="s">
        <v>4210</v>
      </c>
      <c r="C4990" s="2" t="s">
        <v>2630</v>
      </c>
      <c r="D4990" s="2" t="s">
        <v>10</v>
      </c>
      <c r="E4990" s="2" t="s">
        <v>16</v>
      </c>
      <c r="F4990" s="2">
        <v>1</v>
      </c>
      <c r="G4990" s="2" t="s">
        <v>17</v>
      </c>
    </row>
    <row r="4991" spans="1:7" x14ac:dyDescent="0.2">
      <c r="A4991" s="2" t="s">
        <v>6288</v>
      </c>
      <c r="B4991" s="2" t="s">
        <v>6289</v>
      </c>
      <c r="C4991" s="2" t="s">
        <v>6290</v>
      </c>
      <c r="D4991" s="2" t="s">
        <v>10</v>
      </c>
      <c r="E4991" s="2" t="s">
        <v>16</v>
      </c>
      <c r="F4991" s="2">
        <v>1</v>
      </c>
      <c r="G4991" s="2" t="s">
        <v>17</v>
      </c>
    </row>
    <row r="4992" spans="1:7" x14ac:dyDescent="0.2">
      <c r="A4992" s="2" t="s">
        <v>6291</v>
      </c>
      <c r="B4992" s="2" t="s">
        <v>6292</v>
      </c>
      <c r="C4992" s="2" t="s">
        <v>2136</v>
      </c>
      <c r="D4992" s="2" t="s">
        <v>10</v>
      </c>
      <c r="E4992" s="2" t="s">
        <v>52</v>
      </c>
      <c r="F4992" s="2">
        <v>1</v>
      </c>
      <c r="G4992" s="2" t="s">
        <v>17</v>
      </c>
    </row>
    <row r="4993" spans="1:7" x14ac:dyDescent="0.2">
      <c r="A4993" s="2" t="s">
        <v>6291</v>
      </c>
      <c r="B4993" s="2" t="s">
        <v>6293</v>
      </c>
      <c r="C4993" s="2" t="s">
        <v>2136</v>
      </c>
      <c r="D4993" s="2" t="s">
        <v>10</v>
      </c>
      <c r="E4993" s="2" t="s">
        <v>52</v>
      </c>
      <c r="F4993" s="2">
        <v>1</v>
      </c>
      <c r="G4993" s="2" t="s">
        <v>17</v>
      </c>
    </row>
    <row r="4994" spans="1:7" x14ac:dyDescent="0.2">
      <c r="A4994" s="2" t="s">
        <v>6291</v>
      </c>
      <c r="B4994" s="2" t="s">
        <v>6294</v>
      </c>
      <c r="C4994" s="2" t="s">
        <v>2136</v>
      </c>
      <c r="D4994" s="2" t="s">
        <v>10</v>
      </c>
      <c r="E4994" s="2" t="s">
        <v>52</v>
      </c>
      <c r="F4994" s="2">
        <v>1</v>
      </c>
      <c r="G4994" s="2" t="s">
        <v>17</v>
      </c>
    </row>
    <row r="4995" spans="1:7" x14ac:dyDescent="0.2">
      <c r="A4995" s="2" t="s">
        <v>6295</v>
      </c>
      <c r="B4995" s="2" t="s">
        <v>6296</v>
      </c>
      <c r="C4995" s="2" t="s">
        <v>6297</v>
      </c>
      <c r="D4995" s="2" t="s">
        <v>10</v>
      </c>
      <c r="E4995" s="2" t="s">
        <v>16</v>
      </c>
      <c r="F4995" s="2">
        <v>1</v>
      </c>
      <c r="G4995" s="2" t="s">
        <v>17</v>
      </c>
    </row>
    <row r="4996" spans="1:7" x14ac:dyDescent="0.2">
      <c r="A4996" s="2" t="s">
        <v>6298</v>
      </c>
      <c r="B4996" s="2" t="s">
        <v>6299</v>
      </c>
      <c r="C4996" s="2" t="s">
        <v>6300</v>
      </c>
      <c r="D4996" s="2" t="s">
        <v>10</v>
      </c>
      <c r="E4996" s="2" t="s">
        <v>16</v>
      </c>
      <c r="F4996" s="2">
        <v>1</v>
      </c>
      <c r="G4996" s="2" t="s">
        <v>17</v>
      </c>
    </row>
    <row r="4997" spans="1:7" x14ac:dyDescent="0.2">
      <c r="A4997" s="2" t="s">
        <v>6301</v>
      </c>
      <c r="B4997" s="2" t="s">
        <v>6302</v>
      </c>
      <c r="C4997" s="2" t="s">
        <v>2185</v>
      </c>
      <c r="D4997" s="2" t="s">
        <v>10</v>
      </c>
      <c r="E4997" s="2" t="s">
        <v>16</v>
      </c>
      <c r="F4997" s="2">
        <v>2</v>
      </c>
      <c r="G4997" s="2" t="s">
        <v>17</v>
      </c>
    </row>
    <row r="4998" spans="1:7" x14ac:dyDescent="0.2">
      <c r="A4998" s="2" t="s">
        <v>6301</v>
      </c>
      <c r="B4998" s="2" t="s">
        <v>6303</v>
      </c>
      <c r="C4998" s="2" t="s">
        <v>6304</v>
      </c>
      <c r="D4998" s="2" t="s">
        <v>10</v>
      </c>
      <c r="E4998" s="2" t="s">
        <v>16</v>
      </c>
      <c r="F4998" s="2">
        <v>1</v>
      </c>
      <c r="G4998" s="2" t="s">
        <v>17</v>
      </c>
    </row>
    <row r="4999" spans="1:7" x14ac:dyDescent="0.2">
      <c r="A4999" s="2" t="s">
        <v>6301</v>
      </c>
      <c r="B4999" s="2" t="s">
        <v>6305</v>
      </c>
      <c r="C4999" s="2" t="s">
        <v>6304</v>
      </c>
      <c r="D4999" s="2" t="s">
        <v>10</v>
      </c>
      <c r="E4999" s="2" t="s">
        <v>16</v>
      </c>
      <c r="F4999" s="2">
        <v>1</v>
      </c>
      <c r="G4999" s="2" t="s">
        <v>17</v>
      </c>
    </row>
    <row r="5000" spans="1:7" x14ac:dyDescent="0.2">
      <c r="A5000" s="2" t="s">
        <v>6301</v>
      </c>
      <c r="B5000" s="2" t="s">
        <v>6306</v>
      </c>
      <c r="C5000" s="2" t="s">
        <v>2187</v>
      </c>
      <c r="D5000" s="2" t="s">
        <v>10</v>
      </c>
      <c r="E5000" s="2" t="s">
        <v>52</v>
      </c>
      <c r="F5000" s="2">
        <v>2</v>
      </c>
      <c r="G5000" s="2" t="s">
        <v>17</v>
      </c>
    </row>
    <row r="5001" spans="1:7" x14ac:dyDescent="0.2">
      <c r="A5001" s="2" t="s">
        <v>6301</v>
      </c>
      <c r="B5001" s="2" t="s">
        <v>6307</v>
      </c>
      <c r="C5001" s="2" t="s">
        <v>2187</v>
      </c>
      <c r="D5001" s="2" t="s">
        <v>10</v>
      </c>
      <c r="E5001" s="2" t="s">
        <v>52</v>
      </c>
      <c r="F5001" s="2">
        <v>2</v>
      </c>
      <c r="G5001" s="2" t="s">
        <v>17</v>
      </c>
    </row>
    <row r="5002" spans="1:7" x14ac:dyDescent="0.2">
      <c r="A5002" s="2" t="s">
        <v>6308</v>
      </c>
      <c r="B5002" s="2" t="s">
        <v>6309</v>
      </c>
      <c r="C5002" s="2" t="s">
        <v>6310</v>
      </c>
      <c r="D5002" s="2" t="s">
        <v>10</v>
      </c>
      <c r="E5002" s="2" t="s">
        <v>52</v>
      </c>
      <c r="F5002" s="2">
        <v>2</v>
      </c>
      <c r="G5002" s="2" t="s">
        <v>17</v>
      </c>
    </row>
    <row r="5003" spans="1:7" x14ac:dyDescent="0.2">
      <c r="A5003" s="2" t="s">
        <v>6308</v>
      </c>
      <c r="B5003" s="2" t="s">
        <v>6311</v>
      </c>
      <c r="C5003" s="2" t="s">
        <v>6312</v>
      </c>
      <c r="D5003" s="2" t="s">
        <v>10</v>
      </c>
      <c r="E5003" s="2" t="s">
        <v>52</v>
      </c>
      <c r="F5003" s="2">
        <v>2</v>
      </c>
      <c r="G5003" s="2" t="s">
        <v>17</v>
      </c>
    </row>
    <row r="5004" spans="1:7" x14ac:dyDescent="0.2">
      <c r="A5004" s="2" t="s">
        <v>6308</v>
      </c>
      <c r="B5004" s="2" t="s">
        <v>6313</v>
      </c>
      <c r="C5004" s="2" t="s">
        <v>6310</v>
      </c>
      <c r="D5004" s="2" t="s">
        <v>10</v>
      </c>
      <c r="E5004" s="2" t="s">
        <v>52</v>
      </c>
      <c r="F5004" s="2">
        <v>2</v>
      </c>
      <c r="G5004" s="2" t="s">
        <v>17</v>
      </c>
    </row>
    <row r="5005" spans="1:7" x14ac:dyDescent="0.2">
      <c r="A5005" s="2" t="s">
        <v>6308</v>
      </c>
      <c r="B5005" s="2" t="s">
        <v>6314</v>
      </c>
      <c r="C5005" s="2" t="s">
        <v>6312</v>
      </c>
      <c r="D5005" s="2" t="s">
        <v>10</v>
      </c>
      <c r="E5005" s="2" t="s">
        <v>52</v>
      </c>
      <c r="F5005" s="2">
        <v>2</v>
      </c>
      <c r="G5005" s="2" t="s">
        <v>17</v>
      </c>
    </row>
    <row r="5006" spans="1:7" x14ac:dyDescent="0.2">
      <c r="A5006" s="2" t="s">
        <v>6308</v>
      </c>
      <c r="B5006" s="2" t="s">
        <v>6315</v>
      </c>
      <c r="C5006" s="2" t="s">
        <v>6312</v>
      </c>
      <c r="D5006" s="2" t="s">
        <v>10</v>
      </c>
      <c r="E5006" s="2" t="s">
        <v>52</v>
      </c>
      <c r="F5006" s="2">
        <v>2</v>
      </c>
      <c r="G5006" s="2" t="s">
        <v>17</v>
      </c>
    </row>
    <row r="5007" spans="1:7" x14ac:dyDescent="0.2">
      <c r="A5007" s="2" t="s">
        <v>6308</v>
      </c>
      <c r="B5007" s="2" t="s">
        <v>6316</v>
      </c>
      <c r="C5007" s="2" t="s">
        <v>6312</v>
      </c>
      <c r="D5007" s="2" t="s">
        <v>10</v>
      </c>
      <c r="E5007" s="2" t="s">
        <v>52</v>
      </c>
      <c r="F5007" s="2">
        <v>2</v>
      </c>
      <c r="G5007" s="2" t="s">
        <v>17</v>
      </c>
    </row>
    <row r="5008" spans="1:7" x14ac:dyDescent="0.2">
      <c r="A5008" s="2" t="s">
        <v>6317</v>
      </c>
      <c r="B5008" s="2" t="s">
        <v>6318</v>
      </c>
      <c r="C5008" s="2" t="s">
        <v>6319</v>
      </c>
      <c r="D5008" s="2" t="s">
        <v>10</v>
      </c>
      <c r="E5008" s="2" t="s">
        <v>16</v>
      </c>
      <c r="F5008" s="2">
        <v>1</v>
      </c>
      <c r="G5008" s="2" t="s">
        <v>17</v>
      </c>
    </row>
    <row r="5009" spans="1:7" x14ac:dyDescent="0.2">
      <c r="A5009" s="2" t="s">
        <v>6317</v>
      </c>
      <c r="B5009" s="2" t="s">
        <v>6320</v>
      </c>
      <c r="C5009" s="2" t="s">
        <v>6319</v>
      </c>
      <c r="D5009" s="2" t="s">
        <v>10</v>
      </c>
      <c r="E5009" s="2" t="s">
        <v>16</v>
      </c>
      <c r="F5009" s="2">
        <v>1</v>
      </c>
      <c r="G5009" s="2" t="s">
        <v>17</v>
      </c>
    </row>
    <row r="5010" spans="1:7" x14ac:dyDescent="0.2">
      <c r="A5010" s="2" t="s">
        <v>6321</v>
      </c>
      <c r="B5010" s="2" t="s">
        <v>6322</v>
      </c>
      <c r="C5010" s="2" t="s">
        <v>6323</v>
      </c>
      <c r="D5010" s="2" t="s">
        <v>10</v>
      </c>
      <c r="E5010" s="2" t="s">
        <v>11</v>
      </c>
      <c r="F5010" s="2">
        <v>2</v>
      </c>
      <c r="G5010" s="2" t="s">
        <v>12</v>
      </c>
    </row>
    <row r="5011" spans="1:7" x14ac:dyDescent="0.2">
      <c r="A5011" s="2" t="s">
        <v>6321</v>
      </c>
      <c r="B5011" s="2" t="s">
        <v>6324</v>
      </c>
      <c r="C5011" s="2" t="s">
        <v>612</v>
      </c>
      <c r="D5011" s="2" t="s">
        <v>56</v>
      </c>
      <c r="E5011" s="2" t="s">
        <v>52</v>
      </c>
      <c r="F5011" s="2">
        <v>2</v>
      </c>
      <c r="G5011" s="2" t="s">
        <v>17</v>
      </c>
    </row>
    <row r="5012" spans="1:7" x14ac:dyDescent="0.2">
      <c r="A5012" s="2" t="s">
        <v>6321</v>
      </c>
      <c r="B5012" s="2" t="s">
        <v>6325</v>
      </c>
      <c r="C5012" s="2" t="s">
        <v>612</v>
      </c>
      <c r="D5012" s="2" t="s">
        <v>56</v>
      </c>
      <c r="E5012" s="2" t="s">
        <v>52</v>
      </c>
      <c r="F5012" s="2">
        <v>2</v>
      </c>
      <c r="G5012" s="2" t="s">
        <v>17</v>
      </c>
    </row>
    <row r="5013" spans="1:7" x14ac:dyDescent="0.2">
      <c r="A5013" s="2" t="s">
        <v>6321</v>
      </c>
      <c r="B5013" s="2" t="s">
        <v>6326</v>
      </c>
      <c r="C5013" s="2" t="s">
        <v>612</v>
      </c>
      <c r="D5013" s="2" t="s">
        <v>56</v>
      </c>
      <c r="E5013" s="2" t="s">
        <v>52</v>
      </c>
      <c r="F5013" s="2">
        <v>2</v>
      </c>
      <c r="G5013" s="2" t="s">
        <v>17</v>
      </c>
    </row>
    <row r="5014" spans="1:7" x14ac:dyDescent="0.2">
      <c r="A5014" s="2" t="s">
        <v>6321</v>
      </c>
      <c r="B5014" s="2" t="s">
        <v>6327</v>
      </c>
      <c r="C5014" s="2" t="s">
        <v>6328</v>
      </c>
      <c r="D5014" s="2" t="s">
        <v>10</v>
      </c>
      <c r="E5014" s="2" t="s">
        <v>52</v>
      </c>
      <c r="F5014" s="2">
        <v>2</v>
      </c>
      <c r="G5014" s="2" t="s">
        <v>17</v>
      </c>
    </row>
    <row r="5015" spans="1:7" x14ac:dyDescent="0.2">
      <c r="A5015" s="2" t="s">
        <v>6321</v>
      </c>
      <c r="B5015" s="2" t="s">
        <v>6329</v>
      </c>
      <c r="C5015" s="2" t="s">
        <v>1210</v>
      </c>
      <c r="D5015" s="2" t="s">
        <v>56</v>
      </c>
      <c r="E5015" s="2" t="s">
        <v>52</v>
      </c>
      <c r="F5015" s="2">
        <v>1</v>
      </c>
      <c r="G5015" s="2" t="s">
        <v>17</v>
      </c>
    </row>
    <row r="5016" spans="1:7" x14ac:dyDescent="0.2">
      <c r="A5016" s="2" t="s">
        <v>6321</v>
      </c>
      <c r="B5016" s="2" t="s">
        <v>6330</v>
      </c>
      <c r="C5016" s="2" t="s">
        <v>6323</v>
      </c>
      <c r="D5016" s="2" t="s">
        <v>10</v>
      </c>
      <c r="E5016" s="2" t="s">
        <v>11</v>
      </c>
      <c r="F5016" s="2">
        <v>2</v>
      </c>
      <c r="G5016" s="2" t="s">
        <v>12</v>
      </c>
    </row>
    <row r="5017" spans="1:7" x14ac:dyDescent="0.2">
      <c r="A5017" s="2" t="s">
        <v>6321</v>
      </c>
      <c r="B5017" s="2" t="s">
        <v>6331</v>
      </c>
      <c r="C5017" s="2" t="s">
        <v>6323</v>
      </c>
      <c r="D5017" s="2" t="s">
        <v>10</v>
      </c>
      <c r="E5017" s="2" t="s">
        <v>11</v>
      </c>
      <c r="F5017" s="2">
        <v>2</v>
      </c>
      <c r="G5017" s="2" t="s">
        <v>12</v>
      </c>
    </row>
    <row r="5018" spans="1:7" x14ac:dyDescent="0.2">
      <c r="A5018" s="2" t="s">
        <v>6321</v>
      </c>
      <c r="B5018" s="2" t="s">
        <v>6332</v>
      </c>
      <c r="C5018" s="2" t="s">
        <v>6333</v>
      </c>
      <c r="D5018" s="2" t="s">
        <v>3928</v>
      </c>
      <c r="E5018" s="2" t="s">
        <v>52</v>
      </c>
      <c r="F5018" s="2">
        <v>4</v>
      </c>
      <c r="G5018" s="2" t="s">
        <v>12</v>
      </c>
    </row>
    <row r="5019" spans="1:7" x14ac:dyDescent="0.2">
      <c r="A5019" s="2" t="s">
        <v>6321</v>
      </c>
      <c r="B5019" s="2" t="s">
        <v>6334</v>
      </c>
      <c r="C5019" s="2" t="s">
        <v>6333</v>
      </c>
      <c r="D5019" s="2" t="s">
        <v>3928</v>
      </c>
      <c r="E5019" s="2" t="s">
        <v>52</v>
      </c>
      <c r="F5019" s="2">
        <v>4</v>
      </c>
      <c r="G5019" s="2" t="s">
        <v>12</v>
      </c>
    </row>
    <row r="5020" spans="1:7" x14ac:dyDescent="0.2">
      <c r="A5020" s="2" t="s">
        <v>6321</v>
      </c>
      <c r="B5020" s="2" t="s">
        <v>6335</v>
      </c>
      <c r="C5020" s="2" t="s">
        <v>612</v>
      </c>
      <c r="D5020" s="2" t="s">
        <v>56</v>
      </c>
      <c r="E5020" s="2" t="s">
        <v>52</v>
      </c>
      <c r="F5020" s="2">
        <v>2</v>
      </c>
      <c r="G5020" s="2" t="s">
        <v>17</v>
      </c>
    </row>
    <row r="5021" spans="1:7" x14ac:dyDescent="0.2">
      <c r="A5021" s="2" t="s">
        <v>6321</v>
      </c>
      <c r="B5021" s="2" t="s">
        <v>6336</v>
      </c>
      <c r="C5021" s="2" t="s">
        <v>6337</v>
      </c>
      <c r="D5021" s="2" t="s">
        <v>56</v>
      </c>
      <c r="E5021" s="2" t="s">
        <v>16</v>
      </c>
      <c r="F5021" s="2">
        <v>1</v>
      </c>
      <c r="G5021" s="2" t="s">
        <v>17</v>
      </c>
    </row>
    <row r="5022" spans="1:7" x14ac:dyDescent="0.2">
      <c r="A5022" s="2" t="s">
        <v>6321</v>
      </c>
      <c r="B5022" s="2" t="s">
        <v>6338</v>
      </c>
      <c r="C5022" s="2" t="s">
        <v>6339</v>
      </c>
      <c r="D5022" s="2" t="s">
        <v>10</v>
      </c>
      <c r="E5022" s="2" t="s">
        <v>16</v>
      </c>
      <c r="F5022" s="2">
        <v>2</v>
      </c>
      <c r="G5022" s="2" t="s">
        <v>17</v>
      </c>
    </row>
    <row r="5023" spans="1:7" x14ac:dyDescent="0.2">
      <c r="A5023" s="2" t="s">
        <v>6321</v>
      </c>
      <c r="B5023" s="2" t="s">
        <v>6340</v>
      </c>
      <c r="C5023" s="2" t="s">
        <v>6337</v>
      </c>
      <c r="D5023" s="2" t="s">
        <v>56</v>
      </c>
      <c r="E5023" s="2" t="s">
        <v>16</v>
      </c>
      <c r="F5023" s="2">
        <v>1</v>
      </c>
      <c r="G5023" s="2" t="s">
        <v>17</v>
      </c>
    </row>
    <row r="5024" spans="1:7" x14ac:dyDescent="0.2">
      <c r="A5024" s="2" t="s">
        <v>6321</v>
      </c>
      <c r="B5024" s="2" t="s">
        <v>6341</v>
      </c>
      <c r="C5024" s="2" t="s">
        <v>6337</v>
      </c>
      <c r="D5024" s="2" t="s">
        <v>56</v>
      </c>
      <c r="E5024" s="2" t="s">
        <v>16</v>
      </c>
      <c r="F5024" s="2">
        <v>1</v>
      </c>
      <c r="G5024" s="2" t="s">
        <v>17</v>
      </c>
    </row>
    <row r="5025" spans="1:7" x14ac:dyDescent="0.2">
      <c r="A5025" s="2" t="s">
        <v>6321</v>
      </c>
      <c r="B5025" s="2" t="s">
        <v>6342</v>
      </c>
      <c r="C5025" s="2" t="s">
        <v>612</v>
      </c>
      <c r="D5025" s="2" t="s">
        <v>56</v>
      </c>
      <c r="E5025" s="2" t="s">
        <v>52</v>
      </c>
      <c r="F5025" s="2">
        <v>2</v>
      </c>
      <c r="G5025" s="2" t="s">
        <v>17</v>
      </c>
    </row>
    <row r="5026" spans="1:7" x14ac:dyDescent="0.2">
      <c r="A5026" s="2" t="s">
        <v>6321</v>
      </c>
      <c r="B5026" s="2" t="s">
        <v>6343</v>
      </c>
      <c r="C5026" s="2" t="s">
        <v>5050</v>
      </c>
      <c r="D5026" s="2" t="s">
        <v>10</v>
      </c>
      <c r="E5026" s="2" t="s">
        <v>11</v>
      </c>
      <c r="F5026" s="2">
        <v>2</v>
      </c>
      <c r="G5026" s="2" t="s">
        <v>12</v>
      </c>
    </row>
    <row r="5027" spans="1:7" x14ac:dyDescent="0.2">
      <c r="A5027" s="2" t="s">
        <v>6321</v>
      </c>
      <c r="B5027" s="2" t="s">
        <v>6344</v>
      </c>
      <c r="C5027" s="2" t="s">
        <v>5050</v>
      </c>
      <c r="D5027" s="2" t="s">
        <v>10</v>
      </c>
      <c r="E5027" s="2" t="s">
        <v>11</v>
      </c>
      <c r="F5027" s="2">
        <v>2</v>
      </c>
      <c r="G5027" s="2" t="s">
        <v>12</v>
      </c>
    </row>
    <row r="5028" spans="1:7" x14ac:dyDescent="0.2">
      <c r="A5028" s="2" t="s">
        <v>6321</v>
      </c>
      <c r="B5028" s="2" t="s">
        <v>6345</v>
      </c>
      <c r="C5028" s="2" t="s">
        <v>6328</v>
      </c>
      <c r="D5028" s="2" t="s">
        <v>10</v>
      </c>
      <c r="E5028" s="2" t="s">
        <v>52</v>
      </c>
      <c r="F5028" s="2">
        <v>2</v>
      </c>
      <c r="G5028" s="2" t="s">
        <v>17</v>
      </c>
    </row>
    <row r="5029" spans="1:7" x14ac:dyDescent="0.2">
      <c r="A5029" s="2" t="s">
        <v>6321</v>
      </c>
      <c r="B5029" s="2" t="s">
        <v>6346</v>
      </c>
      <c r="C5029" s="2" t="s">
        <v>6328</v>
      </c>
      <c r="D5029" s="2" t="s">
        <v>10</v>
      </c>
      <c r="E5029" s="2" t="s">
        <v>52</v>
      </c>
      <c r="F5029" s="2">
        <v>2</v>
      </c>
      <c r="G5029" s="2" t="s">
        <v>17</v>
      </c>
    </row>
    <row r="5030" spans="1:7" x14ac:dyDescent="0.2">
      <c r="A5030" s="2" t="s">
        <v>6321</v>
      </c>
      <c r="B5030" s="2" t="s">
        <v>6347</v>
      </c>
      <c r="C5030" s="2" t="s">
        <v>6348</v>
      </c>
      <c r="D5030" s="2" t="s">
        <v>10</v>
      </c>
      <c r="E5030" s="2" t="s">
        <v>52</v>
      </c>
      <c r="F5030" s="2">
        <v>2</v>
      </c>
      <c r="G5030" s="2" t="s">
        <v>12</v>
      </c>
    </row>
    <row r="5031" spans="1:7" x14ac:dyDescent="0.2">
      <c r="A5031" s="2" t="s">
        <v>6321</v>
      </c>
      <c r="B5031" s="2" t="s">
        <v>6349</v>
      </c>
      <c r="C5031" s="2" t="s">
        <v>6328</v>
      </c>
      <c r="D5031" s="2" t="s">
        <v>10</v>
      </c>
      <c r="E5031" s="2" t="s">
        <v>52</v>
      </c>
      <c r="F5031" s="2">
        <v>2</v>
      </c>
      <c r="G5031" s="2" t="s">
        <v>17</v>
      </c>
    </row>
    <row r="5032" spans="1:7" x14ac:dyDescent="0.2">
      <c r="A5032" s="2" t="s">
        <v>6321</v>
      </c>
      <c r="B5032" s="2" t="s">
        <v>6350</v>
      </c>
      <c r="C5032" s="2" t="s">
        <v>6328</v>
      </c>
      <c r="D5032" s="2" t="s">
        <v>10</v>
      </c>
      <c r="E5032" s="2" t="s">
        <v>52</v>
      </c>
      <c r="F5032" s="2">
        <v>2</v>
      </c>
      <c r="G5032" s="2" t="s">
        <v>17</v>
      </c>
    </row>
    <row r="5033" spans="1:7" x14ac:dyDescent="0.2">
      <c r="A5033" s="2" t="s">
        <v>6321</v>
      </c>
      <c r="B5033" s="2" t="s">
        <v>6351</v>
      </c>
      <c r="C5033" s="2" t="s">
        <v>6348</v>
      </c>
      <c r="D5033" s="2" t="s">
        <v>10</v>
      </c>
      <c r="E5033" s="2" t="s">
        <v>52</v>
      </c>
      <c r="F5033" s="2">
        <v>2</v>
      </c>
      <c r="G5033" s="2" t="s">
        <v>12</v>
      </c>
    </row>
    <row r="5034" spans="1:7" x14ac:dyDescent="0.2">
      <c r="A5034" s="2" t="s">
        <v>6321</v>
      </c>
      <c r="B5034" s="2" t="s">
        <v>5144</v>
      </c>
      <c r="C5034" s="2" t="s">
        <v>5142</v>
      </c>
      <c r="D5034" s="2" t="s">
        <v>10</v>
      </c>
      <c r="E5034" s="2" t="s">
        <v>11</v>
      </c>
      <c r="F5034" s="2">
        <v>2</v>
      </c>
      <c r="G5034" s="2" t="s">
        <v>12</v>
      </c>
    </row>
    <row r="5035" spans="1:7" x14ac:dyDescent="0.2">
      <c r="A5035" s="2" t="s">
        <v>6321</v>
      </c>
      <c r="B5035" s="2" t="s">
        <v>5160</v>
      </c>
      <c r="C5035" s="2" t="s">
        <v>5142</v>
      </c>
      <c r="D5035" s="2" t="s">
        <v>10</v>
      </c>
      <c r="E5035" s="2" t="s">
        <v>11</v>
      </c>
      <c r="F5035" s="2">
        <v>2</v>
      </c>
      <c r="G5035" s="2" t="s">
        <v>12</v>
      </c>
    </row>
    <row r="5036" spans="1:7" x14ac:dyDescent="0.2">
      <c r="A5036" s="2" t="s">
        <v>6352</v>
      </c>
      <c r="B5036" s="2" t="s">
        <v>6353</v>
      </c>
      <c r="C5036" s="2" t="s">
        <v>6354</v>
      </c>
      <c r="D5036" s="2" t="s">
        <v>10</v>
      </c>
      <c r="E5036" s="2" t="s">
        <v>16</v>
      </c>
      <c r="F5036" s="2">
        <v>1</v>
      </c>
      <c r="G5036" s="2" t="s">
        <v>17</v>
      </c>
    </row>
    <row r="5037" spans="1:7" x14ac:dyDescent="0.2">
      <c r="A5037" s="2" t="s">
        <v>6352</v>
      </c>
      <c r="B5037" s="2" t="s">
        <v>6355</v>
      </c>
      <c r="C5037" s="2" t="s">
        <v>6354</v>
      </c>
      <c r="D5037" s="2" t="s">
        <v>10</v>
      </c>
      <c r="E5037" s="2" t="s">
        <v>16</v>
      </c>
      <c r="F5037" s="2">
        <v>1</v>
      </c>
      <c r="G5037" s="2" t="s">
        <v>17</v>
      </c>
    </row>
    <row r="5038" spans="1:7" x14ac:dyDescent="0.2">
      <c r="A5038" s="2" t="s">
        <v>6356</v>
      </c>
      <c r="B5038" s="2" t="s">
        <v>6357</v>
      </c>
      <c r="C5038" s="2" t="s">
        <v>6358</v>
      </c>
      <c r="D5038" s="2" t="s">
        <v>10</v>
      </c>
      <c r="E5038" s="2" t="s">
        <v>16</v>
      </c>
      <c r="F5038" s="2">
        <v>1</v>
      </c>
      <c r="G5038" s="2" t="s">
        <v>17</v>
      </c>
    </row>
    <row r="5039" spans="1:7" x14ac:dyDescent="0.2">
      <c r="A5039" s="2" t="s">
        <v>6359</v>
      </c>
      <c r="B5039" s="2" t="s">
        <v>6360</v>
      </c>
      <c r="C5039" s="2" t="s">
        <v>6361</v>
      </c>
      <c r="D5039" s="2" t="s">
        <v>10</v>
      </c>
      <c r="E5039" s="2" t="s">
        <v>16</v>
      </c>
      <c r="F5039" s="2">
        <v>1</v>
      </c>
      <c r="G5039" s="2" t="s">
        <v>17</v>
      </c>
    </row>
    <row r="5040" spans="1:7" x14ac:dyDescent="0.2">
      <c r="A5040" s="2" t="s">
        <v>6362</v>
      </c>
      <c r="B5040" s="2" t="s">
        <v>4931</v>
      </c>
      <c r="C5040" s="2" t="s">
        <v>6363</v>
      </c>
      <c r="D5040" s="2" t="s">
        <v>10</v>
      </c>
      <c r="E5040" s="2" t="s">
        <v>16</v>
      </c>
      <c r="F5040" s="2">
        <v>1</v>
      </c>
      <c r="G5040" s="2" t="s">
        <v>17</v>
      </c>
    </row>
    <row r="5041" spans="1:7" x14ac:dyDescent="0.2">
      <c r="A5041" s="2" t="s">
        <v>6362</v>
      </c>
      <c r="B5041" s="2" t="s">
        <v>6364</v>
      </c>
      <c r="C5041" s="2" t="s">
        <v>6363</v>
      </c>
      <c r="D5041" s="2" t="s">
        <v>10</v>
      </c>
      <c r="E5041" s="2" t="s">
        <v>16</v>
      </c>
      <c r="F5041" s="2">
        <v>1</v>
      </c>
      <c r="G5041" s="2" t="s">
        <v>17</v>
      </c>
    </row>
    <row r="5042" spans="1:7" x14ac:dyDescent="0.2">
      <c r="A5042" s="2" t="s">
        <v>6365</v>
      </c>
      <c r="B5042" s="2" t="s">
        <v>6318</v>
      </c>
      <c r="C5042" s="2" t="s">
        <v>6366</v>
      </c>
      <c r="D5042" s="2" t="s">
        <v>10</v>
      </c>
      <c r="E5042" s="2" t="s">
        <v>16</v>
      </c>
      <c r="F5042" s="2">
        <v>1</v>
      </c>
      <c r="G5042" s="2" t="s">
        <v>17</v>
      </c>
    </row>
    <row r="5043" spans="1:7" x14ac:dyDescent="0.2">
      <c r="A5043" s="2" t="s">
        <v>6365</v>
      </c>
      <c r="B5043" s="2" t="s">
        <v>6367</v>
      </c>
      <c r="C5043" s="2" t="s">
        <v>6366</v>
      </c>
      <c r="D5043" s="2" t="s">
        <v>10</v>
      </c>
      <c r="E5043" s="2" t="s">
        <v>16</v>
      </c>
      <c r="F5043" s="2">
        <v>1</v>
      </c>
      <c r="G5043" s="2" t="s">
        <v>17</v>
      </c>
    </row>
    <row r="5044" spans="1:7" x14ac:dyDescent="0.2">
      <c r="A5044" s="2" t="s">
        <v>6365</v>
      </c>
      <c r="B5044" s="2" t="s">
        <v>6368</v>
      </c>
      <c r="C5044" s="2" t="s">
        <v>6369</v>
      </c>
      <c r="D5044" s="2" t="s">
        <v>10</v>
      </c>
      <c r="E5044" s="2" t="s">
        <v>16</v>
      </c>
      <c r="F5044" s="2">
        <v>1</v>
      </c>
      <c r="G5044" s="2" t="s">
        <v>17</v>
      </c>
    </row>
    <row r="5045" spans="1:7" x14ac:dyDescent="0.2">
      <c r="A5045" s="2" t="s">
        <v>6365</v>
      </c>
      <c r="B5045" s="2" t="s">
        <v>6370</v>
      </c>
      <c r="C5045" s="2" t="s">
        <v>6371</v>
      </c>
      <c r="D5045" s="2" t="s">
        <v>10</v>
      </c>
      <c r="E5045" s="2" t="s">
        <v>16</v>
      </c>
      <c r="F5045" s="2">
        <v>1</v>
      </c>
      <c r="G5045" s="2" t="s">
        <v>17</v>
      </c>
    </row>
    <row r="5046" spans="1:7" x14ac:dyDescent="0.2">
      <c r="A5046" s="2" t="s">
        <v>6365</v>
      </c>
      <c r="B5046" s="2" t="s">
        <v>6372</v>
      </c>
      <c r="C5046" s="2" t="s">
        <v>6373</v>
      </c>
      <c r="D5046" s="2" t="s">
        <v>10</v>
      </c>
      <c r="E5046" s="2" t="s">
        <v>11</v>
      </c>
      <c r="F5046" s="2">
        <v>1</v>
      </c>
      <c r="G5046" s="2" t="s">
        <v>12</v>
      </c>
    </row>
    <row r="5047" spans="1:7" x14ac:dyDescent="0.2">
      <c r="A5047" s="2" t="s">
        <v>6365</v>
      </c>
      <c r="B5047" s="2" t="s">
        <v>6374</v>
      </c>
      <c r="C5047" s="2" t="s">
        <v>6375</v>
      </c>
      <c r="D5047" s="2" t="s">
        <v>10</v>
      </c>
      <c r="E5047" s="2" t="s">
        <v>16</v>
      </c>
      <c r="F5047" s="2">
        <v>1</v>
      </c>
      <c r="G5047" s="2" t="s">
        <v>17</v>
      </c>
    </row>
    <row r="5048" spans="1:7" x14ac:dyDescent="0.2">
      <c r="A5048" s="2" t="s">
        <v>6365</v>
      </c>
      <c r="B5048" s="2" t="s">
        <v>6376</v>
      </c>
      <c r="C5048" s="2" t="s">
        <v>6369</v>
      </c>
      <c r="D5048" s="2" t="s">
        <v>10</v>
      </c>
      <c r="E5048" s="2" t="s">
        <v>16</v>
      </c>
      <c r="F5048" s="2">
        <v>1</v>
      </c>
      <c r="G5048" s="2" t="s">
        <v>17</v>
      </c>
    </row>
    <row r="5049" spans="1:7" x14ac:dyDescent="0.2">
      <c r="A5049" s="2" t="s">
        <v>6365</v>
      </c>
      <c r="B5049" s="2" t="s">
        <v>1701</v>
      </c>
      <c r="C5049" s="2" t="s">
        <v>1702</v>
      </c>
      <c r="D5049" s="2" t="s">
        <v>10</v>
      </c>
      <c r="E5049" s="2" t="s">
        <v>11</v>
      </c>
      <c r="F5049" s="2">
        <v>1</v>
      </c>
      <c r="G5049" s="2" t="s">
        <v>12</v>
      </c>
    </row>
    <row r="5050" spans="1:7" x14ac:dyDescent="0.2">
      <c r="A5050" s="2" t="s">
        <v>6365</v>
      </c>
      <c r="B5050" s="2" t="s">
        <v>6377</v>
      </c>
      <c r="C5050" s="2" t="s">
        <v>6375</v>
      </c>
      <c r="D5050" s="2" t="s">
        <v>10</v>
      </c>
      <c r="E5050" s="2" t="s">
        <v>16</v>
      </c>
      <c r="F5050" s="2">
        <v>1</v>
      </c>
      <c r="G5050" s="2" t="s">
        <v>17</v>
      </c>
    </row>
    <row r="5051" spans="1:7" x14ac:dyDescent="0.2">
      <c r="A5051" s="2" t="s">
        <v>6378</v>
      </c>
      <c r="B5051" s="2" t="s">
        <v>2211</v>
      </c>
      <c r="C5051" s="2" t="s">
        <v>2212</v>
      </c>
      <c r="D5051" s="2" t="s">
        <v>10</v>
      </c>
      <c r="E5051" s="2" t="s">
        <v>16</v>
      </c>
      <c r="F5051" s="2">
        <v>2</v>
      </c>
      <c r="G5051" s="2" t="s">
        <v>17</v>
      </c>
    </row>
    <row r="5052" spans="1:7" x14ac:dyDescent="0.2">
      <c r="A5052" s="2" t="s">
        <v>6378</v>
      </c>
      <c r="B5052" s="2" t="s">
        <v>2389</v>
      </c>
      <c r="C5052" s="2" t="s">
        <v>2234</v>
      </c>
      <c r="D5052" s="2" t="s">
        <v>10</v>
      </c>
      <c r="E5052" s="2" t="s">
        <v>52</v>
      </c>
      <c r="F5052" s="2">
        <v>2</v>
      </c>
      <c r="G5052" s="2" t="s">
        <v>17</v>
      </c>
    </row>
    <row r="5053" spans="1:7" x14ac:dyDescent="0.2">
      <c r="A5053" s="2" t="s">
        <v>6378</v>
      </c>
      <c r="B5053" s="2" t="s">
        <v>6379</v>
      </c>
      <c r="C5053" s="2" t="s">
        <v>2249</v>
      </c>
      <c r="D5053" s="2" t="s">
        <v>10</v>
      </c>
      <c r="E5053" s="2" t="s">
        <v>52</v>
      </c>
      <c r="F5053" s="2">
        <v>2</v>
      </c>
      <c r="G5053" s="2" t="s">
        <v>1058</v>
      </c>
    </row>
    <row r="5054" spans="1:7" x14ac:dyDescent="0.2">
      <c r="A5054" s="2" t="s">
        <v>6378</v>
      </c>
      <c r="B5054" s="2" t="s">
        <v>2393</v>
      </c>
      <c r="C5054" s="2" t="s">
        <v>2251</v>
      </c>
      <c r="D5054" s="2" t="s">
        <v>10</v>
      </c>
      <c r="E5054" s="2" t="s">
        <v>52</v>
      </c>
      <c r="F5054" s="2">
        <v>2</v>
      </c>
      <c r="G5054" s="2" t="s">
        <v>1058</v>
      </c>
    </row>
    <row r="5055" spans="1:7" x14ac:dyDescent="0.2">
      <c r="A5055" s="2" t="s">
        <v>6378</v>
      </c>
      <c r="B5055" s="2" t="s">
        <v>6380</v>
      </c>
      <c r="C5055" s="2" t="s">
        <v>6381</v>
      </c>
      <c r="D5055" s="2" t="s">
        <v>10</v>
      </c>
      <c r="E5055" s="2" t="s">
        <v>11</v>
      </c>
      <c r="F5055" s="2">
        <v>2</v>
      </c>
      <c r="G5055" s="2" t="s">
        <v>17</v>
      </c>
    </row>
    <row r="5056" spans="1:7" x14ac:dyDescent="0.2">
      <c r="A5056" s="2" t="s">
        <v>6378</v>
      </c>
      <c r="B5056" s="2" t="s">
        <v>6382</v>
      </c>
      <c r="C5056" s="2" t="s">
        <v>6383</v>
      </c>
      <c r="D5056" s="2" t="s">
        <v>10</v>
      </c>
      <c r="E5056" s="2" t="s">
        <v>11</v>
      </c>
      <c r="F5056" s="2">
        <v>2</v>
      </c>
      <c r="G5056" s="2" t="s">
        <v>12</v>
      </c>
    </row>
    <row r="5057" spans="1:7" x14ac:dyDescent="0.2">
      <c r="A5057" s="2" t="s">
        <v>6378</v>
      </c>
      <c r="B5057" s="2" t="s">
        <v>2388</v>
      </c>
      <c r="C5057" s="2" t="s">
        <v>2212</v>
      </c>
      <c r="D5057" s="2" t="s">
        <v>10</v>
      </c>
      <c r="E5057" s="2" t="s">
        <v>16</v>
      </c>
      <c r="F5057" s="2">
        <v>2</v>
      </c>
      <c r="G5057" s="2" t="s">
        <v>17</v>
      </c>
    </row>
    <row r="5058" spans="1:7" x14ac:dyDescent="0.2">
      <c r="A5058" s="2" t="s">
        <v>6378</v>
      </c>
      <c r="B5058" s="2" t="s">
        <v>6384</v>
      </c>
      <c r="C5058" s="2" t="s">
        <v>3098</v>
      </c>
      <c r="D5058" s="2" t="s">
        <v>10</v>
      </c>
      <c r="E5058" s="2" t="s">
        <v>11</v>
      </c>
      <c r="F5058" s="2">
        <v>2</v>
      </c>
      <c r="G5058" s="2" t="s">
        <v>12</v>
      </c>
    </row>
    <row r="5059" spans="1:7" x14ac:dyDescent="0.2">
      <c r="A5059" s="2" t="s">
        <v>6378</v>
      </c>
      <c r="B5059" s="2" t="s">
        <v>6385</v>
      </c>
      <c r="C5059" s="2" t="s">
        <v>3098</v>
      </c>
      <c r="D5059" s="2" t="s">
        <v>10</v>
      </c>
      <c r="E5059" s="2" t="s">
        <v>11</v>
      </c>
      <c r="F5059" s="2">
        <v>2</v>
      </c>
      <c r="G5059" s="2" t="s">
        <v>12</v>
      </c>
    </row>
    <row r="5060" spans="1:7" x14ac:dyDescent="0.2">
      <c r="A5060" s="2" t="s">
        <v>6378</v>
      </c>
      <c r="B5060" s="2" t="s">
        <v>6386</v>
      </c>
      <c r="C5060" s="2" t="s">
        <v>3098</v>
      </c>
      <c r="D5060" s="2" t="s">
        <v>10</v>
      </c>
      <c r="E5060" s="2" t="s">
        <v>11</v>
      </c>
      <c r="F5060" s="2">
        <v>2</v>
      </c>
      <c r="G5060" s="2" t="s">
        <v>12</v>
      </c>
    </row>
    <row r="5061" spans="1:7" x14ac:dyDescent="0.2">
      <c r="A5061" s="2" t="s">
        <v>6378</v>
      </c>
      <c r="B5061" s="2" t="s">
        <v>6387</v>
      </c>
      <c r="C5061" s="2" t="s">
        <v>6383</v>
      </c>
      <c r="D5061" s="2" t="s">
        <v>10</v>
      </c>
      <c r="E5061" s="2" t="s">
        <v>11</v>
      </c>
      <c r="F5061" s="2">
        <v>2</v>
      </c>
      <c r="G5061" s="2" t="s">
        <v>12</v>
      </c>
    </row>
    <row r="5062" spans="1:7" x14ac:dyDescent="0.2">
      <c r="A5062" s="2" t="s">
        <v>6378</v>
      </c>
      <c r="B5062" s="2" t="s">
        <v>2390</v>
      </c>
      <c r="C5062" s="2" t="s">
        <v>2234</v>
      </c>
      <c r="D5062" s="2" t="s">
        <v>10</v>
      </c>
      <c r="E5062" s="2" t="s">
        <v>52</v>
      </c>
      <c r="F5062" s="2">
        <v>2</v>
      </c>
      <c r="G5062" s="2" t="s">
        <v>17</v>
      </c>
    </row>
    <row r="5063" spans="1:7" x14ac:dyDescent="0.2">
      <c r="A5063" s="2" t="s">
        <v>6378</v>
      </c>
      <c r="B5063" s="2" t="s">
        <v>6388</v>
      </c>
      <c r="C5063" s="2" t="s">
        <v>2249</v>
      </c>
      <c r="D5063" s="2" t="s">
        <v>10</v>
      </c>
      <c r="E5063" s="2" t="s">
        <v>52</v>
      </c>
      <c r="F5063" s="2">
        <v>2</v>
      </c>
      <c r="G5063" s="2" t="s">
        <v>1058</v>
      </c>
    </row>
    <row r="5064" spans="1:7" x14ac:dyDescent="0.2">
      <c r="A5064" s="2" t="s">
        <v>6378</v>
      </c>
      <c r="B5064" s="2" t="s">
        <v>2394</v>
      </c>
      <c r="C5064" s="2" t="s">
        <v>2251</v>
      </c>
      <c r="D5064" s="2" t="s">
        <v>10</v>
      </c>
      <c r="E5064" s="2" t="s">
        <v>52</v>
      </c>
      <c r="F5064" s="2">
        <v>2</v>
      </c>
      <c r="G5064" s="2" t="s">
        <v>1058</v>
      </c>
    </row>
    <row r="5065" spans="1:7" x14ac:dyDescent="0.2">
      <c r="A5065" s="2" t="s">
        <v>6378</v>
      </c>
      <c r="B5065" s="2" t="s">
        <v>6389</v>
      </c>
      <c r="C5065" s="2" t="s">
        <v>6381</v>
      </c>
      <c r="D5065" s="2" t="s">
        <v>10</v>
      </c>
      <c r="E5065" s="2" t="s">
        <v>11</v>
      </c>
      <c r="F5065" s="2">
        <v>2</v>
      </c>
      <c r="G5065" s="2" t="s">
        <v>17</v>
      </c>
    </row>
    <row r="5066" spans="1:7" x14ac:dyDescent="0.2">
      <c r="A5066" s="2" t="s">
        <v>6378</v>
      </c>
      <c r="B5066" s="2" t="s">
        <v>2395</v>
      </c>
      <c r="C5066" s="2" t="s">
        <v>2396</v>
      </c>
      <c r="D5066" s="2" t="s">
        <v>10</v>
      </c>
      <c r="E5066" s="2" t="s">
        <v>52</v>
      </c>
      <c r="F5066" s="2">
        <v>1</v>
      </c>
      <c r="G5066" s="2" t="s">
        <v>17</v>
      </c>
    </row>
    <row r="5067" spans="1:7" x14ac:dyDescent="0.2">
      <c r="A5067" s="2" t="s">
        <v>6378</v>
      </c>
      <c r="B5067" s="2" t="s">
        <v>2399</v>
      </c>
      <c r="C5067" s="2" t="s">
        <v>2396</v>
      </c>
      <c r="D5067" s="2" t="s">
        <v>10</v>
      </c>
      <c r="E5067" s="2" t="s">
        <v>52</v>
      </c>
      <c r="F5067" s="2">
        <v>1</v>
      </c>
      <c r="G5067" s="2" t="s">
        <v>17</v>
      </c>
    </row>
    <row r="5068" spans="1:7" x14ac:dyDescent="0.2">
      <c r="A5068" s="2" t="s">
        <v>6378</v>
      </c>
      <c r="B5068" s="2" t="s">
        <v>6390</v>
      </c>
      <c r="C5068" s="2" t="s">
        <v>3098</v>
      </c>
      <c r="D5068" s="2" t="s">
        <v>10</v>
      </c>
      <c r="E5068" s="2" t="s">
        <v>11</v>
      </c>
      <c r="F5068" s="2">
        <v>2</v>
      </c>
      <c r="G5068" s="2" t="s">
        <v>12</v>
      </c>
    </row>
    <row r="5069" spans="1:7" x14ac:dyDescent="0.2">
      <c r="A5069" s="2" t="s">
        <v>6378</v>
      </c>
      <c r="B5069" s="2" t="s">
        <v>6391</v>
      </c>
      <c r="C5069" s="2" t="s">
        <v>6381</v>
      </c>
      <c r="D5069" s="2" t="s">
        <v>10</v>
      </c>
      <c r="E5069" s="2" t="s">
        <v>11</v>
      </c>
      <c r="F5069" s="2">
        <v>2</v>
      </c>
      <c r="G5069" s="2" t="s">
        <v>17</v>
      </c>
    </row>
    <row r="5070" spans="1:7" x14ac:dyDescent="0.2">
      <c r="A5070" s="2" t="s">
        <v>6378</v>
      </c>
      <c r="B5070" s="2" t="s">
        <v>6392</v>
      </c>
      <c r="C5070" s="2" t="s">
        <v>6381</v>
      </c>
      <c r="D5070" s="2" t="s">
        <v>10</v>
      </c>
      <c r="E5070" s="2" t="s">
        <v>11</v>
      </c>
      <c r="F5070" s="2">
        <v>2</v>
      </c>
      <c r="G5070" s="2" t="s">
        <v>17</v>
      </c>
    </row>
    <row r="5071" spans="1:7" x14ac:dyDescent="0.2">
      <c r="A5071" s="2" t="s">
        <v>6378</v>
      </c>
      <c r="B5071" s="2" t="s">
        <v>6393</v>
      </c>
      <c r="C5071" s="2" t="s">
        <v>2251</v>
      </c>
      <c r="D5071" s="2" t="s">
        <v>10</v>
      </c>
      <c r="E5071" s="2" t="s">
        <v>52</v>
      </c>
      <c r="F5071" s="2">
        <v>2</v>
      </c>
      <c r="G5071" s="2" t="s">
        <v>1058</v>
      </c>
    </row>
    <row r="5072" spans="1:7" x14ac:dyDescent="0.2">
      <c r="A5072" s="2" t="s">
        <v>6378</v>
      </c>
      <c r="B5072" s="2" t="s">
        <v>6394</v>
      </c>
      <c r="C5072" s="2" t="s">
        <v>2251</v>
      </c>
      <c r="D5072" s="2" t="s">
        <v>10</v>
      </c>
      <c r="E5072" s="2" t="s">
        <v>52</v>
      </c>
      <c r="F5072" s="2">
        <v>2</v>
      </c>
      <c r="G5072" s="2" t="s">
        <v>1058</v>
      </c>
    </row>
    <row r="5073" spans="1:7" x14ac:dyDescent="0.2">
      <c r="A5073" s="2" t="s">
        <v>6378</v>
      </c>
      <c r="B5073" s="2" t="s">
        <v>2397</v>
      </c>
      <c r="C5073" s="2" t="s">
        <v>2396</v>
      </c>
      <c r="D5073" s="2" t="s">
        <v>10</v>
      </c>
      <c r="E5073" s="2" t="s">
        <v>52</v>
      </c>
      <c r="F5073" s="2">
        <v>1</v>
      </c>
      <c r="G5073" s="2" t="s">
        <v>17</v>
      </c>
    </row>
    <row r="5074" spans="1:7" x14ac:dyDescent="0.2">
      <c r="A5074" s="2" t="s">
        <v>6378</v>
      </c>
      <c r="B5074" s="2" t="s">
        <v>6395</v>
      </c>
      <c r="C5074" s="2" t="s">
        <v>2396</v>
      </c>
      <c r="D5074" s="2" t="s">
        <v>10</v>
      </c>
      <c r="E5074" s="2" t="s">
        <v>52</v>
      </c>
      <c r="F5074" s="2">
        <v>1</v>
      </c>
      <c r="G5074" s="2" t="s">
        <v>17</v>
      </c>
    </row>
    <row r="5075" spans="1:7" x14ac:dyDescent="0.2">
      <c r="A5075" s="2" t="s">
        <v>6378</v>
      </c>
      <c r="B5075" s="2" t="s">
        <v>6396</v>
      </c>
      <c r="C5075" s="2" t="s">
        <v>2396</v>
      </c>
      <c r="D5075" s="2" t="s">
        <v>10</v>
      </c>
      <c r="E5075" s="2" t="s">
        <v>52</v>
      </c>
      <c r="F5075" s="2">
        <v>1</v>
      </c>
      <c r="G5075" s="2" t="s">
        <v>17</v>
      </c>
    </row>
    <row r="5076" spans="1:7" x14ac:dyDescent="0.2">
      <c r="A5076" s="2" t="s">
        <v>6378</v>
      </c>
      <c r="B5076" s="2" t="s">
        <v>2403</v>
      </c>
      <c r="C5076" s="2" t="s">
        <v>2269</v>
      </c>
      <c r="D5076" s="2" t="s">
        <v>10</v>
      </c>
      <c r="E5076" s="2" t="s">
        <v>16</v>
      </c>
      <c r="F5076" s="2">
        <v>1</v>
      </c>
      <c r="G5076" s="2" t="s">
        <v>17</v>
      </c>
    </row>
    <row r="5077" spans="1:7" x14ac:dyDescent="0.2">
      <c r="A5077" s="2" t="s">
        <v>6378</v>
      </c>
      <c r="B5077" s="2" t="s">
        <v>2402</v>
      </c>
      <c r="C5077" s="2" t="s">
        <v>2269</v>
      </c>
      <c r="D5077" s="2" t="s">
        <v>10</v>
      </c>
      <c r="E5077" s="2" t="s">
        <v>16</v>
      </c>
      <c r="F5077" s="2">
        <v>1</v>
      </c>
      <c r="G5077" s="2" t="s">
        <v>17</v>
      </c>
    </row>
    <row r="5078" spans="1:7" x14ac:dyDescent="0.2">
      <c r="A5078" s="2" t="s">
        <v>6378</v>
      </c>
      <c r="B5078" s="2" t="s">
        <v>6397</v>
      </c>
      <c r="C5078" s="2" t="s">
        <v>2255</v>
      </c>
      <c r="D5078" s="2" t="s">
        <v>10</v>
      </c>
      <c r="E5078" s="2" t="s">
        <v>11</v>
      </c>
      <c r="F5078" s="2">
        <v>2</v>
      </c>
      <c r="G5078" s="2" t="s">
        <v>12</v>
      </c>
    </row>
    <row r="5079" spans="1:7" x14ac:dyDescent="0.2">
      <c r="A5079" s="2" t="s">
        <v>6378</v>
      </c>
      <c r="B5079" s="2" t="s">
        <v>6398</v>
      </c>
      <c r="C5079" s="2" t="s">
        <v>2374</v>
      </c>
      <c r="D5079" s="2" t="s">
        <v>10</v>
      </c>
      <c r="E5079" s="2" t="s">
        <v>11</v>
      </c>
      <c r="F5079" s="2">
        <v>2</v>
      </c>
      <c r="G5079" s="2" t="s">
        <v>12</v>
      </c>
    </row>
    <row r="5080" spans="1:7" x14ac:dyDescent="0.2">
      <c r="A5080" s="2" t="s">
        <v>6378</v>
      </c>
      <c r="B5080" s="2" t="s">
        <v>6399</v>
      </c>
      <c r="C5080" s="2" t="s">
        <v>2374</v>
      </c>
      <c r="D5080" s="2" t="s">
        <v>10</v>
      </c>
      <c r="E5080" s="2" t="s">
        <v>11</v>
      </c>
      <c r="F5080" s="2">
        <v>2</v>
      </c>
      <c r="G5080" s="2" t="s">
        <v>12</v>
      </c>
    </row>
    <row r="5081" spans="1:7" x14ac:dyDescent="0.2">
      <c r="A5081" s="2" t="s">
        <v>6378</v>
      </c>
      <c r="B5081" s="2" t="s">
        <v>6400</v>
      </c>
      <c r="C5081" s="2" t="s">
        <v>2374</v>
      </c>
      <c r="D5081" s="2" t="s">
        <v>10</v>
      </c>
      <c r="E5081" s="2" t="s">
        <v>11</v>
      </c>
      <c r="F5081" s="2">
        <v>2</v>
      </c>
      <c r="G5081" s="2" t="s">
        <v>12</v>
      </c>
    </row>
    <row r="5082" spans="1:7" x14ac:dyDescent="0.2">
      <c r="A5082" s="2" t="s">
        <v>6378</v>
      </c>
      <c r="B5082" s="2" t="s">
        <v>6401</v>
      </c>
      <c r="C5082" s="2" t="s">
        <v>2374</v>
      </c>
      <c r="D5082" s="2" t="s">
        <v>10</v>
      </c>
      <c r="E5082" s="2" t="s">
        <v>11</v>
      </c>
      <c r="F5082" s="2">
        <v>2</v>
      </c>
      <c r="G5082" s="2" t="s">
        <v>12</v>
      </c>
    </row>
    <row r="5083" spans="1:7" x14ac:dyDescent="0.2">
      <c r="A5083" s="2" t="s">
        <v>6378</v>
      </c>
      <c r="B5083" s="2" t="s">
        <v>6402</v>
      </c>
      <c r="C5083" s="2" t="s">
        <v>2251</v>
      </c>
      <c r="D5083" s="2" t="s">
        <v>10</v>
      </c>
      <c r="E5083" s="2" t="s">
        <v>52</v>
      </c>
      <c r="F5083" s="2">
        <v>2</v>
      </c>
      <c r="G5083" s="2" t="s">
        <v>1058</v>
      </c>
    </row>
    <row r="5084" spans="1:7" x14ac:dyDescent="0.2">
      <c r="A5084" s="2" t="s">
        <v>6403</v>
      </c>
      <c r="B5084" s="2" t="s">
        <v>6404</v>
      </c>
      <c r="C5084" s="2" t="s">
        <v>1732</v>
      </c>
      <c r="D5084" s="2" t="s">
        <v>56</v>
      </c>
      <c r="E5084" s="2" t="s">
        <v>52</v>
      </c>
      <c r="F5084" s="2">
        <v>2</v>
      </c>
      <c r="G5084" s="2" t="s">
        <v>12</v>
      </c>
    </row>
    <row r="5085" spans="1:7" x14ac:dyDescent="0.2">
      <c r="A5085" s="2" t="s">
        <v>6403</v>
      </c>
      <c r="B5085" s="2" t="s">
        <v>6405</v>
      </c>
      <c r="C5085" s="2" t="s">
        <v>6406</v>
      </c>
      <c r="D5085" s="2" t="s">
        <v>10</v>
      </c>
      <c r="E5085" s="2" t="s">
        <v>52</v>
      </c>
      <c r="F5085" s="2">
        <v>1</v>
      </c>
      <c r="G5085" s="2" t="s">
        <v>17</v>
      </c>
    </row>
    <row r="5086" spans="1:7" x14ac:dyDescent="0.2">
      <c r="A5086" s="2" t="s">
        <v>6403</v>
      </c>
      <c r="B5086" s="2" t="s">
        <v>6407</v>
      </c>
      <c r="C5086" s="2" t="s">
        <v>1732</v>
      </c>
      <c r="D5086" s="2" t="s">
        <v>56</v>
      </c>
      <c r="E5086" s="2" t="s">
        <v>52</v>
      </c>
      <c r="F5086" s="2">
        <v>2</v>
      </c>
      <c r="G5086" s="2" t="s">
        <v>12</v>
      </c>
    </row>
    <row r="5087" spans="1:7" x14ac:dyDescent="0.2">
      <c r="A5087" s="2" t="s">
        <v>6408</v>
      </c>
      <c r="B5087" s="2" t="s">
        <v>6409</v>
      </c>
      <c r="C5087" s="2" t="s">
        <v>1011</v>
      </c>
      <c r="D5087" s="2" t="s">
        <v>10</v>
      </c>
      <c r="E5087" s="2" t="s">
        <v>52</v>
      </c>
      <c r="F5087" s="2">
        <v>2</v>
      </c>
      <c r="G5087" s="2" t="s">
        <v>12</v>
      </c>
    </row>
    <row r="5088" spans="1:7" x14ac:dyDescent="0.2">
      <c r="A5088" s="2" t="s">
        <v>6408</v>
      </c>
      <c r="B5088" s="2" t="s">
        <v>1388</v>
      </c>
      <c r="C5088" s="2" t="s">
        <v>1389</v>
      </c>
      <c r="D5088" s="2" t="s">
        <v>10</v>
      </c>
      <c r="E5088" s="2" t="s">
        <v>11</v>
      </c>
      <c r="F5088" s="2">
        <v>1</v>
      </c>
      <c r="G5088" s="2" t="s">
        <v>12</v>
      </c>
    </row>
    <row r="5089" spans="1:7" x14ac:dyDescent="0.2">
      <c r="A5089" s="2" t="s">
        <v>6408</v>
      </c>
      <c r="B5089" s="2" t="s">
        <v>127</v>
      </c>
      <c r="C5089" s="2" t="s">
        <v>6410</v>
      </c>
      <c r="D5089" s="2" t="s">
        <v>10</v>
      </c>
      <c r="E5089" s="2" t="s">
        <v>11</v>
      </c>
      <c r="F5089" s="2">
        <v>2</v>
      </c>
      <c r="G5089" s="2" t="s">
        <v>12</v>
      </c>
    </row>
    <row r="5090" spans="1:7" x14ac:dyDescent="0.2">
      <c r="A5090" s="2" t="s">
        <v>6408</v>
      </c>
      <c r="B5090" s="2" t="s">
        <v>2054</v>
      </c>
      <c r="C5090" s="2" t="s">
        <v>1011</v>
      </c>
      <c r="D5090" s="2" t="s">
        <v>10</v>
      </c>
      <c r="E5090" s="2" t="s">
        <v>52</v>
      </c>
      <c r="F5090" s="2">
        <v>2</v>
      </c>
      <c r="G5090" s="2" t="s">
        <v>12</v>
      </c>
    </row>
    <row r="5091" spans="1:7" x14ac:dyDescent="0.2">
      <c r="A5091" s="2" t="s">
        <v>6408</v>
      </c>
      <c r="B5091" s="2" t="s">
        <v>4483</v>
      </c>
      <c r="C5091" s="2" t="s">
        <v>4457</v>
      </c>
      <c r="D5091" s="2" t="s">
        <v>10</v>
      </c>
      <c r="E5091" s="2" t="s">
        <v>16</v>
      </c>
      <c r="F5091" s="2">
        <v>2</v>
      </c>
      <c r="G5091" s="2" t="s">
        <v>17</v>
      </c>
    </row>
    <row r="5092" spans="1:7" x14ac:dyDescent="0.2">
      <c r="A5092" s="2" t="s">
        <v>6408</v>
      </c>
      <c r="B5092" s="2" t="s">
        <v>4486</v>
      </c>
      <c r="C5092" s="2" t="s">
        <v>4487</v>
      </c>
      <c r="D5092" s="2" t="s">
        <v>10</v>
      </c>
      <c r="E5092" s="2" t="s">
        <v>16</v>
      </c>
      <c r="F5092" s="2">
        <v>4</v>
      </c>
      <c r="G5092" s="2" t="s">
        <v>17</v>
      </c>
    </row>
    <row r="5093" spans="1:7" x14ac:dyDescent="0.2">
      <c r="A5093" s="2" t="s">
        <v>6408</v>
      </c>
      <c r="B5093" s="2" t="s">
        <v>6411</v>
      </c>
      <c r="C5093" s="2" t="s">
        <v>4490</v>
      </c>
      <c r="D5093" s="2" t="s">
        <v>10</v>
      </c>
      <c r="E5093" s="2" t="s">
        <v>11</v>
      </c>
      <c r="F5093" s="2">
        <v>2</v>
      </c>
      <c r="G5093" s="2" t="s">
        <v>12</v>
      </c>
    </row>
    <row r="5094" spans="1:7" x14ac:dyDescent="0.2">
      <c r="A5094" s="2" t="s">
        <v>6408</v>
      </c>
      <c r="B5094" s="2" t="s">
        <v>4492</v>
      </c>
      <c r="C5094" s="2" t="s">
        <v>4457</v>
      </c>
      <c r="D5094" s="2" t="s">
        <v>10</v>
      </c>
      <c r="E5094" s="2" t="s">
        <v>16</v>
      </c>
      <c r="F5094" s="2">
        <v>2</v>
      </c>
      <c r="G5094" s="2" t="s">
        <v>17</v>
      </c>
    </row>
    <row r="5095" spans="1:7" x14ac:dyDescent="0.2">
      <c r="A5095" s="2" t="s">
        <v>6408</v>
      </c>
      <c r="B5095" s="2" t="s">
        <v>6412</v>
      </c>
      <c r="C5095" s="2" t="s">
        <v>4490</v>
      </c>
      <c r="D5095" s="2" t="s">
        <v>10</v>
      </c>
      <c r="E5095" s="2" t="s">
        <v>11</v>
      </c>
      <c r="F5095" s="2">
        <v>2</v>
      </c>
      <c r="G5095" s="2" t="s">
        <v>12</v>
      </c>
    </row>
    <row r="5096" spans="1:7" x14ac:dyDescent="0.2">
      <c r="A5096" s="2" t="s">
        <v>6408</v>
      </c>
      <c r="B5096" s="2" t="s">
        <v>6413</v>
      </c>
      <c r="C5096" s="2" t="s">
        <v>4490</v>
      </c>
      <c r="D5096" s="2" t="s">
        <v>10</v>
      </c>
      <c r="E5096" s="2" t="s">
        <v>11</v>
      </c>
      <c r="F5096" s="2">
        <v>2</v>
      </c>
      <c r="G5096" s="2" t="s">
        <v>12</v>
      </c>
    </row>
    <row r="5097" spans="1:7" x14ac:dyDescent="0.2">
      <c r="A5097" s="2" t="s">
        <v>6408</v>
      </c>
      <c r="B5097" s="2" t="s">
        <v>5703</v>
      </c>
      <c r="C5097" s="2" t="s">
        <v>5702</v>
      </c>
      <c r="D5097" s="2" t="s">
        <v>10</v>
      </c>
      <c r="E5097" s="2" t="s">
        <v>11</v>
      </c>
      <c r="F5097" s="2">
        <v>1</v>
      </c>
      <c r="G5097" s="2" t="s">
        <v>17</v>
      </c>
    </row>
    <row r="5098" spans="1:7" x14ac:dyDescent="0.2">
      <c r="A5098" s="2" t="s">
        <v>6408</v>
      </c>
      <c r="B5098" s="2" t="s">
        <v>1395</v>
      </c>
      <c r="C5098" s="2" t="s">
        <v>1389</v>
      </c>
      <c r="D5098" s="2" t="s">
        <v>10</v>
      </c>
      <c r="E5098" s="2" t="s">
        <v>11</v>
      </c>
      <c r="F5098" s="2">
        <v>1</v>
      </c>
      <c r="G5098" s="2" t="s">
        <v>12</v>
      </c>
    </row>
    <row r="5099" spans="1:7" x14ac:dyDescent="0.2">
      <c r="A5099" s="2" t="s">
        <v>6408</v>
      </c>
      <c r="B5099" s="2" t="s">
        <v>2118</v>
      </c>
      <c r="C5099" s="2" t="s">
        <v>2116</v>
      </c>
      <c r="D5099" s="2" t="s">
        <v>10</v>
      </c>
      <c r="E5099" s="2" t="s">
        <v>11</v>
      </c>
      <c r="F5099" s="2">
        <v>1</v>
      </c>
      <c r="G5099" s="2" t="s">
        <v>12</v>
      </c>
    </row>
    <row r="5100" spans="1:7" x14ac:dyDescent="0.2">
      <c r="A5100" s="2" t="s">
        <v>6408</v>
      </c>
      <c r="B5100" s="2" t="s">
        <v>4495</v>
      </c>
      <c r="C5100" s="2" t="s">
        <v>4487</v>
      </c>
      <c r="D5100" s="2" t="s">
        <v>10</v>
      </c>
      <c r="E5100" s="2" t="s">
        <v>16</v>
      </c>
      <c r="F5100" s="2">
        <v>4</v>
      </c>
      <c r="G5100" s="2" t="s">
        <v>17</v>
      </c>
    </row>
    <row r="5101" spans="1:7" x14ac:dyDescent="0.2">
      <c r="A5101" s="2" t="s">
        <v>6408</v>
      </c>
      <c r="B5101" s="2" t="s">
        <v>6414</v>
      </c>
      <c r="C5101" s="2" t="s">
        <v>4490</v>
      </c>
      <c r="D5101" s="2" t="s">
        <v>10</v>
      </c>
      <c r="E5101" s="2" t="s">
        <v>11</v>
      </c>
      <c r="F5101" s="2">
        <v>2</v>
      </c>
      <c r="G5101" s="2" t="s">
        <v>12</v>
      </c>
    </row>
    <row r="5102" spans="1:7" x14ac:dyDescent="0.2">
      <c r="A5102" s="2" t="s">
        <v>6408</v>
      </c>
      <c r="B5102" s="2" t="s">
        <v>6415</v>
      </c>
      <c r="C5102" s="2" t="s">
        <v>4490</v>
      </c>
      <c r="D5102" s="2" t="s">
        <v>10</v>
      </c>
      <c r="E5102" s="2" t="s">
        <v>11</v>
      </c>
      <c r="F5102" s="2">
        <v>2</v>
      </c>
      <c r="G5102" s="2" t="s">
        <v>12</v>
      </c>
    </row>
    <row r="5103" spans="1:7" x14ac:dyDescent="0.2">
      <c r="A5103" s="2" t="s">
        <v>6408</v>
      </c>
      <c r="B5103" s="2" t="s">
        <v>6416</v>
      </c>
      <c r="C5103" s="2" t="s">
        <v>4490</v>
      </c>
      <c r="D5103" s="2" t="s">
        <v>10</v>
      </c>
      <c r="E5103" s="2" t="s">
        <v>11</v>
      </c>
      <c r="F5103" s="2">
        <v>2</v>
      </c>
      <c r="G5103" s="2" t="s">
        <v>12</v>
      </c>
    </row>
    <row r="5104" spans="1:7" x14ac:dyDescent="0.2">
      <c r="A5104" s="2" t="s">
        <v>6408</v>
      </c>
      <c r="B5104" s="2" t="s">
        <v>6417</v>
      </c>
      <c r="C5104" s="2" t="s">
        <v>4490</v>
      </c>
      <c r="D5104" s="2" t="s">
        <v>10</v>
      </c>
      <c r="E5104" s="2" t="s">
        <v>11</v>
      </c>
      <c r="F5104" s="2">
        <v>2</v>
      </c>
      <c r="G5104" s="2" t="s">
        <v>12</v>
      </c>
    </row>
    <row r="5105" spans="1:7" x14ac:dyDescent="0.2">
      <c r="A5105" s="2" t="s">
        <v>6408</v>
      </c>
      <c r="B5105" s="2" t="s">
        <v>6418</v>
      </c>
      <c r="C5105" s="2" t="s">
        <v>4490</v>
      </c>
      <c r="D5105" s="2" t="s">
        <v>10</v>
      </c>
      <c r="E5105" s="2" t="s">
        <v>11</v>
      </c>
      <c r="F5105" s="2">
        <v>2</v>
      </c>
      <c r="G5105" s="2" t="s">
        <v>12</v>
      </c>
    </row>
    <row r="5106" spans="1:7" x14ac:dyDescent="0.2">
      <c r="A5106" s="2" t="s">
        <v>6408</v>
      </c>
      <c r="B5106" s="2" t="s">
        <v>6419</v>
      </c>
      <c r="C5106" s="2" t="s">
        <v>3098</v>
      </c>
      <c r="D5106" s="2" t="s">
        <v>10</v>
      </c>
      <c r="E5106" s="2" t="s">
        <v>11</v>
      </c>
      <c r="F5106" s="2">
        <v>2</v>
      </c>
      <c r="G5106" s="2" t="s">
        <v>12</v>
      </c>
    </row>
    <row r="5107" spans="1:7" x14ac:dyDescent="0.2">
      <c r="A5107" s="2" t="s">
        <v>6408</v>
      </c>
      <c r="B5107" s="2" t="s">
        <v>6420</v>
      </c>
      <c r="C5107" s="2" t="s">
        <v>1011</v>
      </c>
      <c r="D5107" s="2" t="s">
        <v>10</v>
      </c>
      <c r="E5107" s="2" t="s">
        <v>52</v>
      </c>
      <c r="F5107" s="2">
        <v>2</v>
      </c>
      <c r="G5107" s="2" t="s">
        <v>12</v>
      </c>
    </row>
    <row r="5108" spans="1:7" x14ac:dyDescent="0.2">
      <c r="A5108" s="2" t="s">
        <v>6408</v>
      </c>
      <c r="B5108" s="2" t="s">
        <v>6421</v>
      </c>
      <c r="C5108" s="2" t="s">
        <v>1011</v>
      </c>
      <c r="D5108" s="2" t="s">
        <v>10</v>
      </c>
      <c r="E5108" s="2" t="s">
        <v>52</v>
      </c>
      <c r="F5108" s="2">
        <v>2</v>
      </c>
      <c r="G5108" s="2" t="s">
        <v>12</v>
      </c>
    </row>
    <row r="5109" spans="1:7" x14ac:dyDescent="0.2">
      <c r="A5109" s="2" t="s">
        <v>6408</v>
      </c>
      <c r="B5109" s="2" t="s">
        <v>6422</v>
      </c>
      <c r="C5109" s="2" t="s">
        <v>1011</v>
      </c>
      <c r="D5109" s="2" t="s">
        <v>10</v>
      </c>
      <c r="E5109" s="2" t="s">
        <v>52</v>
      </c>
      <c r="F5109" s="2">
        <v>2</v>
      </c>
      <c r="G5109" s="2" t="s">
        <v>12</v>
      </c>
    </row>
    <row r="5110" spans="1:7" x14ac:dyDescent="0.2">
      <c r="A5110" s="2" t="s">
        <v>6408</v>
      </c>
      <c r="B5110" s="2" t="s">
        <v>6423</v>
      </c>
      <c r="C5110" s="2" t="s">
        <v>1389</v>
      </c>
      <c r="D5110" s="2" t="s">
        <v>10</v>
      </c>
      <c r="E5110" s="2" t="s">
        <v>11</v>
      </c>
      <c r="F5110" s="2">
        <v>1</v>
      </c>
      <c r="G5110" s="2" t="s">
        <v>12</v>
      </c>
    </row>
    <row r="5111" spans="1:7" x14ac:dyDescent="0.2">
      <c r="A5111" s="2" t="s">
        <v>6408</v>
      </c>
      <c r="B5111" s="2" t="s">
        <v>6424</v>
      </c>
      <c r="C5111" s="2" t="s">
        <v>4490</v>
      </c>
      <c r="D5111" s="2" t="s">
        <v>10</v>
      </c>
      <c r="E5111" s="2" t="s">
        <v>11</v>
      </c>
      <c r="F5111" s="2">
        <v>2</v>
      </c>
      <c r="G5111" s="2" t="s">
        <v>12</v>
      </c>
    </row>
    <row r="5112" spans="1:7" x14ac:dyDescent="0.2">
      <c r="A5112" s="2" t="s">
        <v>6408</v>
      </c>
      <c r="B5112" s="2" t="s">
        <v>6425</v>
      </c>
      <c r="C5112" s="2" t="s">
        <v>4490</v>
      </c>
      <c r="D5112" s="2" t="s">
        <v>10</v>
      </c>
      <c r="E5112" s="2" t="s">
        <v>11</v>
      </c>
      <c r="F5112" s="2">
        <v>2</v>
      </c>
      <c r="G5112" s="2" t="s">
        <v>12</v>
      </c>
    </row>
    <row r="5113" spans="1:7" x14ac:dyDescent="0.2">
      <c r="A5113" s="2" t="s">
        <v>6426</v>
      </c>
      <c r="B5113" s="2" t="s">
        <v>6427</v>
      </c>
      <c r="C5113" s="2" t="s">
        <v>6428</v>
      </c>
      <c r="D5113" s="2" t="s">
        <v>10</v>
      </c>
      <c r="E5113" s="2" t="s">
        <v>16</v>
      </c>
      <c r="F5113" s="2">
        <v>1</v>
      </c>
      <c r="G5113" s="2" t="s">
        <v>17</v>
      </c>
    </row>
    <row r="5114" spans="1:7" x14ac:dyDescent="0.2">
      <c r="A5114" s="2" t="s">
        <v>6426</v>
      </c>
      <c r="B5114" s="2" t="s">
        <v>3059</v>
      </c>
      <c r="C5114" s="2" t="s">
        <v>3060</v>
      </c>
      <c r="D5114" s="2" t="s">
        <v>10</v>
      </c>
      <c r="E5114" s="2" t="s">
        <v>16</v>
      </c>
      <c r="F5114" s="2">
        <v>1</v>
      </c>
      <c r="G5114" s="2" t="s">
        <v>17</v>
      </c>
    </row>
    <row r="5115" spans="1:7" x14ac:dyDescent="0.2">
      <c r="A5115" s="2" t="s">
        <v>6426</v>
      </c>
      <c r="B5115" s="2" t="s">
        <v>3061</v>
      </c>
      <c r="C5115" s="2" t="s">
        <v>3060</v>
      </c>
      <c r="D5115" s="2" t="s">
        <v>10</v>
      </c>
      <c r="E5115" s="2" t="s">
        <v>16</v>
      </c>
      <c r="F5115" s="2">
        <v>1</v>
      </c>
      <c r="G5115" s="2" t="s">
        <v>17</v>
      </c>
    </row>
    <row r="5116" spans="1:7" x14ac:dyDescent="0.2">
      <c r="A5116" s="2" t="s">
        <v>6426</v>
      </c>
      <c r="B5116" s="2" t="s">
        <v>6429</v>
      </c>
      <c r="C5116" s="2" t="s">
        <v>6428</v>
      </c>
      <c r="D5116" s="2" t="s">
        <v>10</v>
      </c>
      <c r="E5116" s="2" t="s">
        <v>16</v>
      </c>
      <c r="F5116" s="2">
        <v>1</v>
      </c>
      <c r="G5116" s="2" t="s">
        <v>17</v>
      </c>
    </row>
    <row r="5117" spans="1:7" x14ac:dyDescent="0.2">
      <c r="A5117" s="2" t="s">
        <v>6426</v>
      </c>
      <c r="B5117" s="2" t="s">
        <v>6430</v>
      </c>
      <c r="C5117" s="2" t="s">
        <v>3060</v>
      </c>
      <c r="D5117" s="2" t="s">
        <v>10</v>
      </c>
      <c r="E5117" s="2" t="s">
        <v>16</v>
      </c>
      <c r="F5117" s="2">
        <v>1</v>
      </c>
      <c r="G5117" s="2" t="s">
        <v>17</v>
      </c>
    </row>
    <row r="5118" spans="1:7" x14ac:dyDescent="0.2">
      <c r="A5118" s="2" t="s">
        <v>6426</v>
      </c>
      <c r="B5118" s="2" t="s">
        <v>3065</v>
      </c>
      <c r="C5118" s="2" t="s">
        <v>3060</v>
      </c>
      <c r="D5118" s="2" t="s">
        <v>10</v>
      </c>
      <c r="E5118" s="2" t="s">
        <v>16</v>
      </c>
      <c r="F5118" s="2">
        <v>1</v>
      </c>
      <c r="G5118" s="2" t="s">
        <v>17</v>
      </c>
    </row>
    <row r="5119" spans="1:7" x14ac:dyDescent="0.2">
      <c r="A5119" s="2" t="s">
        <v>6431</v>
      </c>
      <c r="B5119" s="2" t="s">
        <v>6432</v>
      </c>
      <c r="C5119" s="2" t="s">
        <v>6433</v>
      </c>
      <c r="D5119" s="2" t="s">
        <v>10</v>
      </c>
      <c r="E5119" s="2" t="s">
        <v>16</v>
      </c>
      <c r="F5119" s="2">
        <v>1</v>
      </c>
      <c r="G5119" s="2" t="s">
        <v>17</v>
      </c>
    </row>
    <row r="5120" spans="1:7" x14ac:dyDescent="0.2">
      <c r="A5120" s="2" t="s">
        <v>6431</v>
      </c>
      <c r="B5120" s="2" t="s">
        <v>3059</v>
      </c>
      <c r="C5120" s="2" t="s">
        <v>3060</v>
      </c>
      <c r="D5120" s="2" t="s">
        <v>10</v>
      </c>
      <c r="E5120" s="2" t="s">
        <v>16</v>
      </c>
      <c r="F5120" s="2">
        <v>1</v>
      </c>
      <c r="G5120" s="2" t="s">
        <v>17</v>
      </c>
    </row>
    <row r="5121" spans="1:7" x14ac:dyDescent="0.2">
      <c r="A5121" s="2" t="s">
        <v>6431</v>
      </c>
      <c r="B5121" s="2" t="s">
        <v>3061</v>
      </c>
      <c r="C5121" s="2" t="s">
        <v>3060</v>
      </c>
      <c r="D5121" s="2" t="s">
        <v>10</v>
      </c>
      <c r="E5121" s="2" t="s">
        <v>16</v>
      </c>
      <c r="F5121" s="2">
        <v>1</v>
      </c>
      <c r="G5121" s="2" t="s">
        <v>17</v>
      </c>
    </row>
    <row r="5122" spans="1:7" x14ac:dyDescent="0.2">
      <c r="A5122" s="2" t="s">
        <v>6431</v>
      </c>
      <c r="B5122" s="2" t="s">
        <v>6434</v>
      </c>
      <c r="C5122" s="2" t="s">
        <v>6435</v>
      </c>
      <c r="D5122" s="2" t="s">
        <v>10</v>
      </c>
      <c r="E5122" s="2" t="s">
        <v>16</v>
      </c>
      <c r="F5122" s="2">
        <v>1</v>
      </c>
      <c r="G5122" s="2" t="s">
        <v>17</v>
      </c>
    </row>
    <row r="5123" spans="1:7" x14ac:dyDescent="0.2">
      <c r="A5123" s="2" t="s">
        <v>6431</v>
      </c>
      <c r="B5123" s="2" t="s">
        <v>6436</v>
      </c>
      <c r="C5123" s="2" t="s">
        <v>6433</v>
      </c>
      <c r="D5123" s="2" t="s">
        <v>10</v>
      </c>
      <c r="E5123" s="2" t="s">
        <v>16</v>
      </c>
      <c r="F5123" s="2">
        <v>1</v>
      </c>
      <c r="G5123" s="2" t="s">
        <v>17</v>
      </c>
    </row>
    <row r="5124" spans="1:7" x14ac:dyDescent="0.2">
      <c r="A5124" s="2" t="s">
        <v>6431</v>
      </c>
      <c r="B5124" s="2" t="s">
        <v>6430</v>
      </c>
      <c r="C5124" s="2" t="s">
        <v>3060</v>
      </c>
      <c r="D5124" s="2" t="s">
        <v>10</v>
      </c>
      <c r="E5124" s="2" t="s">
        <v>16</v>
      </c>
      <c r="F5124" s="2">
        <v>1</v>
      </c>
      <c r="G5124" s="2" t="s">
        <v>17</v>
      </c>
    </row>
    <row r="5125" spans="1:7" x14ac:dyDescent="0.2">
      <c r="A5125" s="2" t="s">
        <v>6431</v>
      </c>
      <c r="B5125" s="2" t="s">
        <v>3065</v>
      </c>
      <c r="C5125" s="2" t="s">
        <v>3060</v>
      </c>
      <c r="D5125" s="2" t="s">
        <v>10</v>
      </c>
      <c r="E5125" s="2" t="s">
        <v>16</v>
      </c>
      <c r="F5125" s="2">
        <v>1</v>
      </c>
      <c r="G5125" s="2" t="s">
        <v>17</v>
      </c>
    </row>
    <row r="5126" spans="1:7" x14ac:dyDescent="0.2">
      <c r="A5126" s="2" t="s">
        <v>6431</v>
      </c>
      <c r="B5126" s="2" t="s">
        <v>145</v>
      </c>
      <c r="C5126" s="2" t="s">
        <v>6435</v>
      </c>
      <c r="D5126" s="2" t="s">
        <v>10</v>
      </c>
      <c r="E5126" s="2" t="s">
        <v>16</v>
      </c>
      <c r="F5126" s="2">
        <v>1</v>
      </c>
      <c r="G5126" s="2" t="s">
        <v>17</v>
      </c>
    </row>
    <row r="5127" spans="1:7" x14ac:dyDescent="0.2">
      <c r="A5127" s="2" t="s">
        <v>6437</v>
      </c>
      <c r="B5127" s="2" t="s">
        <v>6438</v>
      </c>
      <c r="C5127" s="2" t="s">
        <v>3391</v>
      </c>
      <c r="D5127" s="2" t="s">
        <v>10</v>
      </c>
      <c r="E5127" s="2" t="s">
        <v>16</v>
      </c>
      <c r="F5127" s="2">
        <v>2</v>
      </c>
      <c r="G5127" s="2" t="s">
        <v>12</v>
      </c>
    </row>
    <row r="5128" spans="1:7" x14ac:dyDescent="0.2">
      <c r="A5128" s="2" t="s">
        <v>6439</v>
      </c>
      <c r="B5128" s="2" t="s">
        <v>6440</v>
      </c>
      <c r="C5128" s="2" t="s">
        <v>6441</v>
      </c>
      <c r="D5128" s="2" t="s">
        <v>10</v>
      </c>
      <c r="E5128" s="2" t="s">
        <v>16</v>
      </c>
      <c r="F5128" s="2">
        <v>1</v>
      </c>
      <c r="G5128" s="2" t="s">
        <v>17</v>
      </c>
    </row>
    <row r="5129" spans="1:7" x14ac:dyDescent="0.2">
      <c r="A5129" s="2" t="s">
        <v>6439</v>
      </c>
      <c r="B5129" s="2" t="s">
        <v>1500</v>
      </c>
      <c r="C5129" s="2" t="s">
        <v>6441</v>
      </c>
      <c r="D5129" s="2" t="s">
        <v>10</v>
      </c>
      <c r="E5129" s="2" t="s">
        <v>16</v>
      </c>
      <c r="F5129" s="2">
        <v>1</v>
      </c>
      <c r="G5129" s="2" t="s">
        <v>17</v>
      </c>
    </row>
    <row r="5130" spans="1:7" x14ac:dyDescent="0.2">
      <c r="A5130" s="2" t="s">
        <v>6442</v>
      </c>
      <c r="B5130" s="2" t="s">
        <v>6443</v>
      </c>
      <c r="C5130" s="2" t="s">
        <v>6444</v>
      </c>
      <c r="D5130" s="2" t="s">
        <v>56</v>
      </c>
      <c r="E5130" s="2" t="s">
        <v>16</v>
      </c>
      <c r="F5130" s="2">
        <v>1</v>
      </c>
      <c r="G5130" s="2" t="s">
        <v>17</v>
      </c>
    </row>
    <row r="5131" spans="1:7" x14ac:dyDescent="0.2">
      <c r="A5131" s="2" t="s">
        <v>6442</v>
      </c>
      <c r="B5131" s="2" t="s">
        <v>6445</v>
      </c>
      <c r="C5131" s="2" t="s">
        <v>6444</v>
      </c>
      <c r="D5131" s="2" t="s">
        <v>56</v>
      </c>
      <c r="E5131" s="2" t="s">
        <v>16</v>
      </c>
      <c r="F5131" s="2">
        <v>1</v>
      </c>
      <c r="G5131" s="2" t="s">
        <v>17</v>
      </c>
    </row>
    <row r="5132" spans="1:7" x14ac:dyDescent="0.2">
      <c r="A5132" s="2" t="s">
        <v>6446</v>
      </c>
      <c r="B5132" s="2" t="s">
        <v>611</v>
      </c>
      <c r="C5132" s="2" t="s">
        <v>612</v>
      </c>
      <c r="D5132" s="2" t="s">
        <v>56</v>
      </c>
      <c r="E5132" s="2" t="s">
        <v>52</v>
      </c>
      <c r="F5132" s="2">
        <v>2</v>
      </c>
      <c r="G5132" s="2" t="s">
        <v>17</v>
      </c>
    </row>
    <row r="5133" spans="1:7" x14ac:dyDescent="0.2">
      <c r="A5133" s="2" t="s">
        <v>6446</v>
      </c>
      <c r="B5133" s="2" t="s">
        <v>621</v>
      </c>
      <c r="C5133" s="2" t="s">
        <v>612</v>
      </c>
      <c r="D5133" s="2" t="s">
        <v>56</v>
      </c>
      <c r="E5133" s="2" t="s">
        <v>52</v>
      </c>
      <c r="F5133" s="2">
        <v>2</v>
      </c>
      <c r="G5133" s="2" t="s">
        <v>17</v>
      </c>
    </row>
    <row r="5134" spans="1:7" x14ac:dyDescent="0.2">
      <c r="A5134" s="2" t="s">
        <v>6446</v>
      </c>
      <c r="B5134" s="2" t="s">
        <v>6447</v>
      </c>
      <c r="C5134" s="2" t="s">
        <v>609</v>
      </c>
      <c r="D5134" s="2" t="s">
        <v>56</v>
      </c>
      <c r="E5134" s="2" t="s">
        <v>52</v>
      </c>
      <c r="F5134" s="2">
        <v>2</v>
      </c>
      <c r="G5134" s="2" t="s">
        <v>17</v>
      </c>
    </row>
    <row r="5135" spans="1:7" x14ac:dyDescent="0.2">
      <c r="A5135" s="2" t="s">
        <v>6446</v>
      </c>
      <c r="B5135" s="2" t="s">
        <v>1203</v>
      </c>
      <c r="C5135" s="2" t="s">
        <v>612</v>
      </c>
      <c r="D5135" s="2" t="s">
        <v>56</v>
      </c>
      <c r="E5135" s="2" t="s">
        <v>52</v>
      </c>
      <c r="F5135" s="2">
        <v>2</v>
      </c>
      <c r="G5135" s="2" t="s">
        <v>17</v>
      </c>
    </row>
    <row r="5136" spans="1:7" x14ac:dyDescent="0.2">
      <c r="A5136" s="2" t="s">
        <v>6446</v>
      </c>
      <c r="B5136" s="2" t="s">
        <v>6448</v>
      </c>
      <c r="C5136" s="2" t="s">
        <v>605</v>
      </c>
      <c r="D5136" s="2" t="s">
        <v>56</v>
      </c>
      <c r="E5136" s="2" t="s">
        <v>52</v>
      </c>
      <c r="F5136" s="2">
        <v>1</v>
      </c>
      <c r="G5136" s="2" t="s">
        <v>17</v>
      </c>
    </row>
    <row r="5137" spans="1:7" x14ac:dyDescent="0.2">
      <c r="A5137" s="2" t="s">
        <v>6446</v>
      </c>
      <c r="B5137" s="2" t="s">
        <v>6449</v>
      </c>
      <c r="C5137" s="2" t="s">
        <v>609</v>
      </c>
      <c r="D5137" s="2" t="s">
        <v>56</v>
      </c>
      <c r="E5137" s="2" t="s">
        <v>52</v>
      </c>
      <c r="F5137" s="2">
        <v>2</v>
      </c>
      <c r="G5137" s="2" t="s">
        <v>17</v>
      </c>
    </row>
    <row r="5138" spans="1:7" x14ac:dyDescent="0.2">
      <c r="A5138" s="2" t="s">
        <v>6446</v>
      </c>
      <c r="B5138" s="2" t="s">
        <v>6450</v>
      </c>
      <c r="C5138" s="2" t="s">
        <v>647</v>
      </c>
      <c r="D5138" s="2" t="s">
        <v>56</v>
      </c>
      <c r="E5138" s="2" t="s">
        <v>52</v>
      </c>
      <c r="F5138" s="2">
        <v>1</v>
      </c>
      <c r="G5138" s="2" t="s">
        <v>17</v>
      </c>
    </row>
    <row r="5139" spans="1:7" x14ac:dyDescent="0.2">
      <c r="A5139" s="2" t="s">
        <v>6446</v>
      </c>
      <c r="B5139" s="2" t="s">
        <v>6451</v>
      </c>
      <c r="C5139" s="2" t="s">
        <v>605</v>
      </c>
      <c r="D5139" s="2" t="s">
        <v>56</v>
      </c>
      <c r="E5139" s="2" t="s">
        <v>52</v>
      </c>
      <c r="F5139" s="2">
        <v>1</v>
      </c>
      <c r="G5139" s="2" t="s">
        <v>17</v>
      </c>
    </row>
    <row r="5140" spans="1:7" x14ac:dyDescent="0.2">
      <c r="A5140" s="2" t="s">
        <v>6446</v>
      </c>
      <c r="B5140" s="2" t="s">
        <v>6452</v>
      </c>
      <c r="C5140" s="2" t="s">
        <v>647</v>
      </c>
      <c r="D5140" s="2" t="s">
        <v>56</v>
      </c>
      <c r="E5140" s="2" t="s">
        <v>52</v>
      </c>
      <c r="F5140" s="2">
        <v>1</v>
      </c>
      <c r="G5140" s="2" t="s">
        <v>17</v>
      </c>
    </row>
    <row r="5141" spans="1:7" x14ac:dyDescent="0.2">
      <c r="A5141" s="2" t="s">
        <v>6446</v>
      </c>
      <c r="B5141" s="2" t="s">
        <v>6453</v>
      </c>
      <c r="C5141" s="2" t="s">
        <v>605</v>
      </c>
      <c r="D5141" s="2" t="s">
        <v>56</v>
      </c>
      <c r="E5141" s="2" t="s">
        <v>52</v>
      </c>
      <c r="F5141" s="2">
        <v>1</v>
      </c>
      <c r="G5141" s="2" t="s">
        <v>17</v>
      </c>
    </row>
    <row r="5142" spans="1:7" x14ac:dyDescent="0.2">
      <c r="A5142" s="2" t="s">
        <v>6446</v>
      </c>
      <c r="B5142" s="2" t="s">
        <v>6454</v>
      </c>
      <c r="C5142" s="2" t="s">
        <v>609</v>
      </c>
      <c r="D5142" s="2" t="s">
        <v>56</v>
      </c>
      <c r="E5142" s="2" t="s">
        <v>52</v>
      </c>
      <c r="F5142" s="2">
        <v>2</v>
      </c>
      <c r="G5142" s="2" t="s">
        <v>17</v>
      </c>
    </row>
    <row r="5143" spans="1:7" x14ac:dyDescent="0.2">
      <c r="A5143" s="2" t="s">
        <v>6446</v>
      </c>
      <c r="B5143" s="2" t="s">
        <v>5264</v>
      </c>
      <c r="C5143" s="2" t="s">
        <v>612</v>
      </c>
      <c r="D5143" s="2" t="s">
        <v>56</v>
      </c>
      <c r="E5143" s="2" t="s">
        <v>52</v>
      </c>
      <c r="F5143" s="2">
        <v>2</v>
      </c>
      <c r="G5143" s="2" t="s">
        <v>17</v>
      </c>
    </row>
    <row r="5144" spans="1:7" x14ac:dyDescent="0.2">
      <c r="A5144" s="2" t="s">
        <v>6446</v>
      </c>
      <c r="B5144" s="2" t="s">
        <v>652</v>
      </c>
      <c r="C5144" s="2" t="s">
        <v>612</v>
      </c>
      <c r="D5144" s="2" t="s">
        <v>56</v>
      </c>
      <c r="E5144" s="2" t="s">
        <v>52</v>
      </c>
      <c r="F5144" s="2">
        <v>2</v>
      </c>
      <c r="G5144" s="2" t="s">
        <v>17</v>
      </c>
    </row>
    <row r="5145" spans="1:7" x14ac:dyDescent="0.2">
      <c r="A5145" s="2" t="s">
        <v>6446</v>
      </c>
      <c r="B5145" s="2" t="s">
        <v>6455</v>
      </c>
      <c r="C5145" s="2" t="s">
        <v>605</v>
      </c>
      <c r="D5145" s="2" t="s">
        <v>56</v>
      </c>
      <c r="E5145" s="2" t="s">
        <v>52</v>
      </c>
      <c r="F5145" s="2">
        <v>1</v>
      </c>
      <c r="G5145" s="2" t="s">
        <v>17</v>
      </c>
    </row>
    <row r="5146" spans="1:7" x14ac:dyDescent="0.2">
      <c r="A5146" s="2" t="s">
        <v>6446</v>
      </c>
      <c r="B5146" s="2" t="s">
        <v>6456</v>
      </c>
      <c r="C5146" s="2" t="s">
        <v>609</v>
      </c>
      <c r="D5146" s="2" t="s">
        <v>56</v>
      </c>
      <c r="E5146" s="2" t="s">
        <v>52</v>
      </c>
      <c r="F5146" s="2">
        <v>2</v>
      </c>
      <c r="G5146" s="2" t="s">
        <v>17</v>
      </c>
    </row>
    <row r="5147" spans="1:7" x14ac:dyDescent="0.2">
      <c r="A5147" s="2" t="s">
        <v>6446</v>
      </c>
      <c r="B5147" s="2" t="s">
        <v>6457</v>
      </c>
      <c r="C5147" s="2" t="s">
        <v>609</v>
      </c>
      <c r="D5147" s="2" t="s">
        <v>56</v>
      </c>
      <c r="E5147" s="2" t="s">
        <v>52</v>
      </c>
      <c r="F5147" s="2">
        <v>2</v>
      </c>
      <c r="G5147" s="2" t="s">
        <v>17</v>
      </c>
    </row>
    <row r="5148" spans="1:7" x14ac:dyDescent="0.2">
      <c r="A5148" s="2" t="s">
        <v>6446</v>
      </c>
      <c r="B5148" s="2" t="s">
        <v>6458</v>
      </c>
      <c r="C5148" s="2" t="s">
        <v>605</v>
      </c>
      <c r="D5148" s="2" t="s">
        <v>56</v>
      </c>
      <c r="E5148" s="2" t="s">
        <v>52</v>
      </c>
      <c r="F5148" s="2">
        <v>1</v>
      </c>
      <c r="G5148" s="2" t="s">
        <v>17</v>
      </c>
    </row>
    <row r="5149" spans="1:7" x14ac:dyDescent="0.2">
      <c r="A5149" s="2" t="s">
        <v>6459</v>
      </c>
      <c r="B5149" s="2" t="s">
        <v>2283</v>
      </c>
      <c r="C5149" s="2" t="s">
        <v>6460</v>
      </c>
      <c r="D5149" s="2" t="s">
        <v>56</v>
      </c>
      <c r="E5149" s="2" t="s">
        <v>16</v>
      </c>
      <c r="F5149" s="2">
        <v>1</v>
      </c>
      <c r="G5149" s="2" t="s">
        <v>17</v>
      </c>
    </row>
    <row r="5150" spans="1:7" x14ac:dyDescent="0.2">
      <c r="A5150" s="2" t="s">
        <v>6459</v>
      </c>
      <c r="B5150" s="2" t="s">
        <v>6461</v>
      </c>
      <c r="C5150" s="2" t="s">
        <v>6460</v>
      </c>
      <c r="D5150" s="2" t="s">
        <v>56</v>
      </c>
      <c r="E5150" s="2" t="s">
        <v>16</v>
      </c>
      <c r="F5150" s="2">
        <v>1</v>
      </c>
      <c r="G5150" s="2" t="s">
        <v>17</v>
      </c>
    </row>
    <row r="5151" spans="1:7" x14ac:dyDescent="0.2">
      <c r="A5151" s="2" t="s">
        <v>6462</v>
      </c>
      <c r="B5151" s="2" t="s">
        <v>6463</v>
      </c>
      <c r="C5151" s="2" t="s">
        <v>6464</v>
      </c>
      <c r="D5151" s="2" t="s">
        <v>10</v>
      </c>
      <c r="E5151" s="2" t="s">
        <v>52</v>
      </c>
      <c r="F5151" s="2">
        <v>1</v>
      </c>
      <c r="G5151" s="2" t="s">
        <v>17</v>
      </c>
    </row>
    <row r="5152" spans="1:7" x14ac:dyDescent="0.2">
      <c r="A5152" s="2" t="s">
        <v>6462</v>
      </c>
      <c r="B5152" s="2" t="s">
        <v>6465</v>
      </c>
      <c r="C5152" s="2" t="s">
        <v>6466</v>
      </c>
      <c r="D5152" s="2" t="s">
        <v>10</v>
      </c>
      <c r="E5152" s="2" t="s">
        <v>16</v>
      </c>
      <c r="F5152" s="2">
        <v>1</v>
      </c>
      <c r="G5152" s="2" t="s">
        <v>17</v>
      </c>
    </row>
    <row r="5153" spans="1:7" x14ac:dyDescent="0.2">
      <c r="A5153" s="2" t="s">
        <v>6462</v>
      </c>
      <c r="B5153" s="2" t="s">
        <v>6467</v>
      </c>
      <c r="C5153" s="2" t="s">
        <v>6466</v>
      </c>
      <c r="D5153" s="2" t="s">
        <v>10</v>
      </c>
      <c r="E5153" s="2" t="s">
        <v>16</v>
      </c>
      <c r="F5153" s="2">
        <v>1</v>
      </c>
      <c r="G5153" s="2" t="s">
        <v>17</v>
      </c>
    </row>
    <row r="5154" spans="1:7" x14ac:dyDescent="0.2">
      <c r="A5154" s="2" t="s">
        <v>6462</v>
      </c>
      <c r="B5154" s="2" t="s">
        <v>6468</v>
      </c>
      <c r="C5154" s="2" t="s">
        <v>6466</v>
      </c>
      <c r="D5154" s="2" t="s">
        <v>10</v>
      </c>
      <c r="E5154" s="2" t="s">
        <v>16</v>
      </c>
      <c r="F5154" s="2">
        <v>1</v>
      </c>
      <c r="G5154" s="2" t="s">
        <v>17</v>
      </c>
    </row>
    <row r="5155" spans="1:7" x14ac:dyDescent="0.2">
      <c r="A5155" s="2" t="s">
        <v>6462</v>
      </c>
      <c r="B5155" s="2" t="s">
        <v>6469</v>
      </c>
      <c r="C5155" s="2" t="s">
        <v>6466</v>
      </c>
      <c r="D5155" s="2" t="s">
        <v>10</v>
      </c>
      <c r="E5155" s="2" t="s">
        <v>16</v>
      </c>
      <c r="F5155" s="2">
        <v>1</v>
      </c>
      <c r="G5155" s="2" t="s">
        <v>17</v>
      </c>
    </row>
    <row r="5156" spans="1:7" x14ac:dyDescent="0.2">
      <c r="A5156" s="2" t="s">
        <v>6462</v>
      </c>
      <c r="B5156" s="2" t="s">
        <v>6470</v>
      </c>
      <c r="C5156" s="2" t="s">
        <v>6466</v>
      </c>
      <c r="D5156" s="2" t="s">
        <v>10</v>
      </c>
      <c r="E5156" s="2" t="s">
        <v>16</v>
      </c>
      <c r="F5156" s="2">
        <v>1</v>
      </c>
      <c r="G5156" s="2" t="s">
        <v>17</v>
      </c>
    </row>
    <row r="5157" spans="1:7" x14ac:dyDescent="0.2">
      <c r="A5157" s="2" t="s">
        <v>6462</v>
      </c>
      <c r="B5157" s="2" t="s">
        <v>6471</v>
      </c>
      <c r="C5157" s="2" t="s">
        <v>6466</v>
      </c>
      <c r="D5157" s="2" t="s">
        <v>10</v>
      </c>
      <c r="E5157" s="2" t="s">
        <v>16</v>
      </c>
      <c r="F5157" s="2">
        <v>1</v>
      </c>
      <c r="G5157" s="2" t="s">
        <v>17</v>
      </c>
    </row>
    <row r="5158" spans="1:7" x14ac:dyDescent="0.2">
      <c r="A5158" s="2" t="s">
        <v>6462</v>
      </c>
      <c r="B5158" s="2" t="s">
        <v>6472</v>
      </c>
      <c r="C5158" s="2" t="s">
        <v>6466</v>
      </c>
      <c r="D5158" s="2" t="s">
        <v>10</v>
      </c>
      <c r="E5158" s="2" t="s">
        <v>16</v>
      </c>
      <c r="F5158" s="2">
        <v>1</v>
      </c>
      <c r="G5158" s="2" t="s">
        <v>17</v>
      </c>
    </row>
    <row r="5159" spans="1:7" x14ac:dyDescent="0.2">
      <c r="A5159" s="2" t="s">
        <v>6462</v>
      </c>
      <c r="B5159" s="2" t="s">
        <v>6473</v>
      </c>
      <c r="C5159" s="2" t="s">
        <v>6466</v>
      </c>
      <c r="D5159" s="2" t="s">
        <v>10</v>
      </c>
      <c r="E5159" s="2" t="s">
        <v>16</v>
      </c>
      <c r="F5159" s="2">
        <v>1</v>
      </c>
      <c r="G5159" s="2" t="s">
        <v>17</v>
      </c>
    </row>
    <row r="5160" spans="1:7" x14ac:dyDescent="0.2">
      <c r="A5160" s="2" t="s">
        <v>6462</v>
      </c>
      <c r="B5160" s="2" t="s">
        <v>6474</v>
      </c>
      <c r="C5160" s="2" t="s">
        <v>6475</v>
      </c>
      <c r="D5160" s="2" t="s">
        <v>10</v>
      </c>
      <c r="E5160" s="2" t="s">
        <v>16</v>
      </c>
      <c r="F5160" s="2">
        <v>2</v>
      </c>
      <c r="G5160" s="2" t="s">
        <v>17</v>
      </c>
    </row>
    <row r="5161" spans="1:7" x14ac:dyDescent="0.2">
      <c r="A5161" s="2" t="s">
        <v>6462</v>
      </c>
      <c r="B5161" s="2" t="s">
        <v>6476</v>
      </c>
      <c r="C5161" s="2" t="s">
        <v>6466</v>
      </c>
      <c r="D5161" s="2" t="s">
        <v>10</v>
      </c>
      <c r="E5161" s="2" t="s">
        <v>16</v>
      </c>
      <c r="F5161" s="2">
        <v>1</v>
      </c>
      <c r="G5161" s="2" t="s">
        <v>17</v>
      </c>
    </row>
    <row r="5162" spans="1:7" x14ac:dyDescent="0.2">
      <c r="A5162" s="2" t="s">
        <v>6462</v>
      </c>
      <c r="B5162" s="2" t="s">
        <v>6477</v>
      </c>
      <c r="C5162" s="2" t="s">
        <v>6466</v>
      </c>
      <c r="D5162" s="2" t="s">
        <v>10</v>
      </c>
      <c r="E5162" s="2" t="s">
        <v>16</v>
      </c>
      <c r="F5162" s="2">
        <v>1</v>
      </c>
      <c r="G5162" s="2" t="s">
        <v>17</v>
      </c>
    </row>
    <row r="5163" spans="1:7" x14ac:dyDescent="0.2">
      <c r="A5163" s="2" t="s">
        <v>6462</v>
      </c>
      <c r="B5163" s="2" t="s">
        <v>6478</v>
      </c>
      <c r="C5163" s="2" t="s">
        <v>6464</v>
      </c>
      <c r="D5163" s="2" t="s">
        <v>10</v>
      </c>
      <c r="E5163" s="2" t="s">
        <v>52</v>
      </c>
      <c r="F5163" s="2">
        <v>1</v>
      </c>
      <c r="G5163" s="2" t="s">
        <v>17</v>
      </c>
    </row>
    <row r="5164" spans="1:7" x14ac:dyDescent="0.2">
      <c r="A5164" s="2" t="s">
        <v>6462</v>
      </c>
      <c r="B5164" s="2" t="s">
        <v>6479</v>
      </c>
      <c r="C5164" s="2" t="s">
        <v>6466</v>
      </c>
      <c r="D5164" s="2" t="s">
        <v>10</v>
      </c>
      <c r="E5164" s="2" t="s">
        <v>16</v>
      </c>
      <c r="F5164" s="2">
        <v>1</v>
      </c>
      <c r="G5164" s="2" t="s">
        <v>17</v>
      </c>
    </row>
    <row r="5165" spans="1:7" x14ac:dyDescent="0.2">
      <c r="A5165" s="2" t="s">
        <v>6462</v>
      </c>
      <c r="B5165" s="2" t="s">
        <v>1252</v>
      </c>
      <c r="C5165" s="2" t="s">
        <v>6464</v>
      </c>
      <c r="D5165" s="2" t="s">
        <v>10</v>
      </c>
      <c r="E5165" s="2" t="s">
        <v>52</v>
      </c>
      <c r="F5165" s="2">
        <v>1</v>
      </c>
      <c r="G5165" s="2" t="s">
        <v>17</v>
      </c>
    </row>
    <row r="5166" spans="1:7" x14ac:dyDescent="0.2">
      <c r="A5166" s="2" t="s">
        <v>6462</v>
      </c>
      <c r="B5166" s="2" t="s">
        <v>6480</v>
      </c>
      <c r="C5166" s="2" t="s">
        <v>6466</v>
      </c>
      <c r="D5166" s="2" t="s">
        <v>10</v>
      </c>
      <c r="E5166" s="2" t="s">
        <v>16</v>
      </c>
      <c r="F5166" s="2">
        <v>1</v>
      </c>
      <c r="G5166" s="2" t="s">
        <v>17</v>
      </c>
    </row>
    <row r="5167" spans="1:7" x14ac:dyDescent="0.2">
      <c r="A5167" s="2" t="s">
        <v>6462</v>
      </c>
      <c r="B5167" s="2" t="s">
        <v>6481</v>
      </c>
      <c r="C5167" s="2" t="s">
        <v>6466</v>
      </c>
      <c r="D5167" s="2" t="s">
        <v>10</v>
      </c>
      <c r="E5167" s="2" t="s">
        <v>16</v>
      </c>
      <c r="F5167" s="2">
        <v>1</v>
      </c>
      <c r="G5167" s="2" t="s">
        <v>17</v>
      </c>
    </row>
    <row r="5168" spans="1:7" x14ac:dyDescent="0.2">
      <c r="A5168" s="2" t="s">
        <v>6462</v>
      </c>
      <c r="B5168" s="2" t="s">
        <v>6482</v>
      </c>
      <c r="C5168" s="2" t="s">
        <v>6475</v>
      </c>
      <c r="D5168" s="2" t="s">
        <v>10</v>
      </c>
      <c r="E5168" s="2" t="s">
        <v>16</v>
      </c>
      <c r="F5168" s="2">
        <v>2</v>
      </c>
      <c r="G5168" s="2" t="s">
        <v>17</v>
      </c>
    </row>
    <row r="5169" spans="1:7" x14ac:dyDescent="0.2">
      <c r="A5169" s="2" t="s">
        <v>6462</v>
      </c>
      <c r="B5169" s="2" t="s">
        <v>6483</v>
      </c>
      <c r="C5169" s="2" t="s">
        <v>6475</v>
      </c>
      <c r="D5169" s="2" t="s">
        <v>10</v>
      </c>
      <c r="E5169" s="2" t="s">
        <v>16</v>
      </c>
      <c r="F5169" s="2">
        <v>2</v>
      </c>
      <c r="G5169" s="2" t="s">
        <v>17</v>
      </c>
    </row>
    <row r="5170" spans="1:7" x14ac:dyDescent="0.2">
      <c r="A5170" s="2" t="s">
        <v>6462</v>
      </c>
      <c r="B5170" s="2" t="s">
        <v>6484</v>
      </c>
      <c r="C5170" s="2" t="s">
        <v>6466</v>
      </c>
      <c r="D5170" s="2" t="s">
        <v>10</v>
      </c>
      <c r="E5170" s="2" t="s">
        <v>16</v>
      </c>
      <c r="F5170" s="2">
        <v>1</v>
      </c>
      <c r="G5170" s="2" t="s">
        <v>17</v>
      </c>
    </row>
    <row r="5171" spans="1:7" x14ac:dyDescent="0.2">
      <c r="A5171" s="2" t="s">
        <v>6485</v>
      </c>
      <c r="B5171" s="2" t="s">
        <v>6486</v>
      </c>
      <c r="C5171" s="2" t="s">
        <v>3178</v>
      </c>
      <c r="D5171" s="2" t="s">
        <v>10</v>
      </c>
      <c r="E5171" s="2" t="s">
        <v>16</v>
      </c>
      <c r="F5171" s="2">
        <v>1</v>
      </c>
      <c r="G5171" s="2" t="s">
        <v>17</v>
      </c>
    </row>
    <row r="5172" spans="1:7" x14ac:dyDescent="0.2">
      <c r="A5172" s="2" t="s">
        <v>6487</v>
      </c>
      <c r="B5172" s="2" t="s">
        <v>6488</v>
      </c>
      <c r="C5172" s="2" t="s">
        <v>805</v>
      </c>
      <c r="D5172" s="2" t="s">
        <v>56</v>
      </c>
      <c r="E5172" s="2" t="s">
        <v>52</v>
      </c>
      <c r="F5172" s="2">
        <v>2</v>
      </c>
      <c r="G5172" s="2" t="s">
        <v>12</v>
      </c>
    </row>
    <row r="5173" spans="1:7" x14ac:dyDescent="0.2">
      <c r="A5173" s="2" t="s">
        <v>6487</v>
      </c>
      <c r="B5173" s="2" t="s">
        <v>6489</v>
      </c>
      <c r="C5173" s="2" t="s">
        <v>805</v>
      </c>
      <c r="D5173" s="2" t="s">
        <v>56</v>
      </c>
      <c r="E5173" s="2" t="s">
        <v>52</v>
      </c>
      <c r="F5173" s="2">
        <v>2</v>
      </c>
      <c r="G5173" s="2" t="s">
        <v>12</v>
      </c>
    </row>
    <row r="5174" spans="1:7" x14ac:dyDescent="0.2">
      <c r="A5174" s="2" t="s">
        <v>6490</v>
      </c>
      <c r="B5174" s="2" t="s">
        <v>811</v>
      </c>
      <c r="C5174" s="2" t="s">
        <v>812</v>
      </c>
      <c r="D5174" s="2" t="s">
        <v>56</v>
      </c>
      <c r="E5174" s="2" t="s">
        <v>52</v>
      </c>
      <c r="F5174" s="2">
        <v>2</v>
      </c>
      <c r="G5174" s="2" t="s">
        <v>17</v>
      </c>
    </row>
    <row r="5175" spans="1:7" x14ac:dyDescent="0.2">
      <c r="A5175" s="2" t="s">
        <v>6491</v>
      </c>
      <c r="B5175" s="2" t="s">
        <v>6492</v>
      </c>
      <c r="C5175" s="2" t="s">
        <v>6493</v>
      </c>
      <c r="D5175" s="2" t="s">
        <v>56</v>
      </c>
      <c r="E5175" s="2" t="s">
        <v>52</v>
      </c>
      <c r="F5175" s="2">
        <v>1</v>
      </c>
      <c r="G5175" s="2" t="s">
        <v>17</v>
      </c>
    </row>
    <row r="5176" spans="1:7" x14ac:dyDescent="0.2">
      <c r="A5176" s="2" t="s">
        <v>6491</v>
      </c>
      <c r="B5176" s="2" t="s">
        <v>41</v>
      </c>
      <c r="C5176" s="2" t="s">
        <v>6493</v>
      </c>
      <c r="D5176" s="2" t="s">
        <v>56</v>
      </c>
      <c r="E5176" s="2" t="s">
        <v>52</v>
      </c>
      <c r="F5176" s="2">
        <v>1</v>
      </c>
      <c r="G5176" s="2" t="s">
        <v>17</v>
      </c>
    </row>
    <row r="5177" spans="1:7" x14ac:dyDescent="0.2">
      <c r="A5177" s="2" t="s">
        <v>6494</v>
      </c>
      <c r="B5177" s="2" t="s">
        <v>6495</v>
      </c>
      <c r="C5177" s="2" t="s">
        <v>292</v>
      </c>
      <c r="D5177" s="2" t="s">
        <v>10</v>
      </c>
      <c r="E5177" s="2" t="s">
        <v>16</v>
      </c>
      <c r="F5177" s="2">
        <v>1</v>
      </c>
      <c r="G5177" s="2" t="s">
        <v>17</v>
      </c>
    </row>
    <row r="5178" spans="1:7" x14ac:dyDescent="0.2">
      <c r="A5178" s="2" t="s">
        <v>6494</v>
      </c>
      <c r="B5178" s="2" t="s">
        <v>6496</v>
      </c>
      <c r="C5178" s="2" t="s">
        <v>292</v>
      </c>
      <c r="D5178" s="2" t="s">
        <v>10</v>
      </c>
      <c r="E5178" s="2" t="s">
        <v>16</v>
      </c>
      <c r="F5178" s="2">
        <v>1</v>
      </c>
      <c r="G5178" s="2" t="s">
        <v>17</v>
      </c>
    </row>
    <row r="5179" spans="1:7" x14ac:dyDescent="0.2">
      <c r="A5179" s="2" t="s">
        <v>6497</v>
      </c>
      <c r="B5179" s="2" t="s">
        <v>6498</v>
      </c>
      <c r="C5179" s="2" t="s">
        <v>1562</v>
      </c>
      <c r="D5179" s="2" t="s">
        <v>10</v>
      </c>
      <c r="E5179" s="2" t="s">
        <v>16</v>
      </c>
      <c r="F5179" s="2">
        <v>1</v>
      </c>
      <c r="G5179" s="2" t="s">
        <v>17</v>
      </c>
    </row>
    <row r="5180" spans="1:7" x14ac:dyDescent="0.2">
      <c r="A5180" s="2" t="s">
        <v>6499</v>
      </c>
      <c r="B5180" s="2" t="s">
        <v>6500</v>
      </c>
      <c r="C5180" s="2" t="s">
        <v>1647</v>
      </c>
      <c r="D5180" s="2" t="s">
        <v>10</v>
      </c>
      <c r="E5180" s="2" t="s">
        <v>52</v>
      </c>
      <c r="F5180" s="2">
        <v>2</v>
      </c>
      <c r="G5180" s="2" t="s">
        <v>12</v>
      </c>
    </row>
    <row r="5181" spans="1:7" x14ac:dyDescent="0.2">
      <c r="A5181" s="2" t="s">
        <v>6499</v>
      </c>
      <c r="B5181" s="2" t="s">
        <v>6501</v>
      </c>
      <c r="C5181" s="2" t="s">
        <v>1647</v>
      </c>
      <c r="D5181" s="2" t="s">
        <v>10</v>
      </c>
      <c r="E5181" s="2" t="s">
        <v>52</v>
      </c>
      <c r="F5181" s="2">
        <v>2</v>
      </c>
      <c r="G5181" s="2" t="s">
        <v>12</v>
      </c>
    </row>
    <row r="5182" spans="1:7" x14ac:dyDescent="0.2">
      <c r="A5182" s="2" t="s">
        <v>6499</v>
      </c>
      <c r="B5182" s="2" t="s">
        <v>6502</v>
      </c>
      <c r="C5182" s="2" t="s">
        <v>2198</v>
      </c>
      <c r="D5182" s="2" t="s">
        <v>10</v>
      </c>
      <c r="E5182" s="2" t="s">
        <v>16</v>
      </c>
      <c r="F5182" s="2">
        <v>1</v>
      </c>
      <c r="G5182" s="2" t="s">
        <v>17</v>
      </c>
    </row>
    <row r="5183" spans="1:7" x14ac:dyDescent="0.2">
      <c r="A5183" s="2" t="s">
        <v>6499</v>
      </c>
      <c r="B5183" s="2" t="s">
        <v>6503</v>
      </c>
      <c r="C5183" s="2" t="s">
        <v>1755</v>
      </c>
      <c r="D5183" s="2" t="s">
        <v>10</v>
      </c>
      <c r="E5183" s="2" t="s">
        <v>52</v>
      </c>
      <c r="F5183" s="2">
        <v>1</v>
      </c>
      <c r="G5183" s="2" t="s">
        <v>17</v>
      </c>
    </row>
    <row r="5184" spans="1:7" x14ac:dyDescent="0.2">
      <c r="A5184" s="2" t="s">
        <v>6499</v>
      </c>
      <c r="B5184" s="2" t="s">
        <v>6504</v>
      </c>
      <c r="C5184" s="2" t="s">
        <v>6505</v>
      </c>
      <c r="D5184" s="2" t="s">
        <v>56</v>
      </c>
      <c r="E5184" s="2" t="s">
        <v>52</v>
      </c>
      <c r="F5184" s="2">
        <v>1</v>
      </c>
      <c r="G5184" s="2" t="s">
        <v>17</v>
      </c>
    </row>
    <row r="5185" spans="1:7" x14ac:dyDescent="0.2">
      <c r="A5185" s="2" t="s">
        <v>6499</v>
      </c>
      <c r="B5185" s="2" t="s">
        <v>6506</v>
      </c>
      <c r="C5185" s="2" t="s">
        <v>6505</v>
      </c>
      <c r="D5185" s="2" t="s">
        <v>56</v>
      </c>
      <c r="E5185" s="2" t="s">
        <v>52</v>
      </c>
      <c r="F5185" s="2">
        <v>1</v>
      </c>
      <c r="G5185" s="2" t="s">
        <v>17</v>
      </c>
    </row>
    <row r="5186" spans="1:7" x14ac:dyDescent="0.2">
      <c r="A5186" s="2" t="s">
        <v>6499</v>
      </c>
      <c r="B5186" s="2" t="s">
        <v>6507</v>
      </c>
      <c r="C5186" s="2" t="s">
        <v>6508</v>
      </c>
      <c r="D5186" s="2" t="s">
        <v>56</v>
      </c>
      <c r="E5186" s="2" t="s">
        <v>52</v>
      </c>
      <c r="F5186" s="2">
        <v>1</v>
      </c>
      <c r="G5186" s="2" t="s">
        <v>17</v>
      </c>
    </row>
    <row r="5187" spans="1:7" x14ac:dyDescent="0.2">
      <c r="A5187" s="2" t="s">
        <v>6499</v>
      </c>
      <c r="B5187" s="2" t="s">
        <v>6509</v>
      </c>
      <c r="C5187" s="2" t="s">
        <v>6508</v>
      </c>
      <c r="D5187" s="2" t="s">
        <v>56</v>
      </c>
      <c r="E5187" s="2" t="s">
        <v>52</v>
      </c>
      <c r="F5187" s="2">
        <v>1</v>
      </c>
      <c r="G5187" s="2" t="s">
        <v>17</v>
      </c>
    </row>
    <row r="5188" spans="1:7" x14ac:dyDescent="0.2">
      <c r="A5188" s="2" t="s">
        <v>6510</v>
      </c>
      <c r="B5188" s="2" t="s">
        <v>6511</v>
      </c>
      <c r="C5188" s="2" t="s">
        <v>6512</v>
      </c>
      <c r="D5188" s="2" t="s">
        <v>10</v>
      </c>
      <c r="E5188" s="2" t="s">
        <v>11</v>
      </c>
      <c r="F5188" s="2">
        <v>2</v>
      </c>
      <c r="G5188" s="2" t="s">
        <v>12</v>
      </c>
    </row>
    <row r="5189" spans="1:7" x14ac:dyDescent="0.2">
      <c r="A5189" s="2" t="s">
        <v>6510</v>
      </c>
      <c r="B5189" s="2" t="s">
        <v>6513</v>
      </c>
      <c r="C5189" s="2" t="s">
        <v>6512</v>
      </c>
      <c r="D5189" s="2" t="s">
        <v>10</v>
      </c>
      <c r="E5189" s="2" t="s">
        <v>11</v>
      </c>
      <c r="F5189" s="2">
        <v>2</v>
      </c>
      <c r="G5189" s="2" t="s">
        <v>12</v>
      </c>
    </row>
    <row r="5190" spans="1:7" x14ac:dyDescent="0.2">
      <c r="A5190" s="2" t="s">
        <v>6514</v>
      </c>
      <c r="B5190" s="2" t="s">
        <v>2896</v>
      </c>
      <c r="C5190" s="2" t="s">
        <v>6515</v>
      </c>
      <c r="D5190" s="2" t="s">
        <v>10</v>
      </c>
      <c r="E5190" s="2" t="s">
        <v>16</v>
      </c>
      <c r="F5190" s="2">
        <v>1</v>
      </c>
      <c r="G5190" s="2" t="s">
        <v>17</v>
      </c>
    </row>
    <row r="5191" spans="1:7" x14ac:dyDescent="0.2">
      <c r="A5191" s="2" t="s">
        <v>6516</v>
      </c>
      <c r="B5191" s="2" t="s">
        <v>6517</v>
      </c>
      <c r="C5191" s="2" t="s">
        <v>1716</v>
      </c>
      <c r="D5191" s="2" t="s">
        <v>10</v>
      </c>
      <c r="E5191" s="2" t="s">
        <v>16</v>
      </c>
      <c r="F5191" s="2">
        <v>1</v>
      </c>
      <c r="G5191" s="2" t="s">
        <v>17</v>
      </c>
    </row>
    <row r="5192" spans="1:7" x14ac:dyDescent="0.2">
      <c r="A5192" s="2" t="s">
        <v>6518</v>
      </c>
      <c r="B5192" s="2" t="s">
        <v>6519</v>
      </c>
      <c r="C5192" s="2" t="s">
        <v>6520</v>
      </c>
      <c r="D5192" s="2" t="s">
        <v>56</v>
      </c>
      <c r="E5192" s="2" t="s">
        <v>52</v>
      </c>
      <c r="F5192" s="2">
        <v>1</v>
      </c>
      <c r="G5192" s="2" t="s">
        <v>17</v>
      </c>
    </row>
    <row r="5193" spans="1:7" x14ac:dyDescent="0.2">
      <c r="A5193" s="2" t="s">
        <v>6518</v>
      </c>
      <c r="B5193" s="2" t="s">
        <v>6521</v>
      </c>
      <c r="C5193" s="2" t="s">
        <v>6520</v>
      </c>
      <c r="D5193" s="2" t="s">
        <v>56</v>
      </c>
      <c r="E5193" s="2" t="s">
        <v>52</v>
      </c>
      <c r="F5193" s="2">
        <v>1</v>
      </c>
      <c r="G5193" s="2" t="s">
        <v>17</v>
      </c>
    </row>
    <row r="5194" spans="1:7" x14ac:dyDescent="0.2">
      <c r="A5194" s="2" t="s">
        <v>6522</v>
      </c>
      <c r="B5194" s="2" t="s">
        <v>5371</v>
      </c>
      <c r="C5194" s="2" t="s">
        <v>5372</v>
      </c>
      <c r="D5194" s="2" t="s">
        <v>56</v>
      </c>
      <c r="E5194" s="2" t="s">
        <v>52</v>
      </c>
      <c r="F5194" s="2">
        <v>1</v>
      </c>
      <c r="G5194" s="2" t="s">
        <v>17</v>
      </c>
    </row>
    <row r="5195" spans="1:7" x14ac:dyDescent="0.2">
      <c r="A5195" s="2" t="s">
        <v>6522</v>
      </c>
      <c r="B5195" s="2" t="s">
        <v>6523</v>
      </c>
      <c r="C5195" s="2" t="s">
        <v>5423</v>
      </c>
      <c r="D5195" s="2" t="s">
        <v>56</v>
      </c>
      <c r="E5195" s="2" t="s">
        <v>16</v>
      </c>
      <c r="F5195" s="2">
        <v>1</v>
      </c>
      <c r="G5195" s="2" t="s">
        <v>17</v>
      </c>
    </row>
    <row r="5196" spans="1:7" x14ac:dyDescent="0.2">
      <c r="A5196" s="2" t="s">
        <v>6522</v>
      </c>
      <c r="B5196" s="2" t="s">
        <v>6524</v>
      </c>
      <c r="C5196" s="2" t="s">
        <v>5423</v>
      </c>
      <c r="D5196" s="2" t="s">
        <v>56</v>
      </c>
      <c r="E5196" s="2" t="s">
        <v>16</v>
      </c>
      <c r="F5196" s="2">
        <v>1</v>
      </c>
      <c r="G5196" s="2" t="s">
        <v>17</v>
      </c>
    </row>
    <row r="5197" spans="1:7" x14ac:dyDescent="0.2">
      <c r="A5197" s="2" t="s">
        <v>6522</v>
      </c>
      <c r="B5197" s="2" t="s">
        <v>5426</v>
      </c>
      <c r="C5197" s="2" t="s">
        <v>5423</v>
      </c>
      <c r="D5197" s="2" t="s">
        <v>56</v>
      </c>
      <c r="E5197" s="2" t="s">
        <v>16</v>
      </c>
      <c r="F5197" s="2">
        <v>1</v>
      </c>
      <c r="G5197" s="2" t="s">
        <v>17</v>
      </c>
    </row>
    <row r="5198" spans="1:7" x14ac:dyDescent="0.2">
      <c r="A5198" s="2" t="s">
        <v>6522</v>
      </c>
      <c r="B5198" s="2" t="s">
        <v>2033</v>
      </c>
      <c r="C5198" s="2" t="s">
        <v>5423</v>
      </c>
      <c r="D5198" s="2" t="s">
        <v>56</v>
      </c>
      <c r="E5198" s="2" t="s">
        <v>16</v>
      </c>
      <c r="F5198" s="2">
        <v>1</v>
      </c>
      <c r="G5198" s="2" t="s">
        <v>17</v>
      </c>
    </row>
    <row r="5199" spans="1:7" x14ac:dyDescent="0.2">
      <c r="A5199" s="2" t="s">
        <v>6522</v>
      </c>
      <c r="B5199" s="2" t="s">
        <v>6525</v>
      </c>
      <c r="C5199" s="2" t="s">
        <v>5423</v>
      </c>
      <c r="D5199" s="2" t="s">
        <v>56</v>
      </c>
      <c r="E5199" s="2" t="s">
        <v>16</v>
      </c>
      <c r="F5199" s="2">
        <v>1</v>
      </c>
      <c r="G5199" s="2" t="s">
        <v>17</v>
      </c>
    </row>
    <row r="5200" spans="1:7" x14ac:dyDescent="0.2">
      <c r="A5200" s="2" t="s">
        <v>6522</v>
      </c>
      <c r="B5200" s="2" t="s">
        <v>6526</v>
      </c>
      <c r="C5200" s="2" t="s">
        <v>5423</v>
      </c>
      <c r="D5200" s="2" t="s">
        <v>56</v>
      </c>
      <c r="E5200" s="2" t="s">
        <v>16</v>
      </c>
      <c r="F5200" s="2">
        <v>1</v>
      </c>
      <c r="G5200" s="2" t="s">
        <v>17</v>
      </c>
    </row>
    <row r="5201" spans="1:7" x14ac:dyDescent="0.2">
      <c r="A5201" s="2" t="s">
        <v>6522</v>
      </c>
      <c r="B5201" s="2" t="s">
        <v>5430</v>
      </c>
      <c r="C5201" s="2" t="s">
        <v>5423</v>
      </c>
      <c r="D5201" s="2" t="s">
        <v>56</v>
      </c>
      <c r="E5201" s="2" t="s">
        <v>16</v>
      </c>
      <c r="F5201" s="2">
        <v>1</v>
      </c>
      <c r="G5201" s="2" t="s">
        <v>17</v>
      </c>
    </row>
    <row r="5202" spans="1:7" x14ac:dyDescent="0.2">
      <c r="A5202" s="2" t="s">
        <v>6522</v>
      </c>
      <c r="B5202" s="2" t="s">
        <v>6527</v>
      </c>
      <c r="C5202" s="2" t="s">
        <v>5423</v>
      </c>
      <c r="D5202" s="2" t="s">
        <v>56</v>
      </c>
      <c r="E5202" s="2" t="s">
        <v>16</v>
      </c>
      <c r="F5202" s="2">
        <v>1</v>
      </c>
      <c r="G5202" s="2" t="s">
        <v>17</v>
      </c>
    </row>
    <row r="5203" spans="1:7" x14ac:dyDescent="0.2">
      <c r="A5203" s="2" t="s">
        <v>6522</v>
      </c>
      <c r="B5203" s="2" t="s">
        <v>6528</v>
      </c>
      <c r="C5203" s="2" t="s">
        <v>6529</v>
      </c>
      <c r="D5203" s="2" t="s">
        <v>56</v>
      </c>
      <c r="E5203" s="2" t="s">
        <v>52</v>
      </c>
      <c r="F5203" s="2">
        <v>1</v>
      </c>
      <c r="G5203" s="2" t="s">
        <v>17</v>
      </c>
    </row>
    <row r="5204" spans="1:7" x14ac:dyDescent="0.2">
      <c r="A5204" s="2" t="s">
        <v>6522</v>
      </c>
      <c r="B5204" s="2" t="s">
        <v>6530</v>
      </c>
      <c r="C5204" s="2" t="s">
        <v>5423</v>
      </c>
      <c r="D5204" s="2" t="s">
        <v>56</v>
      </c>
      <c r="E5204" s="2" t="s">
        <v>16</v>
      </c>
      <c r="F5204" s="2">
        <v>1</v>
      </c>
      <c r="G5204" s="2" t="s">
        <v>17</v>
      </c>
    </row>
    <row r="5205" spans="1:7" x14ac:dyDescent="0.2">
      <c r="A5205" s="2" t="s">
        <v>6522</v>
      </c>
      <c r="B5205" s="2" t="s">
        <v>6531</v>
      </c>
      <c r="C5205" s="2" t="s">
        <v>6529</v>
      </c>
      <c r="D5205" s="2" t="s">
        <v>56</v>
      </c>
      <c r="E5205" s="2" t="s">
        <v>52</v>
      </c>
      <c r="F5205" s="2">
        <v>1</v>
      </c>
      <c r="G5205" s="2" t="s">
        <v>17</v>
      </c>
    </row>
    <row r="5206" spans="1:7" x14ac:dyDescent="0.2">
      <c r="A5206" s="2" t="s">
        <v>6522</v>
      </c>
      <c r="B5206" s="2" t="s">
        <v>6532</v>
      </c>
      <c r="C5206" s="2" t="s">
        <v>5423</v>
      </c>
      <c r="D5206" s="2" t="s">
        <v>56</v>
      </c>
      <c r="E5206" s="2" t="s">
        <v>16</v>
      </c>
      <c r="F5206" s="2">
        <v>1</v>
      </c>
      <c r="G5206" s="2" t="s">
        <v>17</v>
      </c>
    </row>
    <row r="5207" spans="1:7" x14ac:dyDescent="0.2">
      <c r="A5207" s="2" t="s">
        <v>6522</v>
      </c>
      <c r="B5207" s="2" t="s">
        <v>6533</v>
      </c>
      <c r="C5207" s="2" t="s">
        <v>6529</v>
      </c>
      <c r="D5207" s="2" t="s">
        <v>56</v>
      </c>
      <c r="E5207" s="2" t="s">
        <v>52</v>
      </c>
      <c r="F5207" s="2">
        <v>1</v>
      </c>
      <c r="G5207" s="2" t="s">
        <v>17</v>
      </c>
    </row>
    <row r="5208" spans="1:7" x14ac:dyDescent="0.2">
      <c r="A5208" s="2" t="s">
        <v>6522</v>
      </c>
      <c r="B5208" s="2" t="s">
        <v>6534</v>
      </c>
      <c r="C5208" s="2" t="s">
        <v>5423</v>
      </c>
      <c r="D5208" s="2" t="s">
        <v>56</v>
      </c>
      <c r="E5208" s="2" t="s">
        <v>16</v>
      </c>
      <c r="F5208" s="2">
        <v>1</v>
      </c>
      <c r="G5208" s="2" t="s">
        <v>17</v>
      </c>
    </row>
    <row r="5209" spans="1:7" x14ac:dyDescent="0.2">
      <c r="A5209" s="2" t="s">
        <v>6522</v>
      </c>
      <c r="B5209" s="2" t="s">
        <v>6535</v>
      </c>
      <c r="C5209" s="2" t="s">
        <v>5423</v>
      </c>
      <c r="D5209" s="2" t="s">
        <v>56</v>
      </c>
      <c r="E5209" s="2" t="s">
        <v>16</v>
      </c>
      <c r="F5209" s="2">
        <v>1</v>
      </c>
      <c r="G5209" s="2" t="s">
        <v>17</v>
      </c>
    </row>
    <row r="5210" spans="1:7" x14ac:dyDescent="0.2">
      <c r="A5210" s="2" t="s">
        <v>6522</v>
      </c>
      <c r="B5210" s="2" t="s">
        <v>6536</v>
      </c>
      <c r="C5210" s="2" t="s">
        <v>5423</v>
      </c>
      <c r="D5210" s="2" t="s">
        <v>56</v>
      </c>
      <c r="E5210" s="2" t="s">
        <v>16</v>
      </c>
      <c r="F5210" s="2">
        <v>1</v>
      </c>
      <c r="G5210" s="2" t="s">
        <v>17</v>
      </c>
    </row>
    <row r="5211" spans="1:7" x14ac:dyDescent="0.2">
      <c r="A5211" s="2" t="s">
        <v>6522</v>
      </c>
      <c r="B5211" s="2" t="s">
        <v>6537</v>
      </c>
      <c r="C5211" s="2" t="s">
        <v>5423</v>
      </c>
      <c r="D5211" s="2" t="s">
        <v>56</v>
      </c>
      <c r="E5211" s="2" t="s">
        <v>16</v>
      </c>
      <c r="F5211" s="2">
        <v>1</v>
      </c>
      <c r="G5211" s="2" t="s">
        <v>17</v>
      </c>
    </row>
    <row r="5212" spans="1:7" x14ac:dyDescent="0.2">
      <c r="A5212" s="2" t="s">
        <v>6538</v>
      </c>
      <c r="B5212" s="2">
        <v>228</v>
      </c>
      <c r="C5212" s="2" t="s">
        <v>4736</v>
      </c>
      <c r="D5212" s="2" t="s">
        <v>10</v>
      </c>
      <c r="E5212" s="2" t="s">
        <v>52</v>
      </c>
      <c r="F5212" s="2">
        <v>2</v>
      </c>
      <c r="G5212" s="2" t="s">
        <v>17</v>
      </c>
    </row>
    <row r="5213" spans="1:7" x14ac:dyDescent="0.2">
      <c r="A5213" s="2" t="s">
        <v>6538</v>
      </c>
      <c r="B5213" s="2">
        <v>748</v>
      </c>
      <c r="C5213" s="2" t="s">
        <v>1011</v>
      </c>
      <c r="D5213" s="2" t="s">
        <v>10</v>
      </c>
      <c r="E5213" s="2" t="s">
        <v>52</v>
      </c>
      <c r="F5213" s="2">
        <v>2</v>
      </c>
      <c r="G5213" s="2" t="s">
        <v>12</v>
      </c>
    </row>
    <row r="5214" spans="1:7" x14ac:dyDescent="0.2">
      <c r="A5214" s="2" t="s">
        <v>6538</v>
      </c>
      <c r="B5214" s="2" t="s">
        <v>6539</v>
      </c>
      <c r="C5214" s="2" t="s">
        <v>6540</v>
      </c>
      <c r="D5214" s="2" t="s">
        <v>56</v>
      </c>
      <c r="E5214" s="2" t="s">
        <v>52</v>
      </c>
      <c r="F5214" s="2">
        <v>2</v>
      </c>
      <c r="G5214" s="2" t="s">
        <v>17</v>
      </c>
    </row>
    <row r="5215" spans="1:7" x14ac:dyDescent="0.2">
      <c r="A5215" s="2" t="s">
        <v>6538</v>
      </c>
      <c r="B5215" s="2" t="s">
        <v>6541</v>
      </c>
      <c r="C5215" s="2" t="s">
        <v>6542</v>
      </c>
      <c r="D5215" s="2" t="s">
        <v>10</v>
      </c>
      <c r="E5215" s="2" t="s">
        <v>11</v>
      </c>
      <c r="F5215" s="2">
        <v>1</v>
      </c>
      <c r="G5215" s="2" t="s">
        <v>12</v>
      </c>
    </row>
    <row r="5216" spans="1:7" x14ac:dyDescent="0.2">
      <c r="A5216" s="2" t="s">
        <v>6538</v>
      </c>
      <c r="B5216" s="2" t="s">
        <v>6543</v>
      </c>
      <c r="C5216" s="2" t="s">
        <v>6544</v>
      </c>
      <c r="D5216" s="2" t="s">
        <v>10</v>
      </c>
      <c r="E5216" s="2" t="s">
        <v>16</v>
      </c>
      <c r="F5216" s="2">
        <v>1</v>
      </c>
      <c r="G5216" s="2" t="s">
        <v>17</v>
      </c>
    </row>
    <row r="5217" spans="1:7" x14ac:dyDescent="0.2">
      <c r="A5217" s="2" t="s">
        <v>6538</v>
      </c>
      <c r="B5217" s="2" t="s">
        <v>1757</v>
      </c>
      <c r="C5217" s="2" t="s">
        <v>647</v>
      </c>
      <c r="D5217" s="2" t="s">
        <v>56</v>
      </c>
      <c r="E5217" s="2" t="s">
        <v>52</v>
      </c>
      <c r="F5217" s="2">
        <v>1</v>
      </c>
      <c r="G5217" s="2" t="s">
        <v>17</v>
      </c>
    </row>
    <row r="5218" spans="1:7" x14ac:dyDescent="0.2">
      <c r="A5218" s="2" t="s">
        <v>6538</v>
      </c>
      <c r="B5218" s="2" t="s">
        <v>6545</v>
      </c>
      <c r="C5218" s="2" t="s">
        <v>647</v>
      </c>
      <c r="D5218" s="2" t="s">
        <v>56</v>
      </c>
      <c r="E5218" s="2" t="s">
        <v>52</v>
      </c>
      <c r="F5218" s="2">
        <v>1</v>
      </c>
      <c r="G5218" s="2" t="s">
        <v>17</v>
      </c>
    </row>
    <row r="5219" spans="1:7" x14ac:dyDescent="0.2">
      <c r="A5219" s="2" t="s">
        <v>6538</v>
      </c>
      <c r="B5219" s="2" t="s">
        <v>6546</v>
      </c>
      <c r="C5219" s="2" t="s">
        <v>591</v>
      </c>
      <c r="D5219" s="2" t="s">
        <v>56</v>
      </c>
      <c r="E5219" s="2" t="s">
        <v>52</v>
      </c>
      <c r="F5219" s="2">
        <v>1</v>
      </c>
      <c r="G5219" s="2" t="s">
        <v>17</v>
      </c>
    </row>
    <row r="5220" spans="1:7" x14ac:dyDescent="0.2">
      <c r="A5220" s="2" t="s">
        <v>6538</v>
      </c>
      <c r="B5220" s="2" t="s">
        <v>6547</v>
      </c>
      <c r="C5220" s="2" t="s">
        <v>591</v>
      </c>
      <c r="D5220" s="2" t="s">
        <v>56</v>
      </c>
      <c r="E5220" s="2" t="s">
        <v>52</v>
      </c>
      <c r="F5220" s="2">
        <v>1</v>
      </c>
      <c r="G5220" s="2" t="s">
        <v>17</v>
      </c>
    </row>
    <row r="5221" spans="1:7" x14ac:dyDescent="0.2">
      <c r="A5221" s="2" t="s">
        <v>6538</v>
      </c>
      <c r="B5221" s="2" t="s">
        <v>6548</v>
      </c>
      <c r="C5221" s="2" t="s">
        <v>6549</v>
      </c>
      <c r="D5221" s="2" t="s">
        <v>10</v>
      </c>
      <c r="E5221" s="2" t="s">
        <v>16</v>
      </c>
      <c r="F5221" s="2">
        <v>1</v>
      </c>
      <c r="G5221" s="2" t="s">
        <v>17</v>
      </c>
    </row>
    <row r="5222" spans="1:7" x14ac:dyDescent="0.2">
      <c r="A5222" s="2" t="s">
        <v>6538</v>
      </c>
      <c r="B5222" s="2" t="s">
        <v>6550</v>
      </c>
      <c r="C5222" s="2" t="s">
        <v>6540</v>
      </c>
      <c r="D5222" s="2" t="s">
        <v>56</v>
      </c>
      <c r="E5222" s="2" t="s">
        <v>52</v>
      </c>
      <c r="F5222" s="2">
        <v>2</v>
      </c>
      <c r="G5222" s="2" t="s">
        <v>17</v>
      </c>
    </row>
    <row r="5223" spans="1:7" x14ac:dyDescent="0.2">
      <c r="A5223" s="2" t="s">
        <v>6538</v>
      </c>
      <c r="B5223" s="2" t="s">
        <v>6551</v>
      </c>
      <c r="C5223" s="2" t="s">
        <v>6544</v>
      </c>
      <c r="D5223" s="2" t="s">
        <v>10</v>
      </c>
      <c r="E5223" s="2" t="s">
        <v>16</v>
      </c>
      <c r="F5223" s="2">
        <v>1</v>
      </c>
      <c r="G5223" s="2" t="s">
        <v>17</v>
      </c>
    </row>
    <row r="5224" spans="1:7" x14ac:dyDescent="0.2">
      <c r="A5224" s="2" t="s">
        <v>6538</v>
      </c>
      <c r="B5224" s="2" t="s">
        <v>6552</v>
      </c>
      <c r="C5224" s="2" t="s">
        <v>6553</v>
      </c>
      <c r="D5224" s="2" t="s">
        <v>10</v>
      </c>
      <c r="E5224" s="2" t="s">
        <v>11</v>
      </c>
      <c r="F5224" s="2">
        <v>1</v>
      </c>
      <c r="G5224" s="2" t="s">
        <v>17</v>
      </c>
    </row>
    <row r="5225" spans="1:7" x14ac:dyDescent="0.2">
      <c r="A5225" s="2" t="s">
        <v>6538</v>
      </c>
      <c r="B5225" s="2" t="s">
        <v>6554</v>
      </c>
      <c r="C5225" s="2" t="s">
        <v>6555</v>
      </c>
      <c r="D5225" s="2" t="s">
        <v>10</v>
      </c>
      <c r="E5225" s="2" t="s">
        <v>11</v>
      </c>
      <c r="F5225" s="2">
        <v>1</v>
      </c>
      <c r="G5225" s="2" t="s">
        <v>17</v>
      </c>
    </row>
    <row r="5226" spans="1:7" x14ac:dyDescent="0.2">
      <c r="A5226" s="2" t="s">
        <v>6538</v>
      </c>
      <c r="B5226" s="2" t="s">
        <v>6556</v>
      </c>
      <c r="C5226" s="2" t="s">
        <v>6549</v>
      </c>
      <c r="D5226" s="2" t="s">
        <v>10</v>
      </c>
      <c r="E5226" s="2" t="s">
        <v>16</v>
      </c>
      <c r="F5226" s="2">
        <v>1</v>
      </c>
      <c r="G5226" s="2" t="s">
        <v>17</v>
      </c>
    </row>
    <row r="5227" spans="1:7" x14ac:dyDescent="0.2">
      <c r="A5227" s="2" t="s">
        <v>6538</v>
      </c>
      <c r="B5227" s="2" t="s">
        <v>6557</v>
      </c>
      <c r="C5227" s="2" t="s">
        <v>6558</v>
      </c>
      <c r="D5227" s="2" t="s">
        <v>10</v>
      </c>
      <c r="E5227" s="2" t="s">
        <v>16</v>
      </c>
      <c r="F5227" s="2">
        <v>1</v>
      </c>
      <c r="G5227" s="2" t="s">
        <v>17</v>
      </c>
    </row>
    <row r="5228" spans="1:7" x14ac:dyDescent="0.2">
      <c r="A5228" s="2" t="s">
        <v>6538</v>
      </c>
      <c r="B5228" s="2" t="s">
        <v>6559</v>
      </c>
      <c r="C5228" s="2" t="s">
        <v>6560</v>
      </c>
      <c r="D5228" s="2" t="s">
        <v>10</v>
      </c>
      <c r="E5228" s="2" t="s">
        <v>52</v>
      </c>
      <c r="F5228" s="2">
        <v>1</v>
      </c>
      <c r="G5228" s="2" t="s">
        <v>17</v>
      </c>
    </row>
    <row r="5229" spans="1:7" x14ac:dyDescent="0.2">
      <c r="A5229" s="2" t="s">
        <v>6538</v>
      </c>
      <c r="B5229" s="2" t="s">
        <v>6561</v>
      </c>
      <c r="C5229" s="2" t="s">
        <v>459</v>
      </c>
      <c r="D5229" s="2" t="s">
        <v>10</v>
      </c>
      <c r="E5229" s="2" t="s">
        <v>16</v>
      </c>
      <c r="F5229" s="2">
        <v>1</v>
      </c>
      <c r="G5229" s="2" t="s">
        <v>17</v>
      </c>
    </row>
    <row r="5230" spans="1:7" x14ac:dyDescent="0.2">
      <c r="A5230" s="2" t="s">
        <v>6538</v>
      </c>
      <c r="B5230" s="2" t="s">
        <v>6562</v>
      </c>
      <c r="C5230" s="2" t="s">
        <v>6563</v>
      </c>
      <c r="D5230" s="2" t="s">
        <v>10</v>
      </c>
      <c r="E5230" s="2" t="s">
        <v>11</v>
      </c>
      <c r="F5230" s="2">
        <v>2</v>
      </c>
      <c r="G5230" s="2" t="s">
        <v>12</v>
      </c>
    </row>
    <row r="5231" spans="1:7" x14ac:dyDescent="0.2">
      <c r="A5231" s="2" t="s">
        <v>6538</v>
      </c>
      <c r="B5231" s="2" t="s">
        <v>6564</v>
      </c>
      <c r="C5231" s="2" t="s">
        <v>6553</v>
      </c>
      <c r="D5231" s="2" t="s">
        <v>10</v>
      </c>
      <c r="E5231" s="2" t="s">
        <v>11</v>
      </c>
      <c r="F5231" s="2">
        <v>1</v>
      </c>
      <c r="G5231" s="2" t="s">
        <v>17</v>
      </c>
    </row>
    <row r="5232" spans="1:7" x14ac:dyDescent="0.2">
      <c r="A5232" s="2" t="s">
        <v>6538</v>
      </c>
      <c r="B5232" s="2" t="s">
        <v>702</v>
      </c>
      <c r="C5232" s="2" t="s">
        <v>647</v>
      </c>
      <c r="D5232" s="2" t="s">
        <v>56</v>
      </c>
      <c r="E5232" s="2" t="s">
        <v>52</v>
      </c>
      <c r="F5232" s="2">
        <v>1</v>
      </c>
      <c r="G5232" s="2" t="s">
        <v>17</v>
      </c>
    </row>
    <row r="5233" spans="1:7" x14ac:dyDescent="0.2">
      <c r="A5233" s="2" t="s">
        <v>6538</v>
      </c>
      <c r="B5233" s="2" t="s">
        <v>6565</v>
      </c>
      <c r="C5233" s="2" t="s">
        <v>703</v>
      </c>
      <c r="D5233" s="2" t="s">
        <v>10</v>
      </c>
      <c r="E5233" s="2" t="s">
        <v>11</v>
      </c>
      <c r="F5233" s="2">
        <v>1</v>
      </c>
      <c r="G5233" s="2" t="s">
        <v>12</v>
      </c>
    </row>
    <row r="5234" spans="1:7" x14ac:dyDescent="0.2">
      <c r="A5234" s="2" t="s">
        <v>6538</v>
      </c>
      <c r="B5234" s="2" t="s">
        <v>6566</v>
      </c>
      <c r="C5234" s="2" t="s">
        <v>6542</v>
      </c>
      <c r="D5234" s="2" t="s">
        <v>10</v>
      </c>
      <c r="E5234" s="2" t="s">
        <v>11</v>
      </c>
      <c r="F5234" s="2">
        <v>1</v>
      </c>
      <c r="G5234" s="2" t="s">
        <v>12</v>
      </c>
    </row>
    <row r="5235" spans="1:7" x14ac:dyDescent="0.2">
      <c r="A5235" s="2" t="s">
        <v>6538</v>
      </c>
      <c r="B5235" s="2" t="s">
        <v>6567</v>
      </c>
      <c r="C5235" s="2" t="s">
        <v>459</v>
      </c>
      <c r="D5235" s="2" t="s">
        <v>10</v>
      </c>
      <c r="E5235" s="2" t="s">
        <v>16</v>
      </c>
      <c r="F5235" s="2">
        <v>1</v>
      </c>
      <c r="G5235" s="2" t="s">
        <v>17</v>
      </c>
    </row>
    <row r="5236" spans="1:7" x14ac:dyDescent="0.2">
      <c r="A5236" s="2" t="s">
        <v>6538</v>
      </c>
      <c r="B5236" s="2" t="s">
        <v>6568</v>
      </c>
      <c r="C5236" s="2" t="s">
        <v>647</v>
      </c>
      <c r="D5236" s="2" t="s">
        <v>56</v>
      </c>
      <c r="E5236" s="2" t="s">
        <v>52</v>
      </c>
      <c r="F5236" s="2">
        <v>1</v>
      </c>
      <c r="G5236" s="2" t="s">
        <v>17</v>
      </c>
    </row>
    <row r="5237" spans="1:7" x14ac:dyDescent="0.2">
      <c r="A5237" s="2" t="s">
        <v>6538</v>
      </c>
      <c r="B5237" s="2" t="s">
        <v>6569</v>
      </c>
      <c r="C5237" s="2" t="s">
        <v>647</v>
      </c>
      <c r="D5237" s="2" t="s">
        <v>56</v>
      </c>
      <c r="E5237" s="2" t="s">
        <v>52</v>
      </c>
      <c r="F5237" s="2">
        <v>1</v>
      </c>
      <c r="G5237" s="2" t="s">
        <v>17</v>
      </c>
    </row>
    <row r="5238" spans="1:7" x14ac:dyDescent="0.2">
      <c r="A5238" s="2" t="s">
        <v>6538</v>
      </c>
      <c r="B5238" s="2" t="s">
        <v>6570</v>
      </c>
      <c r="C5238" s="2" t="s">
        <v>647</v>
      </c>
      <c r="D5238" s="2" t="s">
        <v>56</v>
      </c>
      <c r="E5238" s="2" t="s">
        <v>52</v>
      </c>
      <c r="F5238" s="2">
        <v>1</v>
      </c>
      <c r="G5238" s="2" t="s">
        <v>17</v>
      </c>
    </row>
    <row r="5239" spans="1:7" x14ac:dyDescent="0.2">
      <c r="A5239" s="2" t="s">
        <v>6538</v>
      </c>
      <c r="B5239" s="2" t="s">
        <v>6571</v>
      </c>
      <c r="C5239" s="2" t="s">
        <v>591</v>
      </c>
      <c r="D5239" s="2" t="s">
        <v>56</v>
      </c>
      <c r="E5239" s="2" t="s">
        <v>52</v>
      </c>
      <c r="F5239" s="2">
        <v>1</v>
      </c>
      <c r="G5239" s="2" t="s">
        <v>17</v>
      </c>
    </row>
    <row r="5240" spans="1:7" x14ac:dyDescent="0.2">
      <c r="A5240" s="2" t="s">
        <v>6538</v>
      </c>
      <c r="B5240" s="2" t="s">
        <v>6572</v>
      </c>
      <c r="C5240" s="2" t="s">
        <v>591</v>
      </c>
      <c r="D5240" s="2" t="s">
        <v>56</v>
      </c>
      <c r="E5240" s="2" t="s">
        <v>52</v>
      </c>
      <c r="F5240" s="2">
        <v>1</v>
      </c>
      <c r="G5240" s="2" t="s">
        <v>17</v>
      </c>
    </row>
    <row r="5241" spans="1:7" x14ac:dyDescent="0.2">
      <c r="A5241" s="2" t="s">
        <v>6538</v>
      </c>
      <c r="B5241" s="2" t="s">
        <v>6573</v>
      </c>
      <c r="C5241" s="2" t="s">
        <v>591</v>
      </c>
      <c r="D5241" s="2" t="s">
        <v>56</v>
      </c>
      <c r="E5241" s="2" t="s">
        <v>52</v>
      </c>
      <c r="F5241" s="2">
        <v>1</v>
      </c>
      <c r="G5241" s="2" t="s">
        <v>17</v>
      </c>
    </row>
    <row r="5242" spans="1:7" x14ac:dyDescent="0.2">
      <c r="A5242" s="2" t="s">
        <v>6538</v>
      </c>
      <c r="B5242" s="2" t="s">
        <v>6574</v>
      </c>
      <c r="C5242" s="2" t="s">
        <v>6563</v>
      </c>
      <c r="D5242" s="2" t="s">
        <v>10</v>
      </c>
      <c r="E5242" s="2" t="s">
        <v>11</v>
      </c>
      <c r="F5242" s="2">
        <v>2</v>
      </c>
      <c r="G5242" s="2" t="s">
        <v>12</v>
      </c>
    </row>
    <row r="5243" spans="1:7" x14ac:dyDescent="0.2">
      <c r="A5243" s="2" t="s">
        <v>6538</v>
      </c>
      <c r="B5243" s="2" t="s">
        <v>6575</v>
      </c>
      <c r="C5243" s="2" t="s">
        <v>6555</v>
      </c>
      <c r="D5243" s="2" t="s">
        <v>10</v>
      </c>
      <c r="E5243" s="2" t="s">
        <v>11</v>
      </c>
      <c r="F5243" s="2">
        <v>1</v>
      </c>
      <c r="G5243" s="2" t="s">
        <v>17</v>
      </c>
    </row>
    <row r="5244" spans="1:7" x14ac:dyDescent="0.2">
      <c r="A5244" s="2" t="s">
        <v>6538</v>
      </c>
      <c r="B5244" s="2" t="s">
        <v>6576</v>
      </c>
      <c r="C5244" s="2" t="s">
        <v>6577</v>
      </c>
      <c r="D5244" s="2" t="s">
        <v>10</v>
      </c>
      <c r="E5244" s="2" t="s">
        <v>11</v>
      </c>
      <c r="F5244" s="2">
        <v>2</v>
      </c>
      <c r="G5244" s="2" t="s">
        <v>12</v>
      </c>
    </row>
    <row r="5245" spans="1:7" x14ac:dyDescent="0.2">
      <c r="A5245" s="2" t="s">
        <v>6538</v>
      </c>
      <c r="B5245" s="2" t="s">
        <v>2118</v>
      </c>
      <c r="C5245" s="2" t="s">
        <v>2116</v>
      </c>
      <c r="D5245" s="2" t="s">
        <v>10</v>
      </c>
      <c r="E5245" s="2" t="s">
        <v>11</v>
      </c>
      <c r="F5245" s="2">
        <v>1</v>
      </c>
      <c r="G5245" s="2" t="s">
        <v>12</v>
      </c>
    </row>
    <row r="5246" spans="1:7" x14ac:dyDescent="0.2">
      <c r="A5246" s="2" t="s">
        <v>6538</v>
      </c>
      <c r="B5246" s="2" t="s">
        <v>99</v>
      </c>
      <c r="C5246" s="2" t="s">
        <v>100</v>
      </c>
      <c r="D5246" s="2" t="s">
        <v>10</v>
      </c>
      <c r="E5246" s="2" t="s">
        <v>11</v>
      </c>
      <c r="F5246" s="2">
        <v>1</v>
      </c>
      <c r="G5246" s="2" t="s">
        <v>12</v>
      </c>
    </row>
    <row r="5247" spans="1:7" x14ac:dyDescent="0.2">
      <c r="A5247" s="2" t="s">
        <v>6538</v>
      </c>
      <c r="B5247" s="2" t="s">
        <v>101</v>
      </c>
      <c r="C5247" s="2" t="s">
        <v>100</v>
      </c>
      <c r="D5247" s="2" t="s">
        <v>10</v>
      </c>
      <c r="E5247" s="2" t="s">
        <v>11</v>
      </c>
      <c r="F5247" s="2">
        <v>1</v>
      </c>
      <c r="G5247" s="2" t="s">
        <v>12</v>
      </c>
    </row>
    <row r="5248" spans="1:7" x14ac:dyDescent="0.2">
      <c r="A5248" s="2" t="s">
        <v>6538</v>
      </c>
      <c r="B5248" s="2" t="s">
        <v>6578</v>
      </c>
      <c r="C5248" s="2" t="s">
        <v>6578</v>
      </c>
      <c r="D5248" s="2" t="s">
        <v>56</v>
      </c>
      <c r="E5248" s="2" t="s">
        <v>52</v>
      </c>
      <c r="F5248" s="2">
        <v>2</v>
      </c>
      <c r="G5248" s="2" t="s">
        <v>17</v>
      </c>
    </row>
    <row r="5249" spans="1:7" x14ac:dyDescent="0.2">
      <c r="A5249" s="2" t="s">
        <v>6538</v>
      </c>
      <c r="B5249" s="2" t="s">
        <v>6579</v>
      </c>
      <c r="C5249" s="2" t="s">
        <v>6580</v>
      </c>
      <c r="D5249" s="2" t="s">
        <v>10</v>
      </c>
      <c r="E5249" s="2" t="s">
        <v>52</v>
      </c>
      <c r="F5249" s="2">
        <v>1</v>
      </c>
      <c r="G5249" s="2" t="s">
        <v>17</v>
      </c>
    </row>
    <row r="5250" spans="1:7" x14ac:dyDescent="0.2">
      <c r="A5250" s="2" t="s">
        <v>6581</v>
      </c>
      <c r="B5250" s="2" t="s">
        <v>6582</v>
      </c>
      <c r="C5250" s="2" t="s">
        <v>6583</v>
      </c>
      <c r="D5250" s="2" t="s">
        <v>10</v>
      </c>
      <c r="E5250" s="2" t="s">
        <v>16</v>
      </c>
      <c r="F5250" s="2">
        <v>1</v>
      </c>
      <c r="G5250" s="2" t="s">
        <v>17</v>
      </c>
    </row>
    <row r="5251" spans="1:7" x14ac:dyDescent="0.2">
      <c r="A5251" s="2" t="s">
        <v>6581</v>
      </c>
      <c r="B5251" s="2" t="s">
        <v>6584</v>
      </c>
      <c r="C5251" s="2" t="s">
        <v>6583</v>
      </c>
      <c r="D5251" s="2" t="s">
        <v>10</v>
      </c>
      <c r="E5251" s="2" t="s">
        <v>16</v>
      </c>
      <c r="F5251" s="2">
        <v>1</v>
      </c>
      <c r="G5251" s="2" t="s">
        <v>17</v>
      </c>
    </row>
    <row r="5252" spans="1:7" x14ac:dyDescent="0.2">
      <c r="A5252" s="2" t="s">
        <v>6585</v>
      </c>
      <c r="B5252" s="2" t="s">
        <v>3392</v>
      </c>
      <c r="C5252" s="2" t="s">
        <v>3393</v>
      </c>
      <c r="D5252" s="2" t="s">
        <v>10</v>
      </c>
      <c r="E5252" s="2" t="s">
        <v>16</v>
      </c>
      <c r="F5252" s="2">
        <v>1</v>
      </c>
      <c r="G5252" s="2" t="s">
        <v>17</v>
      </c>
    </row>
    <row r="5253" spans="1:7" x14ac:dyDescent="0.2">
      <c r="A5253" s="2" t="s">
        <v>6585</v>
      </c>
      <c r="B5253" s="2" t="s">
        <v>6586</v>
      </c>
      <c r="C5253" s="2" t="s">
        <v>6587</v>
      </c>
      <c r="D5253" s="2" t="s">
        <v>10</v>
      </c>
      <c r="E5253" s="2" t="s">
        <v>16</v>
      </c>
      <c r="F5253" s="2">
        <v>1</v>
      </c>
      <c r="G5253" s="2" t="s">
        <v>17</v>
      </c>
    </row>
    <row r="5254" spans="1:7" x14ac:dyDescent="0.2">
      <c r="A5254" s="2" t="s">
        <v>6585</v>
      </c>
      <c r="B5254" s="2" t="s">
        <v>43</v>
      </c>
      <c r="C5254" s="2" t="s">
        <v>3393</v>
      </c>
      <c r="D5254" s="2" t="s">
        <v>10</v>
      </c>
      <c r="E5254" s="2" t="s">
        <v>16</v>
      </c>
      <c r="F5254" s="2">
        <v>1</v>
      </c>
      <c r="G5254" s="2" t="s">
        <v>17</v>
      </c>
    </row>
    <row r="5255" spans="1:7" x14ac:dyDescent="0.2">
      <c r="A5255" s="2" t="s">
        <v>6585</v>
      </c>
      <c r="B5255" s="2" t="s">
        <v>6588</v>
      </c>
      <c r="C5255" s="2" t="s">
        <v>3413</v>
      </c>
      <c r="D5255" s="2" t="s">
        <v>10</v>
      </c>
      <c r="E5255" s="2" t="s">
        <v>11</v>
      </c>
      <c r="F5255" s="2">
        <v>2</v>
      </c>
      <c r="G5255" s="2" t="s">
        <v>17</v>
      </c>
    </row>
    <row r="5256" spans="1:7" x14ac:dyDescent="0.2">
      <c r="A5256" s="2" t="s">
        <v>6585</v>
      </c>
      <c r="B5256" s="2" t="s">
        <v>3412</v>
      </c>
      <c r="C5256" s="2" t="s">
        <v>3413</v>
      </c>
      <c r="D5256" s="2" t="s">
        <v>10</v>
      </c>
      <c r="E5256" s="2" t="s">
        <v>11</v>
      </c>
      <c r="F5256" s="2">
        <v>2</v>
      </c>
      <c r="G5256" s="2" t="s">
        <v>17</v>
      </c>
    </row>
    <row r="5257" spans="1:7" x14ac:dyDescent="0.2">
      <c r="A5257" s="2" t="s">
        <v>6585</v>
      </c>
      <c r="B5257" s="2" t="s">
        <v>6589</v>
      </c>
      <c r="C5257" s="2" t="s">
        <v>6587</v>
      </c>
      <c r="D5257" s="2" t="s">
        <v>10</v>
      </c>
      <c r="E5257" s="2" t="s">
        <v>16</v>
      </c>
      <c r="F5257" s="2">
        <v>1</v>
      </c>
      <c r="G5257" s="2" t="s">
        <v>17</v>
      </c>
    </row>
    <row r="5258" spans="1:7" x14ac:dyDescent="0.2">
      <c r="A5258" s="2" t="s">
        <v>6585</v>
      </c>
      <c r="B5258" s="2" t="s">
        <v>6590</v>
      </c>
      <c r="C5258" s="2" t="s">
        <v>3413</v>
      </c>
      <c r="D5258" s="2" t="s">
        <v>10</v>
      </c>
      <c r="E5258" s="2" t="s">
        <v>11</v>
      </c>
      <c r="F5258" s="2">
        <v>2</v>
      </c>
      <c r="G5258" s="2" t="s">
        <v>17</v>
      </c>
    </row>
    <row r="5259" spans="1:7" x14ac:dyDescent="0.2">
      <c r="A5259" s="2" t="s">
        <v>6585</v>
      </c>
      <c r="B5259" s="2" t="s">
        <v>3422</v>
      </c>
      <c r="C5259" s="2" t="s">
        <v>3413</v>
      </c>
      <c r="D5259" s="2" t="s">
        <v>10</v>
      </c>
      <c r="E5259" s="2" t="s">
        <v>11</v>
      </c>
      <c r="F5259" s="2">
        <v>2</v>
      </c>
      <c r="G5259" s="2" t="s">
        <v>17</v>
      </c>
    </row>
    <row r="5260" spans="1:7" x14ac:dyDescent="0.2">
      <c r="A5260" s="2" t="s">
        <v>6591</v>
      </c>
      <c r="B5260" s="2" t="s">
        <v>6592</v>
      </c>
      <c r="C5260" s="2" t="s">
        <v>6593</v>
      </c>
      <c r="D5260" s="2" t="s">
        <v>10</v>
      </c>
      <c r="E5260" s="2" t="s">
        <v>16</v>
      </c>
      <c r="F5260" s="2">
        <v>1</v>
      </c>
      <c r="G5260" s="2" t="s">
        <v>17</v>
      </c>
    </row>
    <row r="5261" spans="1:7" x14ac:dyDescent="0.2">
      <c r="A5261" s="2" t="s">
        <v>6591</v>
      </c>
      <c r="B5261" s="2" t="s">
        <v>6594</v>
      </c>
      <c r="C5261" s="2" t="s">
        <v>6595</v>
      </c>
      <c r="D5261" s="2" t="s">
        <v>10</v>
      </c>
      <c r="E5261" s="2" t="s">
        <v>16</v>
      </c>
      <c r="F5261" s="2">
        <v>1</v>
      </c>
      <c r="G5261" s="2" t="s">
        <v>17</v>
      </c>
    </row>
    <row r="5262" spans="1:7" x14ac:dyDescent="0.2">
      <c r="A5262" s="2" t="s">
        <v>6596</v>
      </c>
      <c r="B5262" s="2" t="s">
        <v>6597</v>
      </c>
      <c r="C5262" s="2" t="s">
        <v>280</v>
      </c>
      <c r="D5262" s="2" t="s">
        <v>10</v>
      </c>
      <c r="E5262" s="2" t="s">
        <v>16</v>
      </c>
      <c r="F5262" s="2">
        <v>1</v>
      </c>
      <c r="G5262" s="2" t="s">
        <v>17</v>
      </c>
    </row>
    <row r="5263" spans="1:7" x14ac:dyDescent="0.2">
      <c r="A5263" s="2" t="s">
        <v>6598</v>
      </c>
      <c r="B5263" s="2" t="s">
        <v>4652</v>
      </c>
      <c r="C5263" s="2" t="s">
        <v>4642</v>
      </c>
      <c r="D5263" s="2" t="s">
        <v>10</v>
      </c>
      <c r="E5263" s="2" t="s">
        <v>16</v>
      </c>
      <c r="F5263" s="2">
        <v>1</v>
      </c>
      <c r="G5263" s="2" t="s">
        <v>17</v>
      </c>
    </row>
    <row r="5264" spans="1:7" x14ac:dyDescent="0.2">
      <c r="A5264" s="2" t="s">
        <v>6598</v>
      </c>
      <c r="B5264" s="2" t="s">
        <v>4658</v>
      </c>
      <c r="C5264" s="2" t="s">
        <v>4654</v>
      </c>
      <c r="D5264" s="2" t="s">
        <v>10</v>
      </c>
      <c r="E5264" s="2" t="s">
        <v>16</v>
      </c>
      <c r="F5264" s="2">
        <v>1</v>
      </c>
      <c r="G5264" s="2" t="s">
        <v>17</v>
      </c>
    </row>
    <row r="5265" spans="1:7" x14ac:dyDescent="0.2">
      <c r="A5265" s="2" t="s">
        <v>6598</v>
      </c>
      <c r="B5265" s="2" t="s">
        <v>6599</v>
      </c>
      <c r="C5265" s="2" t="s">
        <v>4642</v>
      </c>
      <c r="D5265" s="2" t="s">
        <v>10</v>
      </c>
      <c r="E5265" s="2" t="s">
        <v>16</v>
      </c>
      <c r="F5265" s="2">
        <v>1</v>
      </c>
      <c r="G5265" s="2" t="s">
        <v>17</v>
      </c>
    </row>
    <row r="5266" spans="1:7" x14ac:dyDescent="0.2">
      <c r="A5266" s="2" t="s">
        <v>6598</v>
      </c>
      <c r="B5266" s="2" t="s">
        <v>4666</v>
      </c>
      <c r="C5266" s="2" t="s">
        <v>4654</v>
      </c>
      <c r="D5266" s="2" t="s">
        <v>10</v>
      </c>
      <c r="E5266" s="2" t="s">
        <v>16</v>
      </c>
      <c r="F5266" s="2">
        <v>1</v>
      </c>
      <c r="G5266" s="2" t="s">
        <v>17</v>
      </c>
    </row>
    <row r="5267" spans="1:7" x14ac:dyDescent="0.2">
      <c r="A5267" s="2" t="s">
        <v>6600</v>
      </c>
      <c r="B5267" s="2" t="s">
        <v>6601</v>
      </c>
      <c r="C5267" s="2" t="s">
        <v>4654</v>
      </c>
      <c r="D5267" s="2" t="s">
        <v>10</v>
      </c>
      <c r="E5267" s="2" t="s">
        <v>16</v>
      </c>
      <c r="F5267" s="2">
        <v>1</v>
      </c>
      <c r="G5267" s="2" t="s">
        <v>17</v>
      </c>
    </row>
    <row r="5268" spans="1:7" x14ac:dyDescent="0.2">
      <c r="A5268" s="2" t="s">
        <v>6600</v>
      </c>
      <c r="B5268" s="2" t="s">
        <v>6602</v>
      </c>
      <c r="C5268" s="2" t="s">
        <v>4654</v>
      </c>
      <c r="D5268" s="2" t="s">
        <v>10</v>
      </c>
      <c r="E5268" s="2" t="s">
        <v>16</v>
      </c>
      <c r="F5268" s="2">
        <v>1</v>
      </c>
      <c r="G5268" s="2" t="s">
        <v>17</v>
      </c>
    </row>
    <row r="5269" spans="1:7" x14ac:dyDescent="0.2">
      <c r="A5269" s="2" t="s">
        <v>6600</v>
      </c>
      <c r="B5269" s="2" t="s">
        <v>6603</v>
      </c>
      <c r="C5269" s="2" t="s">
        <v>6604</v>
      </c>
      <c r="D5269" s="2" t="s">
        <v>10</v>
      </c>
      <c r="E5269" s="2" t="s">
        <v>16</v>
      </c>
      <c r="F5269" s="2">
        <v>1</v>
      </c>
      <c r="G5269" s="2" t="s">
        <v>17</v>
      </c>
    </row>
    <row r="5270" spans="1:7" x14ac:dyDescent="0.2">
      <c r="A5270" s="2" t="s">
        <v>6605</v>
      </c>
      <c r="B5270" s="2" t="s">
        <v>6606</v>
      </c>
      <c r="C5270" s="2" t="s">
        <v>6607</v>
      </c>
      <c r="D5270" s="2" t="s">
        <v>10</v>
      </c>
      <c r="E5270" s="2" t="s">
        <v>16</v>
      </c>
      <c r="F5270" s="2">
        <v>1</v>
      </c>
      <c r="G5270" s="2" t="s">
        <v>17</v>
      </c>
    </row>
    <row r="5271" spans="1:7" x14ac:dyDescent="0.2">
      <c r="A5271" s="2" t="s">
        <v>6608</v>
      </c>
      <c r="B5271" s="2" t="s">
        <v>6609</v>
      </c>
      <c r="C5271" s="2" t="s">
        <v>6610</v>
      </c>
      <c r="D5271" s="2" t="s">
        <v>64</v>
      </c>
      <c r="E5271" s="2" t="s">
        <v>16</v>
      </c>
      <c r="F5271" s="2">
        <v>1</v>
      </c>
      <c r="G5271" s="2" t="s">
        <v>17</v>
      </c>
    </row>
    <row r="5272" spans="1:7" x14ac:dyDescent="0.2">
      <c r="A5272" s="2" t="s">
        <v>6608</v>
      </c>
      <c r="B5272" s="2" t="s">
        <v>6611</v>
      </c>
      <c r="C5272" s="2" t="s">
        <v>6610</v>
      </c>
      <c r="D5272" s="2" t="s">
        <v>64</v>
      </c>
      <c r="E5272" s="2" t="s">
        <v>16</v>
      </c>
      <c r="F5272" s="2">
        <v>1</v>
      </c>
      <c r="G5272" s="2" t="s">
        <v>17</v>
      </c>
    </row>
    <row r="5273" spans="1:7" x14ac:dyDescent="0.2">
      <c r="A5273" s="2" t="s">
        <v>6612</v>
      </c>
      <c r="B5273" s="2" t="s">
        <v>6613</v>
      </c>
      <c r="C5273" s="2" t="s">
        <v>6614</v>
      </c>
      <c r="D5273" s="2" t="s">
        <v>10</v>
      </c>
      <c r="E5273" s="2" t="s">
        <v>11</v>
      </c>
      <c r="F5273" s="2">
        <v>2</v>
      </c>
      <c r="G5273" s="2" t="s">
        <v>17</v>
      </c>
    </row>
    <row r="5274" spans="1:7" x14ac:dyDescent="0.2">
      <c r="A5274" s="2" t="s">
        <v>6612</v>
      </c>
      <c r="B5274" s="2" t="s">
        <v>6615</v>
      </c>
      <c r="C5274" s="2" t="s">
        <v>6614</v>
      </c>
      <c r="D5274" s="2" t="s">
        <v>10</v>
      </c>
      <c r="E5274" s="2" t="s">
        <v>11</v>
      </c>
      <c r="F5274" s="2">
        <v>2</v>
      </c>
      <c r="G5274" s="2" t="s">
        <v>17</v>
      </c>
    </row>
    <row r="5275" spans="1:7" x14ac:dyDescent="0.2">
      <c r="A5275" s="2" t="s">
        <v>6616</v>
      </c>
      <c r="B5275" s="2" t="s">
        <v>6617</v>
      </c>
      <c r="C5275" s="2" t="s">
        <v>6618</v>
      </c>
      <c r="D5275" s="2" t="s">
        <v>10</v>
      </c>
      <c r="E5275" s="2" t="s">
        <v>11</v>
      </c>
      <c r="F5275" s="2">
        <v>2</v>
      </c>
      <c r="G5275" s="2" t="s">
        <v>17</v>
      </c>
    </row>
    <row r="5276" spans="1:7" x14ac:dyDescent="0.2">
      <c r="A5276" s="2" t="s">
        <v>6619</v>
      </c>
      <c r="B5276" s="2" t="s">
        <v>6620</v>
      </c>
      <c r="C5276" s="2" t="s">
        <v>6621</v>
      </c>
      <c r="D5276" s="2" t="s">
        <v>10</v>
      </c>
      <c r="E5276" s="2" t="s">
        <v>11</v>
      </c>
      <c r="F5276" s="2">
        <v>2</v>
      </c>
      <c r="G5276" s="2" t="s">
        <v>12</v>
      </c>
    </row>
    <row r="5277" spans="1:7" x14ac:dyDescent="0.2">
      <c r="A5277" s="2" t="s">
        <v>6619</v>
      </c>
      <c r="B5277" s="2" t="s">
        <v>6622</v>
      </c>
      <c r="C5277" s="2" t="s">
        <v>6623</v>
      </c>
      <c r="D5277" s="2" t="s">
        <v>10</v>
      </c>
      <c r="E5277" s="2" t="s">
        <v>16</v>
      </c>
      <c r="F5277" s="2">
        <v>1</v>
      </c>
      <c r="G5277" s="2" t="s">
        <v>17</v>
      </c>
    </row>
    <row r="5278" spans="1:7" x14ac:dyDescent="0.2">
      <c r="A5278" s="2" t="s">
        <v>6619</v>
      </c>
      <c r="B5278" s="2" t="s">
        <v>6624</v>
      </c>
      <c r="C5278" s="2" t="s">
        <v>6623</v>
      </c>
      <c r="D5278" s="2" t="s">
        <v>10</v>
      </c>
      <c r="E5278" s="2" t="s">
        <v>16</v>
      </c>
      <c r="F5278" s="2">
        <v>1</v>
      </c>
      <c r="G5278" s="2" t="s">
        <v>17</v>
      </c>
    </row>
    <row r="5279" spans="1:7" x14ac:dyDescent="0.2">
      <c r="A5279" s="2" t="s">
        <v>6619</v>
      </c>
      <c r="B5279" s="2" t="s">
        <v>6625</v>
      </c>
      <c r="C5279" s="2" t="s">
        <v>6626</v>
      </c>
      <c r="D5279" s="2" t="s">
        <v>10</v>
      </c>
      <c r="E5279" s="2" t="s">
        <v>11</v>
      </c>
      <c r="F5279" s="2">
        <v>1</v>
      </c>
      <c r="G5279" s="2" t="s">
        <v>17</v>
      </c>
    </row>
    <row r="5280" spans="1:7" x14ac:dyDescent="0.2">
      <c r="A5280" s="2" t="s">
        <v>6619</v>
      </c>
      <c r="B5280" s="2" t="s">
        <v>6627</v>
      </c>
      <c r="C5280" s="2" t="s">
        <v>6626</v>
      </c>
      <c r="D5280" s="2" t="s">
        <v>10</v>
      </c>
      <c r="E5280" s="2" t="s">
        <v>11</v>
      </c>
      <c r="F5280" s="2">
        <v>1</v>
      </c>
      <c r="G5280" s="2" t="s">
        <v>17</v>
      </c>
    </row>
    <row r="5281" spans="1:7" x14ac:dyDescent="0.2">
      <c r="A5281" s="2" t="s">
        <v>6619</v>
      </c>
      <c r="B5281" s="2" t="s">
        <v>6628</v>
      </c>
      <c r="C5281" s="2" t="s">
        <v>6629</v>
      </c>
      <c r="D5281" s="2" t="s">
        <v>10</v>
      </c>
      <c r="E5281" s="2" t="s">
        <v>16</v>
      </c>
      <c r="F5281" s="2">
        <v>1</v>
      </c>
      <c r="G5281" s="2" t="s">
        <v>17</v>
      </c>
    </row>
    <row r="5282" spans="1:7" x14ac:dyDescent="0.2">
      <c r="A5282" s="2" t="s">
        <v>6619</v>
      </c>
      <c r="B5282" s="2" t="s">
        <v>6630</v>
      </c>
      <c r="C5282" s="2" t="s">
        <v>6621</v>
      </c>
      <c r="D5282" s="2" t="s">
        <v>10</v>
      </c>
      <c r="E5282" s="2" t="s">
        <v>11</v>
      </c>
      <c r="F5282" s="2">
        <v>2</v>
      </c>
      <c r="G5282" s="2" t="s">
        <v>12</v>
      </c>
    </row>
    <row r="5283" spans="1:7" x14ac:dyDescent="0.2">
      <c r="A5283" s="2" t="s">
        <v>6619</v>
      </c>
      <c r="B5283" s="2" t="s">
        <v>6631</v>
      </c>
      <c r="C5283" s="2" t="s">
        <v>6626</v>
      </c>
      <c r="D5283" s="2" t="s">
        <v>10</v>
      </c>
      <c r="E5283" s="2" t="s">
        <v>11</v>
      </c>
      <c r="F5283" s="2">
        <v>1</v>
      </c>
      <c r="G5283" s="2" t="s">
        <v>17</v>
      </c>
    </row>
    <row r="5284" spans="1:7" x14ac:dyDescent="0.2">
      <c r="A5284" s="2" t="s">
        <v>6619</v>
      </c>
      <c r="B5284" s="2" t="s">
        <v>6632</v>
      </c>
      <c r="C5284" s="2" t="s">
        <v>6633</v>
      </c>
      <c r="D5284" s="2" t="s">
        <v>10</v>
      </c>
      <c r="E5284" s="2" t="s">
        <v>11</v>
      </c>
      <c r="F5284" s="2">
        <v>2</v>
      </c>
      <c r="G5284" s="2" t="s">
        <v>12</v>
      </c>
    </row>
    <row r="5285" spans="1:7" x14ac:dyDescent="0.2">
      <c r="A5285" s="2" t="s">
        <v>6619</v>
      </c>
      <c r="B5285" s="2" t="s">
        <v>6634</v>
      </c>
      <c r="C5285" s="2" t="s">
        <v>6633</v>
      </c>
      <c r="D5285" s="2" t="s">
        <v>10</v>
      </c>
      <c r="E5285" s="2" t="s">
        <v>11</v>
      </c>
      <c r="F5285" s="2">
        <v>2</v>
      </c>
      <c r="G5285" s="2" t="s">
        <v>12</v>
      </c>
    </row>
    <row r="5286" spans="1:7" x14ac:dyDescent="0.2">
      <c r="A5286" s="2" t="s">
        <v>6635</v>
      </c>
      <c r="B5286" s="2" t="s">
        <v>2847</v>
      </c>
      <c r="C5286" s="2" t="s">
        <v>2848</v>
      </c>
      <c r="D5286" s="2" t="s">
        <v>56</v>
      </c>
      <c r="E5286" s="2" t="s">
        <v>52</v>
      </c>
      <c r="F5286" s="2">
        <v>1</v>
      </c>
      <c r="G5286" s="2" t="s">
        <v>17</v>
      </c>
    </row>
    <row r="5287" spans="1:7" x14ac:dyDescent="0.2">
      <c r="A5287" s="2" t="s">
        <v>6636</v>
      </c>
      <c r="B5287" s="2" t="s">
        <v>6637</v>
      </c>
      <c r="C5287" s="2" t="s">
        <v>6638</v>
      </c>
      <c r="D5287" s="2" t="s">
        <v>10</v>
      </c>
      <c r="E5287" s="2" t="s">
        <v>16</v>
      </c>
      <c r="F5287" s="2">
        <v>1</v>
      </c>
      <c r="G5287" s="2" t="s">
        <v>17</v>
      </c>
    </row>
    <row r="5288" spans="1:7" x14ac:dyDescent="0.2">
      <c r="A5288" s="2" t="s">
        <v>6639</v>
      </c>
      <c r="B5288" s="2" t="s">
        <v>6640</v>
      </c>
      <c r="C5288" s="2" t="s">
        <v>6641</v>
      </c>
      <c r="D5288" s="2" t="s">
        <v>10</v>
      </c>
      <c r="E5288" s="2" t="s">
        <v>16</v>
      </c>
      <c r="F5288" s="2">
        <v>1</v>
      </c>
      <c r="G5288" s="2" t="s">
        <v>17</v>
      </c>
    </row>
    <row r="5289" spans="1:7" x14ac:dyDescent="0.2">
      <c r="A5289" s="2" t="s">
        <v>6639</v>
      </c>
      <c r="B5289" s="2" t="s">
        <v>6642</v>
      </c>
      <c r="C5289" s="2" t="s">
        <v>6641</v>
      </c>
      <c r="D5289" s="2" t="s">
        <v>10</v>
      </c>
      <c r="E5289" s="2" t="s">
        <v>16</v>
      </c>
      <c r="F5289" s="2">
        <v>1</v>
      </c>
      <c r="G5289" s="2" t="s">
        <v>17</v>
      </c>
    </row>
    <row r="5290" spans="1:7" x14ac:dyDescent="0.2">
      <c r="A5290" s="2" t="s">
        <v>6639</v>
      </c>
      <c r="B5290" s="2" t="s">
        <v>6643</v>
      </c>
      <c r="C5290" s="2" t="s">
        <v>6641</v>
      </c>
      <c r="D5290" s="2" t="s">
        <v>10</v>
      </c>
      <c r="E5290" s="2" t="s">
        <v>16</v>
      </c>
      <c r="F5290" s="2">
        <v>1</v>
      </c>
      <c r="G5290" s="2" t="s">
        <v>17</v>
      </c>
    </row>
    <row r="5291" spans="1:7" x14ac:dyDescent="0.2">
      <c r="A5291" s="2" t="s">
        <v>6639</v>
      </c>
      <c r="B5291" s="2" t="s">
        <v>6644</v>
      </c>
      <c r="C5291" s="2" t="s">
        <v>6641</v>
      </c>
      <c r="D5291" s="2" t="s">
        <v>10</v>
      </c>
      <c r="E5291" s="2" t="s">
        <v>16</v>
      </c>
      <c r="F5291" s="2">
        <v>1</v>
      </c>
      <c r="G5291" s="2" t="s">
        <v>17</v>
      </c>
    </row>
    <row r="5292" spans="1:7" x14ac:dyDescent="0.2">
      <c r="A5292" s="2" t="s">
        <v>6645</v>
      </c>
      <c r="B5292" s="2">
        <v>250</v>
      </c>
      <c r="C5292" s="2" t="s">
        <v>6646</v>
      </c>
      <c r="D5292" s="2" t="s">
        <v>10</v>
      </c>
      <c r="E5292" s="2" t="s">
        <v>16</v>
      </c>
      <c r="F5292" s="2">
        <v>2</v>
      </c>
      <c r="G5292" s="2" t="s">
        <v>12</v>
      </c>
    </row>
    <row r="5293" spans="1:7" x14ac:dyDescent="0.2">
      <c r="A5293" s="2" t="s">
        <v>6645</v>
      </c>
      <c r="B5293" s="2">
        <v>350</v>
      </c>
      <c r="C5293" s="2" t="s">
        <v>6646</v>
      </c>
      <c r="D5293" s="2" t="s">
        <v>10</v>
      </c>
      <c r="E5293" s="2" t="s">
        <v>16</v>
      </c>
      <c r="F5293" s="2">
        <v>2</v>
      </c>
      <c r="G5293" s="2" t="s">
        <v>12</v>
      </c>
    </row>
    <row r="5294" spans="1:7" x14ac:dyDescent="0.2">
      <c r="A5294" s="2" t="s">
        <v>6645</v>
      </c>
      <c r="B5294" s="2">
        <v>500</v>
      </c>
      <c r="C5294" s="2" t="s">
        <v>6647</v>
      </c>
      <c r="D5294" s="2" t="s">
        <v>10</v>
      </c>
      <c r="E5294" s="2" t="s">
        <v>16</v>
      </c>
      <c r="F5294" s="2">
        <v>2</v>
      </c>
      <c r="G5294" s="2" t="s">
        <v>12</v>
      </c>
    </row>
    <row r="5295" spans="1:7" x14ac:dyDescent="0.2">
      <c r="A5295" s="2" t="s">
        <v>6648</v>
      </c>
      <c r="B5295" s="2" t="s">
        <v>6649</v>
      </c>
      <c r="C5295" s="2" t="s">
        <v>6650</v>
      </c>
      <c r="D5295" s="2" t="s">
        <v>10</v>
      </c>
      <c r="E5295" s="2" t="s">
        <v>16</v>
      </c>
      <c r="F5295" s="2">
        <v>1</v>
      </c>
      <c r="G5295" s="2" t="s">
        <v>17</v>
      </c>
    </row>
    <row r="5296" spans="1:7" x14ac:dyDescent="0.2">
      <c r="A5296" s="2" t="s">
        <v>6648</v>
      </c>
      <c r="B5296" s="2" t="s">
        <v>6651</v>
      </c>
      <c r="C5296" s="2" t="s">
        <v>6650</v>
      </c>
      <c r="D5296" s="2" t="s">
        <v>10</v>
      </c>
      <c r="E5296" s="2" t="s">
        <v>16</v>
      </c>
      <c r="F5296" s="2">
        <v>1</v>
      </c>
      <c r="G5296" s="2" t="s">
        <v>17</v>
      </c>
    </row>
    <row r="5297" spans="1:7" x14ac:dyDescent="0.2">
      <c r="A5297" s="2" t="s">
        <v>6648</v>
      </c>
      <c r="B5297" s="2" t="s">
        <v>6652</v>
      </c>
      <c r="C5297" s="2" t="s">
        <v>6650</v>
      </c>
      <c r="D5297" s="2" t="s">
        <v>10</v>
      </c>
      <c r="E5297" s="2" t="s">
        <v>16</v>
      </c>
      <c r="F5297" s="2">
        <v>1</v>
      </c>
      <c r="G5297" s="2" t="s">
        <v>17</v>
      </c>
    </row>
    <row r="5298" spans="1:7" x14ac:dyDescent="0.2">
      <c r="A5298" s="2" t="s">
        <v>6648</v>
      </c>
      <c r="B5298" s="2" t="s">
        <v>6653</v>
      </c>
      <c r="C5298" s="2" t="s">
        <v>6650</v>
      </c>
      <c r="D5298" s="2" t="s">
        <v>10</v>
      </c>
      <c r="E5298" s="2" t="s">
        <v>16</v>
      </c>
      <c r="F5298" s="2">
        <v>1</v>
      </c>
      <c r="G5298" s="2" t="s">
        <v>17</v>
      </c>
    </row>
    <row r="5299" spans="1:7" x14ac:dyDescent="0.2">
      <c r="A5299" s="2" t="s">
        <v>6648</v>
      </c>
      <c r="B5299" s="2" t="s">
        <v>6654</v>
      </c>
      <c r="C5299" s="2" t="s">
        <v>6655</v>
      </c>
      <c r="D5299" s="2" t="s">
        <v>10</v>
      </c>
      <c r="E5299" s="2" t="s">
        <v>16</v>
      </c>
      <c r="F5299" s="2">
        <v>1</v>
      </c>
      <c r="G5299" s="2" t="s">
        <v>17</v>
      </c>
    </row>
    <row r="5300" spans="1:7" x14ac:dyDescent="0.2">
      <c r="A5300" s="2" t="s">
        <v>6648</v>
      </c>
      <c r="B5300" s="2" t="s">
        <v>6656</v>
      </c>
      <c r="C5300" s="2" t="s">
        <v>6657</v>
      </c>
      <c r="D5300" s="2" t="s">
        <v>10</v>
      </c>
      <c r="E5300" s="2" t="s">
        <v>16</v>
      </c>
      <c r="F5300" s="2">
        <v>1</v>
      </c>
      <c r="G5300" s="2" t="s">
        <v>17</v>
      </c>
    </row>
    <row r="5301" spans="1:7" x14ac:dyDescent="0.2">
      <c r="A5301" s="2" t="s">
        <v>6648</v>
      </c>
      <c r="B5301" s="2" t="s">
        <v>6658</v>
      </c>
      <c r="C5301" s="2" t="s">
        <v>6657</v>
      </c>
      <c r="D5301" s="2" t="s">
        <v>10</v>
      </c>
      <c r="E5301" s="2" t="s">
        <v>16</v>
      </c>
      <c r="F5301" s="2">
        <v>1</v>
      </c>
      <c r="G5301" s="2" t="s">
        <v>17</v>
      </c>
    </row>
    <row r="5302" spans="1:7" x14ac:dyDescent="0.2">
      <c r="A5302" s="2" t="s">
        <v>6648</v>
      </c>
      <c r="B5302" s="2" t="s">
        <v>6659</v>
      </c>
      <c r="C5302" s="2" t="s">
        <v>6660</v>
      </c>
      <c r="D5302" s="2" t="s">
        <v>10</v>
      </c>
      <c r="E5302" s="2" t="s">
        <v>16</v>
      </c>
      <c r="F5302" s="2">
        <v>1</v>
      </c>
      <c r="G5302" s="2" t="s">
        <v>17</v>
      </c>
    </row>
    <row r="5303" spans="1:7" x14ac:dyDescent="0.2">
      <c r="A5303" s="2" t="s">
        <v>6648</v>
      </c>
      <c r="B5303" s="2" t="s">
        <v>6661</v>
      </c>
      <c r="C5303" s="2" t="s">
        <v>6662</v>
      </c>
      <c r="D5303" s="2" t="s">
        <v>10</v>
      </c>
      <c r="E5303" s="2" t="s">
        <v>16</v>
      </c>
      <c r="F5303" s="2">
        <v>1</v>
      </c>
      <c r="G5303" s="2" t="s">
        <v>17</v>
      </c>
    </row>
    <row r="5304" spans="1:7" x14ac:dyDescent="0.2">
      <c r="A5304" s="2" t="s">
        <v>6648</v>
      </c>
      <c r="B5304" s="2" t="s">
        <v>6663</v>
      </c>
      <c r="C5304" s="2" t="s">
        <v>6664</v>
      </c>
      <c r="D5304" s="2" t="s">
        <v>10</v>
      </c>
      <c r="E5304" s="2" t="s">
        <v>16</v>
      </c>
      <c r="F5304" s="2">
        <v>1</v>
      </c>
      <c r="G5304" s="2" t="s">
        <v>17</v>
      </c>
    </row>
    <row r="5305" spans="1:7" x14ac:dyDescent="0.2">
      <c r="A5305" s="2" t="s">
        <v>6665</v>
      </c>
      <c r="B5305" s="2" t="s">
        <v>6666</v>
      </c>
      <c r="C5305" s="2" t="s">
        <v>3068</v>
      </c>
      <c r="D5305" s="2" t="s">
        <v>56</v>
      </c>
      <c r="E5305" s="2" t="s">
        <v>16</v>
      </c>
      <c r="F5305" s="2">
        <v>1</v>
      </c>
      <c r="G5305" s="2" t="s">
        <v>17</v>
      </c>
    </row>
    <row r="5306" spans="1:7" x14ac:dyDescent="0.2">
      <c r="A5306" s="2" t="s">
        <v>6665</v>
      </c>
      <c r="B5306" s="2">
        <v>280</v>
      </c>
      <c r="C5306" s="2" t="s">
        <v>3068</v>
      </c>
      <c r="D5306" s="2" t="s">
        <v>56</v>
      </c>
      <c r="E5306" s="2" t="s">
        <v>16</v>
      </c>
      <c r="F5306" s="2">
        <v>1</v>
      </c>
      <c r="G5306" s="2" t="s">
        <v>17</v>
      </c>
    </row>
    <row r="5307" spans="1:7" x14ac:dyDescent="0.2">
      <c r="A5307" s="2" t="s">
        <v>6665</v>
      </c>
      <c r="B5307" s="2">
        <v>300</v>
      </c>
      <c r="C5307" s="2" t="s">
        <v>3068</v>
      </c>
      <c r="D5307" s="2" t="s">
        <v>56</v>
      </c>
      <c r="E5307" s="2" t="s">
        <v>16</v>
      </c>
      <c r="F5307" s="2">
        <v>1</v>
      </c>
      <c r="G5307" s="2" t="s">
        <v>17</v>
      </c>
    </row>
    <row r="5308" spans="1:7" x14ac:dyDescent="0.2">
      <c r="A5308" s="2" t="s">
        <v>6665</v>
      </c>
      <c r="B5308" s="2" t="s">
        <v>6667</v>
      </c>
      <c r="C5308" s="2" t="s">
        <v>3068</v>
      </c>
      <c r="D5308" s="2" t="s">
        <v>56</v>
      </c>
      <c r="E5308" s="2" t="s">
        <v>16</v>
      </c>
      <c r="F5308" s="2">
        <v>1</v>
      </c>
      <c r="G5308" s="2" t="s">
        <v>17</v>
      </c>
    </row>
    <row r="5309" spans="1:7" x14ac:dyDescent="0.2">
      <c r="A5309" s="2" t="s">
        <v>6665</v>
      </c>
      <c r="B5309" s="2">
        <v>369</v>
      </c>
      <c r="C5309" s="2" t="s">
        <v>828</v>
      </c>
      <c r="D5309" s="2" t="s">
        <v>56</v>
      </c>
      <c r="E5309" s="2" t="s">
        <v>52</v>
      </c>
      <c r="F5309" s="2">
        <v>1</v>
      </c>
      <c r="G5309" s="2" t="s">
        <v>17</v>
      </c>
    </row>
    <row r="5310" spans="1:7" x14ac:dyDescent="0.2">
      <c r="A5310" s="2" t="s">
        <v>6665</v>
      </c>
      <c r="B5310" s="2">
        <v>500</v>
      </c>
      <c r="C5310" s="2" t="s">
        <v>828</v>
      </c>
      <c r="D5310" s="2" t="s">
        <v>56</v>
      </c>
      <c r="E5310" s="2" t="s">
        <v>52</v>
      </c>
      <c r="F5310" s="2">
        <v>1</v>
      </c>
      <c r="G5310" s="2" t="s">
        <v>17</v>
      </c>
    </row>
    <row r="5311" spans="1:7" x14ac:dyDescent="0.2">
      <c r="A5311" s="2" t="s">
        <v>6665</v>
      </c>
      <c r="B5311" s="2" t="s">
        <v>6668</v>
      </c>
      <c r="C5311" s="2" t="s">
        <v>828</v>
      </c>
      <c r="D5311" s="2" t="s">
        <v>56</v>
      </c>
      <c r="E5311" s="2" t="s">
        <v>52</v>
      </c>
      <c r="F5311" s="2">
        <v>1</v>
      </c>
      <c r="G5311" s="2" t="s">
        <v>17</v>
      </c>
    </row>
    <row r="5312" spans="1:7" x14ac:dyDescent="0.2">
      <c r="A5312" s="2" t="s">
        <v>6665</v>
      </c>
      <c r="B5312" s="2" t="s">
        <v>6669</v>
      </c>
      <c r="C5312" s="2" t="s">
        <v>828</v>
      </c>
      <c r="D5312" s="2" t="s">
        <v>56</v>
      </c>
      <c r="E5312" s="2" t="s">
        <v>52</v>
      </c>
      <c r="F5312" s="2">
        <v>1</v>
      </c>
      <c r="G5312" s="2" t="s">
        <v>17</v>
      </c>
    </row>
    <row r="5313" spans="1:7" x14ac:dyDescent="0.2">
      <c r="A5313" s="2" t="s">
        <v>6665</v>
      </c>
      <c r="B5313" s="2" t="s">
        <v>6670</v>
      </c>
      <c r="C5313" s="2" t="s">
        <v>828</v>
      </c>
      <c r="D5313" s="2" t="s">
        <v>56</v>
      </c>
      <c r="E5313" s="2" t="s">
        <v>52</v>
      </c>
      <c r="F5313" s="2">
        <v>1</v>
      </c>
      <c r="G5313" s="2" t="s">
        <v>17</v>
      </c>
    </row>
    <row r="5314" spans="1:7" x14ac:dyDescent="0.2">
      <c r="A5314" s="2" t="s">
        <v>6665</v>
      </c>
      <c r="B5314" s="2" t="s">
        <v>6671</v>
      </c>
      <c r="C5314" s="2" t="s">
        <v>828</v>
      </c>
      <c r="D5314" s="2" t="s">
        <v>56</v>
      </c>
      <c r="E5314" s="2" t="s">
        <v>52</v>
      </c>
      <c r="F5314" s="2">
        <v>1</v>
      </c>
      <c r="G5314" s="2" t="s">
        <v>17</v>
      </c>
    </row>
    <row r="5315" spans="1:7" x14ac:dyDescent="0.2">
      <c r="A5315" s="2" t="s">
        <v>6665</v>
      </c>
      <c r="B5315" s="2" t="s">
        <v>6672</v>
      </c>
      <c r="C5315" s="2" t="s">
        <v>2752</v>
      </c>
      <c r="D5315" s="2" t="s">
        <v>56</v>
      </c>
      <c r="E5315" s="2" t="s">
        <v>52</v>
      </c>
      <c r="F5315" s="2">
        <v>2</v>
      </c>
      <c r="G5315" s="2" t="s">
        <v>12</v>
      </c>
    </row>
    <row r="5316" spans="1:7" x14ac:dyDescent="0.2">
      <c r="A5316" s="2" t="s">
        <v>6665</v>
      </c>
      <c r="B5316" s="2" t="s">
        <v>6673</v>
      </c>
      <c r="C5316" s="2" t="s">
        <v>2752</v>
      </c>
      <c r="D5316" s="2" t="s">
        <v>56</v>
      </c>
      <c r="E5316" s="2" t="s">
        <v>52</v>
      </c>
      <c r="F5316" s="2">
        <v>2</v>
      </c>
      <c r="G5316" s="2" t="s">
        <v>12</v>
      </c>
    </row>
    <row r="5317" spans="1:7" x14ac:dyDescent="0.2">
      <c r="A5317" s="2" t="s">
        <v>6665</v>
      </c>
      <c r="B5317" s="2" t="s">
        <v>6674</v>
      </c>
      <c r="C5317" s="2" t="s">
        <v>828</v>
      </c>
      <c r="D5317" s="2" t="s">
        <v>56</v>
      </c>
      <c r="E5317" s="2" t="s">
        <v>52</v>
      </c>
      <c r="F5317" s="2">
        <v>1</v>
      </c>
      <c r="G5317" s="2" t="s">
        <v>17</v>
      </c>
    </row>
    <row r="5318" spans="1:7" x14ac:dyDescent="0.2">
      <c r="A5318" s="2" t="s">
        <v>6665</v>
      </c>
      <c r="B5318" s="2" t="s">
        <v>488</v>
      </c>
      <c r="C5318" s="2" t="s">
        <v>828</v>
      </c>
      <c r="D5318" s="2" t="s">
        <v>56</v>
      </c>
      <c r="E5318" s="2" t="s">
        <v>52</v>
      </c>
      <c r="F5318" s="2">
        <v>1</v>
      </c>
      <c r="G5318" s="2" t="s">
        <v>17</v>
      </c>
    </row>
    <row r="5319" spans="1:7" x14ac:dyDescent="0.2">
      <c r="A5319" s="2" t="s">
        <v>6665</v>
      </c>
      <c r="B5319" s="2" t="s">
        <v>6675</v>
      </c>
      <c r="C5319" s="2" t="s">
        <v>3068</v>
      </c>
      <c r="D5319" s="2" t="s">
        <v>56</v>
      </c>
      <c r="E5319" s="2" t="s">
        <v>16</v>
      </c>
      <c r="F5319" s="2">
        <v>1</v>
      </c>
      <c r="G5319" s="2" t="s">
        <v>17</v>
      </c>
    </row>
    <row r="5320" spans="1:7" x14ac:dyDescent="0.2">
      <c r="A5320" s="2" t="s">
        <v>6665</v>
      </c>
      <c r="B5320" s="2" t="s">
        <v>6676</v>
      </c>
      <c r="C5320" s="2" t="s">
        <v>2752</v>
      </c>
      <c r="D5320" s="2" t="s">
        <v>56</v>
      </c>
      <c r="E5320" s="2" t="s">
        <v>52</v>
      </c>
      <c r="F5320" s="2">
        <v>2</v>
      </c>
      <c r="G5320" s="2" t="s">
        <v>12</v>
      </c>
    </row>
    <row r="5321" spans="1:7" x14ac:dyDescent="0.2">
      <c r="A5321" s="2" t="s">
        <v>6665</v>
      </c>
      <c r="B5321" s="2" t="s">
        <v>6677</v>
      </c>
      <c r="C5321" s="2" t="s">
        <v>828</v>
      </c>
      <c r="D5321" s="2" t="s">
        <v>56</v>
      </c>
      <c r="E5321" s="2" t="s">
        <v>52</v>
      </c>
      <c r="F5321" s="2">
        <v>1</v>
      </c>
      <c r="G5321" s="2" t="s">
        <v>17</v>
      </c>
    </row>
    <row r="5322" spans="1:7" x14ac:dyDescent="0.2">
      <c r="A5322" s="2" t="s">
        <v>6665</v>
      </c>
      <c r="B5322" s="2" t="s">
        <v>6678</v>
      </c>
      <c r="C5322" s="2" t="s">
        <v>828</v>
      </c>
      <c r="D5322" s="2" t="s">
        <v>56</v>
      </c>
      <c r="E5322" s="2" t="s">
        <v>52</v>
      </c>
      <c r="F5322" s="2">
        <v>1</v>
      </c>
      <c r="G5322" s="2" t="s">
        <v>17</v>
      </c>
    </row>
    <row r="5323" spans="1:7" x14ac:dyDescent="0.2">
      <c r="A5323" s="2" t="s">
        <v>6665</v>
      </c>
      <c r="B5323" s="2" t="s">
        <v>6679</v>
      </c>
      <c r="C5323" s="2" t="s">
        <v>828</v>
      </c>
      <c r="D5323" s="2" t="s">
        <v>56</v>
      </c>
      <c r="E5323" s="2" t="s">
        <v>52</v>
      </c>
      <c r="F5323" s="2">
        <v>1</v>
      </c>
      <c r="G5323" s="2" t="s">
        <v>17</v>
      </c>
    </row>
    <row r="5324" spans="1:7" x14ac:dyDescent="0.2">
      <c r="A5324" s="2" t="s">
        <v>6665</v>
      </c>
      <c r="B5324" s="2" t="s">
        <v>6680</v>
      </c>
      <c r="C5324" s="2" t="s">
        <v>828</v>
      </c>
      <c r="D5324" s="2" t="s">
        <v>56</v>
      </c>
      <c r="E5324" s="2" t="s">
        <v>52</v>
      </c>
      <c r="F5324" s="2">
        <v>1</v>
      </c>
      <c r="G5324" s="2" t="s">
        <v>17</v>
      </c>
    </row>
    <row r="5325" spans="1:7" x14ac:dyDescent="0.2">
      <c r="A5325" s="2" t="s">
        <v>6665</v>
      </c>
      <c r="B5325" s="2" t="s">
        <v>6681</v>
      </c>
      <c r="C5325" s="2" t="s">
        <v>828</v>
      </c>
      <c r="D5325" s="2" t="s">
        <v>56</v>
      </c>
      <c r="E5325" s="2" t="s">
        <v>52</v>
      </c>
      <c r="F5325" s="2">
        <v>1</v>
      </c>
      <c r="G5325" s="2" t="s">
        <v>17</v>
      </c>
    </row>
    <row r="5326" spans="1:7" x14ac:dyDescent="0.2">
      <c r="A5326" s="2" t="s">
        <v>6665</v>
      </c>
      <c r="B5326" s="2" t="s">
        <v>6682</v>
      </c>
      <c r="C5326" s="2" t="s">
        <v>3068</v>
      </c>
      <c r="D5326" s="2" t="s">
        <v>56</v>
      </c>
      <c r="E5326" s="2" t="s">
        <v>16</v>
      </c>
      <c r="F5326" s="2">
        <v>1</v>
      </c>
      <c r="G5326" s="2" t="s">
        <v>17</v>
      </c>
    </row>
    <row r="5327" spans="1:7" x14ac:dyDescent="0.2">
      <c r="A5327" s="2" t="s">
        <v>6665</v>
      </c>
      <c r="B5327" s="2" t="s">
        <v>6683</v>
      </c>
      <c r="C5327" s="2" t="s">
        <v>3068</v>
      </c>
      <c r="D5327" s="2" t="s">
        <v>56</v>
      </c>
      <c r="E5327" s="2" t="s">
        <v>16</v>
      </c>
      <c r="F5327" s="2">
        <v>1</v>
      </c>
      <c r="G5327" s="2" t="s">
        <v>17</v>
      </c>
    </row>
    <row r="5328" spans="1:7" x14ac:dyDescent="0.2">
      <c r="A5328" s="2" t="s">
        <v>6665</v>
      </c>
      <c r="B5328" s="2" t="s">
        <v>6684</v>
      </c>
      <c r="C5328" s="2" t="s">
        <v>3068</v>
      </c>
      <c r="D5328" s="2" t="s">
        <v>56</v>
      </c>
      <c r="E5328" s="2" t="s">
        <v>16</v>
      </c>
      <c r="F5328" s="2">
        <v>1</v>
      </c>
      <c r="G5328" s="2" t="s">
        <v>17</v>
      </c>
    </row>
    <row r="5329" spans="1:7" x14ac:dyDescent="0.2">
      <c r="A5329" s="2" t="s">
        <v>6665</v>
      </c>
      <c r="B5329" s="2" t="s">
        <v>6685</v>
      </c>
      <c r="C5329" s="2" t="s">
        <v>3068</v>
      </c>
      <c r="D5329" s="2" t="s">
        <v>56</v>
      </c>
      <c r="E5329" s="2" t="s">
        <v>16</v>
      </c>
      <c r="F5329" s="2">
        <v>1</v>
      </c>
      <c r="G5329" s="2" t="s">
        <v>17</v>
      </c>
    </row>
    <row r="5330" spans="1:7" x14ac:dyDescent="0.2">
      <c r="A5330" s="2" t="s">
        <v>6665</v>
      </c>
      <c r="B5330" s="2" t="s">
        <v>6686</v>
      </c>
      <c r="C5330" s="2" t="s">
        <v>2752</v>
      </c>
      <c r="D5330" s="2" t="s">
        <v>56</v>
      </c>
      <c r="E5330" s="2" t="s">
        <v>52</v>
      </c>
      <c r="F5330" s="2">
        <v>2</v>
      </c>
      <c r="G5330" s="2" t="s">
        <v>12</v>
      </c>
    </row>
    <row r="5331" spans="1:7" x14ac:dyDescent="0.2">
      <c r="A5331" s="2" t="s">
        <v>6665</v>
      </c>
      <c r="B5331" s="2">
        <v>200</v>
      </c>
      <c r="C5331" s="2" t="s">
        <v>3068</v>
      </c>
      <c r="D5331" s="2" t="s">
        <v>56</v>
      </c>
      <c r="E5331" s="2" t="s">
        <v>16</v>
      </c>
      <c r="F5331" s="2">
        <v>1</v>
      </c>
      <c r="G5331" s="2" t="s">
        <v>17</v>
      </c>
    </row>
    <row r="5332" spans="1:7" x14ac:dyDescent="0.2">
      <c r="A5332" s="2" t="s">
        <v>6665</v>
      </c>
      <c r="B5332" s="2">
        <v>269</v>
      </c>
      <c r="C5332" s="2" t="s">
        <v>3068</v>
      </c>
      <c r="D5332" s="2" t="s">
        <v>56</v>
      </c>
      <c r="E5332" s="2" t="s">
        <v>16</v>
      </c>
      <c r="F5332" s="2">
        <v>1</v>
      </c>
      <c r="G5332" s="2" t="s">
        <v>17</v>
      </c>
    </row>
    <row r="5333" spans="1:7" x14ac:dyDescent="0.2">
      <c r="A5333" s="2" t="s">
        <v>6687</v>
      </c>
      <c r="B5333" s="2" t="s">
        <v>6688</v>
      </c>
      <c r="C5333" s="2" t="s">
        <v>6689</v>
      </c>
      <c r="D5333" s="2" t="s">
        <v>10</v>
      </c>
      <c r="E5333" s="2" t="s">
        <v>16</v>
      </c>
      <c r="F5333" s="2">
        <v>1</v>
      </c>
      <c r="G5333" s="2" t="s">
        <v>17</v>
      </c>
    </row>
    <row r="5334" spans="1:7" x14ac:dyDescent="0.2">
      <c r="A5334" s="2" t="s">
        <v>6687</v>
      </c>
      <c r="B5334" s="2" t="s">
        <v>6690</v>
      </c>
      <c r="C5334" s="2" t="s">
        <v>6691</v>
      </c>
      <c r="D5334" s="2" t="s">
        <v>10</v>
      </c>
      <c r="E5334" s="2" t="s">
        <v>16</v>
      </c>
      <c r="F5334" s="2">
        <v>1</v>
      </c>
      <c r="G5334" s="2" t="s">
        <v>17</v>
      </c>
    </row>
    <row r="5335" spans="1:7" x14ac:dyDescent="0.2">
      <c r="A5335" s="2" t="s">
        <v>6692</v>
      </c>
      <c r="B5335" s="2" t="s">
        <v>6693</v>
      </c>
      <c r="C5335" s="2" t="s">
        <v>6694</v>
      </c>
      <c r="D5335" s="2" t="s">
        <v>10</v>
      </c>
      <c r="E5335" s="2" t="s">
        <v>16</v>
      </c>
      <c r="F5335" s="2">
        <v>1</v>
      </c>
      <c r="G5335" s="2" t="s">
        <v>17</v>
      </c>
    </row>
    <row r="5336" spans="1:7" x14ac:dyDescent="0.2">
      <c r="A5336" s="2" t="s">
        <v>6695</v>
      </c>
      <c r="B5336" s="2" t="s">
        <v>2097</v>
      </c>
      <c r="C5336" s="2" t="s">
        <v>2094</v>
      </c>
      <c r="D5336" s="2" t="s">
        <v>10</v>
      </c>
      <c r="E5336" s="2" t="s">
        <v>11</v>
      </c>
      <c r="F5336" s="2">
        <v>1</v>
      </c>
      <c r="G5336" s="2" t="s">
        <v>17</v>
      </c>
    </row>
    <row r="5337" spans="1:7" x14ac:dyDescent="0.2">
      <c r="A5337" s="2" t="s">
        <v>6695</v>
      </c>
      <c r="B5337" s="2" t="s">
        <v>6696</v>
      </c>
      <c r="C5337" s="2" t="s">
        <v>6697</v>
      </c>
      <c r="D5337" s="2" t="s">
        <v>10</v>
      </c>
      <c r="E5337" s="2" t="s">
        <v>16</v>
      </c>
      <c r="F5337" s="2">
        <v>1</v>
      </c>
      <c r="G5337" s="2" t="s">
        <v>17</v>
      </c>
    </row>
    <row r="5338" spans="1:7" x14ac:dyDescent="0.2">
      <c r="A5338" s="2" t="s">
        <v>6695</v>
      </c>
      <c r="B5338" s="2" t="s">
        <v>6698</v>
      </c>
      <c r="C5338" s="2" t="s">
        <v>6699</v>
      </c>
      <c r="D5338" s="2" t="s">
        <v>10</v>
      </c>
      <c r="E5338" s="2" t="s">
        <v>16</v>
      </c>
      <c r="F5338" s="2">
        <v>2</v>
      </c>
      <c r="G5338" s="2" t="s">
        <v>17</v>
      </c>
    </row>
    <row r="5339" spans="1:7" x14ac:dyDescent="0.2">
      <c r="A5339" s="2" t="s">
        <v>6695</v>
      </c>
      <c r="B5339" s="2" t="s">
        <v>6700</v>
      </c>
      <c r="C5339" s="2" t="s">
        <v>2094</v>
      </c>
      <c r="D5339" s="2" t="s">
        <v>10</v>
      </c>
      <c r="E5339" s="2" t="s">
        <v>11</v>
      </c>
      <c r="F5339" s="2">
        <v>1</v>
      </c>
      <c r="G5339" s="2" t="s">
        <v>17</v>
      </c>
    </row>
    <row r="5340" spans="1:7" x14ac:dyDescent="0.2">
      <c r="A5340" s="2" t="s">
        <v>6695</v>
      </c>
      <c r="B5340" s="2" t="s">
        <v>6701</v>
      </c>
      <c r="C5340" s="2" t="s">
        <v>6699</v>
      </c>
      <c r="D5340" s="2" t="s">
        <v>10</v>
      </c>
      <c r="E5340" s="2" t="s">
        <v>16</v>
      </c>
      <c r="F5340" s="2">
        <v>2</v>
      </c>
      <c r="G5340" s="2" t="s">
        <v>17</v>
      </c>
    </row>
    <row r="5341" spans="1:7" x14ac:dyDescent="0.2">
      <c r="A5341" s="2" t="s">
        <v>6695</v>
      </c>
      <c r="B5341" s="2" t="s">
        <v>6702</v>
      </c>
      <c r="C5341" s="2" t="s">
        <v>6697</v>
      </c>
      <c r="D5341" s="2" t="s">
        <v>10</v>
      </c>
      <c r="E5341" s="2" t="s">
        <v>16</v>
      </c>
      <c r="F5341" s="2">
        <v>1</v>
      </c>
      <c r="G5341" s="2" t="s">
        <v>17</v>
      </c>
    </row>
    <row r="5342" spans="1:7" x14ac:dyDescent="0.2">
      <c r="A5342" s="2" t="s">
        <v>6703</v>
      </c>
      <c r="B5342" s="2" t="s">
        <v>2097</v>
      </c>
      <c r="C5342" s="2" t="s">
        <v>2094</v>
      </c>
      <c r="D5342" s="2" t="s">
        <v>10</v>
      </c>
      <c r="E5342" s="2" t="s">
        <v>11</v>
      </c>
      <c r="F5342" s="2">
        <v>1</v>
      </c>
      <c r="G5342" s="2" t="s">
        <v>17</v>
      </c>
    </row>
    <row r="5343" spans="1:7" x14ac:dyDescent="0.2">
      <c r="A5343" s="2" t="s">
        <v>6703</v>
      </c>
      <c r="B5343" s="2" t="s">
        <v>6696</v>
      </c>
      <c r="C5343" s="2" t="s">
        <v>6697</v>
      </c>
      <c r="D5343" s="2" t="s">
        <v>10</v>
      </c>
      <c r="E5343" s="2" t="s">
        <v>16</v>
      </c>
      <c r="F5343" s="2">
        <v>1</v>
      </c>
      <c r="G5343" s="2" t="s">
        <v>17</v>
      </c>
    </row>
    <row r="5344" spans="1:7" x14ac:dyDescent="0.2">
      <c r="A5344" s="2" t="s">
        <v>6703</v>
      </c>
      <c r="B5344" s="2" t="s">
        <v>6698</v>
      </c>
      <c r="C5344" s="2" t="s">
        <v>6699</v>
      </c>
      <c r="D5344" s="2" t="s">
        <v>10</v>
      </c>
      <c r="E5344" s="2" t="s">
        <v>16</v>
      </c>
      <c r="F5344" s="2">
        <v>2</v>
      </c>
      <c r="G5344" s="2" t="s">
        <v>17</v>
      </c>
    </row>
    <row r="5345" spans="1:7" x14ac:dyDescent="0.2">
      <c r="A5345" s="2" t="s">
        <v>6703</v>
      </c>
      <c r="B5345" s="2" t="s">
        <v>6700</v>
      </c>
      <c r="C5345" s="2" t="s">
        <v>2094</v>
      </c>
      <c r="D5345" s="2" t="s">
        <v>10</v>
      </c>
      <c r="E5345" s="2" t="s">
        <v>11</v>
      </c>
      <c r="F5345" s="2">
        <v>1</v>
      </c>
      <c r="G5345" s="2" t="s">
        <v>17</v>
      </c>
    </row>
    <row r="5346" spans="1:7" x14ac:dyDescent="0.2">
      <c r="A5346" s="2" t="s">
        <v>6703</v>
      </c>
      <c r="B5346" s="2" t="s">
        <v>6701</v>
      </c>
      <c r="C5346" s="2" t="s">
        <v>6699</v>
      </c>
      <c r="D5346" s="2" t="s">
        <v>10</v>
      </c>
      <c r="E5346" s="2" t="s">
        <v>16</v>
      </c>
      <c r="F5346" s="2">
        <v>2</v>
      </c>
      <c r="G5346" s="2" t="s">
        <v>17</v>
      </c>
    </row>
    <row r="5347" spans="1:7" x14ac:dyDescent="0.2">
      <c r="A5347" s="2" t="s">
        <v>6703</v>
      </c>
      <c r="B5347" s="2" t="s">
        <v>6702</v>
      </c>
      <c r="C5347" s="2" t="s">
        <v>6697</v>
      </c>
      <c r="D5347" s="2" t="s">
        <v>10</v>
      </c>
      <c r="E5347" s="2" t="s">
        <v>16</v>
      </c>
      <c r="F5347" s="2">
        <v>1</v>
      </c>
      <c r="G5347" s="2" t="s">
        <v>17</v>
      </c>
    </row>
    <row r="5348" spans="1:7" x14ac:dyDescent="0.2">
      <c r="A5348" s="2" t="s">
        <v>6704</v>
      </c>
      <c r="B5348" s="2" t="s">
        <v>6705</v>
      </c>
      <c r="C5348" s="2" t="s">
        <v>6706</v>
      </c>
      <c r="D5348" s="2" t="s">
        <v>10</v>
      </c>
      <c r="E5348" s="2" t="s">
        <v>16</v>
      </c>
      <c r="F5348" s="2">
        <v>2</v>
      </c>
      <c r="G5348" s="2" t="s">
        <v>12</v>
      </c>
    </row>
    <row r="5349" spans="1:7" x14ac:dyDescent="0.2">
      <c r="A5349" s="2" t="s">
        <v>6707</v>
      </c>
      <c r="B5349" s="2" t="s">
        <v>2032</v>
      </c>
      <c r="C5349" s="2" t="s">
        <v>6708</v>
      </c>
      <c r="D5349" s="2" t="s">
        <v>56</v>
      </c>
      <c r="E5349" s="2" t="s">
        <v>16</v>
      </c>
      <c r="F5349" s="2">
        <v>1</v>
      </c>
      <c r="G5349" s="2" t="s">
        <v>17</v>
      </c>
    </row>
    <row r="5350" spans="1:7" x14ac:dyDescent="0.2">
      <c r="A5350" s="2" t="s">
        <v>6709</v>
      </c>
      <c r="B5350" s="2" t="s">
        <v>3929</v>
      </c>
      <c r="C5350" s="2" t="s">
        <v>28</v>
      </c>
      <c r="D5350" s="2" t="s">
        <v>29</v>
      </c>
      <c r="E5350" s="2" t="s">
        <v>16</v>
      </c>
      <c r="F5350" s="2">
        <v>2</v>
      </c>
      <c r="G5350" s="2" t="s">
        <v>17</v>
      </c>
    </row>
    <row r="5351" spans="1:7" x14ac:dyDescent="0.2">
      <c r="A5351" s="2" t="s">
        <v>6709</v>
      </c>
      <c r="B5351" s="2" t="s">
        <v>6710</v>
      </c>
      <c r="C5351" s="2" t="s">
        <v>28</v>
      </c>
      <c r="D5351" s="2" t="s">
        <v>29</v>
      </c>
      <c r="E5351" s="2" t="s">
        <v>16</v>
      </c>
      <c r="F5351" s="2">
        <v>2</v>
      </c>
      <c r="G5351" s="2" t="s">
        <v>17</v>
      </c>
    </row>
    <row r="5352" spans="1:7" x14ac:dyDescent="0.2">
      <c r="A5352" s="2" t="s">
        <v>6709</v>
      </c>
      <c r="B5352" s="2" t="s">
        <v>3932</v>
      </c>
      <c r="C5352" s="2" t="s">
        <v>3933</v>
      </c>
      <c r="D5352" s="2" t="s">
        <v>29</v>
      </c>
      <c r="E5352" s="2" t="s">
        <v>16</v>
      </c>
      <c r="F5352" s="2">
        <v>2</v>
      </c>
      <c r="G5352" s="2" t="s">
        <v>17</v>
      </c>
    </row>
    <row r="5353" spans="1:7" x14ac:dyDescent="0.2">
      <c r="A5353" s="2" t="s">
        <v>6709</v>
      </c>
      <c r="B5353" s="2" t="s">
        <v>6711</v>
      </c>
      <c r="C5353" s="2" t="s">
        <v>6712</v>
      </c>
      <c r="D5353" s="2" t="s">
        <v>10</v>
      </c>
      <c r="E5353" s="2" t="s">
        <v>16</v>
      </c>
      <c r="F5353" s="2">
        <v>2</v>
      </c>
      <c r="G5353" s="2" t="s">
        <v>17</v>
      </c>
    </row>
    <row r="5354" spans="1:7" x14ac:dyDescent="0.2">
      <c r="A5354" s="2" t="s">
        <v>6709</v>
      </c>
      <c r="B5354" s="2" t="s">
        <v>627</v>
      </c>
      <c r="C5354" s="2" t="s">
        <v>28</v>
      </c>
      <c r="D5354" s="2" t="s">
        <v>29</v>
      </c>
      <c r="E5354" s="2" t="s">
        <v>16</v>
      </c>
      <c r="F5354" s="2">
        <v>2</v>
      </c>
      <c r="G5354" s="2" t="s">
        <v>17</v>
      </c>
    </row>
    <row r="5355" spans="1:7" x14ac:dyDescent="0.2">
      <c r="A5355" s="2" t="s">
        <v>6709</v>
      </c>
      <c r="B5355" s="2" t="s">
        <v>5611</v>
      </c>
      <c r="C5355" s="2" t="s">
        <v>28</v>
      </c>
      <c r="D5355" s="2" t="s">
        <v>29</v>
      </c>
      <c r="E5355" s="2" t="s">
        <v>16</v>
      </c>
      <c r="F5355" s="2">
        <v>2</v>
      </c>
      <c r="G5355" s="2" t="s">
        <v>17</v>
      </c>
    </row>
    <row r="5356" spans="1:7" x14ac:dyDescent="0.2">
      <c r="A5356" s="2" t="s">
        <v>6709</v>
      </c>
      <c r="B5356" s="2" t="s">
        <v>6713</v>
      </c>
      <c r="C5356" s="2" t="s">
        <v>6712</v>
      </c>
      <c r="D5356" s="2" t="s">
        <v>10</v>
      </c>
      <c r="E5356" s="2" t="s">
        <v>16</v>
      </c>
      <c r="F5356" s="2">
        <v>2</v>
      </c>
      <c r="G5356" s="2" t="s">
        <v>17</v>
      </c>
    </row>
    <row r="5357" spans="1:7" x14ac:dyDescent="0.2">
      <c r="A5357" s="2" t="s">
        <v>6714</v>
      </c>
      <c r="B5357" s="2" t="s">
        <v>4920</v>
      </c>
      <c r="C5357" s="2" t="s">
        <v>3051</v>
      </c>
      <c r="D5357" s="2" t="s">
        <v>56</v>
      </c>
      <c r="E5357" s="2" t="s">
        <v>16</v>
      </c>
      <c r="F5357" s="2">
        <v>1</v>
      </c>
      <c r="G5357" s="2" t="s">
        <v>17</v>
      </c>
    </row>
    <row r="5358" spans="1:7" x14ac:dyDescent="0.2">
      <c r="A5358" s="2" t="s">
        <v>6715</v>
      </c>
      <c r="B5358" s="2" t="s">
        <v>3403</v>
      </c>
      <c r="C5358" s="2" t="s">
        <v>3404</v>
      </c>
      <c r="D5358" s="2" t="s">
        <v>56</v>
      </c>
      <c r="E5358" s="2" t="s">
        <v>52</v>
      </c>
      <c r="F5358" s="2">
        <v>2</v>
      </c>
      <c r="G5358" s="2" t="s">
        <v>17</v>
      </c>
    </row>
    <row r="5359" spans="1:7" x14ac:dyDescent="0.2">
      <c r="A5359" s="2" t="s">
        <v>6716</v>
      </c>
      <c r="B5359" s="2" t="s">
        <v>6717</v>
      </c>
      <c r="C5359" s="2" t="s">
        <v>6718</v>
      </c>
      <c r="D5359" s="2" t="s">
        <v>10</v>
      </c>
      <c r="E5359" s="2" t="s">
        <v>52</v>
      </c>
      <c r="F5359" s="2">
        <v>2</v>
      </c>
      <c r="G5359" s="2" t="s">
        <v>17</v>
      </c>
    </row>
    <row r="5360" spans="1:7" x14ac:dyDescent="0.2">
      <c r="A5360" s="2" t="s">
        <v>6716</v>
      </c>
      <c r="B5360" s="2" t="s">
        <v>6719</v>
      </c>
      <c r="C5360" s="2" t="s">
        <v>6718</v>
      </c>
      <c r="D5360" s="2" t="s">
        <v>10</v>
      </c>
      <c r="E5360" s="2" t="s">
        <v>52</v>
      </c>
      <c r="F5360" s="2">
        <v>2</v>
      </c>
      <c r="G5360" s="2" t="s">
        <v>17</v>
      </c>
    </row>
    <row r="5361" spans="1:7" x14ac:dyDescent="0.2">
      <c r="A5361" s="2" t="s">
        <v>6716</v>
      </c>
      <c r="B5361" s="2" t="s">
        <v>6720</v>
      </c>
      <c r="C5361" s="2" t="s">
        <v>6718</v>
      </c>
      <c r="D5361" s="2" t="s">
        <v>10</v>
      </c>
      <c r="E5361" s="2" t="s">
        <v>52</v>
      </c>
      <c r="F5361" s="2">
        <v>2</v>
      </c>
      <c r="G5361" s="2" t="s">
        <v>17</v>
      </c>
    </row>
    <row r="5362" spans="1:7" x14ac:dyDescent="0.2">
      <c r="A5362" s="2" t="s">
        <v>6716</v>
      </c>
      <c r="B5362" s="2" t="s">
        <v>6721</v>
      </c>
      <c r="C5362" s="2" t="s">
        <v>6718</v>
      </c>
      <c r="D5362" s="2" t="s">
        <v>10</v>
      </c>
      <c r="E5362" s="2" t="s">
        <v>52</v>
      </c>
      <c r="F5362" s="2">
        <v>2</v>
      </c>
      <c r="G5362" s="2" t="s">
        <v>17</v>
      </c>
    </row>
    <row r="5363" spans="1:7" x14ac:dyDescent="0.2">
      <c r="A5363" s="2" t="s">
        <v>6716</v>
      </c>
      <c r="B5363" s="2" t="s">
        <v>6722</v>
      </c>
      <c r="C5363" s="2" t="s">
        <v>2679</v>
      </c>
      <c r="D5363" s="2" t="s">
        <v>10</v>
      </c>
      <c r="E5363" s="2" t="s">
        <v>11</v>
      </c>
      <c r="F5363" s="2">
        <v>4</v>
      </c>
      <c r="G5363" s="2" t="s">
        <v>1069</v>
      </c>
    </row>
    <row r="5364" spans="1:7" x14ac:dyDescent="0.2">
      <c r="A5364" s="2" t="s">
        <v>6716</v>
      </c>
      <c r="B5364" s="2" t="s">
        <v>6723</v>
      </c>
      <c r="C5364" s="2" t="s">
        <v>263</v>
      </c>
      <c r="D5364" s="2" t="s">
        <v>10</v>
      </c>
      <c r="E5364" s="2" t="s">
        <v>11</v>
      </c>
      <c r="F5364" s="2">
        <v>2</v>
      </c>
      <c r="G5364" s="2" t="s">
        <v>12</v>
      </c>
    </row>
    <row r="5365" spans="1:7" x14ac:dyDescent="0.2">
      <c r="A5365" s="2" t="s">
        <v>6716</v>
      </c>
      <c r="B5365" s="2" t="s">
        <v>6724</v>
      </c>
      <c r="C5365" s="2" t="s">
        <v>6725</v>
      </c>
      <c r="D5365" s="2" t="s">
        <v>10</v>
      </c>
      <c r="E5365" s="2" t="s">
        <v>11</v>
      </c>
      <c r="F5365" s="2">
        <v>2</v>
      </c>
      <c r="G5365" s="2" t="s">
        <v>12</v>
      </c>
    </row>
    <row r="5366" spans="1:7" x14ac:dyDescent="0.2">
      <c r="A5366" s="2" t="s">
        <v>6716</v>
      </c>
      <c r="B5366" s="2" t="s">
        <v>6726</v>
      </c>
      <c r="C5366" s="2" t="s">
        <v>6727</v>
      </c>
      <c r="D5366" s="2" t="s">
        <v>10</v>
      </c>
      <c r="E5366" s="2" t="s">
        <v>11</v>
      </c>
      <c r="F5366" s="2">
        <v>2</v>
      </c>
      <c r="G5366" s="2" t="s">
        <v>12</v>
      </c>
    </row>
    <row r="5367" spans="1:7" x14ac:dyDescent="0.2">
      <c r="A5367" s="2" t="s">
        <v>6716</v>
      </c>
      <c r="B5367" s="2" t="s">
        <v>6728</v>
      </c>
      <c r="C5367" s="2" t="s">
        <v>6727</v>
      </c>
      <c r="D5367" s="2" t="s">
        <v>10</v>
      </c>
      <c r="E5367" s="2" t="s">
        <v>11</v>
      </c>
      <c r="F5367" s="2">
        <v>2</v>
      </c>
      <c r="G5367" s="2" t="s">
        <v>12</v>
      </c>
    </row>
    <row r="5368" spans="1:7" x14ac:dyDescent="0.2">
      <c r="A5368" s="2" t="s">
        <v>6716</v>
      </c>
      <c r="B5368" s="2" t="s">
        <v>6729</v>
      </c>
      <c r="C5368" s="2" t="s">
        <v>6727</v>
      </c>
      <c r="D5368" s="2" t="s">
        <v>10</v>
      </c>
      <c r="E5368" s="2" t="s">
        <v>11</v>
      </c>
      <c r="F5368" s="2">
        <v>2</v>
      </c>
      <c r="G5368" s="2" t="s">
        <v>12</v>
      </c>
    </row>
    <row r="5369" spans="1:7" x14ac:dyDescent="0.2">
      <c r="A5369" s="2" t="s">
        <v>6716</v>
      </c>
      <c r="B5369" s="2" t="s">
        <v>6730</v>
      </c>
      <c r="C5369" s="2" t="s">
        <v>6727</v>
      </c>
      <c r="D5369" s="2" t="s">
        <v>10</v>
      </c>
      <c r="E5369" s="2" t="s">
        <v>11</v>
      </c>
      <c r="F5369" s="2">
        <v>2</v>
      </c>
      <c r="G5369" s="2" t="s">
        <v>12</v>
      </c>
    </row>
    <row r="5370" spans="1:7" x14ac:dyDescent="0.2">
      <c r="A5370" s="2" t="s">
        <v>6716</v>
      </c>
      <c r="B5370" s="2" t="s">
        <v>6731</v>
      </c>
      <c r="C5370" s="2" t="s">
        <v>6263</v>
      </c>
      <c r="D5370" s="2" t="s">
        <v>10</v>
      </c>
      <c r="E5370" s="2" t="s">
        <v>11</v>
      </c>
      <c r="F5370" s="2">
        <v>2</v>
      </c>
      <c r="G5370" s="2" t="s">
        <v>12</v>
      </c>
    </row>
    <row r="5371" spans="1:7" x14ac:dyDescent="0.2">
      <c r="A5371" s="2" t="s">
        <v>6716</v>
      </c>
      <c r="B5371" s="2" t="s">
        <v>6732</v>
      </c>
      <c r="C5371" s="2" t="s">
        <v>6263</v>
      </c>
      <c r="D5371" s="2" t="s">
        <v>10</v>
      </c>
      <c r="E5371" s="2" t="s">
        <v>11</v>
      </c>
      <c r="F5371" s="2">
        <v>2</v>
      </c>
      <c r="G5371" s="2" t="s">
        <v>12</v>
      </c>
    </row>
    <row r="5372" spans="1:7" x14ac:dyDescent="0.2">
      <c r="A5372" s="2" t="s">
        <v>6716</v>
      </c>
      <c r="B5372" s="2" t="s">
        <v>6733</v>
      </c>
      <c r="C5372" s="2" t="s">
        <v>6267</v>
      </c>
      <c r="D5372" s="2" t="s">
        <v>10</v>
      </c>
      <c r="E5372" s="2" t="s">
        <v>11</v>
      </c>
      <c r="F5372" s="2">
        <v>2</v>
      </c>
      <c r="G5372" s="2" t="s">
        <v>12</v>
      </c>
    </row>
    <row r="5373" spans="1:7" x14ac:dyDescent="0.2">
      <c r="A5373" s="2" t="s">
        <v>6716</v>
      </c>
      <c r="B5373" s="2" t="s">
        <v>6734</v>
      </c>
      <c r="C5373" s="2" t="s">
        <v>6267</v>
      </c>
      <c r="D5373" s="2" t="s">
        <v>10</v>
      </c>
      <c r="E5373" s="2" t="s">
        <v>11</v>
      </c>
      <c r="F5373" s="2">
        <v>2</v>
      </c>
      <c r="G5373" s="2" t="s">
        <v>12</v>
      </c>
    </row>
    <row r="5374" spans="1:7" x14ac:dyDescent="0.2">
      <c r="A5374" s="2" t="s">
        <v>6716</v>
      </c>
      <c r="B5374" s="2" t="s">
        <v>6735</v>
      </c>
      <c r="C5374" s="2" t="s">
        <v>6718</v>
      </c>
      <c r="D5374" s="2" t="s">
        <v>10</v>
      </c>
      <c r="E5374" s="2" t="s">
        <v>52</v>
      </c>
      <c r="F5374" s="2">
        <v>2</v>
      </c>
      <c r="G5374" s="2" t="s">
        <v>17</v>
      </c>
    </row>
    <row r="5375" spans="1:7" x14ac:dyDescent="0.2">
      <c r="A5375" s="2" t="s">
        <v>6716</v>
      </c>
      <c r="B5375" s="2" t="s">
        <v>1754</v>
      </c>
      <c r="C5375" s="2" t="s">
        <v>6263</v>
      </c>
      <c r="D5375" s="2" t="s">
        <v>10</v>
      </c>
      <c r="E5375" s="2" t="s">
        <v>11</v>
      </c>
      <c r="F5375" s="2">
        <v>2</v>
      </c>
      <c r="G5375" s="2" t="s">
        <v>12</v>
      </c>
    </row>
    <row r="5376" spans="1:7" x14ac:dyDescent="0.2">
      <c r="A5376" s="2" t="s">
        <v>6716</v>
      </c>
      <c r="B5376" s="2" t="s">
        <v>6736</v>
      </c>
      <c r="C5376" s="2" t="s">
        <v>6263</v>
      </c>
      <c r="D5376" s="2" t="s">
        <v>10</v>
      </c>
      <c r="E5376" s="2" t="s">
        <v>11</v>
      </c>
      <c r="F5376" s="2">
        <v>2</v>
      </c>
      <c r="G5376" s="2" t="s">
        <v>12</v>
      </c>
    </row>
    <row r="5377" spans="1:7" x14ac:dyDescent="0.2">
      <c r="A5377" s="2" t="s">
        <v>6716</v>
      </c>
      <c r="B5377" s="2" t="s">
        <v>625</v>
      </c>
      <c r="C5377" s="2" t="s">
        <v>626</v>
      </c>
      <c r="D5377" s="2" t="s">
        <v>10</v>
      </c>
      <c r="E5377" s="2" t="s">
        <v>11</v>
      </c>
      <c r="F5377" s="2">
        <v>2</v>
      </c>
      <c r="G5377" s="2" t="s">
        <v>17</v>
      </c>
    </row>
    <row r="5378" spans="1:7" x14ac:dyDescent="0.2">
      <c r="A5378" s="2" t="s">
        <v>6716</v>
      </c>
      <c r="B5378" s="2" t="s">
        <v>6737</v>
      </c>
      <c r="C5378" s="2" t="s">
        <v>626</v>
      </c>
      <c r="D5378" s="2" t="s">
        <v>10</v>
      </c>
      <c r="E5378" s="2" t="s">
        <v>11</v>
      </c>
      <c r="F5378" s="2">
        <v>2</v>
      </c>
      <c r="G5378" s="2" t="s">
        <v>17</v>
      </c>
    </row>
    <row r="5379" spans="1:7" x14ac:dyDescent="0.2">
      <c r="A5379" s="2" t="s">
        <v>6716</v>
      </c>
      <c r="B5379" s="2" t="s">
        <v>6738</v>
      </c>
      <c r="C5379" s="2" t="s">
        <v>263</v>
      </c>
      <c r="D5379" s="2" t="s">
        <v>10</v>
      </c>
      <c r="E5379" s="2" t="s">
        <v>11</v>
      </c>
      <c r="F5379" s="2">
        <v>2</v>
      </c>
      <c r="G5379" s="2" t="s">
        <v>12</v>
      </c>
    </row>
    <row r="5380" spans="1:7" x14ac:dyDescent="0.2">
      <c r="A5380" s="2" t="s">
        <v>6716</v>
      </c>
      <c r="B5380" s="2" t="s">
        <v>6739</v>
      </c>
      <c r="C5380" s="2" t="s">
        <v>1758</v>
      </c>
      <c r="D5380" s="2" t="s">
        <v>10</v>
      </c>
      <c r="E5380" s="2" t="s">
        <v>11</v>
      </c>
      <c r="F5380" s="2">
        <v>1</v>
      </c>
      <c r="G5380" s="2" t="s">
        <v>12</v>
      </c>
    </row>
    <row r="5381" spans="1:7" x14ac:dyDescent="0.2">
      <c r="A5381" s="2" t="s">
        <v>6716</v>
      </c>
      <c r="B5381" s="2" t="s">
        <v>6740</v>
      </c>
      <c r="C5381" s="2" t="s">
        <v>6741</v>
      </c>
      <c r="D5381" s="2" t="s">
        <v>10</v>
      </c>
      <c r="E5381" s="2" t="s">
        <v>11</v>
      </c>
      <c r="F5381" s="2">
        <v>2</v>
      </c>
      <c r="G5381" s="2" t="s">
        <v>12</v>
      </c>
    </row>
    <row r="5382" spans="1:7" x14ac:dyDescent="0.2">
      <c r="A5382" s="2" t="s">
        <v>6716</v>
      </c>
      <c r="B5382" s="2" t="s">
        <v>6742</v>
      </c>
      <c r="C5382" s="2" t="s">
        <v>6741</v>
      </c>
      <c r="D5382" s="2" t="s">
        <v>10</v>
      </c>
      <c r="E5382" s="2" t="s">
        <v>11</v>
      </c>
      <c r="F5382" s="2">
        <v>2</v>
      </c>
      <c r="G5382" s="2" t="s">
        <v>12</v>
      </c>
    </row>
    <row r="5383" spans="1:7" x14ac:dyDescent="0.2">
      <c r="A5383" s="2" t="s">
        <v>6716</v>
      </c>
      <c r="B5383" s="2" t="s">
        <v>6743</v>
      </c>
      <c r="C5383" s="2" t="s">
        <v>6267</v>
      </c>
      <c r="D5383" s="2" t="s">
        <v>10</v>
      </c>
      <c r="E5383" s="2" t="s">
        <v>11</v>
      </c>
      <c r="F5383" s="2">
        <v>2</v>
      </c>
      <c r="G5383" s="2" t="s">
        <v>12</v>
      </c>
    </row>
    <row r="5384" spans="1:7" x14ac:dyDescent="0.2">
      <c r="A5384" s="2" t="s">
        <v>6716</v>
      </c>
      <c r="B5384" s="2" t="s">
        <v>6262</v>
      </c>
      <c r="C5384" s="2" t="s">
        <v>6263</v>
      </c>
      <c r="D5384" s="2" t="s">
        <v>10</v>
      </c>
      <c r="E5384" s="2" t="s">
        <v>11</v>
      </c>
      <c r="F5384" s="2">
        <v>2</v>
      </c>
      <c r="G5384" s="2" t="s">
        <v>12</v>
      </c>
    </row>
    <row r="5385" spans="1:7" x14ac:dyDescent="0.2">
      <c r="A5385" s="2" t="s">
        <v>6716</v>
      </c>
      <c r="B5385" s="2" t="s">
        <v>6264</v>
      </c>
      <c r="C5385" s="2" t="s">
        <v>6265</v>
      </c>
      <c r="D5385" s="2" t="s">
        <v>10</v>
      </c>
      <c r="E5385" s="2" t="s">
        <v>11</v>
      </c>
      <c r="F5385" s="2">
        <v>2</v>
      </c>
      <c r="G5385" s="2" t="s">
        <v>12</v>
      </c>
    </row>
    <row r="5386" spans="1:7" x14ac:dyDescent="0.2">
      <c r="A5386" s="2" t="s">
        <v>6716</v>
      </c>
      <c r="B5386" s="2" t="s">
        <v>6266</v>
      </c>
      <c r="C5386" s="2" t="s">
        <v>6267</v>
      </c>
      <c r="D5386" s="2" t="s">
        <v>10</v>
      </c>
      <c r="E5386" s="2" t="s">
        <v>11</v>
      </c>
      <c r="F5386" s="2">
        <v>2</v>
      </c>
      <c r="G5386" s="2" t="s">
        <v>12</v>
      </c>
    </row>
    <row r="5387" spans="1:7" x14ac:dyDescent="0.2">
      <c r="A5387" s="2" t="s">
        <v>6716</v>
      </c>
      <c r="B5387" s="2" t="s">
        <v>6744</v>
      </c>
      <c r="C5387" s="2" t="s">
        <v>6745</v>
      </c>
      <c r="D5387" s="2" t="s">
        <v>10</v>
      </c>
      <c r="E5387" s="2" t="s">
        <v>11</v>
      </c>
      <c r="F5387" s="2">
        <v>1</v>
      </c>
      <c r="G5387" s="2" t="s">
        <v>12</v>
      </c>
    </row>
    <row r="5388" spans="1:7" x14ac:dyDescent="0.2">
      <c r="A5388" s="2" t="s">
        <v>6716</v>
      </c>
      <c r="B5388" s="2" t="s">
        <v>6746</v>
      </c>
      <c r="C5388" s="2" t="s">
        <v>6741</v>
      </c>
      <c r="D5388" s="2" t="s">
        <v>10</v>
      </c>
      <c r="E5388" s="2" t="s">
        <v>11</v>
      </c>
      <c r="F5388" s="2">
        <v>2</v>
      </c>
      <c r="G5388" s="2" t="s">
        <v>12</v>
      </c>
    </row>
    <row r="5389" spans="1:7" x14ac:dyDescent="0.2">
      <c r="A5389" s="2" t="s">
        <v>6716</v>
      </c>
      <c r="B5389" s="2" t="s">
        <v>648</v>
      </c>
      <c r="C5389" s="2" t="s">
        <v>626</v>
      </c>
      <c r="D5389" s="2" t="s">
        <v>10</v>
      </c>
      <c r="E5389" s="2" t="s">
        <v>11</v>
      </c>
      <c r="F5389" s="2">
        <v>2</v>
      </c>
      <c r="G5389" s="2" t="s">
        <v>17</v>
      </c>
    </row>
    <row r="5390" spans="1:7" x14ac:dyDescent="0.2">
      <c r="A5390" s="2" t="s">
        <v>6716</v>
      </c>
      <c r="B5390" s="2" t="s">
        <v>6747</v>
      </c>
      <c r="C5390" s="2" t="s">
        <v>2679</v>
      </c>
      <c r="D5390" s="2" t="s">
        <v>10</v>
      </c>
      <c r="E5390" s="2" t="s">
        <v>11</v>
      </c>
      <c r="F5390" s="2">
        <v>4</v>
      </c>
      <c r="G5390" s="2" t="s">
        <v>1069</v>
      </c>
    </row>
    <row r="5391" spans="1:7" x14ac:dyDescent="0.2">
      <c r="A5391" s="2" t="s">
        <v>6716</v>
      </c>
      <c r="B5391" s="2" t="s">
        <v>6748</v>
      </c>
      <c r="C5391" s="2" t="s">
        <v>6741</v>
      </c>
      <c r="D5391" s="2" t="s">
        <v>10</v>
      </c>
      <c r="E5391" s="2" t="s">
        <v>11</v>
      </c>
      <c r="F5391" s="2">
        <v>2</v>
      </c>
      <c r="G5391" s="2" t="s">
        <v>12</v>
      </c>
    </row>
    <row r="5392" spans="1:7" x14ac:dyDescent="0.2">
      <c r="A5392" s="2" t="s">
        <v>6716</v>
      </c>
      <c r="B5392" s="2" t="s">
        <v>6749</v>
      </c>
      <c r="C5392" s="2" t="s">
        <v>4165</v>
      </c>
      <c r="D5392" s="2" t="s">
        <v>10</v>
      </c>
      <c r="E5392" s="2" t="s">
        <v>52</v>
      </c>
      <c r="F5392" s="2">
        <v>2</v>
      </c>
      <c r="G5392" s="2" t="s">
        <v>12</v>
      </c>
    </row>
    <row r="5393" spans="1:7" x14ac:dyDescent="0.2">
      <c r="A5393" s="2" t="s">
        <v>6716</v>
      </c>
      <c r="B5393" s="2" t="s">
        <v>6750</v>
      </c>
      <c r="C5393" s="2" t="s">
        <v>6727</v>
      </c>
      <c r="D5393" s="2" t="s">
        <v>10</v>
      </c>
      <c r="E5393" s="2" t="s">
        <v>11</v>
      </c>
      <c r="F5393" s="2">
        <v>2</v>
      </c>
      <c r="G5393" s="2" t="s">
        <v>12</v>
      </c>
    </row>
    <row r="5394" spans="1:7" x14ac:dyDescent="0.2">
      <c r="A5394" s="2" t="s">
        <v>6716</v>
      </c>
      <c r="B5394" s="2" t="s">
        <v>6165</v>
      </c>
      <c r="C5394" s="2" t="s">
        <v>4165</v>
      </c>
      <c r="D5394" s="2" t="s">
        <v>10</v>
      </c>
      <c r="E5394" s="2" t="s">
        <v>52</v>
      </c>
      <c r="F5394" s="2">
        <v>2</v>
      </c>
      <c r="G5394" s="2" t="s">
        <v>12</v>
      </c>
    </row>
    <row r="5395" spans="1:7" x14ac:dyDescent="0.2">
      <c r="A5395" s="2" t="s">
        <v>6716</v>
      </c>
      <c r="B5395" s="2" t="s">
        <v>6751</v>
      </c>
      <c r="C5395" s="2" t="s">
        <v>626</v>
      </c>
      <c r="D5395" s="2" t="s">
        <v>10</v>
      </c>
      <c r="E5395" s="2" t="s">
        <v>11</v>
      </c>
      <c r="F5395" s="2">
        <v>2</v>
      </c>
      <c r="G5395" s="2" t="s">
        <v>17</v>
      </c>
    </row>
    <row r="5396" spans="1:7" x14ac:dyDescent="0.2">
      <c r="A5396" s="2" t="s">
        <v>6716</v>
      </c>
      <c r="B5396" s="2" t="s">
        <v>6752</v>
      </c>
      <c r="C5396" s="2" t="s">
        <v>6727</v>
      </c>
      <c r="D5396" s="2" t="s">
        <v>10</v>
      </c>
      <c r="E5396" s="2" t="s">
        <v>11</v>
      </c>
      <c r="F5396" s="2">
        <v>2</v>
      </c>
      <c r="G5396" s="2" t="s">
        <v>12</v>
      </c>
    </row>
    <row r="5397" spans="1:7" x14ac:dyDescent="0.2">
      <c r="A5397" s="2" t="s">
        <v>6716</v>
      </c>
      <c r="B5397" s="2" t="s">
        <v>6306</v>
      </c>
      <c r="C5397" s="2" t="s">
        <v>6727</v>
      </c>
      <c r="D5397" s="2" t="s">
        <v>10</v>
      </c>
      <c r="E5397" s="2" t="s">
        <v>11</v>
      </c>
      <c r="F5397" s="2">
        <v>2</v>
      </c>
      <c r="G5397" s="2" t="s">
        <v>12</v>
      </c>
    </row>
    <row r="5398" spans="1:7" x14ac:dyDescent="0.2">
      <c r="A5398" s="2" t="s">
        <v>6716</v>
      </c>
      <c r="B5398" s="2" t="s">
        <v>6753</v>
      </c>
      <c r="C5398" s="2" t="s">
        <v>6725</v>
      </c>
      <c r="D5398" s="2" t="s">
        <v>10</v>
      </c>
      <c r="E5398" s="2" t="s">
        <v>11</v>
      </c>
      <c r="F5398" s="2">
        <v>2</v>
      </c>
      <c r="G5398" s="2" t="s">
        <v>12</v>
      </c>
    </row>
    <row r="5399" spans="1:7" x14ac:dyDescent="0.2">
      <c r="A5399" s="2" t="s">
        <v>6716</v>
      </c>
      <c r="B5399" s="2" t="s">
        <v>6754</v>
      </c>
      <c r="C5399" s="2" t="s">
        <v>6727</v>
      </c>
      <c r="D5399" s="2" t="s">
        <v>10</v>
      </c>
      <c r="E5399" s="2" t="s">
        <v>11</v>
      </c>
      <c r="F5399" s="2">
        <v>2</v>
      </c>
      <c r="G5399" s="2" t="s">
        <v>12</v>
      </c>
    </row>
    <row r="5400" spans="1:7" x14ac:dyDescent="0.2">
      <c r="A5400" s="2" t="s">
        <v>6716</v>
      </c>
      <c r="B5400" s="2" t="s">
        <v>6259</v>
      </c>
      <c r="C5400" s="2" t="s">
        <v>6260</v>
      </c>
      <c r="D5400" s="2" t="s">
        <v>10</v>
      </c>
      <c r="E5400" s="2" t="s">
        <v>11</v>
      </c>
      <c r="F5400" s="2">
        <v>2</v>
      </c>
      <c r="G5400" s="2" t="s">
        <v>12</v>
      </c>
    </row>
    <row r="5401" spans="1:7" x14ac:dyDescent="0.2">
      <c r="A5401" s="2" t="s">
        <v>6716</v>
      </c>
      <c r="B5401" s="2" t="s">
        <v>6268</v>
      </c>
      <c r="C5401" s="2" t="s">
        <v>6269</v>
      </c>
      <c r="D5401" s="2" t="s">
        <v>10</v>
      </c>
      <c r="E5401" s="2" t="s">
        <v>11</v>
      </c>
      <c r="F5401" s="2">
        <v>2</v>
      </c>
      <c r="G5401" s="2" t="s">
        <v>12</v>
      </c>
    </row>
    <row r="5402" spans="1:7" x14ac:dyDescent="0.2">
      <c r="A5402" s="2" t="s">
        <v>6716</v>
      </c>
      <c r="B5402" s="2" t="s">
        <v>4495</v>
      </c>
      <c r="C5402" s="2" t="s">
        <v>6755</v>
      </c>
      <c r="D5402" s="2" t="s">
        <v>10</v>
      </c>
      <c r="E5402" s="2" t="s">
        <v>16</v>
      </c>
      <c r="F5402" s="2">
        <v>1</v>
      </c>
      <c r="G5402" s="2" t="s">
        <v>17</v>
      </c>
    </row>
    <row r="5403" spans="1:7" x14ac:dyDescent="0.2">
      <c r="A5403" s="2" t="s">
        <v>6716</v>
      </c>
      <c r="B5403" s="2" t="s">
        <v>6756</v>
      </c>
      <c r="C5403" s="2" t="s">
        <v>6755</v>
      </c>
      <c r="D5403" s="2" t="s">
        <v>10</v>
      </c>
      <c r="E5403" s="2" t="s">
        <v>16</v>
      </c>
      <c r="F5403" s="2">
        <v>1</v>
      </c>
      <c r="G5403" s="2" t="s">
        <v>17</v>
      </c>
    </row>
    <row r="5404" spans="1:7" x14ac:dyDescent="0.2">
      <c r="A5404" s="2" t="s">
        <v>6757</v>
      </c>
      <c r="B5404" s="2" t="s">
        <v>6758</v>
      </c>
      <c r="C5404" s="2" t="s">
        <v>6759</v>
      </c>
      <c r="D5404" s="2" t="s">
        <v>10</v>
      </c>
      <c r="E5404" s="2" t="s">
        <v>16</v>
      </c>
      <c r="F5404" s="2">
        <v>1</v>
      </c>
      <c r="G5404" s="2" t="s">
        <v>17</v>
      </c>
    </row>
    <row r="5405" spans="1:7" x14ac:dyDescent="0.2">
      <c r="A5405" s="2" t="s">
        <v>6757</v>
      </c>
      <c r="B5405" s="2" t="s">
        <v>6760</v>
      </c>
      <c r="C5405" s="2" t="s">
        <v>6759</v>
      </c>
      <c r="D5405" s="2" t="s">
        <v>10</v>
      </c>
      <c r="E5405" s="2" t="s">
        <v>16</v>
      </c>
      <c r="F5405" s="2">
        <v>1</v>
      </c>
      <c r="G5405" s="2" t="s">
        <v>17</v>
      </c>
    </row>
    <row r="5406" spans="1:7" x14ac:dyDescent="0.2">
      <c r="A5406" s="2" t="s">
        <v>6761</v>
      </c>
      <c r="B5406" s="2" t="s">
        <v>6762</v>
      </c>
      <c r="C5406" s="2" t="s">
        <v>6763</v>
      </c>
      <c r="D5406" s="2" t="s">
        <v>10</v>
      </c>
      <c r="E5406" s="2" t="s">
        <v>16</v>
      </c>
      <c r="F5406" s="2">
        <v>1</v>
      </c>
      <c r="G5406" s="2" t="s">
        <v>17</v>
      </c>
    </row>
    <row r="5407" spans="1:7" x14ac:dyDescent="0.2">
      <c r="A5407" s="2" t="s">
        <v>6761</v>
      </c>
      <c r="B5407" s="2" t="s">
        <v>6764</v>
      </c>
      <c r="C5407" s="2" t="s">
        <v>624</v>
      </c>
      <c r="D5407" s="2" t="s">
        <v>56</v>
      </c>
      <c r="E5407" s="2" t="s">
        <v>52</v>
      </c>
      <c r="F5407" s="2">
        <v>2</v>
      </c>
      <c r="G5407" s="2" t="s">
        <v>17</v>
      </c>
    </row>
    <row r="5408" spans="1:7" x14ac:dyDescent="0.2">
      <c r="A5408" s="2" t="s">
        <v>6761</v>
      </c>
      <c r="B5408" s="2" t="s">
        <v>6765</v>
      </c>
      <c r="C5408" s="2" t="s">
        <v>6766</v>
      </c>
      <c r="D5408" s="2" t="s">
        <v>10</v>
      </c>
      <c r="E5408" s="2" t="s">
        <v>16</v>
      </c>
      <c r="F5408" s="2">
        <v>1</v>
      </c>
      <c r="G5408" s="2" t="s">
        <v>17</v>
      </c>
    </row>
    <row r="5409" spans="1:7" x14ac:dyDescent="0.2">
      <c r="A5409" s="2" t="s">
        <v>6761</v>
      </c>
      <c r="B5409" s="2" t="s">
        <v>6767</v>
      </c>
      <c r="C5409" s="2" t="s">
        <v>6763</v>
      </c>
      <c r="D5409" s="2" t="s">
        <v>10</v>
      </c>
      <c r="E5409" s="2" t="s">
        <v>16</v>
      </c>
      <c r="F5409" s="2">
        <v>1</v>
      </c>
      <c r="G5409" s="2" t="s">
        <v>17</v>
      </c>
    </row>
    <row r="5410" spans="1:7" x14ac:dyDescent="0.2">
      <c r="A5410" s="2" t="s">
        <v>6761</v>
      </c>
      <c r="B5410" s="2" t="s">
        <v>653</v>
      </c>
      <c r="C5410" s="2" t="s">
        <v>624</v>
      </c>
      <c r="D5410" s="2" t="s">
        <v>56</v>
      </c>
      <c r="E5410" s="2" t="s">
        <v>52</v>
      </c>
      <c r="F5410" s="2">
        <v>2</v>
      </c>
      <c r="G5410" s="2" t="s">
        <v>17</v>
      </c>
    </row>
    <row r="5411" spans="1:7" x14ac:dyDescent="0.2">
      <c r="A5411" s="2" t="s">
        <v>6768</v>
      </c>
      <c r="B5411" s="2" t="s">
        <v>223</v>
      </c>
      <c r="C5411" s="2" t="s">
        <v>224</v>
      </c>
      <c r="D5411" s="2" t="s">
        <v>10</v>
      </c>
      <c r="E5411" s="2" t="s">
        <v>52</v>
      </c>
      <c r="F5411" s="2">
        <v>1</v>
      </c>
      <c r="G5411" s="2" t="s">
        <v>17</v>
      </c>
    </row>
    <row r="5412" spans="1:7" x14ac:dyDescent="0.2">
      <c r="A5412" s="2" t="s">
        <v>6768</v>
      </c>
      <c r="B5412" s="2" t="s">
        <v>225</v>
      </c>
      <c r="C5412" s="2" t="s">
        <v>224</v>
      </c>
      <c r="D5412" s="2" t="s">
        <v>10</v>
      </c>
      <c r="E5412" s="2" t="s">
        <v>52</v>
      </c>
      <c r="F5412" s="2">
        <v>1</v>
      </c>
      <c r="G5412" s="2" t="s">
        <v>17</v>
      </c>
    </row>
    <row r="5413" spans="1:7" x14ac:dyDescent="0.2">
      <c r="A5413" s="2" t="s">
        <v>6769</v>
      </c>
      <c r="B5413" s="2" t="s">
        <v>6770</v>
      </c>
      <c r="C5413" s="2" t="s">
        <v>6771</v>
      </c>
      <c r="D5413" s="2" t="s">
        <v>10</v>
      </c>
      <c r="E5413" s="2" t="s">
        <v>16</v>
      </c>
      <c r="F5413" s="2">
        <v>1</v>
      </c>
      <c r="G5413" s="2" t="s">
        <v>17</v>
      </c>
    </row>
    <row r="5414" spans="1:7" x14ac:dyDescent="0.2">
      <c r="A5414" s="2" t="s">
        <v>6769</v>
      </c>
      <c r="B5414" s="2" t="s">
        <v>6772</v>
      </c>
      <c r="C5414" s="2" t="s">
        <v>6773</v>
      </c>
      <c r="D5414" s="2" t="s">
        <v>10</v>
      </c>
      <c r="E5414" s="2" t="s">
        <v>16</v>
      </c>
      <c r="F5414" s="2">
        <v>1</v>
      </c>
      <c r="G5414" s="2" t="s">
        <v>17</v>
      </c>
    </row>
    <row r="5415" spans="1:7" x14ac:dyDescent="0.2">
      <c r="A5415" s="2" t="s">
        <v>6769</v>
      </c>
      <c r="B5415" s="2" t="s">
        <v>1844</v>
      </c>
      <c r="C5415" s="2" t="s">
        <v>6773</v>
      </c>
      <c r="D5415" s="2" t="s">
        <v>10</v>
      </c>
      <c r="E5415" s="2" t="s">
        <v>16</v>
      </c>
      <c r="F5415" s="2">
        <v>1</v>
      </c>
      <c r="G5415" s="2" t="s">
        <v>17</v>
      </c>
    </row>
    <row r="5416" spans="1:7" x14ac:dyDescent="0.2">
      <c r="A5416" s="2" t="s">
        <v>6769</v>
      </c>
      <c r="B5416" s="2" t="s">
        <v>5281</v>
      </c>
      <c r="C5416" s="2" t="s">
        <v>4942</v>
      </c>
      <c r="D5416" s="2" t="s">
        <v>10</v>
      </c>
      <c r="E5416" s="2" t="s">
        <v>16</v>
      </c>
      <c r="F5416" s="2">
        <v>1</v>
      </c>
      <c r="G5416" s="2" t="s">
        <v>17</v>
      </c>
    </row>
    <row r="5417" spans="1:7" x14ac:dyDescent="0.2">
      <c r="A5417" s="2" t="s">
        <v>6774</v>
      </c>
      <c r="B5417" s="2" t="s">
        <v>6775</v>
      </c>
      <c r="C5417" s="2" t="s">
        <v>6776</v>
      </c>
      <c r="D5417" s="2" t="s">
        <v>10</v>
      </c>
      <c r="E5417" s="2" t="s">
        <v>52</v>
      </c>
      <c r="F5417" s="2">
        <v>1</v>
      </c>
      <c r="G5417" s="2" t="s">
        <v>17</v>
      </c>
    </row>
    <row r="5418" spans="1:7" x14ac:dyDescent="0.2">
      <c r="A5418" s="2" t="s">
        <v>6774</v>
      </c>
      <c r="B5418" s="2" t="s">
        <v>6777</v>
      </c>
      <c r="C5418" s="2" t="s">
        <v>6778</v>
      </c>
      <c r="D5418" s="2" t="s">
        <v>10</v>
      </c>
      <c r="E5418" s="2" t="s">
        <v>16</v>
      </c>
      <c r="F5418" s="2">
        <v>1</v>
      </c>
      <c r="G5418" s="2" t="s">
        <v>17</v>
      </c>
    </row>
    <row r="5419" spans="1:7" x14ac:dyDescent="0.2">
      <c r="A5419" s="2" t="s">
        <v>6774</v>
      </c>
      <c r="B5419" s="2" t="s">
        <v>3186</v>
      </c>
      <c r="C5419" s="2" t="s">
        <v>3185</v>
      </c>
      <c r="D5419" s="2" t="s">
        <v>10</v>
      </c>
      <c r="E5419" s="2" t="s">
        <v>16</v>
      </c>
      <c r="F5419" s="2">
        <v>1</v>
      </c>
      <c r="G5419" s="2" t="s">
        <v>17</v>
      </c>
    </row>
    <row r="5420" spans="1:7" x14ac:dyDescent="0.2">
      <c r="A5420" s="2" t="s">
        <v>6774</v>
      </c>
      <c r="B5420" s="2" t="s">
        <v>6779</v>
      </c>
      <c r="C5420" s="2" t="s">
        <v>6780</v>
      </c>
      <c r="D5420" s="2" t="s">
        <v>10</v>
      </c>
      <c r="E5420" s="2" t="s">
        <v>52</v>
      </c>
      <c r="F5420" s="2">
        <v>1</v>
      </c>
      <c r="G5420" s="2" t="s">
        <v>17</v>
      </c>
    </row>
    <row r="5421" spans="1:7" x14ac:dyDescent="0.2">
      <c r="A5421" s="2" t="s">
        <v>6774</v>
      </c>
      <c r="B5421" s="2" t="s">
        <v>6781</v>
      </c>
      <c r="C5421" s="2" t="s">
        <v>6782</v>
      </c>
      <c r="D5421" s="2" t="s">
        <v>10</v>
      </c>
      <c r="E5421" s="2" t="s">
        <v>16</v>
      </c>
      <c r="F5421" s="2">
        <v>1</v>
      </c>
      <c r="G5421" s="2" t="s">
        <v>17</v>
      </c>
    </row>
    <row r="5422" spans="1:7" x14ac:dyDescent="0.2">
      <c r="A5422" s="2" t="s">
        <v>6774</v>
      </c>
      <c r="B5422" s="2" t="s">
        <v>6765</v>
      </c>
      <c r="C5422" s="2" t="s">
        <v>6766</v>
      </c>
      <c r="D5422" s="2" t="s">
        <v>10</v>
      </c>
      <c r="E5422" s="2" t="s">
        <v>16</v>
      </c>
      <c r="F5422" s="2">
        <v>1</v>
      </c>
      <c r="G5422" s="2" t="s">
        <v>17</v>
      </c>
    </row>
    <row r="5423" spans="1:7" x14ac:dyDescent="0.2">
      <c r="A5423" s="2" t="s">
        <v>6774</v>
      </c>
      <c r="B5423" s="2" t="s">
        <v>6783</v>
      </c>
      <c r="C5423" s="2" t="s">
        <v>6784</v>
      </c>
      <c r="D5423" s="2" t="s">
        <v>10</v>
      </c>
      <c r="E5423" s="2" t="s">
        <v>16</v>
      </c>
      <c r="F5423" s="2">
        <v>1</v>
      </c>
      <c r="G5423" s="2" t="s">
        <v>17</v>
      </c>
    </row>
    <row r="5424" spans="1:7" x14ac:dyDescent="0.2">
      <c r="A5424" s="2" t="s">
        <v>6774</v>
      </c>
      <c r="B5424" s="2" t="s">
        <v>6785</v>
      </c>
      <c r="C5424" s="2" t="s">
        <v>6786</v>
      </c>
      <c r="D5424" s="2" t="s">
        <v>56</v>
      </c>
      <c r="E5424" s="2" t="s">
        <v>52</v>
      </c>
      <c r="F5424" s="2">
        <v>1</v>
      </c>
      <c r="G5424" s="2" t="s">
        <v>17</v>
      </c>
    </row>
    <row r="5425" spans="1:7" x14ac:dyDescent="0.2">
      <c r="A5425" s="2" t="s">
        <v>6774</v>
      </c>
      <c r="B5425" s="2" t="s">
        <v>5611</v>
      </c>
      <c r="C5425" s="2" t="s">
        <v>6782</v>
      </c>
      <c r="D5425" s="2" t="s">
        <v>10</v>
      </c>
      <c r="E5425" s="2" t="s">
        <v>16</v>
      </c>
      <c r="F5425" s="2">
        <v>1</v>
      </c>
      <c r="G5425" s="2" t="s">
        <v>17</v>
      </c>
    </row>
    <row r="5426" spans="1:7" x14ac:dyDescent="0.2">
      <c r="A5426" s="2" t="s">
        <v>6774</v>
      </c>
      <c r="B5426" s="2" t="s">
        <v>653</v>
      </c>
      <c r="C5426" s="2" t="s">
        <v>624</v>
      </c>
      <c r="D5426" s="2" t="s">
        <v>56</v>
      </c>
      <c r="E5426" s="2" t="s">
        <v>52</v>
      </c>
      <c r="F5426" s="2">
        <v>2</v>
      </c>
      <c r="G5426" s="2" t="s">
        <v>17</v>
      </c>
    </row>
    <row r="5427" spans="1:7" x14ac:dyDescent="0.2">
      <c r="A5427" s="2" t="s">
        <v>6774</v>
      </c>
      <c r="B5427" s="2" t="s">
        <v>6787</v>
      </c>
      <c r="C5427" s="2" t="s">
        <v>6776</v>
      </c>
      <c r="D5427" s="2" t="s">
        <v>10</v>
      </c>
      <c r="E5427" s="2" t="s">
        <v>52</v>
      </c>
      <c r="F5427" s="2">
        <v>1</v>
      </c>
      <c r="G5427" s="2" t="s">
        <v>17</v>
      </c>
    </row>
    <row r="5428" spans="1:7" x14ac:dyDescent="0.2">
      <c r="A5428" s="2" t="s">
        <v>6774</v>
      </c>
      <c r="B5428" s="2" t="s">
        <v>590</v>
      </c>
      <c r="C5428" s="2" t="s">
        <v>591</v>
      </c>
      <c r="D5428" s="2" t="s">
        <v>56</v>
      </c>
      <c r="E5428" s="2" t="s">
        <v>52</v>
      </c>
      <c r="F5428" s="2">
        <v>1</v>
      </c>
      <c r="G5428" s="2" t="s">
        <v>17</v>
      </c>
    </row>
    <row r="5429" spans="1:7" x14ac:dyDescent="0.2">
      <c r="A5429" s="2" t="s">
        <v>6774</v>
      </c>
      <c r="B5429" s="2" t="s">
        <v>3184</v>
      </c>
      <c r="C5429" s="2" t="s">
        <v>3185</v>
      </c>
      <c r="D5429" s="2" t="s">
        <v>10</v>
      </c>
      <c r="E5429" s="2" t="s">
        <v>16</v>
      </c>
      <c r="F5429" s="2">
        <v>1</v>
      </c>
      <c r="G5429" s="2" t="s">
        <v>17</v>
      </c>
    </row>
    <row r="5430" spans="1:7" x14ac:dyDescent="0.2">
      <c r="A5430" s="2" t="s">
        <v>6774</v>
      </c>
      <c r="B5430" s="2" t="s">
        <v>6788</v>
      </c>
      <c r="C5430" s="2" t="s">
        <v>6784</v>
      </c>
      <c r="D5430" s="2" t="s">
        <v>10</v>
      </c>
      <c r="E5430" s="2" t="s">
        <v>16</v>
      </c>
      <c r="F5430" s="2">
        <v>1</v>
      </c>
      <c r="G5430" s="2" t="s">
        <v>17</v>
      </c>
    </row>
    <row r="5431" spans="1:7" x14ac:dyDescent="0.2">
      <c r="A5431" s="2" t="s">
        <v>6774</v>
      </c>
      <c r="B5431" s="2" t="s">
        <v>6789</v>
      </c>
      <c r="C5431" s="2" t="s">
        <v>591</v>
      </c>
      <c r="D5431" s="2" t="s">
        <v>56</v>
      </c>
      <c r="E5431" s="2" t="s">
        <v>52</v>
      </c>
      <c r="F5431" s="2">
        <v>1</v>
      </c>
      <c r="G5431" s="2" t="s">
        <v>17</v>
      </c>
    </row>
    <row r="5432" spans="1:7" x14ac:dyDescent="0.2">
      <c r="A5432" s="2" t="s">
        <v>6774</v>
      </c>
      <c r="B5432" s="2" t="s">
        <v>6764</v>
      </c>
      <c r="C5432" s="2" t="s">
        <v>624</v>
      </c>
      <c r="D5432" s="2" t="s">
        <v>56</v>
      </c>
      <c r="E5432" s="2" t="s">
        <v>52</v>
      </c>
      <c r="F5432" s="2">
        <v>2</v>
      </c>
      <c r="G5432" s="2" t="s">
        <v>17</v>
      </c>
    </row>
    <row r="5433" spans="1:7" x14ac:dyDescent="0.2">
      <c r="A5433" s="2" t="s">
        <v>6774</v>
      </c>
      <c r="B5433" s="2" t="s">
        <v>6790</v>
      </c>
      <c r="C5433" s="2" t="s">
        <v>6791</v>
      </c>
      <c r="D5433" s="2" t="s">
        <v>10</v>
      </c>
      <c r="E5433" s="2" t="s">
        <v>16</v>
      </c>
      <c r="F5433" s="2">
        <v>1</v>
      </c>
      <c r="G5433" s="2" t="s">
        <v>17</v>
      </c>
    </row>
    <row r="5434" spans="1:7" x14ac:dyDescent="0.2">
      <c r="A5434" s="2" t="s">
        <v>6774</v>
      </c>
      <c r="B5434" s="2" t="s">
        <v>6792</v>
      </c>
      <c r="C5434" s="2" t="s">
        <v>6778</v>
      </c>
      <c r="D5434" s="2" t="s">
        <v>10</v>
      </c>
      <c r="E5434" s="2" t="s">
        <v>16</v>
      </c>
      <c r="F5434" s="2">
        <v>1</v>
      </c>
      <c r="G5434" s="2" t="s">
        <v>17</v>
      </c>
    </row>
    <row r="5435" spans="1:7" x14ac:dyDescent="0.2">
      <c r="A5435" s="2" t="s">
        <v>6774</v>
      </c>
      <c r="B5435" s="2" t="s">
        <v>6793</v>
      </c>
      <c r="C5435" s="2" t="s">
        <v>6794</v>
      </c>
      <c r="D5435" s="2" t="s">
        <v>10</v>
      </c>
      <c r="E5435" s="2" t="s">
        <v>16</v>
      </c>
      <c r="F5435" s="2">
        <v>1</v>
      </c>
      <c r="G5435" s="2" t="s">
        <v>17</v>
      </c>
    </row>
    <row r="5436" spans="1:7" x14ac:dyDescent="0.2">
      <c r="A5436" s="2" t="s">
        <v>6774</v>
      </c>
      <c r="B5436" s="2" t="s">
        <v>6795</v>
      </c>
      <c r="C5436" s="2" t="s">
        <v>6796</v>
      </c>
      <c r="D5436" s="2" t="s">
        <v>10</v>
      </c>
      <c r="E5436" s="2" t="s">
        <v>16</v>
      </c>
      <c r="F5436" s="2">
        <v>1</v>
      </c>
      <c r="G5436" s="2" t="s">
        <v>17</v>
      </c>
    </row>
    <row r="5437" spans="1:7" x14ac:dyDescent="0.2">
      <c r="A5437" s="2" t="s">
        <v>6797</v>
      </c>
      <c r="B5437" s="2" t="s">
        <v>6620</v>
      </c>
      <c r="C5437" s="2" t="s">
        <v>6798</v>
      </c>
      <c r="D5437" s="2" t="s">
        <v>29</v>
      </c>
      <c r="E5437" s="2" t="s">
        <v>16</v>
      </c>
      <c r="F5437" s="2">
        <v>1</v>
      </c>
      <c r="G5437" s="2" t="s">
        <v>17</v>
      </c>
    </row>
    <row r="5438" spans="1:7" x14ac:dyDescent="0.2">
      <c r="A5438" s="2" t="s">
        <v>6799</v>
      </c>
      <c r="B5438" s="2" t="s">
        <v>3373</v>
      </c>
      <c r="C5438" s="2" t="s">
        <v>6800</v>
      </c>
      <c r="D5438" s="2" t="s">
        <v>10</v>
      </c>
      <c r="E5438" s="2" t="s">
        <v>16</v>
      </c>
      <c r="F5438" s="2">
        <v>1</v>
      </c>
      <c r="G5438" s="2" t="s">
        <v>17</v>
      </c>
    </row>
    <row r="5439" spans="1:7" x14ac:dyDescent="0.2">
      <c r="A5439" s="2" t="s">
        <v>6799</v>
      </c>
      <c r="B5439" s="2" t="s">
        <v>6801</v>
      </c>
      <c r="C5439" s="2" t="s">
        <v>6802</v>
      </c>
      <c r="D5439" s="2" t="s">
        <v>10</v>
      </c>
      <c r="E5439" s="2" t="s">
        <v>16</v>
      </c>
      <c r="F5439" s="2">
        <v>1</v>
      </c>
      <c r="G5439" s="2" t="s">
        <v>17</v>
      </c>
    </row>
    <row r="5440" spans="1:7" x14ac:dyDescent="0.2">
      <c r="A5440" s="2" t="s">
        <v>6799</v>
      </c>
      <c r="B5440" s="2" t="s">
        <v>6803</v>
      </c>
      <c r="C5440" s="2" t="s">
        <v>6802</v>
      </c>
      <c r="D5440" s="2" t="s">
        <v>10</v>
      </c>
      <c r="E5440" s="2" t="s">
        <v>16</v>
      </c>
      <c r="F5440" s="2">
        <v>1</v>
      </c>
      <c r="G5440" s="2" t="s">
        <v>17</v>
      </c>
    </row>
    <row r="5441" spans="1:7" x14ac:dyDescent="0.2">
      <c r="A5441" s="2" t="s">
        <v>6799</v>
      </c>
      <c r="B5441" s="2" t="s">
        <v>729</v>
      </c>
      <c r="C5441" s="2" t="s">
        <v>730</v>
      </c>
      <c r="D5441" s="2" t="s">
        <v>10</v>
      </c>
      <c r="E5441" s="2" t="s">
        <v>16</v>
      </c>
      <c r="F5441" s="2">
        <v>1</v>
      </c>
      <c r="G5441" s="2" t="s">
        <v>17</v>
      </c>
    </row>
    <row r="5442" spans="1:7" x14ac:dyDescent="0.2">
      <c r="A5442" s="2" t="s">
        <v>6799</v>
      </c>
      <c r="B5442" s="2" t="s">
        <v>731</v>
      </c>
      <c r="C5442" s="2" t="s">
        <v>730</v>
      </c>
      <c r="D5442" s="2" t="s">
        <v>10</v>
      </c>
      <c r="E5442" s="2" t="s">
        <v>16</v>
      </c>
      <c r="F5442" s="2">
        <v>1</v>
      </c>
      <c r="G5442" s="2" t="s">
        <v>17</v>
      </c>
    </row>
    <row r="5443" spans="1:7" x14ac:dyDescent="0.2">
      <c r="A5443" s="2" t="s">
        <v>6799</v>
      </c>
      <c r="B5443" s="2" t="s">
        <v>6804</v>
      </c>
      <c r="C5443" s="2" t="s">
        <v>6802</v>
      </c>
      <c r="D5443" s="2" t="s">
        <v>10</v>
      </c>
      <c r="E5443" s="2" t="s">
        <v>16</v>
      </c>
      <c r="F5443" s="2">
        <v>1</v>
      </c>
      <c r="G5443" s="2" t="s">
        <v>17</v>
      </c>
    </row>
    <row r="5444" spans="1:7" x14ac:dyDescent="0.2">
      <c r="A5444" s="2" t="s">
        <v>6799</v>
      </c>
      <c r="B5444" s="2" t="s">
        <v>6805</v>
      </c>
      <c r="C5444" s="2" t="s">
        <v>6802</v>
      </c>
      <c r="D5444" s="2" t="s">
        <v>10</v>
      </c>
      <c r="E5444" s="2" t="s">
        <v>16</v>
      </c>
      <c r="F5444" s="2">
        <v>1</v>
      </c>
      <c r="G5444" s="2" t="s">
        <v>17</v>
      </c>
    </row>
    <row r="5445" spans="1:7" x14ac:dyDescent="0.2">
      <c r="A5445" s="2" t="s">
        <v>6806</v>
      </c>
      <c r="B5445" s="2" t="s">
        <v>6807</v>
      </c>
      <c r="C5445" s="2" t="s">
        <v>6808</v>
      </c>
      <c r="D5445" s="2" t="s">
        <v>29</v>
      </c>
      <c r="E5445" s="2" t="s">
        <v>16</v>
      </c>
      <c r="F5445" s="2">
        <v>1</v>
      </c>
      <c r="G5445" s="2" t="s">
        <v>17</v>
      </c>
    </row>
    <row r="5446" spans="1:7" x14ac:dyDescent="0.2">
      <c r="A5446" s="2" t="s">
        <v>6809</v>
      </c>
      <c r="B5446" s="2" t="s">
        <v>6810</v>
      </c>
      <c r="C5446" s="2" t="s">
        <v>6811</v>
      </c>
      <c r="D5446" s="2" t="s">
        <v>10</v>
      </c>
      <c r="E5446" s="2" t="s">
        <v>1080</v>
      </c>
      <c r="F5446" s="2">
        <v>1</v>
      </c>
      <c r="G5446" s="2" t="s">
        <v>17</v>
      </c>
    </row>
    <row r="5447" spans="1:7" x14ac:dyDescent="0.2">
      <c r="A5447" s="2" t="s">
        <v>6812</v>
      </c>
      <c r="B5447" s="2" t="s">
        <v>6813</v>
      </c>
      <c r="C5447" s="2" t="s">
        <v>6814</v>
      </c>
      <c r="D5447" s="2" t="s">
        <v>10</v>
      </c>
      <c r="E5447" s="2" t="s">
        <v>16</v>
      </c>
      <c r="F5447" s="2">
        <v>1</v>
      </c>
      <c r="G5447" s="2" t="s">
        <v>17</v>
      </c>
    </row>
    <row r="5448" spans="1:7" x14ac:dyDescent="0.2">
      <c r="A5448" s="2" t="s">
        <v>6812</v>
      </c>
      <c r="B5448" s="2" t="s">
        <v>6815</v>
      </c>
      <c r="C5448" s="2" t="s">
        <v>6816</v>
      </c>
      <c r="D5448" s="2" t="s">
        <v>10</v>
      </c>
      <c r="E5448" s="2" t="s">
        <v>16</v>
      </c>
      <c r="F5448" s="2">
        <v>1</v>
      </c>
      <c r="G5448" s="2" t="s">
        <v>17</v>
      </c>
    </row>
    <row r="5449" spans="1:7" x14ac:dyDescent="0.2">
      <c r="A5449" s="2" t="s">
        <v>6817</v>
      </c>
      <c r="B5449" s="2" t="s">
        <v>6818</v>
      </c>
      <c r="C5449" s="2" t="s">
        <v>6819</v>
      </c>
      <c r="D5449" s="2" t="s">
        <v>10</v>
      </c>
      <c r="E5449" s="2" t="s">
        <v>16</v>
      </c>
      <c r="F5449" s="2">
        <v>1</v>
      </c>
      <c r="G5449" s="2" t="s">
        <v>17</v>
      </c>
    </row>
    <row r="5450" spans="1:7" x14ac:dyDescent="0.2">
      <c r="A5450" s="2" t="s">
        <v>6817</v>
      </c>
      <c r="B5450" s="2" t="s">
        <v>6820</v>
      </c>
      <c r="C5450" s="2" t="s">
        <v>6819</v>
      </c>
      <c r="D5450" s="2" t="s">
        <v>10</v>
      </c>
      <c r="E5450" s="2" t="s">
        <v>16</v>
      </c>
      <c r="F5450" s="2">
        <v>1</v>
      </c>
      <c r="G5450" s="2" t="s">
        <v>17</v>
      </c>
    </row>
    <row r="5451" spans="1:7" x14ac:dyDescent="0.2">
      <c r="A5451" s="2" t="s">
        <v>6821</v>
      </c>
      <c r="B5451" s="2" t="s">
        <v>6822</v>
      </c>
      <c r="C5451" s="2" t="s">
        <v>6823</v>
      </c>
      <c r="D5451" s="2" t="s">
        <v>10</v>
      </c>
      <c r="E5451" s="2" t="s">
        <v>16</v>
      </c>
      <c r="F5451" s="2">
        <v>1</v>
      </c>
      <c r="G5451" s="2" t="s">
        <v>17</v>
      </c>
    </row>
    <row r="5452" spans="1:7" x14ac:dyDescent="0.2">
      <c r="A5452" s="2" t="s">
        <v>6821</v>
      </c>
      <c r="B5452" s="2" t="s">
        <v>6824</v>
      </c>
      <c r="C5452" s="2" t="s">
        <v>6823</v>
      </c>
      <c r="D5452" s="2" t="s">
        <v>10</v>
      </c>
      <c r="E5452" s="2" t="s">
        <v>16</v>
      </c>
      <c r="F5452" s="2">
        <v>1</v>
      </c>
      <c r="G5452" s="2" t="s">
        <v>17</v>
      </c>
    </row>
    <row r="5453" spans="1:7" x14ac:dyDescent="0.2">
      <c r="A5453" s="2" t="s">
        <v>6821</v>
      </c>
      <c r="B5453" s="2" t="s">
        <v>6825</v>
      </c>
      <c r="C5453" s="2" t="s">
        <v>6823</v>
      </c>
      <c r="D5453" s="2" t="s">
        <v>10</v>
      </c>
      <c r="E5453" s="2" t="s">
        <v>16</v>
      </c>
      <c r="F5453" s="2">
        <v>1</v>
      </c>
      <c r="G5453" s="2" t="s">
        <v>17</v>
      </c>
    </row>
    <row r="5454" spans="1:7" x14ac:dyDescent="0.2">
      <c r="A5454" s="2" t="s">
        <v>6826</v>
      </c>
      <c r="B5454" s="2" t="s">
        <v>2593</v>
      </c>
      <c r="C5454" s="2" t="s">
        <v>2594</v>
      </c>
      <c r="D5454" s="2" t="s">
        <v>10</v>
      </c>
      <c r="E5454" s="2" t="s">
        <v>11</v>
      </c>
      <c r="F5454" s="2">
        <v>4</v>
      </c>
      <c r="G5454" s="2" t="s">
        <v>1069</v>
      </c>
    </row>
    <row r="5455" spans="1:7" x14ac:dyDescent="0.2">
      <c r="A5455" s="2" t="s">
        <v>6826</v>
      </c>
      <c r="B5455" s="2" t="s">
        <v>2606</v>
      </c>
      <c r="C5455" s="2" t="s">
        <v>2594</v>
      </c>
      <c r="D5455" s="2" t="s">
        <v>10</v>
      </c>
      <c r="E5455" s="2" t="s">
        <v>11</v>
      </c>
      <c r="F5455" s="2">
        <v>4</v>
      </c>
      <c r="G5455" s="2" t="s">
        <v>1069</v>
      </c>
    </row>
    <row r="5456" spans="1:7" x14ac:dyDescent="0.2">
      <c r="A5456" s="2" t="s">
        <v>6826</v>
      </c>
      <c r="B5456" s="2" t="s">
        <v>6827</v>
      </c>
      <c r="C5456" s="2" t="s">
        <v>6828</v>
      </c>
      <c r="D5456" s="2" t="s">
        <v>10</v>
      </c>
      <c r="E5456" s="2" t="s">
        <v>52</v>
      </c>
      <c r="F5456" s="2">
        <v>4</v>
      </c>
      <c r="G5456" s="2" t="s">
        <v>12</v>
      </c>
    </row>
    <row r="5457" spans="1:7" x14ac:dyDescent="0.2">
      <c r="A5457" s="2" t="s">
        <v>6826</v>
      </c>
      <c r="B5457" s="2" t="s">
        <v>6829</v>
      </c>
      <c r="C5457" s="2" t="s">
        <v>6830</v>
      </c>
      <c r="D5457" s="2" t="s">
        <v>10</v>
      </c>
      <c r="E5457" s="2" t="s">
        <v>11</v>
      </c>
      <c r="F5457" s="2">
        <v>4</v>
      </c>
      <c r="G5457" s="2" t="s">
        <v>1069</v>
      </c>
    </row>
    <row r="5458" spans="1:7" x14ac:dyDescent="0.2">
      <c r="A5458" s="2" t="s">
        <v>6826</v>
      </c>
      <c r="B5458" s="2" t="s">
        <v>6831</v>
      </c>
      <c r="C5458" s="2" t="s">
        <v>1890</v>
      </c>
      <c r="D5458" s="2" t="s">
        <v>10</v>
      </c>
      <c r="E5458" s="2" t="s">
        <v>16</v>
      </c>
      <c r="F5458" s="2">
        <v>2</v>
      </c>
      <c r="G5458" s="2" t="s">
        <v>12</v>
      </c>
    </row>
    <row r="5459" spans="1:7" x14ac:dyDescent="0.2">
      <c r="A5459" s="2" t="s">
        <v>6826</v>
      </c>
      <c r="B5459" s="2" t="s">
        <v>6832</v>
      </c>
      <c r="C5459" s="2" t="s">
        <v>6828</v>
      </c>
      <c r="D5459" s="2" t="s">
        <v>10</v>
      </c>
      <c r="E5459" s="2" t="s">
        <v>52</v>
      </c>
      <c r="F5459" s="2">
        <v>4</v>
      </c>
      <c r="G5459" s="2" t="s">
        <v>12</v>
      </c>
    </row>
    <row r="5460" spans="1:7" x14ac:dyDescent="0.2">
      <c r="A5460" s="2" t="s">
        <v>6826</v>
      </c>
      <c r="B5460" s="2" t="s">
        <v>6833</v>
      </c>
      <c r="C5460" s="2" t="s">
        <v>6828</v>
      </c>
      <c r="D5460" s="2" t="s">
        <v>10</v>
      </c>
      <c r="E5460" s="2" t="s">
        <v>52</v>
      </c>
      <c r="F5460" s="2">
        <v>4</v>
      </c>
      <c r="G5460" s="2" t="s">
        <v>12</v>
      </c>
    </row>
    <row r="5461" spans="1:7" x14ac:dyDescent="0.2">
      <c r="A5461" s="2" t="s">
        <v>6826</v>
      </c>
      <c r="B5461" s="2" t="s">
        <v>6834</v>
      </c>
      <c r="C5461" s="2" t="s">
        <v>6828</v>
      </c>
      <c r="D5461" s="2" t="s">
        <v>10</v>
      </c>
      <c r="E5461" s="2" t="s">
        <v>52</v>
      </c>
      <c r="F5461" s="2">
        <v>4</v>
      </c>
      <c r="G5461" s="2" t="s">
        <v>12</v>
      </c>
    </row>
    <row r="5462" spans="1:7" x14ac:dyDescent="0.2">
      <c r="A5462" s="2" t="s">
        <v>6826</v>
      </c>
      <c r="B5462" s="2" t="s">
        <v>6835</v>
      </c>
      <c r="C5462" s="2" t="s">
        <v>6828</v>
      </c>
      <c r="D5462" s="2" t="s">
        <v>10</v>
      </c>
      <c r="E5462" s="2" t="s">
        <v>52</v>
      </c>
      <c r="F5462" s="2">
        <v>4</v>
      </c>
      <c r="G5462" s="2" t="s">
        <v>12</v>
      </c>
    </row>
    <row r="5463" spans="1:7" x14ac:dyDescent="0.2">
      <c r="A5463" s="2" t="s">
        <v>6826</v>
      </c>
      <c r="B5463" s="2" t="s">
        <v>6836</v>
      </c>
      <c r="C5463" s="2" t="s">
        <v>6828</v>
      </c>
      <c r="D5463" s="2" t="s">
        <v>10</v>
      </c>
      <c r="E5463" s="2" t="s">
        <v>52</v>
      </c>
      <c r="F5463" s="2">
        <v>4</v>
      </c>
      <c r="G5463" s="2" t="s">
        <v>12</v>
      </c>
    </row>
    <row r="5464" spans="1:7" x14ac:dyDescent="0.2">
      <c r="A5464" s="2" t="s">
        <v>6826</v>
      </c>
      <c r="B5464" s="2" t="s">
        <v>6837</v>
      </c>
      <c r="C5464" s="2" t="s">
        <v>6323</v>
      </c>
      <c r="D5464" s="2" t="s">
        <v>10</v>
      </c>
      <c r="E5464" s="2" t="s">
        <v>11</v>
      </c>
      <c r="F5464" s="2">
        <v>2</v>
      </c>
      <c r="G5464" s="2" t="s">
        <v>12</v>
      </c>
    </row>
    <row r="5465" spans="1:7" x14ac:dyDescent="0.2">
      <c r="A5465" s="2" t="s">
        <v>6826</v>
      </c>
      <c r="B5465" s="2" t="s">
        <v>6838</v>
      </c>
      <c r="C5465" s="2" t="s">
        <v>6839</v>
      </c>
      <c r="D5465" s="2" t="s">
        <v>10</v>
      </c>
      <c r="E5465" s="2" t="s">
        <v>52</v>
      </c>
      <c r="F5465" s="2">
        <v>4</v>
      </c>
      <c r="G5465" s="2" t="s">
        <v>12</v>
      </c>
    </row>
    <row r="5466" spans="1:7" x14ac:dyDescent="0.2">
      <c r="A5466" s="2" t="s">
        <v>6826</v>
      </c>
      <c r="B5466" s="2" t="s">
        <v>6840</v>
      </c>
      <c r="C5466" s="2" t="s">
        <v>6841</v>
      </c>
      <c r="D5466" s="2" t="s">
        <v>10</v>
      </c>
      <c r="E5466" s="2" t="s">
        <v>11</v>
      </c>
      <c r="F5466" s="2">
        <v>4</v>
      </c>
      <c r="G5466" s="2" t="s">
        <v>1069</v>
      </c>
    </row>
    <row r="5467" spans="1:7" x14ac:dyDescent="0.2">
      <c r="A5467" s="2" t="s">
        <v>6826</v>
      </c>
      <c r="B5467" s="2" t="s">
        <v>6842</v>
      </c>
      <c r="C5467" s="2" t="s">
        <v>6830</v>
      </c>
      <c r="D5467" s="2" t="s">
        <v>10</v>
      </c>
      <c r="E5467" s="2" t="s">
        <v>11</v>
      </c>
      <c r="F5467" s="2">
        <v>4</v>
      </c>
      <c r="G5467" s="2" t="s">
        <v>1069</v>
      </c>
    </row>
    <row r="5468" spans="1:7" x14ac:dyDescent="0.2">
      <c r="A5468" s="2" t="s">
        <v>6826</v>
      </c>
      <c r="B5468" s="2" t="s">
        <v>6843</v>
      </c>
      <c r="C5468" s="2" t="s">
        <v>6830</v>
      </c>
      <c r="D5468" s="2" t="s">
        <v>10</v>
      </c>
      <c r="E5468" s="2" t="s">
        <v>11</v>
      </c>
      <c r="F5468" s="2">
        <v>4</v>
      </c>
      <c r="G5468" s="2" t="s">
        <v>1069</v>
      </c>
    </row>
    <row r="5469" spans="1:7" x14ac:dyDescent="0.2">
      <c r="A5469" s="2" t="s">
        <v>6826</v>
      </c>
      <c r="B5469" s="2" t="s">
        <v>6844</v>
      </c>
      <c r="C5469" s="2" t="s">
        <v>6830</v>
      </c>
      <c r="D5469" s="2" t="s">
        <v>10</v>
      </c>
      <c r="E5469" s="2" t="s">
        <v>11</v>
      </c>
      <c r="F5469" s="2">
        <v>4</v>
      </c>
      <c r="G5469" s="2" t="s">
        <v>1069</v>
      </c>
    </row>
    <row r="5470" spans="1:7" x14ac:dyDescent="0.2">
      <c r="A5470" s="2" t="s">
        <v>6826</v>
      </c>
      <c r="B5470" s="2" t="s">
        <v>6845</v>
      </c>
      <c r="C5470" s="2" t="s">
        <v>6830</v>
      </c>
      <c r="D5470" s="2" t="s">
        <v>10</v>
      </c>
      <c r="E5470" s="2" t="s">
        <v>11</v>
      </c>
      <c r="F5470" s="2">
        <v>4</v>
      </c>
      <c r="G5470" s="2" t="s">
        <v>1069</v>
      </c>
    </row>
    <row r="5471" spans="1:7" x14ac:dyDescent="0.2">
      <c r="A5471" s="2" t="s">
        <v>6826</v>
      </c>
      <c r="B5471" s="2" t="s">
        <v>6846</v>
      </c>
      <c r="C5471" s="2" t="s">
        <v>6847</v>
      </c>
      <c r="D5471" s="2" t="s">
        <v>10</v>
      </c>
      <c r="E5471" s="2" t="s">
        <v>11</v>
      </c>
      <c r="F5471" s="2">
        <v>4</v>
      </c>
      <c r="G5471" s="2" t="s">
        <v>1069</v>
      </c>
    </row>
    <row r="5472" spans="1:7" x14ac:dyDescent="0.2">
      <c r="A5472" s="2" t="s">
        <v>6826</v>
      </c>
      <c r="B5472" s="2" t="s">
        <v>6848</v>
      </c>
      <c r="C5472" s="2" t="s">
        <v>6847</v>
      </c>
      <c r="D5472" s="2" t="s">
        <v>10</v>
      </c>
      <c r="E5472" s="2" t="s">
        <v>11</v>
      </c>
      <c r="F5472" s="2">
        <v>4</v>
      </c>
      <c r="G5472" s="2" t="s">
        <v>1069</v>
      </c>
    </row>
    <row r="5473" spans="1:7" x14ac:dyDescent="0.2">
      <c r="A5473" s="2" t="s">
        <v>6826</v>
      </c>
      <c r="B5473" s="2" t="s">
        <v>6849</v>
      </c>
      <c r="C5473" s="2" t="s">
        <v>6850</v>
      </c>
      <c r="D5473" s="2" t="s">
        <v>10</v>
      </c>
      <c r="E5473" s="2" t="s">
        <v>11</v>
      </c>
      <c r="F5473" s="2">
        <v>4</v>
      </c>
      <c r="G5473" s="2" t="s">
        <v>1069</v>
      </c>
    </row>
    <row r="5474" spans="1:7" x14ac:dyDescent="0.2">
      <c r="A5474" s="2" t="s">
        <v>6826</v>
      </c>
      <c r="B5474" s="2" t="s">
        <v>6851</v>
      </c>
      <c r="C5474" s="2" t="s">
        <v>6852</v>
      </c>
      <c r="D5474" s="2" t="s">
        <v>10</v>
      </c>
      <c r="E5474" s="2" t="s">
        <v>16</v>
      </c>
      <c r="F5474" s="2">
        <v>1</v>
      </c>
      <c r="G5474" s="2" t="s">
        <v>17</v>
      </c>
    </row>
    <row r="5475" spans="1:7" x14ac:dyDescent="0.2">
      <c r="A5475" s="2" t="s">
        <v>6826</v>
      </c>
      <c r="B5475" s="2" t="s">
        <v>6853</v>
      </c>
      <c r="C5475" s="2" t="s">
        <v>6854</v>
      </c>
      <c r="D5475" s="2" t="s">
        <v>10</v>
      </c>
      <c r="E5475" s="2" t="s">
        <v>52</v>
      </c>
      <c r="F5475" s="2">
        <v>2</v>
      </c>
      <c r="G5475" s="2" t="s">
        <v>12</v>
      </c>
    </row>
    <row r="5476" spans="1:7" x14ac:dyDescent="0.2">
      <c r="A5476" s="2" t="s">
        <v>6826</v>
      </c>
      <c r="B5476" s="2" t="s">
        <v>6855</v>
      </c>
      <c r="C5476" s="2" t="s">
        <v>6828</v>
      </c>
      <c r="D5476" s="2" t="s">
        <v>10</v>
      </c>
      <c r="E5476" s="2" t="s">
        <v>52</v>
      </c>
      <c r="F5476" s="2">
        <v>4</v>
      </c>
      <c r="G5476" s="2" t="s">
        <v>12</v>
      </c>
    </row>
    <row r="5477" spans="1:7" x14ac:dyDescent="0.2">
      <c r="A5477" s="2" t="s">
        <v>6856</v>
      </c>
      <c r="B5477" s="2" t="s">
        <v>6857</v>
      </c>
      <c r="C5477" s="2" t="s">
        <v>47</v>
      </c>
      <c r="D5477" s="2" t="s">
        <v>10</v>
      </c>
      <c r="E5477" s="2" t="s">
        <v>16</v>
      </c>
      <c r="F5477" s="2">
        <v>1</v>
      </c>
      <c r="G5477" s="2" t="s">
        <v>17</v>
      </c>
    </row>
    <row r="5478" spans="1:7" x14ac:dyDescent="0.2">
      <c r="A5478" s="2" t="s">
        <v>6856</v>
      </c>
      <c r="B5478" s="2" t="s">
        <v>6858</v>
      </c>
      <c r="C5478" s="2" t="s">
        <v>267</v>
      </c>
      <c r="D5478" s="2" t="s">
        <v>10</v>
      </c>
      <c r="E5478" s="2" t="s">
        <v>16</v>
      </c>
      <c r="F5478" s="2">
        <v>1</v>
      </c>
      <c r="G5478" s="2" t="s">
        <v>17</v>
      </c>
    </row>
    <row r="5479" spans="1:7" x14ac:dyDescent="0.2">
      <c r="A5479" s="2" t="s">
        <v>6859</v>
      </c>
      <c r="B5479" s="2" t="s">
        <v>6860</v>
      </c>
      <c r="C5479" s="2" t="s">
        <v>4165</v>
      </c>
      <c r="D5479" s="2" t="s">
        <v>10</v>
      </c>
      <c r="E5479" s="2" t="s">
        <v>52</v>
      </c>
      <c r="F5479" s="2">
        <v>2</v>
      </c>
      <c r="G5479" s="2" t="s">
        <v>12</v>
      </c>
    </row>
    <row r="5480" spans="1:7" x14ac:dyDescent="0.2">
      <c r="A5480" s="2" t="s">
        <v>6859</v>
      </c>
      <c r="B5480" s="2" t="s">
        <v>6153</v>
      </c>
      <c r="C5480" s="2" t="s">
        <v>4165</v>
      </c>
      <c r="D5480" s="2" t="s">
        <v>10</v>
      </c>
      <c r="E5480" s="2" t="s">
        <v>52</v>
      </c>
      <c r="F5480" s="2">
        <v>2</v>
      </c>
      <c r="G5480" s="2" t="s">
        <v>12</v>
      </c>
    </row>
    <row r="5481" spans="1:7" x14ac:dyDescent="0.2">
      <c r="A5481" s="2" t="s">
        <v>6859</v>
      </c>
      <c r="B5481" s="2" t="s">
        <v>6165</v>
      </c>
      <c r="C5481" s="2" t="s">
        <v>4165</v>
      </c>
      <c r="D5481" s="2" t="s">
        <v>10</v>
      </c>
      <c r="E5481" s="2" t="s">
        <v>52</v>
      </c>
      <c r="F5481" s="2">
        <v>2</v>
      </c>
      <c r="G5481" s="2" t="s">
        <v>12</v>
      </c>
    </row>
    <row r="5482" spans="1:7" x14ac:dyDescent="0.2">
      <c r="A5482" s="2" t="s">
        <v>6861</v>
      </c>
      <c r="B5482" s="2" t="s">
        <v>6862</v>
      </c>
      <c r="C5482" s="2" t="s">
        <v>6863</v>
      </c>
      <c r="D5482" s="2" t="s">
        <v>10</v>
      </c>
      <c r="E5482" s="2" t="s">
        <v>16</v>
      </c>
      <c r="F5482" s="2">
        <v>1</v>
      </c>
      <c r="G5482" s="2" t="s">
        <v>17</v>
      </c>
    </row>
    <row r="5483" spans="1:7" x14ac:dyDescent="0.2">
      <c r="A5483" s="2" t="s">
        <v>6861</v>
      </c>
      <c r="B5483" s="2" t="s">
        <v>6864</v>
      </c>
      <c r="C5483" s="2" t="s">
        <v>6863</v>
      </c>
      <c r="D5483" s="2" t="s">
        <v>10</v>
      </c>
      <c r="E5483" s="2" t="s">
        <v>16</v>
      </c>
      <c r="F5483" s="2">
        <v>1</v>
      </c>
      <c r="G5483" s="2" t="s">
        <v>17</v>
      </c>
    </row>
    <row r="5484" spans="1:7" x14ac:dyDescent="0.2">
      <c r="A5484" s="2" t="s">
        <v>6861</v>
      </c>
      <c r="B5484" s="2" t="s">
        <v>6865</v>
      </c>
      <c r="C5484" s="2" t="s">
        <v>6863</v>
      </c>
      <c r="D5484" s="2" t="s">
        <v>10</v>
      </c>
      <c r="E5484" s="2" t="s">
        <v>16</v>
      </c>
      <c r="F5484" s="2">
        <v>1</v>
      </c>
      <c r="G5484" s="2" t="s">
        <v>17</v>
      </c>
    </row>
    <row r="5485" spans="1:7" x14ac:dyDescent="0.2">
      <c r="A5485" s="2" t="s">
        <v>6866</v>
      </c>
      <c r="B5485" s="2" t="s">
        <v>3397</v>
      </c>
      <c r="C5485" s="2" t="s">
        <v>3398</v>
      </c>
      <c r="D5485" s="2" t="s">
        <v>10</v>
      </c>
      <c r="E5485" s="2" t="s">
        <v>11</v>
      </c>
      <c r="F5485" s="2">
        <v>1</v>
      </c>
      <c r="G5485" s="2" t="s">
        <v>17</v>
      </c>
    </row>
    <row r="5486" spans="1:7" x14ac:dyDescent="0.2">
      <c r="A5486" s="2" t="s">
        <v>6866</v>
      </c>
      <c r="B5486" s="2" t="s">
        <v>3402</v>
      </c>
      <c r="C5486" s="2" t="s">
        <v>3398</v>
      </c>
      <c r="D5486" s="2" t="s">
        <v>10</v>
      </c>
      <c r="E5486" s="2" t="s">
        <v>11</v>
      </c>
      <c r="F5486" s="2">
        <v>1</v>
      </c>
      <c r="G5486" s="2" t="s">
        <v>17</v>
      </c>
    </row>
    <row r="5487" spans="1:7" x14ac:dyDescent="0.2">
      <c r="A5487" s="2" t="s">
        <v>6866</v>
      </c>
      <c r="B5487" s="2" t="s">
        <v>3406</v>
      </c>
      <c r="C5487" s="2" t="s">
        <v>3398</v>
      </c>
      <c r="D5487" s="2" t="s">
        <v>10</v>
      </c>
      <c r="E5487" s="2" t="s">
        <v>11</v>
      </c>
      <c r="F5487" s="2">
        <v>1</v>
      </c>
      <c r="G5487" s="2" t="s">
        <v>17</v>
      </c>
    </row>
    <row r="5488" spans="1:7" x14ac:dyDescent="0.2">
      <c r="A5488" s="2" t="s">
        <v>6866</v>
      </c>
      <c r="B5488" s="2" t="s">
        <v>922</v>
      </c>
      <c r="C5488" s="2" t="s">
        <v>903</v>
      </c>
      <c r="D5488" s="2" t="s">
        <v>10</v>
      </c>
      <c r="E5488" s="2" t="s">
        <v>16</v>
      </c>
      <c r="F5488" s="2">
        <v>1</v>
      </c>
      <c r="G5488" s="2" t="s">
        <v>17</v>
      </c>
    </row>
    <row r="5489" spans="1:7" x14ac:dyDescent="0.2">
      <c r="A5489" s="2" t="s">
        <v>6866</v>
      </c>
      <c r="B5489" s="2" t="s">
        <v>3414</v>
      </c>
      <c r="C5489" s="2" t="s">
        <v>3398</v>
      </c>
      <c r="D5489" s="2" t="s">
        <v>10</v>
      </c>
      <c r="E5489" s="2" t="s">
        <v>11</v>
      </c>
      <c r="F5489" s="2">
        <v>1</v>
      </c>
      <c r="G5489" s="2" t="s">
        <v>17</v>
      </c>
    </row>
    <row r="5490" spans="1:7" x14ac:dyDescent="0.2">
      <c r="A5490" s="2" t="s">
        <v>6866</v>
      </c>
      <c r="B5490" s="2" t="s">
        <v>940</v>
      </c>
      <c r="C5490" s="2" t="s">
        <v>903</v>
      </c>
      <c r="D5490" s="2" t="s">
        <v>10</v>
      </c>
      <c r="E5490" s="2" t="s">
        <v>16</v>
      </c>
      <c r="F5490" s="2">
        <v>1</v>
      </c>
      <c r="G5490" s="2" t="s">
        <v>17</v>
      </c>
    </row>
    <row r="5491" spans="1:7" x14ac:dyDescent="0.2">
      <c r="A5491" s="2" t="s">
        <v>6866</v>
      </c>
      <c r="B5491" s="2" t="s">
        <v>3418</v>
      </c>
      <c r="C5491" s="2" t="s">
        <v>3419</v>
      </c>
      <c r="D5491" s="2" t="s">
        <v>10</v>
      </c>
      <c r="E5491" s="2" t="s">
        <v>16</v>
      </c>
      <c r="F5491" s="2">
        <v>1</v>
      </c>
      <c r="G5491" s="2" t="s">
        <v>17</v>
      </c>
    </row>
    <row r="5492" spans="1:7" x14ac:dyDescent="0.2">
      <c r="A5492" s="2" t="s">
        <v>6866</v>
      </c>
      <c r="B5492" s="2" t="s">
        <v>3423</v>
      </c>
      <c r="C5492" s="2" t="s">
        <v>3419</v>
      </c>
      <c r="D5492" s="2" t="s">
        <v>10</v>
      </c>
      <c r="E5492" s="2" t="s">
        <v>16</v>
      </c>
      <c r="F5492" s="2">
        <v>1</v>
      </c>
      <c r="G5492" s="2" t="s">
        <v>17</v>
      </c>
    </row>
    <row r="5493" spans="1:7" x14ac:dyDescent="0.2">
      <c r="A5493" s="2" t="s">
        <v>6866</v>
      </c>
      <c r="B5493" s="2" t="s">
        <v>3424</v>
      </c>
      <c r="C5493" s="2" t="s">
        <v>3398</v>
      </c>
      <c r="D5493" s="2" t="s">
        <v>10</v>
      </c>
      <c r="E5493" s="2" t="s">
        <v>11</v>
      </c>
      <c r="F5493" s="2">
        <v>1</v>
      </c>
      <c r="G5493" s="2" t="s">
        <v>17</v>
      </c>
    </row>
    <row r="5494" spans="1:7" x14ac:dyDescent="0.2">
      <c r="A5494" s="2" t="s">
        <v>6867</v>
      </c>
      <c r="B5494" s="2" t="s">
        <v>6868</v>
      </c>
      <c r="C5494" s="2" t="s">
        <v>1290</v>
      </c>
      <c r="D5494" s="2" t="s">
        <v>10</v>
      </c>
      <c r="E5494" s="2" t="s">
        <v>16</v>
      </c>
      <c r="F5494" s="2">
        <v>1</v>
      </c>
      <c r="G5494" s="2" t="s">
        <v>17</v>
      </c>
    </row>
    <row r="5495" spans="1:7" x14ac:dyDescent="0.2">
      <c r="A5495" s="2" t="s">
        <v>6867</v>
      </c>
      <c r="B5495" s="2" t="s">
        <v>6869</v>
      </c>
      <c r="C5495" s="2" t="s">
        <v>1290</v>
      </c>
      <c r="D5495" s="2" t="s">
        <v>10</v>
      </c>
      <c r="E5495" s="2" t="s">
        <v>16</v>
      </c>
      <c r="F5495" s="2">
        <v>1</v>
      </c>
      <c r="G5495" s="2" t="s">
        <v>17</v>
      </c>
    </row>
    <row r="5496" spans="1:7" x14ac:dyDescent="0.2">
      <c r="A5496" s="2" t="s">
        <v>6867</v>
      </c>
      <c r="B5496" s="2" t="s">
        <v>6870</v>
      </c>
      <c r="C5496" s="2" t="s">
        <v>1290</v>
      </c>
      <c r="D5496" s="2" t="s">
        <v>10</v>
      </c>
      <c r="E5496" s="2" t="s">
        <v>16</v>
      </c>
      <c r="F5496" s="2">
        <v>1</v>
      </c>
      <c r="G5496" s="2" t="s">
        <v>17</v>
      </c>
    </row>
    <row r="5497" spans="1:7" x14ac:dyDescent="0.2">
      <c r="A5497" s="2" t="s">
        <v>6867</v>
      </c>
      <c r="B5497" s="2" t="s">
        <v>6871</v>
      </c>
      <c r="C5497" s="2" t="s">
        <v>1290</v>
      </c>
      <c r="D5497" s="2" t="s">
        <v>10</v>
      </c>
      <c r="E5497" s="2" t="s">
        <v>16</v>
      </c>
      <c r="F5497" s="2">
        <v>1</v>
      </c>
      <c r="G5497" s="2" t="s">
        <v>17</v>
      </c>
    </row>
    <row r="5498" spans="1:7" x14ac:dyDescent="0.2">
      <c r="A5498" s="2" t="s">
        <v>6872</v>
      </c>
      <c r="B5498" s="2" t="s">
        <v>6873</v>
      </c>
      <c r="C5498" s="2" t="s">
        <v>6874</v>
      </c>
      <c r="D5498" s="2" t="s">
        <v>29</v>
      </c>
      <c r="E5498" s="2" t="s">
        <v>16</v>
      </c>
      <c r="F5498" s="2">
        <v>1</v>
      </c>
      <c r="G5498" s="2" t="s">
        <v>17</v>
      </c>
    </row>
    <row r="5499" spans="1:7" x14ac:dyDescent="0.2">
      <c r="A5499" s="2" t="s">
        <v>6872</v>
      </c>
      <c r="B5499" s="2" t="s">
        <v>6875</v>
      </c>
      <c r="C5499" s="2" t="s">
        <v>6874</v>
      </c>
      <c r="D5499" s="2" t="s">
        <v>29</v>
      </c>
      <c r="E5499" s="2" t="s">
        <v>16</v>
      </c>
      <c r="F5499" s="2">
        <v>1</v>
      </c>
      <c r="G5499" s="2" t="s">
        <v>17</v>
      </c>
    </row>
    <row r="5500" spans="1:7" x14ac:dyDescent="0.2">
      <c r="A5500" s="2" t="s">
        <v>6876</v>
      </c>
      <c r="B5500" s="2" t="s">
        <v>6877</v>
      </c>
      <c r="C5500" s="2" t="s">
        <v>97</v>
      </c>
      <c r="D5500" s="2" t="s">
        <v>10</v>
      </c>
      <c r="E5500" s="2" t="s">
        <v>16</v>
      </c>
      <c r="F5500" s="2">
        <v>1</v>
      </c>
      <c r="G5500" s="2" t="s">
        <v>17</v>
      </c>
    </row>
    <row r="5501" spans="1:7" x14ac:dyDescent="0.2">
      <c r="A5501" s="2" t="s">
        <v>6876</v>
      </c>
      <c r="B5501" s="2" t="s">
        <v>6878</v>
      </c>
      <c r="C5501" s="2" t="s">
        <v>97</v>
      </c>
      <c r="D5501" s="2" t="s">
        <v>10</v>
      </c>
      <c r="E5501" s="2" t="s">
        <v>16</v>
      </c>
      <c r="F5501" s="2">
        <v>1</v>
      </c>
      <c r="G5501" s="2" t="s">
        <v>17</v>
      </c>
    </row>
    <row r="5502" spans="1:7" x14ac:dyDescent="0.2">
      <c r="A5502" s="2" t="s">
        <v>6876</v>
      </c>
      <c r="B5502" s="2" t="s">
        <v>6879</v>
      </c>
      <c r="C5502" s="2" t="s">
        <v>97</v>
      </c>
      <c r="D5502" s="2" t="s">
        <v>10</v>
      </c>
      <c r="E5502" s="2" t="s">
        <v>16</v>
      </c>
      <c r="F5502" s="2">
        <v>1</v>
      </c>
      <c r="G5502" s="2" t="s">
        <v>17</v>
      </c>
    </row>
    <row r="5503" spans="1:7" x14ac:dyDescent="0.2">
      <c r="A5503" s="2" t="s">
        <v>6876</v>
      </c>
      <c r="B5503" s="2" t="s">
        <v>6880</v>
      </c>
      <c r="C5503" s="2" t="s">
        <v>97</v>
      </c>
      <c r="D5503" s="2" t="s">
        <v>10</v>
      </c>
      <c r="E5503" s="2" t="s">
        <v>16</v>
      </c>
      <c r="F5503" s="2">
        <v>1</v>
      </c>
      <c r="G5503" s="2" t="s">
        <v>17</v>
      </c>
    </row>
    <row r="5504" spans="1:7" x14ac:dyDescent="0.2">
      <c r="A5504" s="2" t="s">
        <v>6876</v>
      </c>
      <c r="B5504" s="2" t="s">
        <v>6881</v>
      </c>
      <c r="C5504" s="2" t="s">
        <v>97</v>
      </c>
      <c r="D5504" s="2" t="s">
        <v>10</v>
      </c>
      <c r="E5504" s="2" t="s">
        <v>16</v>
      </c>
      <c r="F5504" s="2">
        <v>1</v>
      </c>
      <c r="G5504" s="2" t="s">
        <v>17</v>
      </c>
    </row>
    <row r="5505" spans="1:7" x14ac:dyDescent="0.2">
      <c r="A5505" s="2" t="s">
        <v>6876</v>
      </c>
      <c r="B5505" s="2" t="s">
        <v>6882</v>
      </c>
      <c r="C5505" s="2" t="s">
        <v>97</v>
      </c>
      <c r="D5505" s="2" t="s">
        <v>10</v>
      </c>
      <c r="E5505" s="2" t="s">
        <v>16</v>
      </c>
      <c r="F5505" s="2">
        <v>1</v>
      </c>
      <c r="G5505" s="2" t="s">
        <v>17</v>
      </c>
    </row>
    <row r="5506" spans="1:7" x14ac:dyDescent="0.2">
      <c r="A5506" s="2" t="s">
        <v>6883</v>
      </c>
      <c r="B5506" s="2" t="s">
        <v>6884</v>
      </c>
      <c r="C5506" s="2" t="s">
        <v>6885</v>
      </c>
      <c r="D5506" s="2" t="s">
        <v>10</v>
      </c>
      <c r="E5506" s="2" t="s">
        <v>16</v>
      </c>
      <c r="F5506" s="2">
        <v>1</v>
      </c>
      <c r="G5506" s="2" t="s">
        <v>17</v>
      </c>
    </row>
    <row r="5507" spans="1:7" x14ac:dyDescent="0.2">
      <c r="A5507" s="2" t="s">
        <v>6883</v>
      </c>
      <c r="B5507" s="2" t="s">
        <v>6886</v>
      </c>
      <c r="C5507" s="2" t="s">
        <v>6885</v>
      </c>
      <c r="D5507" s="2" t="s">
        <v>10</v>
      </c>
      <c r="E5507" s="2" t="s">
        <v>16</v>
      </c>
      <c r="F5507" s="2">
        <v>1</v>
      </c>
      <c r="G5507" s="2" t="s">
        <v>17</v>
      </c>
    </row>
    <row r="5508" spans="1:7" x14ac:dyDescent="0.2">
      <c r="A5508" s="2" t="s">
        <v>6883</v>
      </c>
      <c r="B5508" s="2" t="s">
        <v>6887</v>
      </c>
      <c r="C5508" s="2" t="s">
        <v>6888</v>
      </c>
      <c r="D5508" s="2" t="s">
        <v>10</v>
      </c>
      <c r="E5508" s="2" t="s">
        <v>16</v>
      </c>
      <c r="F5508" s="2">
        <v>2</v>
      </c>
      <c r="G5508" s="2" t="s">
        <v>17</v>
      </c>
    </row>
    <row r="5509" spans="1:7" x14ac:dyDescent="0.2">
      <c r="A5509" s="2" t="s">
        <v>6889</v>
      </c>
      <c r="B5509" s="2" t="s">
        <v>6890</v>
      </c>
      <c r="C5509" s="2" t="s">
        <v>6891</v>
      </c>
      <c r="D5509" s="2" t="s">
        <v>10</v>
      </c>
      <c r="E5509" s="2" t="s">
        <v>16</v>
      </c>
      <c r="F5509" s="2">
        <v>1</v>
      </c>
      <c r="G5509" s="2" t="s">
        <v>17</v>
      </c>
    </row>
    <row r="5510" spans="1:7" x14ac:dyDescent="0.2">
      <c r="A5510" s="2" t="s">
        <v>6892</v>
      </c>
      <c r="B5510" s="2" t="s">
        <v>3687</v>
      </c>
      <c r="C5510" s="2" t="s">
        <v>6893</v>
      </c>
      <c r="D5510" s="2" t="s">
        <v>10</v>
      </c>
      <c r="E5510" s="2" t="s">
        <v>16</v>
      </c>
      <c r="F5510" s="2">
        <v>1</v>
      </c>
      <c r="G5510" s="2" t="s">
        <v>17</v>
      </c>
    </row>
    <row r="5511" spans="1:7" x14ac:dyDescent="0.2">
      <c r="A5511" s="2" t="s">
        <v>6892</v>
      </c>
      <c r="B5511" s="2" t="s">
        <v>6894</v>
      </c>
      <c r="C5511" s="2" t="s">
        <v>6895</v>
      </c>
      <c r="D5511" s="2" t="s">
        <v>10</v>
      </c>
      <c r="E5511" s="2" t="s">
        <v>16</v>
      </c>
      <c r="F5511" s="2">
        <v>1</v>
      </c>
      <c r="G5511" s="2" t="s">
        <v>17</v>
      </c>
    </row>
    <row r="5512" spans="1:7" x14ac:dyDescent="0.2">
      <c r="A5512" s="2" t="s">
        <v>6892</v>
      </c>
      <c r="B5512" s="2" t="s">
        <v>2802</v>
      </c>
      <c r="C5512" s="2" t="s">
        <v>6896</v>
      </c>
      <c r="D5512" s="2" t="s">
        <v>10</v>
      </c>
      <c r="E5512" s="2" t="s">
        <v>16</v>
      </c>
      <c r="F5512" s="2">
        <v>1</v>
      </c>
      <c r="G5512" s="2" t="s">
        <v>17</v>
      </c>
    </row>
    <row r="5513" spans="1:7" x14ac:dyDescent="0.2">
      <c r="A5513" s="2" t="s">
        <v>6897</v>
      </c>
      <c r="B5513" s="2" t="s">
        <v>6898</v>
      </c>
      <c r="C5513" s="2" t="s">
        <v>6899</v>
      </c>
      <c r="D5513" s="2" t="s">
        <v>10</v>
      </c>
      <c r="E5513" s="2" t="s">
        <v>11</v>
      </c>
      <c r="F5513" s="2">
        <v>1</v>
      </c>
      <c r="G5513" s="2" t="s">
        <v>12</v>
      </c>
    </row>
    <row r="5514" spans="1:7" x14ac:dyDescent="0.2">
      <c r="A5514" s="2" t="s">
        <v>6897</v>
      </c>
      <c r="B5514" s="2" t="s">
        <v>6900</v>
      </c>
      <c r="C5514" s="2" t="s">
        <v>6901</v>
      </c>
      <c r="D5514" s="2" t="s">
        <v>10</v>
      </c>
      <c r="E5514" s="2" t="s">
        <v>16</v>
      </c>
      <c r="F5514" s="2">
        <v>1</v>
      </c>
      <c r="G5514" s="2" t="s">
        <v>17</v>
      </c>
    </row>
    <row r="5515" spans="1:7" x14ac:dyDescent="0.2">
      <c r="A5515" s="2" t="s">
        <v>6897</v>
      </c>
      <c r="B5515" s="2" t="s">
        <v>6902</v>
      </c>
      <c r="C5515" s="2" t="s">
        <v>6899</v>
      </c>
      <c r="D5515" s="2" t="s">
        <v>10</v>
      </c>
      <c r="E5515" s="2" t="s">
        <v>11</v>
      </c>
      <c r="F5515" s="2">
        <v>1</v>
      </c>
      <c r="G5515" s="2" t="s">
        <v>12</v>
      </c>
    </row>
    <row r="5516" spans="1:7" x14ac:dyDescent="0.2">
      <c r="A5516" s="2" t="s">
        <v>6897</v>
      </c>
      <c r="B5516" s="2" t="s">
        <v>6903</v>
      </c>
      <c r="C5516" s="2" t="s">
        <v>6904</v>
      </c>
      <c r="D5516" s="2" t="s">
        <v>56</v>
      </c>
      <c r="E5516" s="2" t="s">
        <v>16</v>
      </c>
      <c r="F5516" s="2">
        <v>1</v>
      </c>
      <c r="G5516" s="2" t="s">
        <v>17</v>
      </c>
    </row>
    <row r="5517" spans="1:7" x14ac:dyDescent="0.2">
      <c r="A5517" s="2" t="s">
        <v>6897</v>
      </c>
      <c r="B5517" s="2" t="s">
        <v>6905</v>
      </c>
      <c r="C5517" s="2" t="s">
        <v>6901</v>
      </c>
      <c r="D5517" s="2" t="s">
        <v>10</v>
      </c>
      <c r="E5517" s="2" t="s">
        <v>16</v>
      </c>
      <c r="F5517" s="2">
        <v>1</v>
      </c>
      <c r="G5517" s="2" t="s">
        <v>17</v>
      </c>
    </row>
    <row r="5518" spans="1:7" x14ac:dyDescent="0.2">
      <c r="A5518" s="2" t="s">
        <v>6906</v>
      </c>
      <c r="B5518" s="2" t="s">
        <v>2551</v>
      </c>
      <c r="C5518" s="2" t="s">
        <v>2552</v>
      </c>
      <c r="D5518" s="2" t="s">
        <v>10</v>
      </c>
      <c r="E5518" s="2" t="s">
        <v>16</v>
      </c>
      <c r="F5518" s="2">
        <v>1</v>
      </c>
      <c r="G5518" s="2" t="s">
        <v>17</v>
      </c>
    </row>
    <row r="5519" spans="1:7" x14ac:dyDescent="0.2">
      <c r="A5519" s="2" t="s">
        <v>6906</v>
      </c>
      <c r="B5519" s="2" t="s">
        <v>2553</v>
      </c>
      <c r="C5519" s="2" t="s">
        <v>2552</v>
      </c>
      <c r="D5519" s="2" t="s">
        <v>10</v>
      </c>
      <c r="E5519" s="2" t="s">
        <v>16</v>
      </c>
      <c r="F5519" s="2">
        <v>1</v>
      </c>
      <c r="G5519" s="2" t="s">
        <v>17</v>
      </c>
    </row>
    <row r="5520" spans="1:7" x14ac:dyDescent="0.2">
      <c r="A5520" s="2" t="s">
        <v>6906</v>
      </c>
      <c r="B5520" s="2" t="s">
        <v>2554</v>
      </c>
      <c r="C5520" s="2" t="s">
        <v>2552</v>
      </c>
      <c r="D5520" s="2" t="s">
        <v>10</v>
      </c>
      <c r="E5520" s="2" t="s">
        <v>16</v>
      </c>
      <c r="F5520" s="2">
        <v>1</v>
      </c>
      <c r="G5520" s="2" t="s">
        <v>17</v>
      </c>
    </row>
    <row r="5521" spans="1:7" x14ac:dyDescent="0.2">
      <c r="A5521" s="2" t="s">
        <v>6906</v>
      </c>
      <c r="B5521" s="2" t="s">
        <v>2563</v>
      </c>
      <c r="C5521" s="2" t="s">
        <v>2552</v>
      </c>
      <c r="D5521" s="2" t="s">
        <v>10</v>
      </c>
      <c r="E5521" s="2" t="s">
        <v>16</v>
      </c>
      <c r="F5521" s="2">
        <v>1</v>
      </c>
      <c r="G5521" s="2" t="s">
        <v>17</v>
      </c>
    </row>
    <row r="5522" spans="1:7" x14ac:dyDescent="0.2">
      <c r="A5522" s="2" t="s">
        <v>6906</v>
      </c>
      <c r="B5522" s="2" t="s">
        <v>2564</v>
      </c>
      <c r="C5522" s="2" t="s">
        <v>2552</v>
      </c>
      <c r="D5522" s="2" t="s">
        <v>10</v>
      </c>
      <c r="E5522" s="2" t="s">
        <v>16</v>
      </c>
      <c r="F5522" s="2">
        <v>1</v>
      </c>
      <c r="G5522" s="2" t="s">
        <v>17</v>
      </c>
    </row>
    <row r="5523" spans="1:7" x14ac:dyDescent="0.2">
      <c r="A5523" s="2" t="s">
        <v>6906</v>
      </c>
      <c r="B5523" s="2" t="s">
        <v>2565</v>
      </c>
      <c r="C5523" s="2" t="s">
        <v>2552</v>
      </c>
      <c r="D5523" s="2" t="s">
        <v>10</v>
      </c>
      <c r="E5523" s="2" t="s">
        <v>16</v>
      </c>
      <c r="F5523" s="2">
        <v>1</v>
      </c>
      <c r="G5523" s="2" t="s">
        <v>17</v>
      </c>
    </row>
    <row r="5524" spans="1:7" x14ac:dyDescent="0.2">
      <c r="A5524" s="2" t="s">
        <v>6907</v>
      </c>
      <c r="B5524" s="2" t="s">
        <v>6908</v>
      </c>
      <c r="C5524" s="2" t="s">
        <v>2027</v>
      </c>
      <c r="D5524" s="2" t="s">
        <v>10</v>
      </c>
      <c r="E5524" s="2" t="s">
        <v>16</v>
      </c>
      <c r="F5524" s="2">
        <v>1</v>
      </c>
      <c r="G5524" s="2" t="s">
        <v>17</v>
      </c>
    </row>
    <row r="5525" spans="1:7" x14ac:dyDescent="0.2">
      <c r="A5525" s="2" t="s">
        <v>6907</v>
      </c>
      <c r="B5525" s="2" t="s">
        <v>6909</v>
      </c>
      <c r="C5525" s="2" t="s">
        <v>6910</v>
      </c>
      <c r="D5525" s="2" t="s">
        <v>10</v>
      </c>
      <c r="E5525" s="2" t="s">
        <v>16</v>
      </c>
      <c r="F5525" s="2">
        <v>1</v>
      </c>
      <c r="G5525" s="2" t="s">
        <v>17</v>
      </c>
    </row>
    <row r="5526" spans="1:7" x14ac:dyDescent="0.2">
      <c r="A5526" s="2" t="s">
        <v>6911</v>
      </c>
      <c r="B5526" s="2" t="s">
        <v>2283</v>
      </c>
      <c r="C5526" s="2" t="s">
        <v>6460</v>
      </c>
      <c r="D5526" s="2" t="s">
        <v>56</v>
      </c>
      <c r="E5526" s="2" t="s">
        <v>16</v>
      </c>
      <c r="F5526" s="2">
        <v>1</v>
      </c>
      <c r="G5526" s="2" t="s">
        <v>17</v>
      </c>
    </row>
    <row r="5527" spans="1:7" x14ac:dyDescent="0.2">
      <c r="A5527" s="2" t="s">
        <v>6911</v>
      </c>
      <c r="B5527" s="2" t="s">
        <v>6461</v>
      </c>
      <c r="C5527" s="2" t="s">
        <v>6460</v>
      </c>
      <c r="D5527" s="2" t="s">
        <v>56</v>
      </c>
      <c r="E5527" s="2" t="s">
        <v>16</v>
      </c>
      <c r="F5527" s="2">
        <v>1</v>
      </c>
      <c r="G5527" s="2" t="s">
        <v>17</v>
      </c>
    </row>
    <row r="5528" spans="1:7" x14ac:dyDescent="0.2">
      <c r="A5528" s="2" t="s">
        <v>6912</v>
      </c>
      <c r="B5528" s="2" t="s">
        <v>6913</v>
      </c>
      <c r="C5528" s="2" t="s">
        <v>6914</v>
      </c>
      <c r="D5528" s="2" t="s">
        <v>10</v>
      </c>
      <c r="E5528" s="2" t="s">
        <v>16</v>
      </c>
      <c r="F5528" s="2">
        <v>1</v>
      </c>
      <c r="G5528" s="2" t="s">
        <v>17</v>
      </c>
    </row>
    <row r="5529" spans="1:7" x14ac:dyDescent="0.2">
      <c r="A5529" s="2" t="s">
        <v>6915</v>
      </c>
      <c r="B5529" s="2" t="s">
        <v>1686</v>
      </c>
      <c r="C5529" s="2" t="s">
        <v>1687</v>
      </c>
      <c r="D5529" s="2" t="s">
        <v>10</v>
      </c>
      <c r="E5529" s="2" t="s">
        <v>16</v>
      </c>
      <c r="F5529" s="2">
        <v>1</v>
      </c>
      <c r="G5529" s="2" t="s">
        <v>17</v>
      </c>
    </row>
    <row r="5530" spans="1:7" x14ac:dyDescent="0.2">
      <c r="A5530" s="2" t="s">
        <v>6915</v>
      </c>
      <c r="B5530" s="2" t="s">
        <v>4292</v>
      </c>
      <c r="C5530" s="2" t="s">
        <v>1687</v>
      </c>
      <c r="D5530" s="2" t="s">
        <v>10</v>
      </c>
      <c r="E5530" s="2" t="s">
        <v>16</v>
      </c>
      <c r="F5530" s="2">
        <v>1</v>
      </c>
      <c r="G5530" s="2" t="s">
        <v>17</v>
      </c>
    </row>
    <row r="5531" spans="1:7" x14ac:dyDescent="0.2">
      <c r="A5531" s="2" t="s">
        <v>6915</v>
      </c>
      <c r="B5531" s="2" t="s">
        <v>6916</v>
      </c>
      <c r="C5531" s="2" t="s">
        <v>1687</v>
      </c>
      <c r="D5531" s="2" t="s">
        <v>10</v>
      </c>
      <c r="E5531" s="2" t="s">
        <v>16</v>
      </c>
      <c r="F5531" s="2">
        <v>1</v>
      </c>
      <c r="G5531" s="2" t="s">
        <v>17</v>
      </c>
    </row>
    <row r="5532" spans="1:7" x14ac:dyDescent="0.2">
      <c r="A5532" s="2" t="s">
        <v>6915</v>
      </c>
      <c r="B5532" s="2" t="s">
        <v>3254</v>
      </c>
      <c r="C5532" s="2" t="s">
        <v>1687</v>
      </c>
      <c r="D5532" s="2" t="s">
        <v>10</v>
      </c>
      <c r="E5532" s="2" t="s">
        <v>16</v>
      </c>
      <c r="F5532" s="2">
        <v>1</v>
      </c>
      <c r="G5532" s="2" t="s">
        <v>17</v>
      </c>
    </row>
    <row r="5533" spans="1:7" x14ac:dyDescent="0.2">
      <c r="A5533" s="2" t="s">
        <v>6915</v>
      </c>
      <c r="B5533" s="2" t="s">
        <v>1690</v>
      </c>
      <c r="C5533" s="2" t="s">
        <v>1687</v>
      </c>
      <c r="D5533" s="2" t="s">
        <v>10</v>
      </c>
      <c r="E5533" s="2" t="s">
        <v>16</v>
      </c>
      <c r="F5533" s="2">
        <v>1</v>
      </c>
      <c r="G5533" s="2" t="s">
        <v>17</v>
      </c>
    </row>
    <row r="5534" spans="1:7" x14ac:dyDescent="0.2">
      <c r="A5534" s="2" t="s">
        <v>6915</v>
      </c>
      <c r="B5534" s="2" t="s">
        <v>6917</v>
      </c>
      <c r="C5534" s="2" t="s">
        <v>1687</v>
      </c>
      <c r="D5534" s="2" t="s">
        <v>10</v>
      </c>
      <c r="E5534" s="2" t="s">
        <v>16</v>
      </c>
      <c r="F5534" s="2">
        <v>1</v>
      </c>
      <c r="G5534" s="2" t="s">
        <v>17</v>
      </c>
    </row>
    <row r="5535" spans="1:7" x14ac:dyDescent="0.2">
      <c r="A5535" s="2" t="s">
        <v>6918</v>
      </c>
      <c r="B5535" s="2" t="s">
        <v>6919</v>
      </c>
      <c r="C5535" s="2" t="s">
        <v>6920</v>
      </c>
      <c r="D5535" s="2" t="s">
        <v>10</v>
      </c>
      <c r="E5535" s="2" t="s">
        <v>52</v>
      </c>
      <c r="F5535" s="2">
        <v>1</v>
      </c>
      <c r="G5535" s="2" t="s">
        <v>17</v>
      </c>
    </row>
    <row r="5536" spans="1:7" x14ac:dyDescent="0.2">
      <c r="A5536" s="2" t="s">
        <v>6918</v>
      </c>
      <c r="B5536" s="2" t="s">
        <v>6921</v>
      </c>
      <c r="C5536" s="2" t="s">
        <v>6920</v>
      </c>
      <c r="D5536" s="2" t="s">
        <v>10</v>
      </c>
      <c r="E5536" s="2" t="s">
        <v>52</v>
      </c>
      <c r="F5536" s="2">
        <v>1</v>
      </c>
      <c r="G5536" s="2" t="s">
        <v>17</v>
      </c>
    </row>
    <row r="5537" spans="1:7" x14ac:dyDescent="0.2">
      <c r="A5537" s="2" t="s">
        <v>6922</v>
      </c>
      <c r="B5537" s="2" t="s">
        <v>6923</v>
      </c>
      <c r="C5537" s="2" t="s">
        <v>6922</v>
      </c>
      <c r="D5537" s="2" t="s">
        <v>10</v>
      </c>
      <c r="E5537" s="2" t="s">
        <v>16</v>
      </c>
      <c r="F5537" s="2">
        <v>1</v>
      </c>
      <c r="G5537" s="2" t="s">
        <v>17</v>
      </c>
    </row>
    <row r="5538" spans="1:7" x14ac:dyDescent="0.2">
      <c r="A5538" s="2" t="s">
        <v>6924</v>
      </c>
      <c r="B5538" s="2" t="s">
        <v>6925</v>
      </c>
      <c r="C5538" s="2" t="s">
        <v>6926</v>
      </c>
      <c r="D5538" s="2" t="s">
        <v>10</v>
      </c>
      <c r="E5538" s="2" t="s">
        <v>16</v>
      </c>
      <c r="F5538" s="2">
        <v>1</v>
      </c>
      <c r="G5538" s="2" t="s">
        <v>17</v>
      </c>
    </row>
    <row r="5539" spans="1:7" x14ac:dyDescent="0.2">
      <c r="A5539" s="2" t="s">
        <v>6924</v>
      </c>
      <c r="B5539" s="2" t="s">
        <v>6927</v>
      </c>
      <c r="C5539" s="2" t="s">
        <v>6926</v>
      </c>
      <c r="D5539" s="2" t="s">
        <v>10</v>
      </c>
      <c r="E5539" s="2" t="s">
        <v>16</v>
      </c>
      <c r="F5539" s="2">
        <v>1</v>
      </c>
      <c r="G5539" s="2" t="s">
        <v>17</v>
      </c>
    </row>
    <row r="5540" spans="1:7" x14ac:dyDescent="0.2">
      <c r="A5540" s="2" t="s">
        <v>6928</v>
      </c>
      <c r="B5540" s="2" t="s">
        <v>6929</v>
      </c>
      <c r="C5540" s="2" t="s">
        <v>6930</v>
      </c>
      <c r="D5540" s="2" t="s">
        <v>10</v>
      </c>
      <c r="E5540" s="2" t="s">
        <v>16</v>
      </c>
      <c r="F5540" s="2">
        <v>1</v>
      </c>
      <c r="G5540" s="2" t="s">
        <v>17</v>
      </c>
    </row>
    <row r="5541" spans="1:7" x14ac:dyDescent="0.2">
      <c r="A5541" s="2" t="s">
        <v>6928</v>
      </c>
      <c r="B5541" s="2" t="s">
        <v>6931</v>
      </c>
      <c r="C5541" s="2" t="s">
        <v>1379</v>
      </c>
      <c r="D5541" s="2" t="s">
        <v>10</v>
      </c>
      <c r="E5541" s="2" t="s">
        <v>16</v>
      </c>
      <c r="F5541" s="2">
        <v>1</v>
      </c>
      <c r="G5541" s="2" t="s">
        <v>17</v>
      </c>
    </row>
    <row r="5542" spans="1:7" x14ac:dyDescent="0.2">
      <c r="A5542" s="2" t="s">
        <v>6928</v>
      </c>
      <c r="B5542" s="2" t="s">
        <v>6932</v>
      </c>
      <c r="C5542" s="2" t="s">
        <v>6930</v>
      </c>
      <c r="D5542" s="2" t="s">
        <v>10</v>
      </c>
      <c r="E5542" s="2" t="s">
        <v>16</v>
      </c>
      <c r="F5542" s="2">
        <v>1</v>
      </c>
      <c r="G5542" s="2" t="s">
        <v>17</v>
      </c>
    </row>
    <row r="5543" spans="1:7" x14ac:dyDescent="0.2">
      <c r="A5543" s="2" t="s">
        <v>6928</v>
      </c>
      <c r="B5543" s="2" t="s">
        <v>6933</v>
      </c>
      <c r="C5543" s="2" t="s">
        <v>6934</v>
      </c>
      <c r="D5543" s="2" t="s">
        <v>10</v>
      </c>
      <c r="E5543" s="2" t="s">
        <v>16</v>
      </c>
      <c r="F5543" s="2">
        <v>1</v>
      </c>
      <c r="G5543" s="2" t="s">
        <v>17</v>
      </c>
    </row>
    <row r="5544" spans="1:7" x14ac:dyDescent="0.2">
      <c r="A5544" s="2" t="s">
        <v>6928</v>
      </c>
      <c r="B5544" s="2" t="s">
        <v>6935</v>
      </c>
      <c r="C5544" s="2" t="s">
        <v>6936</v>
      </c>
      <c r="D5544" s="2" t="s">
        <v>10</v>
      </c>
      <c r="E5544" s="2" t="s">
        <v>16</v>
      </c>
      <c r="F5544" s="2">
        <v>1</v>
      </c>
      <c r="G5544" s="2" t="s">
        <v>17</v>
      </c>
    </row>
    <row r="5545" spans="1:7" x14ac:dyDescent="0.2">
      <c r="A5545" s="2" t="s">
        <v>6937</v>
      </c>
      <c r="B5545" s="2" t="s">
        <v>6938</v>
      </c>
      <c r="C5545" s="2" t="s">
        <v>6939</v>
      </c>
      <c r="D5545" s="2" t="s">
        <v>10</v>
      </c>
      <c r="E5545" s="2" t="s">
        <v>16</v>
      </c>
      <c r="F5545" s="2">
        <v>1</v>
      </c>
      <c r="G5545" s="2" t="s">
        <v>17</v>
      </c>
    </row>
    <row r="5546" spans="1:7" x14ac:dyDescent="0.2">
      <c r="A5546" s="2" t="s">
        <v>6937</v>
      </c>
      <c r="B5546" s="2" t="s">
        <v>6940</v>
      </c>
      <c r="C5546" s="2" t="s">
        <v>6939</v>
      </c>
      <c r="D5546" s="2" t="s">
        <v>10</v>
      </c>
      <c r="E5546" s="2" t="s">
        <v>16</v>
      </c>
      <c r="F5546" s="2">
        <v>1</v>
      </c>
      <c r="G5546" s="2" t="s">
        <v>17</v>
      </c>
    </row>
    <row r="5547" spans="1:7" x14ac:dyDescent="0.2">
      <c r="A5547" s="2" t="s">
        <v>6941</v>
      </c>
      <c r="B5547" s="2" t="s">
        <v>6942</v>
      </c>
      <c r="C5547" s="2" t="s">
        <v>6943</v>
      </c>
      <c r="D5547" s="2" t="s">
        <v>56</v>
      </c>
      <c r="E5547" s="2" t="s">
        <v>52</v>
      </c>
      <c r="F5547" s="2">
        <v>1</v>
      </c>
      <c r="G5547" s="2" t="s">
        <v>17</v>
      </c>
    </row>
    <row r="5548" spans="1:7" x14ac:dyDescent="0.2">
      <c r="A5548" s="2" t="s">
        <v>6944</v>
      </c>
      <c r="B5548" s="2" t="s">
        <v>6945</v>
      </c>
      <c r="C5548" s="2" t="s">
        <v>6946</v>
      </c>
      <c r="D5548" s="2" t="s">
        <v>10</v>
      </c>
      <c r="E5548" s="2" t="s">
        <v>11</v>
      </c>
      <c r="F5548" s="2">
        <v>1</v>
      </c>
      <c r="G5548" s="2" t="s">
        <v>17</v>
      </c>
    </row>
    <row r="5549" spans="1:7" x14ac:dyDescent="0.2">
      <c r="A5549" s="2" t="s">
        <v>6944</v>
      </c>
      <c r="B5549" s="2" t="s">
        <v>6947</v>
      </c>
      <c r="C5549" s="2" t="s">
        <v>6946</v>
      </c>
      <c r="D5549" s="2" t="s">
        <v>10</v>
      </c>
      <c r="E5549" s="2" t="s">
        <v>11</v>
      </c>
      <c r="F5549" s="2">
        <v>1</v>
      </c>
      <c r="G5549" s="2" t="s">
        <v>17</v>
      </c>
    </row>
    <row r="5550" spans="1:7" x14ac:dyDescent="0.2">
      <c r="A5550" s="2" t="s">
        <v>6944</v>
      </c>
      <c r="B5550" s="2" t="s">
        <v>6948</v>
      </c>
      <c r="C5550" s="2" t="s">
        <v>6949</v>
      </c>
      <c r="D5550" s="2" t="s">
        <v>10</v>
      </c>
      <c r="E5550" s="2" t="s">
        <v>11</v>
      </c>
      <c r="F5550" s="2">
        <v>2</v>
      </c>
      <c r="G5550" s="2" t="s">
        <v>12</v>
      </c>
    </row>
    <row r="5551" spans="1:7" x14ac:dyDescent="0.2">
      <c r="A5551" s="2" t="s">
        <v>6944</v>
      </c>
      <c r="B5551" s="2" t="s">
        <v>6950</v>
      </c>
      <c r="C5551" s="2" t="s">
        <v>6949</v>
      </c>
      <c r="D5551" s="2" t="s">
        <v>10</v>
      </c>
      <c r="E5551" s="2" t="s">
        <v>11</v>
      </c>
      <c r="F5551" s="2">
        <v>2</v>
      </c>
      <c r="G5551" s="2" t="s">
        <v>12</v>
      </c>
    </row>
    <row r="5552" spans="1:7" x14ac:dyDescent="0.2">
      <c r="A5552" s="2" t="s">
        <v>6951</v>
      </c>
      <c r="B5552" s="2" t="s">
        <v>6952</v>
      </c>
      <c r="C5552" s="2" t="s">
        <v>6953</v>
      </c>
      <c r="D5552" s="2" t="s">
        <v>10</v>
      </c>
      <c r="E5552" s="2" t="s">
        <v>11</v>
      </c>
      <c r="F5552" s="2">
        <v>2</v>
      </c>
      <c r="G5552" s="2" t="s">
        <v>12</v>
      </c>
    </row>
    <row r="5553" spans="1:7" x14ac:dyDescent="0.2">
      <c r="A5553" s="2" t="s">
        <v>6951</v>
      </c>
      <c r="B5553" s="2" t="s">
        <v>6954</v>
      </c>
      <c r="C5553" s="2" t="s">
        <v>6955</v>
      </c>
      <c r="D5553" s="2" t="s">
        <v>64</v>
      </c>
      <c r="E5553" s="2" t="s">
        <v>16</v>
      </c>
      <c r="F5553" s="2">
        <v>1</v>
      </c>
      <c r="G5553" s="2" t="s">
        <v>17</v>
      </c>
    </row>
    <row r="5554" spans="1:7" x14ac:dyDescent="0.2">
      <c r="A5554" s="2" t="s">
        <v>6956</v>
      </c>
      <c r="B5554" s="2" t="s">
        <v>2010</v>
      </c>
      <c r="C5554" s="2" t="s">
        <v>2009</v>
      </c>
      <c r="D5554" s="2" t="s">
        <v>10</v>
      </c>
      <c r="E5554" s="2" t="s">
        <v>16</v>
      </c>
      <c r="F5554" s="2">
        <v>2</v>
      </c>
      <c r="G5554" s="2" t="s">
        <v>17</v>
      </c>
    </row>
    <row r="5555" spans="1:7" x14ac:dyDescent="0.2">
      <c r="A5555" s="2" t="s">
        <v>6956</v>
      </c>
      <c r="B5555" s="2" t="s">
        <v>2012</v>
      </c>
      <c r="C5555" s="2" t="s">
        <v>2009</v>
      </c>
      <c r="D5555" s="2" t="s">
        <v>10</v>
      </c>
      <c r="E5555" s="2" t="s">
        <v>16</v>
      </c>
      <c r="F5555" s="2">
        <v>2</v>
      </c>
      <c r="G5555" s="2" t="s">
        <v>17</v>
      </c>
    </row>
    <row r="5556" spans="1:7" x14ac:dyDescent="0.2">
      <c r="A5556" s="2" t="s">
        <v>6956</v>
      </c>
      <c r="B5556" s="2" t="s">
        <v>2013</v>
      </c>
      <c r="C5556" s="2" t="s">
        <v>2009</v>
      </c>
      <c r="D5556" s="2" t="s">
        <v>10</v>
      </c>
      <c r="E5556" s="2" t="s">
        <v>16</v>
      </c>
      <c r="F5556" s="2">
        <v>2</v>
      </c>
      <c r="G5556" s="2" t="s">
        <v>17</v>
      </c>
    </row>
    <row r="5557" spans="1:7" x14ac:dyDescent="0.2">
      <c r="A5557" s="2" t="s">
        <v>6957</v>
      </c>
      <c r="B5557" s="2" t="s">
        <v>6368</v>
      </c>
      <c r="C5557" s="2" t="s">
        <v>6958</v>
      </c>
      <c r="D5557" s="2" t="s">
        <v>10</v>
      </c>
      <c r="E5557" s="2" t="s">
        <v>16</v>
      </c>
      <c r="F5557" s="2">
        <v>1</v>
      </c>
      <c r="G5557" s="2" t="s">
        <v>17</v>
      </c>
    </row>
    <row r="5558" spans="1:7" x14ac:dyDescent="0.2">
      <c r="A5558" s="2" t="s">
        <v>6957</v>
      </c>
      <c r="B5558" s="2" t="s">
        <v>6959</v>
      </c>
      <c r="C5558" s="2" t="s">
        <v>6960</v>
      </c>
      <c r="D5558" s="2" t="s">
        <v>10</v>
      </c>
      <c r="E5558" s="2" t="s">
        <v>16</v>
      </c>
      <c r="F5558" s="2">
        <v>1</v>
      </c>
      <c r="G5558" s="2" t="s">
        <v>17</v>
      </c>
    </row>
    <row r="5559" spans="1:7" x14ac:dyDescent="0.2">
      <c r="A5559" s="2" t="s">
        <v>6961</v>
      </c>
      <c r="B5559" s="2" t="s">
        <v>6962</v>
      </c>
      <c r="C5559" s="2" t="s">
        <v>6963</v>
      </c>
      <c r="D5559" s="2" t="s">
        <v>10</v>
      </c>
      <c r="E5559" s="2" t="s">
        <v>16</v>
      </c>
      <c r="F5559" s="2">
        <v>1</v>
      </c>
      <c r="G5559" s="2" t="s">
        <v>17</v>
      </c>
    </row>
    <row r="5560" spans="1:7" x14ac:dyDescent="0.2">
      <c r="A5560" s="2" t="s">
        <v>6964</v>
      </c>
      <c r="B5560" s="2" t="s">
        <v>1715</v>
      </c>
      <c r="C5560" s="2" t="s">
        <v>1716</v>
      </c>
      <c r="D5560" s="2" t="s">
        <v>10</v>
      </c>
      <c r="E5560" s="2" t="s">
        <v>16</v>
      </c>
      <c r="F5560" s="2">
        <v>1</v>
      </c>
      <c r="G5560" s="2" t="s">
        <v>17</v>
      </c>
    </row>
    <row r="5561" spans="1:7" x14ac:dyDescent="0.2">
      <c r="A5561" s="2" t="s">
        <v>6964</v>
      </c>
      <c r="B5561" s="2" t="s">
        <v>1717</v>
      </c>
      <c r="C5561" s="2" t="s">
        <v>1716</v>
      </c>
      <c r="D5561" s="2" t="s">
        <v>10</v>
      </c>
      <c r="E5561" s="2" t="s">
        <v>16</v>
      </c>
      <c r="F5561" s="2">
        <v>1</v>
      </c>
      <c r="G5561" s="2" t="s">
        <v>17</v>
      </c>
    </row>
    <row r="5562" spans="1:7" x14ac:dyDescent="0.2">
      <c r="A5562" s="2" t="s">
        <v>6965</v>
      </c>
      <c r="B5562" s="2" t="s">
        <v>6966</v>
      </c>
      <c r="C5562" s="2" t="s">
        <v>6967</v>
      </c>
      <c r="D5562" s="2" t="s">
        <v>10</v>
      </c>
      <c r="E5562" s="2" t="s">
        <v>16</v>
      </c>
      <c r="F5562" s="2">
        <v>1</v>
      </c>
      <c r="G5562" s="2" t="s">
        <v>17</v>
      </c>
    </row>
    <row r="5563" spans="1:7" x14ac:dyDescent="0.2">
      <c r="A5563" s="2" t="s">
        <v>6965</v>
      </c>
      <c r="B5563" s="2" t="s">
        <v>6968</v>
      </c>
      <c r="C5563" s="2" t="s">
        <v>6967</v>
      </c>
      <c r="D5563" s="2" t="s">
        <v>10</v>
      </c>
      <c r="E5563" s="2" t="s">
        <v>16</v>
      </c>
      <c r="F5563" s="2">
        <v>1</v>
      </c>
      <c r="G5563" s="2" t="s">
        <v>17</v>
      </c>
    </row>
    <row r="5564" spans="1:7" x14ac:dyDescent="0.2">
      <c r="A5564" s="2" t="s">
        <v>6965</v>
      </c>
      <c r="B5564" s="2" t="s">
        <v>6969</v>
      </c>
      <c r="C5564" s="2" t="s">
        <v>6970</v>
      </c>
      <c r="D5564" s="2" t="s">
        <v>10</v>
      </c>
      <c r="E5564" s="2" t="s">
        <v>16</v>
      </c>
      <c r="F5564" s="2">
        <v>1</v>
      </c>
      <c r="G5564" s="2" t="s">
        <v>17</v>
      </c>
    </row>
    <row r="5565" spans="1:7" x14ac:dyDescent="0.2">
      <c r="A5565" s="2" t="s">
        <v>6965</v>
      </c>
      <c r="B5565" s="2" t="s">
        <v>6971</v>
      </c>
      <c r="C5565" s="2" t="s">
        <v>6967</v>
      </c>
      <c r="D5565" s="2" t="s">
        <v>10</v>
      </c>
      <c r="E5565" s="2" t="s">
        <v>16</v>
      </c>
      <c r="F5565" s="2">
        <v>1</v>
      </c>
      <c r="G5565" s="2" t="s">
        <v>17</v>
      </c>
    </row>
    <row r="5566" spans="1:7" x14ac:dyDescent="0.2">
      <c r="A5566" s="2" t="s">
        <v>6965</v>
      </c>
      <c r="B5566" s="2" t="s">
        <v>6972</v>
      </c>
      <c r="C5566" s="2" t="s">
        <v>6970</v>
      </c>
      <c r="D5566" s="2" t="s">
        <v>10</v>
      </c>
      <c r="E5566" s="2" t="s">
        <v>16</v>
      </c>
      <c r="F5566" s="2">
        <v>1</v>
      </c>
      <c r="G5566" s="2" t="s">
        <v>17</v>
      </c>
    </row>
    <row r="5567" spans="1:7" x14ac:dyDescent="0.2">
      <c r="A5567" s="2" t="s">
        <v>6965</v>
      </c>
      <c r="B5567" s="2" t="s">
        <v>6973</v>
      </c>
      <c r="C5567" s="2" t="s">
        <v>6967</v>
      </c>
      <c r="D5567" s="2" t="s">
        <v>10</v>
      </c>
      <c r="E5567" s="2" t="s">
        <v>16</v>
      </c>
      <c r="F5567" s="2">
        <v>1</v>
      </c>
      <c r="G5567" s="2" t="s">
        <v>17</v>
      </c>
    </row>
    <row r="5568" spans="1:7" x14ac:dyDescent="0.2">
      <c r="A5568" s="2" t="s">
        <v>6965</v>
      </c>
      <c r="B5568" s="2" t="s">
        <v>4976</v>
      </c>
      <c r="C5568" s="2" t="s">
        <v>4977</v>
      </c>
      <c r="D5568" s="2" t="s">
        <v>10</v>
      </c>
      <c r="E5568" s="2" t="s">
        <v>16</v>
      </c>
      <c r="F5568" s="2">
        <v>1</v>
      </c>
      <c r="G5568" s="2" t="s">
        <v>17</v>
      </c>
    </row>
    <row r="5569" spans="1:7" x14ac:dyDescent="0.2">
      <c r="A5569" s="2" t="s">
        <v>6965</v>
      </c>
      <c r="B5569" s="2" t="s">
        <v>6974</v>
      </c>
      <c r="C5569" s="2" t="s">
        <v>4977</v>
      </c>
      <c r="D5569" s="2" t="s">
        <v>10</v>
      </c>
      <c r="E5569" s="2" t="s">
        <v>16</v>
      </c>
      <c r="F5569" s="2">
        <v>1</v>
      </c>
      <c r="G5569" s="2" t="s">
        <v>17</v>
      </c>
    </row>
    <row r="5570" spans="1:7" x14ac:dyDescent="0.2">
      <c r="A5570" s="2" t="s">
        <v>6965</v>
      </c>
      <c r="B5570" s="2" t="s">
        <v>6975</v>
      </c>
      <c r="C5570" s="2" t="s">
        <v>6976</v>
      </c>
      <c r="D5570" s="2" t="s">
        <v>10</v>
      </c>
      <c r="E5570" s="2" t="s">
        <v>16</v>
      </c>
      <c r="F5570" s="2">
        <v>1</v>
      </c>
      <c r="G5570" s="2" t="s">
        <v>17</v>
      </c>
    </row>
    <row r="5571" spans="1:7" x14ac:dyDescent="0.2">
      <c r="A5571" s="2" t="s">
        <v>6965</v>
      </c>
      <c r="B5571" s="2" t="s">
        <v>6977</v>
      </c>
      <c r="C5571" s="2" t="s">
        <v>6976</v>
      </c>
      <c r="D5571" s="2" t="s">
        <v>10</v>
      </c>
      <c r="E5571" s="2" t="s">
        <v>16</v>
      </c>
      <c r="F5571" s="2">
        <v>1</v>
      </c>
      <c r="G5571" s="2" t="s">
        <v>17</v>
      </c>
    </row>
    <row r="5572" spans="1:7" x14ac:dyDescent="0.2">
      <c r="A5572" s="2" t="s">
        <v>6978</v>
      </c>
      <c r="B5572" s="2" t="s">
        <v>6979</v>
      </c>
      <c r="C5572" s="2" t="s">
        <v>6980</v>
      </c>
      <c r="D5572" s="2" t="s">
        <v>10</v>
      </c>
      <c r="E5572" s="2" t="s">
        <v>16</v>
      </c>
      <c r="F5572" s="2">
        <v>1</v>
      </c>
      <c r="G5572" s="2" t="s">
        <v>17</v>
      </c>
    </row>
    <row r="5573" spans="1:7" x14ac:dyDescent="0.2">
      <c r="A5573" s="2" t="s">
        <v>6981</v>
      </c>
      <c r="B5573" s="2" t="s">
        <v>6982</v>
      </c>
      <c r="C5573" s="2" t="s">
        <v>6983</v>
      </c>
      <c r="D5573" s="2" t="s">
        <v>10</v>
      </c>
      <c r="E5573" s="2" t="s">
        <v>16</v>
      </c>
      <c r="F5573" s="2">
        <v>1</v>
      </c>
      <c r="G5573" s="2" t="s">
        <v>17</v>
      </c>
    </row>
    <row r="5574" spans="1:7" x14ac:dyDescent="0.2">
      <c r="A5574" s="2" t="s">
        <v>6981</v>
      </c>
      <c r="B5574" s="2" t="s">
        <v>6984</v>
      </c>
      <c r="C5574" s="2" t="s">
        <v>6983</v>
      </c>
      <c r="D5574" s="2" t="s">
        <v>10</v>
      </c>
      <c r="E5574" s="2" t="s">
        <v>16</v>
      </c>
      <c r="F5574" s="2">
        <v>1</v>
      </c>
      <c r="G5574" s="2" t="s">
        <v>17</v>
      </c>
    </row>
    <row r="5575" spans="1:7" x14ac:dyDescent="0.2">
      <c r="A5575" s="2" t="s">
        <v>6985</v>
      </c>
      <c r="B5575" s="2" t="s">
        <v>6986</v>
      </c>
      <c r="C5575" s="2" t="s">
        <v>6987</v>
      </c>
      <c r="D5575" s="2" t="s">
        <v>10</v>
      </c>
      <c r="E5575" s="2" t="s">
        <v>16</v>
      </c>
      <c r="F5575" s="2">
        <v>1</v>
      </c>
      <c r="G5575" s="2" t="s">
        <v>17</v>
      </c>
    </row>
    <row r="5576" spans="1:7" x14ac:dyDescent="0.2">
      <c r="A5576" s="2" t="s">
        <v>6985</v>
      </c>
      <c r="B5576" s="2" t="s">
        <v>6988</v>
      </c>
      <c r="C5576" s="2" t="s">
        <v>6987</v>
      </c>
      <c r="D5576" s="2" t="s">
        <v>10</v>
      </c>
      <c r="E5576" s="2" t="s">
        <v>16</v>
      </c>
      <c r="F5576" s="2">
        <v>1</v>
      </c>
      <c r="G5576" s="2" t="s">
        <v>17</v>
      </c>
    </row>
    <row r="5577" spans="1:7" x14ac:dyDescent="0.2">
      <c r="A5577" s="2" t="s">
        <v>6985</v>
      </c>
      <c r="B5577" s="2" t="s">
        <v>6989</v>
      </c>
      <c r="C5577" s="2" t="s">
        <v>6990</v>
      </c>
      <c r="D5577" s="2" t="s">
        <v>10</v>
      </c>
      <c r="E5577" s="2" t="s">
        <v>16</v>
      </c>
      <c r="F5577" s="2">
        <v>1</v>
      </c>
      <c r="G5577" s="2" t="s">
        <v>17</v>
      </c>
    </row>
    <row r="5578" spans="1:7" x14ac:dyDescent="0.2">
      <c r="A5578" s="2" t="s">
        <v>6985</v>
      </c>
      <c r="B5578" s="2" t="s">
        <v>6991</v>
      </c>
      <c r="C5578" s="2" t="s">
        <v>6990</v>
      </c>
      <c r="D5578" s="2" t="s">
        <v>10</v>
      </c>
      <c r="E5578" s="2" t="s">
        <v>16</v>
      </c>
      <c r="F5578" s="2">
        <v>1</v>
      </c>
      <c r="G5578" s="2" t="s">
        <v>17</v>
      </c>
    </row>
    <row r="5579" spans="1:7" x14ac:dyDescent="0.2">
      <c r="A5579" s="2" t="s">
        <v>6985</v>
      </c>
      <c r="B5579" s="2" t="s">
        <v>6992</v>
      </c>
      <c r="C5579" s="2" t="s">
        <v>6990</v>
      </c>
      <c r="D5579" s="2" t="s">
        <v>10</v>
      </c>
      <c r="E5579" s="2" t="s">
        <v>16</v>
      </c>
      <c r="F5579" s="2">
        <v>1</v>
      </c>
      <c r="G5579" s="2" t="s">
        <v>17</v>
      </c>
    </row>
    <row r="5580" spans="1:7" x14ac:dyDescent="0.2">
      <c r="A5580" s="2" t="s">
        <v>6985</v>
      </c>
      <c r="B5580" s="2" t="s">
        <v>6993</v>
      </c>
      <c r="C5580" s="2" t="s">
        <v>6990</v>
      </c>
      <c r="D5580" s="2" t="s">
        <v>10</v>
      </c>
      <c r="E5580" s="2" t="s">
        <v>16</v>
      </c>
      <c r="F5580" s="2">
        <v>1</v>
      </c>
      <c r="G5580" s="2" t="s">
        <v>17</v>
      </c>
    </row>
    <row r="5581" spans="1:7" x14ac:dyDescent="0.2">
      <c r="A5581" s="2" t="s">
        <v>6985</v>
      </c>
      <c r="B5581" s="2" t="s">
        <v>6994</v>
      </c>
      <c r="C5581" s="2" t="s">
        <v>6990</v>
      </c>
      <c r="D5581" s="2" t="s">
        <v>10</v>
      </c>
      <c r="E5581" s="2" t="s">
        <v>16</v>
      </c>
      <c r="F5581" s="2">
        <v>1</v>
      </c>
      <c r="G5581" s="2" t="s">
        <v>17</v>
      </c>
    </row>
    <row r="5582" spans="1:7" x14ac:dyDescent="0.2">
      <c r="A5582" s="2" t="s">
        <v>6985</v>
      </c>
      <c r="B5582" s="2" t="s">
        <v>6995</v>
      </c>
      <c r="C5582" s="2" t="s">
        <v>6990</v>
      </c>
      <c r="D5582" s="2" t="s">
        <v>10</v>
      </c>
      <c r="E5582" s="2" t="s">
        <v>16</v>
      </c>
      <c r="F5582" s="2">
        <v>1</v>
      </c>
      <c r="G5582" s="2" t="s">
        <v>17</v>
      </c>
    </row>
    <row r="5583" spans="1:7" x14ac:dyDescent="0.2">
      <c r="A5583" s="2" t="s">
        <v>6985</v>
      </c>
      <c r="B5583" s="2" t="s">
        <v>6996</v>
      </c>
      <c r="C5583" s="2" t="s">
        <v>6997</v>
      </c>
      <c r="D5583" s="2" t="s">
        <v>10</v>
      </c>
      <c r="E5583" s="2" t="s">
        <v>16</v>
      </c>
      <c r="F5583" s="2">
        <v>1</v>
      </c>
      <c r="G5583" s="2" t="s">
        <v>17</v>
      </c>
    </row>
    <row r="5584" spans="1:7" x14ac:dyDescent="0.2">
      <c r="A5584" s="2" t="s">
        <v>6985</v>
      </c>
      <c r="B5584" s="2" t="s">
        <v>6998</v>
      </c>
      <c r="C5584" s="2" t="s">
        <v>6997</v>
      </c>
      <c r="D5584" s="2" t="s">
        <v>10</v>
      </c>
      <c r="E5584" s="2" t="s">
        <v>16</v>
      </c>
      <c r="F5584" s="2">
        <v>1</v>
      </c>
      <c r="G5584" s="2" t="s">
        <v>17</v>
      </c>
    </row>
    <row r="5585" spans="1:7" x14ac:dyDescent="0.2">
      <c r="A5585" s="2" t="s">
        <v>6985</v>
      </c>
      <c r="B5585" s="2" t="s">
        <v>6999</v>
      </c>
      <c r="C5585" s="2" t="s">
        <v>6997</v>
      </c>
      <c r="D5585" s="2" t="s">
        <v>10</v>
      </c>
      <c r="E5585" s="2" t="s">
        <v>16</v>
      </c>
      <c r="F5585" s="2">
        <v>1</v>
      </c>
      <c r="G5585" s="2" t="s">
        <v>17</v>
      </c>
    </row>
    <row r="5586" spans="1:7" x14ac:dyDescent="0.2">
      <c r="A5586" s="2" t="s">
        <v>6985</v>
      </c>
      <c r="B5586" s="2" t="s">
        <v>7000</v>
      </c>
      <c r="C5586" s="2" t="s">
        <v>6997</v>
      </c>
      <c r="D5586" s="2" t="s">
        <v>10</v>
      </c>
      <c r="E5586" s="2" t="s">
        <v>16</v>
      </c>
      <c r="F5586" s="2">
        <v>1</v>
      </c>
      <c r="G5586" s="2" t="s">
        <v>17</v>
      </c>
    </row>
    <row r="5587" spans="1:7" x14ac:dyDescent="0.2">
      <c r="A5587" s="2" t="s">
        <v>6985</v>
      </c>
      <c r="B5587" s="2" t="s">
        <v>7001</v>
      </c>
      <c r="C5587" s="2" t="s">
        <v>6997</v>
      </c>
      <c r="D5587" s="2" t="s">
        <v>10</v>
      </c>
      <c r="E5587" s="2" t="s">
        <v>16</v>
      </c>
      <c r="F5587" s="2">
        <v>1</v>
      </c>
      <c r="G5587" s="2" t="s">
        <v>17</v>
      </c>
    </row>
    <row r="5588" spans="1:7" x14ac:dyDescent="0.2">
      <c r="A5588" s="2" t="s">
        <v>6985</v>
      </c>
      <c r="B5588" s="2" t="s">
        <v>7002</v>
      </c>
      <c r="C5588" s="2" t="s">
        <v>6997</v>
      </c>
      <c r="D5588" s="2" t="s">
        <v>10</v>
      </c>
      <c r="E5588" s="2" t="s">
        <v>16</v>
      </c>
      <c r="F5588" s="2">
        <v>1</v>
      </c>
      <c r="G5588" s="2" t="s">
        <v>17</v>
      </c>
    </row>
    <row r="5589" spans="1:7" x14ac:dyDescent="0.2">
      <c r="A5589" s="2" t="s">
        <v>6985</v>
      </c>
      <c r="B5589" s="2" t="s">
        <v>7003</v>
      </c>
      <c r="C5589" s="2" t="s">
        <v>6997</v>
      </c>
      <c r="D5589" s="2" t="s">
        <v>10</v>
      </c>
      <c r="E5589" s="2" t="s">
        <v>16</v>
      </c>
      <c r="F5589" s="2">
        <v>1</v>
      </c>
      <c r="G5589" s="2" t="s">
        <v>17</v>
      </c>
    </row>
    <row r="5590" spans="1:7" x14ac:dyDescent="0.2">
      <c r="A5590" s="2" t="s">
        <v>6985</v>
      </c>
      <c r="B5590" s="2" t="s">
        <v>7004</v>
      </c>
      <c r="C5590" s="2" t="s">
        <v>6997</v>
      </c>
      <c r="D5590" s="2" t="s">
        <v>10</v>
      </c>
      <c r="E5590" s="2" t="s">
        <v>16</v>
      </c>
      <c r="F5590" s="2">
        <v>1</v>
      </c>
      <c r="G5590" s="2" t="s">
        <v>17</v>
      </c>
    </row>
    <row r="5591" spans="1:7" x14ac:dyDescent="0.2">
      <c r="A5591" s="2" t="s">
        <v>6985</v>
      </c>
      <c r="B5591" s="2" t="s">
        <v>7005</v>
      </c>
      <c r="C5591" s="2" t="s">
        <v>6997</v>
      </c>
      <c r="D5591" s="2" t="s">
        <v>10</v>
      </c>
      <c r="E5591" s="2" t="s">
        <v>16</v>
      </c>
      <c r="F5591" s="2">
        <v>1</v>
      </c>
      <c r="G5591" s="2" t="s">
        <v>17</v>
      </c>
    </row>
    <row r="5592" spans="1:7" x14ac:dyDescent="0.2">
      <c r="A5592" s="2" t="s">
        <v>7006</v>
      </c>
      <c r="B5592" s="2" t="s">
        <v>7007</v>
      </c>
      <c r="C5592" s="2" t="s">
        <v>7008</v>
      </c>
      <c r="D5592" s="2" t="s">
        <v>10</v>
      </c>
      <c r="E5592" s="2" t="s">
        <v>16</v>
      </c>
      <c r="F5592" s="2">
        <v>1</v>
      </c>
      <c r="G5592" s="2" t="s">
        <v>17</v>
      </c>
    </row>
    <row r="5593" spans="1:7" x14ac:dyDescent="0.2">
      <c r="A5593" s="2" t="s">
        <v>7009</v>
      </c>
      <c r="B5593" s="2" t="s">
        <v>7010</v>
      </c>
      <c r="C5593" s="2" t="s">
        <v>7011</v>
      </c>
      <c r="D5593" s="2" t="s">
        <v>56</v>
      </c>
      <c r="E5593" s="2" t="s">
        <v>52</v>
      </c>
      <c r="F5593" s="2">
        <v>1</v>
      </c>
      <c r="G5593" s="2" t="s">
        <v>17</v>
      </c>
    </row>
    <row r="5594" spans="1:7" x14ac:dyDescent="0.2">
      <c r="A5594" s="2" t="s">
        <v>7012</v>
      </c>
      <c r="B5594" s="2" t="s">
        <v>1034</v>
      </c>
      <c r="C5594" s="2" t="s">
        <v>1035</v>
      </c>
      <c r="D5594" s="2" t="s">
        <v>10</v>
      </c>
      <c r="E5594" s="2" t="s">
        <v>16</v>
      </c>
      <c r="F5594" s="2">
        <v>1</v>
      </c>
      <c r="G5594" s="2" t="s">
        <v>17</v>
      </c>
    </row>
    <row r="5595" spans="1:7" x14ac:dyDescent="0.2">
      <c r="A5595" s="2" t="s">
        <v>7013</v>
      </c>
      <c r="B5595" s="2" t="s">
        <v>1436</v>
      </c>
      <c r="C5595" s="2" t="s">
        <v>1437</v>
      </c>
      <c r="D5595" s="2" t="s">
        <v>10</v>
      </c>
      <c r="E5595" s="2" t="s">
        <v>16</v>
      </c>
      <c r="F5595" s="2">
        <v>1</v>
      </c>
      <c r="G5595" s="2" t="s">
        <v>17</v>
      </c>
    </row>
    <row r="5596" spans="1:7" x14ac:dyDescent="0.2">
      <c r="A5596" s="2" t="s">
        <v>7013</v>
      </c>
      <c r="B5596" s="2" t="s">
        <v>1438</v>
      </c>
      <c r="C5596" s="2" t="s">
        <v>1437</v>
      </c>
      <c r="D5596" s="2" t="s">
        <v>10</v>
      </c>
      <c r="E5596" s="2" t="s">
        <v>16</v>
      </c>
      <c r="F5596" s="2">
        <v>1</v>
      </c>
      <c r="G5596" s="2" t="s">
        <v>17</v>
      </c>
    </row>
    <row r="5597" spans="1:7" x14ac:dyDescent="0.2">
      <c r="A5597" s="2" t="s">
        <v>7014</v>
      </c>
      <c r="B5597" s="2" t="s">
        <v>7015</v>
      </c>
      <c r="C5597" s="2" t="s">
        <v>7016</v>
      </c>
      <c r="D5597" s="2" t="s">
        <v>10</v>
      </c>
      <c r="E5597" s="2" t="s">
        <v>16</v>
      </c>
      <c r="F5597" s="2">
        <v>1</v>
      </c>
      <c r="G5597" s="2" t="s">
        <v>17</v>
      </c>
    </row>
    <row r="5598" spans="1:7" x14ac:dyDescent="0.2">
      <c r="A5598" s="2" t="s">
        <v>7017</v>
      </c>
      <c r="B5598" s="2" t="s">
        <v>3189</v>
      </c>
      <c r="C5598" s="2" t="s">
        <v>3190</v>
      </c>
      <c r="D5598" s="2" t="s">
        <v>10</v>
      </c>
      <c r="E5598" s="2" t="s">
        <v>16</v>
      </c>
      <c r="F5598" s="2">
        <v>1</v>
      </c>
      <c r="G5598" s="2" t="s">
        <v>17</v>
      </c>
    </row>
    <row r="5599" spans="1:7" x14ac:dyDescent="0.2">
      <c r="A5599" s="2" t="s">
        <v>7018</v>
      </c>
      <c r="B5599" s="2" t="s">
        <v>7019</v>
      </c>
      <c r="C5599" s="2" t="s">
        <v>2234</v>
      </c>
      <c r="D5599" s="2" t="s">
        <v>10</v>
      </c>
      <c r="E5599" s="2" t="s">
        <v>52</v>
      </c>
      <c r="F5599" s="2">
        <v>2</v>
      </c>
      <c r="G5599" s="2" t="s">
        <v>17</v>
      </c>
    </row>
    <row r="5600" spans="1:7" x14ac:dyDescent="0.2">
      <c r="A5600" s="2" t="s">
        <v>7020</v>
      </c>
      <c r="B5600" s="2" t="s">
        <v>7021</v>
      </c>
      <c r="C5600" s="2" t="s">
        <v>7022</v>
      </c>
      <c r="D5600" s="2" t="s">
        <v>10</v>
      </c>
      <c r="E5600" s="2" t="s">
        <v>52</v>
      </c>
      <c r="F5600" s="2">
        <v>1</v>
      </c>
      <c r="G5600" s="2" t="s">
        <v>17</v>
      </c>
    </row>
    <row r="5601" spans="1:7" x14ac:dyDescent="0.2">
      <c r="A5601" s="2" t="s">
        <v>7023</v>
      </c>
      <c r="B5601" s="2">
        <v>61</v>
      </c>
      <c r="C5601" s="2" t="s">
        <v>3095</v>
      </c>
      <c r="D5601" s="2" t="s">
        <v>10</v>
      </c>
      <c r="E5601" s="2" t="s">
        <v>52</v>
      </c>
      <c r="F5601" s="2">
        <v>2</v>
      </c>
      <c r="G5601" s="2" t="s">
        <v>12</v>
      </c>
    </row>
    <row r="5602" spans="1:7" x14ac:dyDescent="0.2">
      <c r="A5602" s="2" t="s">
        <v>7023</v>
      </c>
      <c r="B5602" s="2" t="s">
        <v>3114</v>
      </c>
      <c r="C5602" s="2" t="s">
        <v>3115</v>
      </c>
      <c r="D5602" s="2" t="s">
        <v>10</v>
      </c>
      <c r="E5602" s="2" t="s">
        <v>52</v>
      </c>
      <c r="F5602" s="2">
        <v>2</v>
      </c>
      <c r="G5602" s="2" t="s">
        <v>12</v>
      </c>
    </row>
    <row r="5603" spans="1:7" x14ac:dyDescent="0.2">
      <c r="A5603" s="2" t="s">
        <v>7023</v>
      </c>
      <c r="B5603" s="2" t="s">
        <v>886</v>
      </c>
      <c r="C5603" s="2" t="s">
        <v>887</v>
      </c>
      <c r="D5603" s="2" t="s">
        <v>10</v>
      </c>
      <c r="E5603" s="2" t="s">
        <v>52</v>
      </c>
      <c r="F5603" s="2">
        <v>2</v>
      </c>
      <c r="G5603" s="2" t="s">
        <v>12</v>
      </c>
    </row>
    <row r="5604" spans="1:7" x14ac:dyDescent="0.2">
      <c r="A5604" s="2" t="s">
        <v>7023</v>
      </c>
      <c r="B5604" s="2" t="s">
        <v>6313</v>
      </c>
      <c r="C5604" s="2" t="s">
        <v>6310</v>
      </c>
      <c r="D5604" s="2" t="s">
        <v>10</v>
      </c>
      <c r="E5604" s="2" t="s">
        <v>52</v>
      </c>
      <c r="F5604" s="2">
        <v>2</v>
      </c>
      <c r="G5604" s="2" t="s">
        <v>17</v>
      </c>
    </row>
    <row r="5605" spans="1:7" x14ac:dyDescent="0.2">
      <c r="A5605" s="2" t="s">
        <v>7023</v>
      </c>
      <c r="B5605" s="2" t="s">
        <v>888</v>
      </c>
      <c r="C5605" s="2" t="s">
        <v>887</v>
      </c>
      <c r="D5605" s="2" t="s">
        <v>10</v>
      </c>
      <c r="E5605" s="2" t="s">
        <v>52</v>
      </c>
      <c r="F5605" s="2">
        <v>2</v>
      </c>
      <c r="G5605" s="2" t="s">
        <v>12</v>
      </c>
    </row>
    <row r="5606" spans="1:7" x14ac:dyDescent="0.2">
      <c r="A5606" s="2" t="s">
        <v>7023</v>
      </c>
      <c r="B5606" s="2" t="s">
        <v>6314</v>
      </c>
      <c r="C5606" s="2" t="s">
        <v>6312</v>
      </c>
      <c r="D5606" s="2" t="s">
        <v>10</v>
      </c>
      <c r="E5606" s="2" t="s">
        <v>52</v>
      </c>
      <c r="F5606" s="2">
        <v>2</v>
      </c>
      <c r="G5606" s="2" t="s">
        <v>17</v>
      </c>
    </row>
    <row r="5607" spans="1:7" x14ac:dyDescent="0.2">
      <c r="A5607" s="2" t="s">
        <v>7023</v>
      </c>
      <c r="B5607" s="2" t="s">
        <v>3118</v>
      </c>
      <c r="C5607" s="2" t="s">
        <v>3115</v>
      </c>
      <c r="D5607" s="2" t="s">
        <v>10</v>
      </c>
      <c r="E5607" s="2" t="s">
        <v>52</v>
      </c>
      <c r="F5607" s="2">
        <v>2</v>
      </c>
      <c r="G5607" s="2" t="s">
        <v>12</v>
      </c>
    </row>
    <row r="5608" spans="1:7" x14ac:dyDescent="0.2">
      <c r="A5608" s="2" t="s">
        <v>7023</v>
      </c>
      <c r="B5608" s="2" t="s">
        <v>6315</v>
      </c>
      <c r="C5608" s="2" t="s">
        <v>6312</v>
      </c>
      <c r="D5608" s="2" t="s">
        <v>10</v>
      </c>
      <c r="E5608" s="2" t="s">
        <v>52</v>
      </c>
      <c r="F5608" s="2">
        <v>2</v>
      </c>
      <c r="G5608" s="2" t="s">
        <v>17</v>
      </c>
    </row>
    <row r="5609" spans="1:7" x14ac:dyDescent="0.2">
      <c r="A5609" s="2" t="s">
        <v>7023</v>
      </c>
      <c r="B5609" s="2" t="s">
        <v>6316</v>
      </c>
      <c r="C5609" s="2" t="s">
        <v>6312</v>
      </c>
      <c r="D5609" s="2" t="s">
        <v>10</v>
      </c>
      <c r="E5609" s="2" t="s">
        <v>52</v>
      </c>
      <c r="F5609" s="2">
        <v>2</v>
      </c>
      <c r="G5609" s="2" t="s">
        <v>17</v>
      </c>
    </row>
    <row r="5610" spans="1:7" x14ac:dyDescent="0.2">
      <c r="A5610" s="2" t="s">
        <v>7024</v>
      </c>
      <c r="B5610" s="2" t="s">
        <v>7025</v>
      </c>
      <c r="C5610" s="2" t="s">
        <v>782</v>
      </c>
      <c r="D5610" s="2" t="s">
        <v>56</v>
      </c>
      <c r="E5610" s="2" t="s">
        <v>52</v>
      </c>
      <c r="F5610" s="2">
        <v>2</v>
      </c>
      <c r="G5610" s="2" t="s">
        <v>17</v>
      </c>
    </row>
    <row r="5611" spans="1:7" x14ac:dyDescent="0.2">
      <c r="A5611" s="2" t="s">
        <v>7024</v>
      </c>
      <c r="B5611" s="2" t="s">
        <v>829</v>
      </c>
      <c r="C5611" s="2" t="s">
        <v>782</v>
      </c>
      <c r="D5611" s="2" t="s">
        <v>56</v>
      </c>
      <c r="E5611" s="2" t="s">
        <v>52</v>
      </c>
      <c r="F5611" s="2">
        <v>2</v>
      </c>
      <c r="G5611" s="2" t="s">
        <v>17</v>
      </c>
    </row>
    <row r="5612" spans="1:7" x14ac:dyDescent="0.2">
      <c r="A5612" s="2" t="s">
        <v>7026</v>
      </c>
      <c r="B5612" s="2" t="s">
        <v>7027</v>
      </c>
      <c r="C5612" s="2" t="s">
        <v>7028</v>
      </c>
      <c r="D5612" s="2" t="s">
        <v>10</v>
      </c>
      <c r="E5612" s="2" t="s">
        <v>16</v>
      </c>
      <c r="F5612" s="2">
        <v>1</v>
      </c>
      <c r="G5612" s="2" t="s">
        <v>17</v>
      </c>
    </row>
    <row r="5613" spans="1:7" x14ac:dyDescent="0.2">
      <c r="A5613" s="2" t="s">
        <v>7026</v>
      </c>
      <c r="B5613" s="2" t="s">
        <v>7029</v>
      </c>
      <c r="C5613" s="2" t="s">
        <v>7030</v>
      </c>
      <c r="D5613" s="2" t="s">
        <v>10</v>
      </c>
      <c r="E5613" s="2" t="s">
        <v>16</v>
      </c>
      <c r="F5613" s="2">
        <v>1</v>
      </c>
      <c r="G5613" s="2" t="s">
        <v>17</v>
      </c>
    </row>
    <row r="5614" spans="1:7" x14ac:dyDescent="0.2">
      <c r="A5614" s="2" t="s">
        <v>7026</v>
      </c>
      <c r="B5614" s="2" t="s">
        <v>7031</v>
      </c>
      <c r="C5614" s="2" t="s">
        <v>7028</v>
      </c>
      <c r="D5614" s="2" t="s">
        <v>10</v>
      </c>
      <c r="E5614" s="2" t="s">
        <v>16</v>
      </c>
      <c r="F5614" s="2">
        <v>1</v>
      </c>
      <c r="G5614" s="2" t="s">
        <v>17</v>
      </c>
    </row>
    <row r="5615" spans="1:7" x14ac:dyDescent="0.2">
      <c r="A5615" s="2" t="s">
        <v>7026</v>
      </c>
      <c r="B5615" s="2" t="s">
        <v>7032</v>
      </c>
      <c r="C5615" s="2" t="s">
        <v>7030</v>
      </c>
      <c r="D5615" s="2" t="s">
        <v>10</v>
      </c>
      <c r="E5615" s="2" t="s">
        <v>16</v>
      </c>
      <c r="F5615" s="2">
        <v>1</v>
      </c>
      <c r="G5615" s="2" t="s">
        <v>17</v>
      </c>
    </row>
    <row r="5616" spans="1:7" x14ac:dyDescent="0.2">
      <c r="A5616" s="2" t="s">
        <v>7026</v>
      </c>
      <c r="B5616" s="2" t="s">
        <v>7033</v>
      </c>
      <c r="C5616" s="2" t="s">
        <v>7034</v>
      </c>
      <c r="D5616" s="2" t="s">
        <v>10</v>
      </c>
      <c r="E5616" s="2" t="s">
        <v>16</v>
      </c>
      <c r="F5616" s="2">
        <v>1</v>
      </c>
      <c r="G5616" s="2" t="s">
        <v>17</v>
      </c>
    </row>
    <row r="5617" spans="1:7" x14ac:dyDescent="0.2">
      <c r="A5617" s="2" t="s">
        <v>7026</v>
      </c>
      <c r="B5617" s="2" t="s">
        <v>7035</v>
      </c>
      <c r="C5617" s="2" t="s">
        <v>7028</v>
      </c>
      <c r="D5617" s="2" t="s">
        <v>10</v>
      </c>
      <c r="E5617" s="2" t="s">
        <v>16</v>
      </c>
      <c r="F5617" s="2">
        <v>1</v>
      </c>
      <c r="G5617" s="2" t="s">
        <v>17</v>
      </c>
    </row>
    <row r="5618" spans="1:7" x14ac:dyDescent="0.2">
      <c r="A5618" s="2" t="s">
        <v>7026</v>
      </c>
      <c r="B5618" s="2" t="s">
        <v>7036</v>
      </c>
      <c r="C5618" s="2" t="s">
        <v>7028</v>
      </c>
      <c r="D5618" s="2" t="s">
        <v>10</v>
      </c>
      <c r="E5618" s="2" t="s">
        <v>16</v>
      </c>
      <c r="F5618" s="2">
        <v>1</v>
      </c>
      <c r="G5618" s="2" t="s">
        <v>17</v>
      </c>
    </row>
    <row r="5619" spans="1:7" x14ac:dyDescent="0.2">
      <c r="A5619" s="2" t="s">
        <v>7026</v>
      </c>
      <c r="B5619" s="2" t="s">
        <v>7037</v>
      </c>
      <c r="C5619" s="2" t="s">
        <v>7030</v>
      </c>
      <c r="D5619" s="2" t="s">
        <v>10</v>
      </c>
      <c r="E5619" s="2" t="s">
        <v>16</v>
      </c>
      <c r="F5619" s="2">
        <v>1</v>
      </c>
      <c r="G5619" s="2" t="s">
        <v>17</v>
      </c>
    </row>
    <row r="5620" spans="1:7" x14ac:dyDescent="0.2">
      <c r="A5620" s="2" t="s">
        <v>7026</v>
      </c>
      <c r="B5620" s="2" t="s">
        <v>7038</v>
      </c>
      <c r="C5620" s="2" t="s">
        <v>7030</v>
      </c>
      <c r="D5620" s="2" t="s">
        <v>10</v>
      </c>
      <c r="E5620" s="2" t="s">
        <v>16</v>
      </c>
      <c r="F5620" s="2">
        <v>1</v>
      </c>
      <c r="G5620" s="2" t="s">
        <v>17</v>
      </c>
    </row>
    <row r="5621" spans="1:7" x14ac:dyDescent="0.2">
      <c r="A5621" s="2" t="s">
        <v>7026</v>
      </c>
      <c r="B5621" s="2" t="s">
        <v>7039</v>
      </c>
      <c r="C5621" s="2" t="s">
        <v>7028</v>
      </c>
      <c r="D5621" s="2" t="s">
        <v>10</v>
      </c>
      <c r="E5621" s="2" t="s">
        <v>16</v>
      </c>
      <c r="F5621" s="2">
        <v>1</v>
      </c>
      <c r="G5621" s="2" t="s">
        <v>17</v>
      </c>
    </row>
    <row r="5622" spans="1:7" x14ac:dyDescent="0.2">
      <c r="A5622" s="2" t="s">
        <v>7026</v>
      </c>
      <c r="B5622" s="2" t="s">
        <v>7040</v>
      </c>
      <c r="C5622" s="2" t="s">
        <v>7028</v>
      </c>
      <c r="D5622" s="2" t="s">
        <v>10</v>
      </c>
      <c r="E5622" s="2" t="s">
        <v>16</v>
      </c>
      <c r="F5622" s="2">
        <v>1</v>
      </c>
      <c r="G5622" s="2" t="s">
        <v>17</v>
      </c>
    </row>
    <row r="5623" spans="1:7" x14ac:dyDescent="0.2">
      <c r="A5623" s="2" t="s">
        <v>7026</v>
      </c>
      <c r="B5623" s="2" t="s">
        <v>7041</v>
      </c>
      <c r="C5623" s="2" t="s">
        <v>7030</v>
      </c>
      <c r="D5623" s="2" t="s">
        <v>10</v>
      </c>
      <c r="E5623" s="2" t="s">
        <v>16</v>
      </c>
      <c r="F5623" s="2">
        <v>1</v>
      </c>
      <c r="G5623" s="2" t="s">
        <v>17</v>
      </c>
    </row>
    <row r="5624" spans="1:7" x14ac:dyDescent="0.2">
      <c r="A5624" s="2" t="s">
        <v>7026</v>
      </c>
      <c r="B5624" s="2" t="s">
        <v>7042</v>
      </c>
      <c r="C5624" s="2" t="s">
        <v>7030</v>
      </c>
      <c r="D5624" s="2" t="s">
        <v>10</v>
      </c>
      <c r="E5624" s="2" t="s">
        <v>16</v>
      </c>
      <c r="F5624" s="2">
        <v>1</v>
      </c>
      <c r="G5624" s="2" t="s">
        <v>17</v>
      </c>
    </row>
    <row r="5625" spans="1:7" x14ac:dyDescent="0.2">
      <c r="A5625" s="2" t="s">
        <v>7043</v>
      </c>
      <c r="B5625" s="2" t="s">
        <v>7044</v>
      </c>
      <c r="C5625" s="2" t="s">
        <v>1880</v>
      </c>
      <c r="D5625" s="2" t="s">
        <v>10</v>
      </c>
      <c r="E5625" s="2" t="s">
        <v>16</v>
      </c>
      <c r="F5625" s="2">
        <v>1</v>
      </c>
      <c r="G5625" s="2" t="s">
        <v>17</v>
      </c>
    </row>
    <row r="5626" spans="1:7" x14ac:dyDescent="0.2">
      <c r="A5626" s="2" t="s">
        <v>7043</v>
      </c>
      <c r="B5626" s="2" t="s">
        <v>414</v>
      </c>
      <c r="C5626" s="2" t="s">
        <v>1880</v>
      </c>
      <c r="D5626" s="2" t="s">
        <v>10</v>
      </c>
      <c r="E5626" s="2" t="s">
        <v>16</v>
      </c>
      <c r="F5626" s="2">
        <v>1</v>
      </c>
      <c r="G5626" s="2" t="s">
        <v>17</v>
      </c>
    </row>
    <row r="5627" spans="1:7" x14ac:dyDescent="0.2">
      <c r="A5627" s="2" t="s">
        <v>7045</v>
      </c>
      <c r="B5627" s="2" t="s">
        <v>7046</v>
      </c>
      <c r="C5627" s="2" t="s">
        <v>7047</v>
      </c>
      <c r="D5627" s="2" t="s">
        <v>10</v>
      </c>
      <c r="E5627" s="2" t="s">
        <v>16</v>
      </c>
      <c r="F5627" s="2">
        <v>1</v>
      </c>
      <c r="G5627" s="2" t="s">
        <v>17</v>
      </c>
    </row>
    <row r="5628" spans="1:7" x14ac:dyDescent="0.2">
      <c r="A5628" s="2" t="s">
        <v>7045</v>
      </c>
      <c r="B5628" s="2" t="s">
        <v>340</v>
      </c>
      <c r="C5628" s="2" t="s">
        <v>325</v>
      </c>
      <c r="D5628" s="2" t="s">
        <v>10</v>
      </c>
      <c r="E5628" s="2" t="s">
        <v>16</v>
      </c>
      <c r="F5628" s="2">
        <v>1</v>
      </c>
      <c r="G5628" s="2" t="s">
        <v>17</v>
      </c>
    </row>
    <row r="5629" spans="1:7" x14ac:dyDescent="0.2">
      <c r="A5629" s="2" t="s">
        <v>7045</v>
      </c>
      <c r="B5629" s="2" t="s">
        <v>7048</v>
      </c>
      <c r="C5629" s="2" t="s">
        <v>7049</v>
      </c>
      <c r="D5629" s="2" t="s">
        <v>10</v>
      </c>
      <c r="E5629" s="2" t="s">
        <v>16</v>
      </c>
      <c r="F5629" s="2">
        <v>1</v>
      </c>
      <c r="G5629" s="2" t="s">
        <v>17</v>
      </c>
    </row>
    <row r="5630" spans="1:7" x14ac:dyDescent="0.2">
      <c r="A5630" s="2" t="s">
        <v>7045</v>
      </c>
      <c r="B5630" s="2" t="s">
        <v>7050</v>
      </c>
      <c r="C5630" s="2" t="s">
        <v>7049</v>
      </c>
      <c r="D5630" s="2" t="s">
        <v>10</v>
      </c>
      <c r="E5630" s="2" t="s">
        <v>16</v>
      </c>
      <c r="F5630" s="2">
        <v>1</v>
      </c>
      <c r="G5630" s="2" t="s">
        <v>17</v>
      </c>
    </row>
    <row r="5631" spans="1:7" x14ac:dyDescent="0.2">
      <c r="A5631" s="2" t="s">
        <v>7045</v>
      </c>
      <c r="B5631" s="2" t="s">
        <v>7051</v>
      </c>
      <c r="C5631" s="2" t="s">
        <v>7049</v>
      </c>
      <c r="D5631" s="2" t="s">
        <v>10</v>
      </c>
      <c r="E5631" s="2" t="s">
        <v>16</v>
      </c>
      <c r="F5631" s="2">
        <v>1</v>
      </c>
      <c r="G5631" s="2" t="s">
        <v>17</v>
      </c>
    </row>
    <row r="5632" spans="1:7" x14ac:dyDescent="0.2">
      <c r="A5632" s="2" t="s">
        <v>7045</v>
      </c>
      <c r="B5632" s="2" t="s">
        <v>7052</v>
      </c>
      <c r="C5632" s="2" t="s">
        <v>325</v>
      </c>
      <c r="D5632" s="2" t="s">
        <v>10</v>
      </c>
      <c r="E5632" s="2" t="s">
        <v>16</v>
      </c>
      <c r="F5632" s="2">
        <v>1</v>
      </c>
      <c r="G5632" s="2" t="s">
        <v>17</v>
      </c>
    </row>
    <row r="5633" spans="1:7" x14ac:dyDescent="0.2">
      <c r="A5633" s="2" t="s">
        <v>7045</v>
      </c>
      <c r="B5633" s="2" t="s">
        <v>4589</v>
      </c>
      <c r="C5633" s="2" t="s">
        <v>325</v>
      </c>
      <c r="D5633" s="2" t="s">
        <v>10</v>
      </c>
      <c r="E5633" s="2" t="s">
        <v>16</v>
      </c>
      <c r="F5633" s="2">
        <v>1</v>
      </c>
      <c r="G5633" s="2" t="s">
        <v>17</v>
      </c>
    </row>
    <row r="5634" spans="1:7" x14ac:dyDescent="0.2">
      <c r="A5634" s="2" t="s">
        <v>7045</v>
      </c>
      <c r="B5634" s="2" t="s">
        <v>7053</v>
      </c>
      <c r="C5634" s="2" t="s">
        <v>325</v>
      </c>
      <c r="D5634" s="2" t="s">
        <v>10</v>
      </c>
      <c r="E5634" s="2" t="s">
        <v>16</v>
      </c>
      <c r="F5634" s="2">
        <v>1</v>
      </c>
      <c r="G5634" s="2" t="s">
        <v>17</v>
      </c>
    </row>
    <row r="5635" spans="1:7" x14ac:dyDescent="0.2">
      <c r="A5635" s="2" t="s">
        <v>7045</v>
      </c>
      <c r="B5635" s="2" t="s">
        <v>7054</v>
      </c>
      <c r="C5635" s="2" t="s">
        <v>325</v>
      </c>
      <c r="D5635" s="2" t="s">
        <v>10</v>
      </c>
      <c r="E5635" s="2" t="s">
        <v>16</v>
      </c>
      <c r="F5635" s="2">
        <v>1</v>
      </c>
      <c r="G5635" s="2" t="s">
        <v>17</v>
      </c>
    </row>
    <row r="5636" spans="1:7" x14ac:dyDescent="0.2">
      <c r="A5636" s="2" t="s">
        <v>7045</v>
      </c>
      <c r="B5636" s="2" t="s">
        <v>7055</v>
      </c>
      <c r="C5636" s="2" t="s">
        <v>325</v>
      </c>
      <c r="D5636" s="2" t="s">
        <v>10</v>
      </c>
      <c r="E5636" s="2" t="s">
        <v>16</v>
      </c>
      <c r="F5636" s="2">
        <v>1</v>
      </c>
      <c r="G5636" s="2" t="s">
        <v>17</v>
      </c>
    </row>
    <row r="5637" spans="1:7" x14ac:dyDescent="0.2">
      <c r="A5637" s="2" t="s">
        <v>7045</v>
      </c>
      <c r="B5637" s="2" t="s">
        <v>7056</v>
      </c>
      <c r="C5637" s="2" t="s">
        <v>325</v>
      </c>
      <c r="D5637" s="2" t="s">
        <v>10</v>
      </c>
      <c r="E5637" s="2" t="s">
        <v>16</v>
      </c>
      <c r="F5637" s="2">
        <v>1</v>
      </c>
      <c r="G5637" s="2" t="s">
        <v>17</v>
      </c>
    </row>
    <row r="5638" spans="1:7" x14ac:dyDescent="0.2">
      <c r="A5638" s="2" t="s">
        <v>7045</v>
      </c>
      <c r="B5638" s="2" t="s">
        <v>1430</v>
      </c>
      <c r="C5638" s="2" t="s">
        <v>325</v>
      </c>
      <c r="D5638" s="2" t="s">
        <v>10</v>
      </c>
      <c r="E5638" s="2" t="s">
        <v>16</v>
      </c>
      <c r="F5638" s="2">
        <v>1</v>
      </c>
      <c r="G5638" s="2" t="s">
        <v>17</v>
      </c>
    </row>
    <row r="5639" spans="1:7" x14ac:dyDescent="0.2">
      <c r="A5639" s="2" t="s">
        <v>7045</v>
      </c>
      <c r="B5639" s="2" t="s">
        <v>7057</v>
      </c>
      <c r="C5639" s="2" t="s">
        <v>325</v>
      </c>
      <c r="D5639" s="2" t="s">
        <v>10</v>
      </c>
      <c r="E5639" s="2" t="s">
        <v>16</v>
      </c>
      <c r="F5639" s="2">
        <v>1</v>
      </c>
      <c r="G5639" s="2" t="s">
        <v>17</v>
      </c>
    </row>
    <row r="5640" spans="1:7" x14ac:dyDescent="0.2">
      <c r="A5640" s="2" t="s">
        <v>7045</v>
      </c>
      <c r="B5640" s="2" t="s">
        <v>7058</v>
      </c>
      <c r="C5640" s="2" t="s">
        <v>325</v>
      </c>
      <c r="D5640" s="2" t="s">
        <v>10</v>
      </c>
      <c r="E5640" s="2" t="s">
        <v>16</v>
      </c>
      <c r="F5640" s="2">
        <v>1</v>
      </c>
      <c r="G5640" s="2" t="s">
        <v>17</v>
      </c>
    </row>
    <row r="5641" spans="1:7" x14ac:dyDescent="0.2">
      <c r="A5641" s="2" t="s">
        <v>7045</v>
      </c>
      <c r="B5641" s="2" t="s">
        <v>7059</v>
      </c>
      <c r="C5641" s="2" t="s">
        <v>325</v>
      </c>
      <c r="D5641" s="2" t="s">
        <v>10</v>
      </c>
      <c r="E5641" s="2" t="s">
        <v>16</v>
      </c>
      <c r="F5641" s="2">
        <v>1</v>
      </c>
      <c r="G5641" s="2" t="s">
        <v>17</v>
      </c>
    </row>
    <row r="5642" spans="1:7" x14ac:dyDescent="0.2">
      <c r="A5642" s="2" t="s">
        <v>7045</v>
      </c>
      <c r="B5642" s="2" t="s">
        <v>7060</v>
      </c>
      <c r="C5642" s="2" t="s">
        <v>325</v>
      </c>
      <c r="D5642" s="2" t="s">
        <v>10</v>
      </c>
      <c r="E5642" s="2" t="s">
        <v>16</v>
      </c>
      <c r="F5642" s="2">
        <v>1</v>
      </c>
      <c r="G5642" s="2" t="s">
        <v>17</v>
      </c>
    </row>
    <row r="5643" spans="1:7" x14ac:dyDescent="0.2">
      <c r="A5643" s="2" t="s">
        <v>7045</v>
      </c>
      <c r="B5643" s="2" t="s">
        <v>7061</v>
      </c>
      <c r="C5643" s="2" t="s">
        <v>325</v>
      </c>
      <c r="D5643" s="2" t="s">
        <v>10</v>
      </c>
      <c r="E5643" s="2" t="s">
        <v>16</v>
      </c>
      <c r="F5643" s="2">
        <v>1</v>
      </c>
      <c r="G5643" s="2" t="s">
        <v>17</v>
      </c>
    </row>
    <row r="5644" spans="1:7" x14ac:dyDescent="0.2">
      <c r="A5644" s="2" t="s">
        <v>7045</v>
      </c>
      <c r="B5644" s="2" t="s">
        <v>7062</v>
      </c>
      <c r="C5644" s="2" t="s">
        <v>325</v>
      </c>
      <c r="D5644" s="2" t="s">
        <v>10</v>
      </c>
      <c r="E5644" s="2" t="s">
        <v>16</v>
      </c>
      <c r="F5644" s="2">
        <v>1</v>
      </c>
      <c r="G5644" s="2" t="s">
        <v>17</v>
      </c>
    </row>
    <row r="5645" spans="1:7" x14ac:dyDescent="0.2">
      <c r="A5645" s="2" t="s">
        <v>7045</v>
      </c>
      <c r="B5645" s="2" t="s">
        <v>7063</v>
      </c>
      <c r="C5645" s="2" t="s">
        <v>325</v>
      </c>
      <c r="D5645" s="2" t="s">
        <v>10</v>
      </c>
      <c r="E5645" s="2" t="s">
        <v>16</v>
      </c>
      <c r="F5645" s="2">
        <v>1</v>
      </c>
      <c r="G5645" s="2" t="s">
        <v>17</v>
      </c>
    </row>
    <row r="5646" spans="1:7" x14ac:dyDescent="0.2">
      <c r="A5646" s="2" t="s">
        <v>7045</v>
      </c>
      <c r="B5646" s="2" t="s">
        <v>7064</v>
      </c>
      <c r="C5646" s="2" t="s">
        <v>325</v>
      </c>
      <c r="D5646" s="2" t="s">
        <v>10</v>
      </c>
      <c r="E5646" s="2" t="s">
        <v>16</v>
      </c>
      <c r="F5646" s="2">
        <v>1</v>
      </c>
      <c r="G5646" s="2" t="s">
        <v>17</v>
      </c>
    </row>
    <row r="5647" spans="1:7" x14ac:dyDescent="0.2">
      <c r="A5647" s="2" t="s">
        <v>7045</v>
      </c>
      <c r="B5647" s="2" t="s">
        <v>7065</v>
      </c>
      <c r="C5647" s="2" t="s">
        <v>325</v>
      </c>
      <c r="D5647" s="2" t="s">
        <v>10</v>
      </c>
      <c r="E5647" s="2" t="s">
        <v>16</v>
      </c>
      <c r="F5647" s="2">
        <v>1</v>
      </c>
      <c r="G5647" s="2" t="s">
        <v>17</v>
      </c>
    </row>
    <row r="5648" spans="1:7" x14ac:dyDescent="0.2">
      <c r="A5648" s="2" t="s">
        <v>7045</v>
      </c>
      <c r="B5648" s="2" t="s">
        <v>4934</v>
      </c>
      <c r="C5648" s="2" t="s">
        <v>325</v>
      </c>
      <c r="D5648" s="2" t="s">
        <v>10</v>
      </c>
      <c r="E5648" s="2" t="s">
        <v>16</v>
      </c>
      <c r="F5648" s="2">
        <v>1</v>
      </c>
      <c r="G5648" s="2" t="s">
        <v>17</v>
      </c>
    </row>
    <row r="5649" spans="1:7" x14ac:dyDescent="0.2">
      <c r="A5649" s="2" t="s">
        <v>7045</v>
      </c>
      <c r="B5649" s="2" t="s">
        <v>4935</v>
      </c>
      <c r="C5649" s="2" t="s">
        <v>325</v>
      </c>
      <c r="D5649" s="2" t="s">
        <v>10</v>
      </c>
      <c r="E5649" s="2" t="s">
        <v>16</v>
      </c>
      <c r="F5649" s="2">
        <v>1</v>
      </c>
      <c r="G5649" s="2" t="s">
        <v>17</v>
      </c>
    </row>
    <row r="5650" spans="1:7" x14ac:dyDescent="0.2">
      <c r="A5650" s="2" t="s">
        <v>7045</v>
      </c>
      <c r="B5650" s="2" t="s">
        <v>7066</v>
      </c>
      <c r="C5650" s="2" t="s">
        <v>7047</v>
      </c>
      <c r="D5650" s="2" t="s">
        <v>10</v>
      </c>
      <c r="E5650" s="2" t="s">
        <v>16</v>
      </c>
      <c r="F5650" s="2">
        <v>1</v>
      </c>
      <c r="G5650" s="2" t="s">
        <v>17</v>
      </c>
    </row>
    <row r="5651" spans="1:7" x14ac:dyDescent="0.2">
      <c r="A5651" s="2" t="s">
        <v>7045</v>
      </c>
      <c r="B5651" s="2" t="s">
        <v>7067</v>
      </c>
      <c r="C5651" s="2" t="s">
        <v>7047</v>
      </c>
      <c r="D5651" s="2" t="s">
        <v>10</v>
      </c>
      <c r="E5651" s="2" t="s">
        <v>16</v>
      </c>
      <c r="F5651" s="2">
        <v>1</v>
      </c>
      <c r="G5651" s="2" t="s">
        <v>17</v>
      </c>
    </row>
    <row r="5652" spans="1:7" x14ac:dyDescent="0.2">
      <c r="A5652" s="2" t="s">
        <v>7045</v>
      </c>
      <c r="B5652" s="2" t="s">
        <v>7068</v>
      </c>
      <c r="C5652" s="2" t="s">
        <v>7069</v>
      </c>
      <c r="D5652" s="2" t="s">
        <v>10</v>
      </c>
      <c r="E5652" s="2" t="s">
        <v>16</v>
      </c>
      <c r="F5652" s="2">
        <v>1</v>
      </c>
      <c r="G5652" s="2" t="s">
        <v>17</v>
      </c>
    </row>
    <row r="5653" spans="1:7" x14ac:dyDescent="0.2">
      <c r="A5653" s="2" t="s">
        <v>7045</v>
      </c>
      <c r="B5653" s="2" t="s">
        <v>7070</v>
      </c>
      <c r="C5653" s="2" t="s">
        <v>7069</v>
      </c>
      <c r="D5653" s="2" t="s">
        <v>10</v>
      </c>
      <c r="E5653" s="2" t="s">
        <v>16</v>
      </c>
      <c r="F5653" s="2">
        <v>1</v>
      </c>
      <c r="G5653" s="2" t="s">
        <v>17</v>
      </c>
    </row>
    <row r="5654" spans="1:7" x14ac:dyDescent="0.2">
      <c r="A5654" s="2" t="s">
        <v>7045</v>
      </c>
      <c r="B5654" s="2" t="s">
        <v>7071</v>
      </c>
      <c r="C5654" s="2" t="s">
        <v>7047</v>
      </c>
      <c r="D5654" s="2" t="s">
        <v>10</v>
      </c>
      <c r="E5654" s="2" t="s">
        <v>16</v>
      </c>
      <c r="F5654" s="2">
        <v>1</v>
      </c>
      <c r="G5654" s="2" t="s">
        <v>17</v>
      </c>
    </row>
    <row r="5655" spans="1:7" x14ac:dyDescent="0.2">
      <c r="A5655" s="2" t="s">
        <v>7072</v>
      </c>
      <c r="B5655" s="2" t="s">
        <v>7073</v>
      </c>
      <c r="C5655" s="2" t="s">
        <v>7074</v>
      </c>
      <c r="D5655" s="2" t="s">
        <v>10</v>
      </c>
      <c r="E5655" s="2" t="s">
        <v>16</v>
      </c>
      <c r="F5655" s="2">
        <v>1</v>
      </c>
      <c r="G5655" s="2" t="s">
        <v>17</v>
      </c>
    </row>
    <row r="5656" spans="1:7" x14ac:dyDescent="0.2">
      <c r="A5656" s="2" t="s">
        <v>7075</v>
      </c>
      <c r="B5656" s="2" t="s">
        <v>7076</v>
      </c>
      <c r="C5656" s="2" t="s">
        <v>962</v>
      </c>
      <c r="D5656" s="2" t="s">
        <v>10</v>
      </c>
      <c r="E5656" s="2" t="s">
        <v>16</v>
      </c>
      <c r="F5656" s="2">
        <v>1</v>
      </c>
      <c r="G5656" s="2" t="s">
        <v>17</v>
      </c>
    </row>
    <row r="5657" spans="1:7" x14ac:dyDescent="0.2">
      <c r="A5657" s="2" t="s">
        <v>7077</v>
      </c>
      <c r="B5657" s="2" t="s">
        <v>7078</v>
      </c>
      <c r="C5657" s="2" t="s">
        <v>7079</v>
      </c>
      <c r="D5657" s="2" t="s">
        <v>10</v>
      </c>
      <c r="E5657" s="2" t="s">
        <v>11</v>
      </c>
      <c r="F5657" s="2">
        <v>1</v>
      </c>
      <c r="G5657" s="2" t="s">
        <v>17</v>
      </c>
    </row>
    <row r="5658" spans="1:7" x14ac:dyDescent="0.2">
      <c r="A5658" s="2" t="s">
        <v>7077</v>
      </c>
      <c r="B5658" s="2" t="s">
        <v>7080</v>
      </c>
      <c r="C5658" s="2" t="s">
        <v>7079</v>
      </c>
      <c r="D5658" s="2" t="s">
        <v>10</v>
      </c>
      <c r="E5658" s="2" t="s">
        <v>11</v>
      </c>
      <c r="F5658" s="2">
        <v>1</v>
      </c>
      <c r="G5658" s="2" t="s">
        <v>17</v>
      </c>
    </row>
    <row r="5659" spans="1:7" x14ac:dyDescent="0.2">
      <c r="A5659" s="2" t="s">
        <v>7081</v>
      </c>
      <c r="B5659" s="2" t="s">
        <v>7082</v>
      </c>
      <c r="C5659" s="2" t="s">
        <v>4337</v>
      </c>
      <c r="D5659" s="2" t="s">
        <v>10</v>
      </c>
      <c r="E5659" s="2" t="s">
        <v>16</v>
      </c>
      <c r="F5659" s="2">
        <v>1</v>
      </c>
      <c r="G5659" s="2" t="s">
        <v>17</v>
      </c>
    </row>
    <row r="5660" spans="1:7" x14ac:dyDescent="0.2">
      <c r="A5660" s="2" t="s">
        <v>7081</v>
      </c>
      <c r="B5660" s="2" t="s">
        <v>5216</v>
      </c>
      <c r="C5660" s="2" t="s">
        <v>4337</v>
      </c>
      <c r="D5660" s="2" t="s">
        <v>10</v>
      </c>
      <c r="E5660" s="2" t="s">
        <v>16</v>
      </c>
      <c r="F5660" s="2">
        <v>1</v>
      </c>
      <c r="G5660" s="2" t="s">
        <v>17</v>
      </c>
    </row>
    <row r="5661" spans="1:7" x14ac:dyDescent="0.2">
      <c r="A5661" s="2" t="s">
        <v>7081</v>
      </c>
      <c r="B5661" s="2" t="s">
        <v>7083</v>
      </c>
      <c r="C5661" s="2" t="s">
        <v>1494</v>
      </c>
      <c r="D5661" s="2" t="s">
        <v>10</v>
      </c>
      <c r="E5661" s="2" t="s">
        <v>16</v>
      </c>
      <c r="F5661" s="2">
        <v>1</v>
      </c>
      <c r="G5661" s="2" t="s">
        <v>17</v>
      </c>
    </row>
    <row r="5662" spans="1:7" x14ac:dyDescent="0.2">
      <c r="A5662" s="2" t="s">
        <v>7081</v>
      </c>
      <c r="B5662" s="2" t="s">
        <v>7084</v>
      </c>
      <c r="C5662" s="2" t="s">
        <v>4337</v>
      </c>
      <c r="D5662" s="2" t="s">
        <v>10</v>
      </c>
      <c r="E5662" s="2" t="s">
        <v>16</v>
      </c>
      <c r="F5662" s="2">
        <v>1</v>
      </c>
      <c r="G5662" s="2" t="s">
        <v>17</v>
      </c>
    </row>
    <row r="5663" spans="1:7" x14ac:dyDescent="0.2">
      <c r="A5663" s="2" t="s">
        <v>7081</v>
      </c>
      <c r="B5663" s="2" t="s">
        <v>7085</v>
      </c>
      <c r="C5663" s="2" t="s">
        <v>4337</v>
      </c>
      <c r="D5663" s="2" t="s">
        <v>10</v>
      </c>
      <c r="E5663" s="2" t="s">
        <v>16</v>
      </c>
      <c r="F5663" s="2">
        <v>1</v>
      </c>
      <c r="G5663" s="2" t="s">
        <v>17</v>
      </c>
    </row>
    <row r="5664" spans="1:7" x14ac:dyDescent="0.2">
      <c r="A5664" s="2" t="s">
        <v>7081</v>
      </c>
      <c r="B5664" s="2" t="s">
        <v>7086</v>
      </c>
      <c r="C5664" s="2" t="s">
        <v>1494</v>
      </c>
      <c r="D5664" s="2" t="s">
        <v>10</v>
      </c>
      <c r="E5664" s="2" t="s">
        <v>16</v>
      </c>
      <c r="F5664" s="2">
        <v>1</v>
      </c>
      <c r="G5664" s="2" t="s">
        <v>17</v>
      </c>
    </row>
    <row r="5665" spans="1:7" x14ac:dyDescent="0.2">
      <c r="A5665" s="2" t="s">
        <v>7087</v>
      </c>
      <c r="B5665" s="2" t="s">
        <v>7088</v>
      </c>
      <c r="C5665" s="2" t="s">
        <v>3395</v>
      </c>
      <c r="D5665" s="2" t="s">
        <v>10</v>
      </c>
      <c r="E5665" s="2" t="s">
        <v>16</v>
      </c>
      <c r="F5665" s="2">
        <v>3</v>
      </c>
      <c r="G5665" s="2" t="s">
        <v>12</v>
      </c>
    </row>
    <row r="5666" spans="1:7" x14ac:dyDescent="0.2">
      <c r="A5666" s="2" t="s">
        <v>7087</v>
      </c>
      <c r="B5666" s="2" t="s">
        <v>7089</v>
      </c>
      <c r="C5666" s="2" t="s">
        <v>7090</v>
      </c>
      <c r="D5666" s="2" t="s">
        <v>10</v>
      </c>
      <c r="E5666" s="2" t="s">
        <v>16</v>
      </c>
      <c r="F5666" s="2">
        <v>1</v>
      </c>
      <c r="G5666" s="2" t="s">
        <v>17</v>
      </c>
    </row>
    <row r="5667" spans="1:7" x14ac:dyDescent="0.2">
      <c r="A5667" s="2" t="s">
        <v>7091</v>
      </c>
      <c r="B5667" s="2" t="s">
        <v>7092</v>
      </c>
      <c r="C5667" s="2" t="s">
        <v>7093</v>
      </c>
      <c r="D5667" s="2" t="s">
        <v>10</v>
      </c>
      <c r="E5667" s="2" t="s">
        <v>16</v>
      </c>
      <c r="F5667" s="2">
        <v>1</v>
      </c>
      <c r="G5667" s="2" t="s">
        <v>17</v>
      </c>
    </row>
    <row r="5668" spans="1:7" x14ac:dyDescent="0.2">
      <c r="A5668" s="2" t="s">
        <v>7094</v>
      </c>
      <c r="B5668" s="2" t="s">
        <v>4603</v>
      </c>
      <c r="C5668" s="2" t="s">
        <v>7095</v>
      </c>
      <c r="D5668" s="2" t="s">
        <v>10</v>
      </c>
      <c r="E5668" s="2" t="s">
        <v>16</v>
      </c>
      <c r="F5668" s="2">
        <v>1</v>
      </c>
      <c r="G5668" s="2" t="s">
        <v>17</v>
      </c>
    </row>
    <row r="5669" spans="1:7" x14ac:dyDescent="0.2">
      <c r="A5669" s="2" t="s">
        <v>7094</v>
      </c>
      <c r="B5669" s="2" t="s">
        <v>7096</v>
      </c>
      <c r="C5669" s="2" t="s">
        <v>7095</v>
      </c>
      <c r="D5669" s="2" t="s">
        <v>10</v>
      </c>
      <c r="E5669" s="2" t="s">
        <v>16</v>
      </c>
      <c r="F5669" s="2">
        <v>1</v>
      </c>
      <c r="G5669" s="2" t="s">
        <v>17</v>
      </c>
    </row>
    <row r="5670" spans="1:7" x14ac:dyDescent="0.2">
      <c r="A5670" s="2" t="s">
        <v>7097</v>
      </c>
      <c r="B5670" s="2" t="s">
        <v>7098</v>
      </c>
      <c r="C5670" s="2" t="s">
        <v>7099</v>
      </c>
      <c r="D5670" s="2" t="s">
        <v>10</v>
      </c>
      <c r="E5670" s="2" t="s">
        <v>16</v>
      </c>
      <c r="F5670" s="2">
        <v>1</v>
      </c>
      <c r="G5670" s="2" t="s">
        <v>17</v>
      </c>
    </row>
    <row r="5671" spans="1:7" x14ac:dyDescent="0.2">
      <c r="A5671" s="2" t="s">
        <v>7097</v>
      </c>
      <c r="B5671" s="2" t="s">
        <v>7100</v>
      </c>
      <c r="C5671" s="2" t="s">
        <v>7101</v>
      </c>
      <c r="D5671" s="2" t="s">
        <v>10</v>
      </c>
      <c r="E5671" s="2" t="s">
        <v>16</v>
      </c>
      <c r="F5671" s="2">
        <v>1</v>
      </c>
      <c r="G5671" s="2" t="s">
        <v>17</v>
      </c>
    </row>
    <row r="5672" spans="1:7" x14ac:dyDescent="0.2">
      <c r="A5672" s="2" t="s">
        <v>7097</v>
      </c>
      <c r="B5672" s="2" t="s">
        <v>7102</v>
      </c>
      <c r="C5672" s="2" t="s">
        <v>7103</v>
      </c>
      <c r="D5672" s="2" t="s">
        <v>10</v>
      </c>
      <c r="E5672" s="2" t="s">
        <v>16</v>
      </c>
      <c r="F5672" s="2">
        <v>1</v>
      </c>
      <c r="G5672" s="2" t="s">
        <v>17</v>
      </c>
    </row>
    <row r="5673" spans="1:7" x14ac:dyDescent="0.2">
      <c r="A5673" s="2" t="s">
        <v>7097</v>
      </c>
      <c r="B5673" s="2" t="s">
        <v>7104</v>
      </c>
      <c r="C5673" s="2" t="s">
        <v>7105</v>
      </c>
      <c r="D5673" s="2" t="s">
        <v>10</v>
      </c>
      <c r="E5673" s="2" t="s">
        <v>16</v>
      </c>
      <c r="F5673" s="2">
        <v>1</v>
      </c>
      <c r="G5673" s="2" t="s">
        <v>17</v>
      </c>
    </row>
    <row r="5674" spans="1:7" x14ac:dyDescent="0.2">
      <c r="A5674" s="2" t="s">
        <v>7097</v>
      </c>
      <c r="B5674" s="2" t="s">
        <v>7106</v>
      </c>
      <c r="C5674" s="2" t="s">
        <v>7107</v>
      </c>
      <c r="D5674" s="2" t="s">
        <v>10</v>
      </c>
      <c r="E5674" s="2" t="s">
        <v>16</v>
      </c>
      <c r="F5674" s="2">
        <v>1</v>
      </c>
      <c r="G5674" s="2" t="s">
        <v>17</v>
      </c>
    </row>
    <row r="5675" spans="1:7" x14ac:dyDescent="0.2">
      <c r="A5675" s="2" t="s">
        <v>7097</v>
      </c>
      <c r="B5675" s="2" t="s">
        <v>7108</v>
      </c>
      <c r="C5675" s="2" t="s">
        <v>2964</v>
      </c>
      <c r="D5675" s="2" t="s">
        <v>10</v>
      </c>
      <c r="E5675" s="2" t="s">
        <v>16</v>
      </c>
      <c r="F5675" s="2">
        <v>1</v>
      </c>
      <c r="G5675" s="2" t="s">
        <v>17</v>
      </c>
    </row>
    <row r="5676" spans="1:7" x14ac:dyDescent="0.2">
      <c r="A5676" s="2" t="s">
        <v>7097</v>
      </c>
      <c r="B5676" s="2" t="s">
        <v>7109</v>
      </c>
      <c r="C5676" s="2" t="s">
        <v>7110</v>
      </c>
      <c r="D5676" s="2" t="s">
        <v>10</v>
      </c>
      <c r="E5676" s="2" t="s">
        <v>16</v>
      </c>
      <c r="F5676" s="2">
        <v>1</v>
      </c>
      <c r="G5676" s="2" t="s">
        <v>17</v>
      </c>
    </row>
    <row r="5677" spans="1:7" x14ac:dyDescent="0.2">
      <c r="A5677" s="2" t="s">
        <v>7097</v>
      </c>
      <c r="B5677" s="2" t="s">
        <v>7111</v>
      </c>
      <c r="C5677" s="2" t="s">
        <v>7112</v>
      </c>
      <c r="D5677" s="2" t="s">
        <v>10</v>
      </c>
      <c r="E5677" s="2" t="s">
        <v>16</v>
      </c>
      <c r="F5677" s="2">
        <v>1</v>
      </c>
      <c r="G5677" s="2" t="s">
        <v>17</v>
      </c>
    </row>
    <row r="5678" spans="1:7" x14ac:dyDescent="0.2">
      <c r="A5678" s="2" t="s">
        <v>7097</v>
      </c>
      <c r="B5678" s="2" t="s">
        <v>7113</v>
      </c>
      <c r="C5678" s="2" t="s">
        <v>7114</v>
      </c>
      <c r="D5678" s="2" t="s">
        <v>10</v>
      </c>
      <c r="E5678" s="2" t="s">
        <v>16</v>
      </c>
      <c r="F5678" s="2">
        <v>1</v>
      </c>
      <c r="G5678" s="2" t="s">
        <v>17</v>
      </c>
    </row>
    <row r="5679" spans="1:7" x14ac:dyDescent="0.2">
      <c r="A5679" s="2" t="s">
        <v>7097</v>
      </c>
      <c r="B5679" s="2" t="s">
        <v>7115</v>
      </c>
      <c r="C5679" s="2" t="s">
        <v>7105</v>
      </c>
      <c r="D5679" s="2" t="s">
        <v>10</v>
      </c>
      <c r="E5679" s="2" t="s">
        <v>16</v>
      </c>
      <c r="F5679" s="2">
        <v>1</v>
      </c>
      <c r="G5679" s="2" t="s">
        <v>17</v>
      </c>
    </row>
    <row r="5680" spans="1:7" x14ac:dyDescent="0.2">
      <c r="A5680" s="2" t="s">
        <v>7097</v>
      </c>
      <c r="B5680" s="2" t="s">
        <v>7116</v>
      </c>
      <c r="C5680" s="2" t="s">
        <v>7117</v>
      </c>
      <c r="D5680" s="2" t="s">
        <v>10</v>
      </c>
      <c r="E5680" s="2" t="s">
        <v>16</v>
      </c>
      <c r="F5680" s="2">
        <v>1</v>
      </c>
      <c r="G5680" s="2" t="s">
        <v>17</v>
      </c>
    </row>
    <row r="5681" spans="1:7" x14ac:dyDescent="0.2">
      <c r="A5681" s="2" t="s">
        <v>7097</v>
      </c>
      <c r="B5681" s="2" t="s">
        <v>7118</v>
      </c>
      <c r="C5681" s="2" t="s">
        <v>7119</v>
      </c>
      <c r="D5681" s="2" t="s">
        <v>10</v>
      </c>
      <c r="E5681" s="2" t="s">
        <v>16</v>
      </c>
      <c r="F5681" s="2">
        <v>1</v>
      </c>
      <c r="G5681" s="2" t="s">
        <v>17</v>
      </c>
    </row>
    <row r="5682" spans="1:7" x14ac:dyDescent="0.2">
      <c r="A5682" s="2" t="s">
        <v>7097</v>
      </c>
      <c r="B5682" s="2" t="s">
        <v>7120</v>
      </c>
      <c r="C5682" s="2" t="s">
        <v>2964</v>
      </c>
      <c r="D5682" s="2" t="s">
        <v>10</v>
      </c>
      <c r="E5682" s="2" t="s">
        <v>16</v>
      </c>
      <c r="F5682" s="2">
        <v>1</v>
      </c>
      <c r="G5682" s="2" t="s">
        <v>17</v>
      </c>
    </row>
    <row r="5683" spans="1:7" x14ac:dyDescent="0.2">
      <c r="A5683" s="2" t="s">
        <v>7097</v>
      </c>
      <c r="B5683" s="2" t="s">
        <v>7121</v>
      </c>
      <c r="C5683" s="2" t="s">
        <v>7099</v>
      </c>
      <c r="D5683" s="2" t="s">
        <v>10</v>
      </c>
      <c r="E5683" s="2" t="s">
        <v>16</v>
      </c>
      <c r="F5683" s="2">
        <v>1</v>
      </c>
      <c r="G5683" s="2" t="s">
        <v>17</v>
      </c>
    </row>
    <row r="5684" spans="1:7" x14ac:dyDescent="0.2">
      <c r="A5684" s="2" t="s">
        <v>7097</v>
      </c>
      <c r="B5684" s="2" t="s">
        <v>7122</v>
      </c>
      <c r="C5684" s="2" t="s">
        <v>7123</v>
      </c>
      <c r="D5684" s="2" t="s">
        <v>10</v>
      </c>
      <c r="E5684" s="2" t="s">
        <v>16</v>
      </c>
      <c r="F5684" s="2">
        <v>1</v>
      </c>
      <c r="G5684" s="2" t="s">
        <v>17</v>
      </c>
    </row>
    <row r="5685" spans="1:7" x14ac:dyDescent="0.2">
      <c r="A5685" s="2" t="s">
        <v>7097</v>
      </c>
      <c r="B5685" s="2" t="s">
        <v>7124</v>
      </c>
      <c r="C5685" s="2" t="s">
        <v>7125</v>
      </c>
      <c r="D5685" s="2" t="s">
        <v>10</v>
      </c>
      <c r="E5685" s="2" t="s">
        <v>16</v>
      </c>
      <c r="F5685" s="2">
        <v>1</v>
      </c>
      <c r="G5685" s="2" t="s">
        <v>17</v>
      </c>
    </row>
    <row r="5686" spans="1:7" x14ac:dyDescent="0.2">
      <c r="A5686" s="2" t="s">
        <v>7097</v>
      </c>
      <c r="B5686" s="2" t="s">
        <v>7126</v>
      </c>
      <c r="C5686" s="2" t="s">
        <v>7127</v>
      </c>
      <c r="D5686" s="2" t="s">
        <v>10</v>
      </c>
      <c r="E5686" s="2" t="s">
        <v>16</v>
      </c>
      <c r="F5686" s="2">
        <v>1</v>
      </c>
      <c r="G5686" s="2" t="s">
        <v>17</v>
      </c>
    </row>
    <row r="5687" spans="1:7" x14ac:dyDescent="0.2">
      <c r="A5687" s="2" t="s">
        <v>7097</v>
      </c>
      <c r="B5687" s="2" t="s">
        <v>7128</v>
      </c>
      <c r="C5687" s="2" t="s">
        <v>7114</v>
      </c>
      <c r="D5687" s="2" t="s">
        <v>10</v>
      </c>
      <c r="E5687" s="2" t="s">
        <v>16</v>
      </c>
      <c r="F5687" s="2">
        <v>1</v>
      </c>
      <c r="G5687" s="2" t="s">
        <v>17</v>
      </c>
    </row>
    <row r="5688" spans="1:7" x14ac:dyDescent="0.2">
      <c r="A5688" s="2" t="s">
        <v>7097</v>
      </c>
      <c r="B5688" s="2" t="s">
        <v>7129</v>
      </c>
      <c r="C5688" s="2" t="s">
        <v>7114</v>
      </c>
      <c r="D5688" s="2" t="s">
        <v>10</v>
      </c>
      <c r="E5688" s="2" t="s">
        <v>16</v>
      </c>
      <c r="F5688" s="2">
        <v>1</v>
      </c>
      <c r="G5688" s="2" t="s">
        <v>17</v>
      </c>
    </row>
    <row r="5689" spans="1:7" x14ac:dyDescent="0.2">
      <c r="A5689" s="2" t="s">
        <v>7097</v>
      </c>
      <c r="B5689" s="2" t="s">
        <v>7130</v>
      </c>
      <c r="C5689" s="2" t="s">
        <v>7101</v>
      </c>
      <c r="D5689" s="2" t="s">
        <v>10</v>
      </c>
      <c r="E5689" s="2" t="s">
        <v>16</v>
      </c>
      <c r="F5689" s="2">
        <v>1</v>
      </c>
      <c r="G5689" s="2" t="s">
        <v>17</v>
      </c>
    </row>
    <row r="5690" spans="1:7" x14ac:dyDescent="0.2">
      <c r="A5690" s="2" t="s">
        <v>7097</v>
      </c>
      <c r="B5690" s="2" t="s">
        <v>7131</v>
      </c>
      <c r="C5690" s="2" t="s">
        <v>7103</v>
      </c>
      <c r="D5690" s="2" t="s">
        <v>10</v>
      </c>
      <c r="E5690" s="2" t="s">
        <v>16</v>
      </c>
      <c r="F5690" s="2">
        <v>1</v>
      </c>
      <c r="G5690" s="2" t="s">
        <v>17</v>
      </c>
    </row>
    <row r="5691" spans="1:7" x14ac:dyDescent="0.2">
      <c r="A5691" s="2" t="s">
        <v>7097</v>
      </c>
      <c r="B5691" s="2" t="s">
        <v>7132</v>
      </c>
      <c r="C5691" s="2" t="s">
        <v>7110</v>
      </c>
      <c r="D5691" s="2" t="s">
        <v>10</v>
      </c>
      <c r="E5691" s="2" t="s">
        <v>16</v>
      </c>
      <c r="F5691" s="2">
        <v>1</v>
      </c>
      <c r="G5691" s="2" t="s">
        <v>17</v>
      </c>
    </row>
    <row r="5692" spans="1:7" x14ac:dyDescent="0.2">
      <c r="A5692" s="2" t="s">
        <v>7097</v>
      </c>
      <c r="B5692" s="2" t="s">
        <v>7133</v>
      </c>
      <c r="C5692" s="2" t="s">
        <v>7107</v>
      </c>
      <c r="D5692" s="2" t="s">
        <v>10</v>
      </c>
      <c r="E5692" s="2" t="s">
        <v>16</v>
      </c>
      <c r="F5692" s="2">
        <v>1</v>
      </c>
      <c r="G5692" s="2" t="s">
        <v>17</v>
      </c>
    </row>
    <row r="5693" spans="1:7" x14ac:dyDescent="0.2">
      <c r="A5693" s="2" t="s">
        <v>7097</v>
      </c>
      <c r="B5693" s="2" t="s">
        <v>7134</v>
      </c>
      <c r="C5693" s="2" t="s">
        <v>7112</v>
      </c>
      <c r="D5693" s="2" t="s">
        <v>10</v>
      </c>
      <c r="E5693" s="2" t="s">
        <v>16</v>
      </c>
      <c r="F5693" s="2">
        <v>1</v>
      </c>
      <c r="G5693" s="2" t="s">
        <v>17</v>
      </c>
    </row>
    <row r="5694" spans="1:7" x14ac:dyDescent="0.2">
      <c r="A5694" s="2" t="s">
        <v>7097</v>
      </c>
      <c r="B5694" s="2" t="s">
        <v>7135</v>
      </c>
      <c r="C5694" s="2" t="s">
        <v>7136</v>
      </c>
      <c r="D5694" s="2" t="s">
        <v>10</v>
      </c>
      <c r="E5694" s="2" t="s">
        <v>16</v>
      </c>
      <c r="F5694" s="2">
        <v>1</v>
      </c>
      <c r="G5694" s="2" t="s">
        <v>17</v>
      </c>
    </row>
    <row r="5695" spans="1:7" x14ac:dyDescent="0.2">
      <c r="A5695" s="2" t="s">
        <v>7097</v>
      </c>
      <c r="B5695" s="2" t="s">
        <v>7137</v>
      </c>
      <c r="C5695" s="2" t="s">
        <v>7127</v>
      </c>
      <c r="D5695" s="2" t="s">
        <v>10</v>
      </c>
      <c r="E5695" s="2" t="s">
        <v>16</v>
      </c>
      <c r="F5695" s="2">
        <v>1</v>
      </c>
      <c r="G5695" s="2" t="s">
        <v>17</v>
      </c>
    </row>
    <row r="5696" spans="1:7" x14ac:dyDescent="0.2">
      <c r="A5696" s="2" t="s">
        <v>7097</v>
      </c>
      <c r="B5696" s="2" t="s">
        <v>6394</v>
      </c>
      <c r="C5696" s="2" t="s">
        <v>7117</v>
      </c>
      <c r="D5696" s="2" t="s">
        <v>10</v>
      </c>
      <c r="E5696" s="2" t="s">
        <v>16</v>
      </c>
      <c r="F5696" s="2">
        <v>1</v>
      </c>
      <c r="G5696" s="2" t="s">
        <v>17</v>
      </c>
    </row>
    <row r="5697" spans="1:7" x14ac:dyDescent="0.2">
      <c r="A5697" s="2" t="s">
        <v>7097</v>
      </c>
      <c r="B5697" s="2" t="s">
        <v>7138</v>
      </c>
      <c r="C5697" s="2" t="s">
        <v>7119</v>
      </c>
      <c r="D5697" s="2" t="s">
        <v>10</v>
      </c>
      <c r="E5697" s="2" t="s">
        <v>16</v>
      </c>
      <c r="F5697" s="2">
        <v>1</v>
      </c>
      <c r="G5697" s="2" t="s">
        <v>17</v>
      </c>
    </row>
    <row r="5698" spans="1:7" x14ac:dyDescent="0.2">
      <c r="A5698" s="2" t="s">
        <v>7097</v>
      </c>
      <c r="B5698" s="2" t="s">
        <v>7139</v>
      </c>
      <c r="C5698" s="2" t="s">
        <v>7125</v>
      </c>
      <c r="D5698" s="2" t="s">
        <v>10</v>
      </c>
      <c r="E5698" s="2" t="s">
        <v>16</v>
      </c>
      <c r="F5698" s="2">
        <v>1</v>
      </c>
      <c r="G5698" s="2" t="s">
        <v>17</v>
      </c>
    </row>
    <row r="5699" spans="1:7" x14ac:dyDescent="0.2">
      <c r="A5699" s="2" t="s">
        <v>7097</v>
      </c>
      <c r="B5699" s="2" t="s">
        <v>7140</v>
      </c>
      <c r="C5699" s="2" t="s">
        <v>7136</v>
      </c>
      <c r="D5699" s="2" t="s">
        <v>10</v>
      </c>
      <c r="E5699" s="2" t="s">
        <v>16</v>
      </c>
      <c r="F5699" s="2">
        <v>1</v>
      </c>
      <c r="G5699" s="2" t="s">
        <v>17</v>
      </c>
    </row>
    <row r="5700" spans="1:7" x14ac:dyDescent="0.2">
      <c r="A5700" s="2" t="s">
        <v>7097</v>
      </c>
      <c r="B5700" s="2" t="s">
        <v>7141</v>
      </c>
      <c r="C5700" s="2" t="s">
        <v>7114</v>
      </c>
      <c r="D5700" s="2" t="s">
        <v>10</v>
      </c>
      <c r="E5700" s="2" t="s">
        <v>16</v>
      </c>
      <c r="F5700" s="2">
        <v>1</v>
      </c>
      <c r="G5700" s="2" t="s">
        <v>17</v>
      </c>
    </row>
    <row r="5701" spans="1:7" x14ac:dyDescent="0.2">
      <c r="A5701" s="2" t="s">
        <v>7142</v>
      </c>
      <c r="B5701" s="2" t="s">
        <v>7143</v>
      </c>
      <c r="C5701" s="2" t="s">
        <v>7144</v>
      </c>
      <c r="D5701" s="2" t="s">
        <v>10</v>
      </c>
      <c r="E5701" s="2" t="s">
        <v>16</v>
      </c>
      <c r="F5701" s="2">
        <v>1</v>
      </c>
      <c r="G5701" s="2" t="s">
        <v>17</v>
      </c>
    </row>
    <row r="5702" spans="1:7" x14ac:dyDescent="0.2">
      <c r="A5702" s="2" t="s">
        <v>7142</v>
      </c>
      <c r="B5702" s="2" t="s">
        <v>6517</v>
      </c>
      <c r="C5702" s="2" t="s">
        <v>7145</v>
      </c>
      <c r="D5702" s="2" t="s">
        <v>10</v>
      </c>
      <c r="E5702" s="2" t="s">
        <v>16</v>
      </c>
      <c r="F5702" s="2">
        <v>1</v>
      </c>
      <c r="G5702" s="2" t="s">
        <v>17</v>
      </c>
    </row>
    <row r="5703" spans="1:7" x14ac:dyDescent="0.2">
      <c r="A5703" s="2" t="s">
        <v>7146</v>
      </c>
      <c r="B5703" s="2" t="s">
        <v>7147</v>
      </c>
      <c r="C5703" s="2" t="s">
        <v>7148</v>
      </c>
      <c r="D5703" s="2" t="s">
        <v>10</v>
      </c>
      <c r="E5703" s="2" t="s">
        <v>16</v>
      </c>
      <c r="F5703" s="2">
        <v>1</v>
      </c>
      <c r="G5703" s="2" t="s">
        <v>17</v>
      </c>
    </row>
    <row r="5704" spans="1:7" x14ac:dyDescent="0.2">
      <c r="A5704" s="2" t="s">
        <v>7146</v>
      </c>
      <c r="B5704" s="2" t="s">
        <v>7149</v>
      </c>
      <c r="C5704" s="2" t="s">
        <v>7150</v>
      </c>
      <c r="D5704" s="2" t="s">
        <v>10</v>
      </c>
      <c r="E5704" s="2" t="s">
        <v>16</v>
      </c>
      <c r="F5704" s="2">
        <v>1</v>
      </c>
      <c r="G5704" s="2" t="s">
        <v>17</v>
      </c>
    </row>
    <row r="5705" spans="1:7" x14ac:dyDescent="0.2">
      <c r="A5705" s="2" t="s">
        <v>7146</v>
      </c>
      <c r="B5705" s="2" t="s">
        <v>7151</v>
      </c>
      <c r="C5705" s="2" t="s">
        <v>7152</v>
      </c>
      <c r="D5705" s="2" t="s">
        <v>10</v>
      </c>
      <c r="E5705" s="2" t="s">
        <v>16</v>
      </c>
      <c r="F5705" s="2">
        <v>1</v>
      </c>
      <c r="G5705" s="2" t="s">
        <v>17</v>
      </c>
    </row>
    <row r="5706" spans="1:7" x14ac:dyDescent="0.2">
      <c r="A5706" s="2" t="s">
        <v>7146</v>
      </c>
      <c r="B5706" s="2" t="s">
        <v>7153</v>
      </c>
      <c r="C5706" s="2" t="s">
        <v>7148</v>
      </c>
      <c r="D5706" s="2" t="s">
        <v>10</v>
      </c>
      <c r="E5706" s="2" t="s">
        <v>16</v>
      </c>
      <c r="F5706" s="2">
        <v>1</v>
      </c>
      <c r="G5706" s="2" t="s">
        <v>17</v>
      </c>
    </row>
    <row r="5707" spans="1:7" x14ac:dyDescent="0.2">
      <c r="A5707" s="2" t="s">
        <v>7146</v>
      </c>
      <c r="B5707" s="2" t="s">
        <v>7154</v>
      </c>
      <c r="C5707" s="2" t="s">
        <v>7150</v>
      </c>
      <c r="D5707" s="2" t="s">
        <v>10</v>
      </c>
      <c r="E5707" s="2" t="s">
        <v>16</v>
      </c>
      <c r="F5707" s="2">
        <v>1</v>
      </c>
      <c r="G5707" s="2" t="s">
        <v>17</v>
      </c>
    </row>
    <row r="5708" spans="1:7" x14ac:dyDescent="0.2">
      <c r="A5708" s="2" t="s">
        <v>7146</v>
      </c>
      <c r="B5708" s="2" t="s">
        <v>7155</v>
      </c>
      <c r="C5708" s="2" t="s">
        <v>7152</v>
      </c>
      <c r="D5708" s="2" t="s">
        <v>10</v>
      </c>
      <c r="E5708" s="2" t="s">
        <v>16</v>
      </c>
      <c r="F5708" s="2">
        <v>1</v>
      </c>
      <c r="G5708" s="2" t="s">
        <v>17</v>
      </c>
    </row>
    <row r="5709" spans="1:7" x14ac:dyDescent="0.2">
      <c r="A5709" s="2" t="s">
        <v>7146</v>
      </c>
      <c r="B5709" s="2" t="s">
        <v>7156</v>
      </c>
      <c r="C5709" s="2" t="s">
        <v>7157</v>
      </c>
      <c r="D5709" s="2" t="s">
        <v>10</v>
      </c>
      <c r="E5709" s="2" t="s">
        <v>16</v>
      </c>
      <c r="F5709" s="2">
        <v>1</v>
      </c>
      <c r="G5709" s="2" t="s">
        <v>17</v>
      </c>
    </row>
    <row r="5710" spans="1:7" x14ac:dyDescent="0.2">
      <c r="A5710" s="2" t="s">
        <v>7146</v>
      </c>
      <c r="B5710" s="2" t="s">
        <v>7158</v>
      </c>
      <c r="C5710" s="2" t="s">
        <v>7157</v>
      </c>
      <c r="D5710" s="2" t="s">
        <v>10</v>
      </c>
      <c r="E5710" s="2" t="s">
        <v>16</v>
      </c>
      <c r="F5710" s="2">
        <v>1</v>
      </c>
      <c r="G5710" s="2" t="s">
        <v>17</v>
      </c>
    </row>
    <row r="5711" spans="1:7" x14ac:dyDescent="0.2">
      <c r="A5711" s="2" t="s">
        <v>7159</v>
      </c>
      <c r="B5711" s="2" t="s">
        <v>7160</v>
      </c>
      <c r="C5711" s="2" t="s">
        <v>3178</v>
      </c>
      <c r="D5711" s="2" t="s">
        <v>10</v>
      </c>
      <c r="E5711" s="2" t="s">
        <v>16</v>
      </c>
      <c r="F5711" s="2">
        <v>1</v>
      </c>
      <c r="G5711" s="2" t="s">
        <v>17</v>
      </c>
    </row>
    <row r="5712" spans="1:7" x14ac:dyDescent="0.2">
      <c r="A5712" s="2" t="s">
        <v>7159</v>
      </c>
      <c r="B5712" s="2" t="s">
        <v>3177</v>
      </c>
      <c r="C5712" s="2" t="s">
        <v>3178</v>
      </c>
      <c r="D5712" s="2" t="s">
        <v>10</v>
      </c>
      <c r="E5712" s="2" t="s">
        <v>16</v>
      </c>
      <c r="F5712" s="2">
        <v>1</v>
      </c>
      <c r="G5712" s="2" t="s">
        <v>17</v>
      </c>
    </row>
    <row r="5713" spans="1:7" x14ac:dyDescent="0.2">
      <c r="A5713" s="2" t="s">
        <v>7159</v>
      </c>
      <c r="B5713" s="2" t="s">
        <v>7161</v>
      </c>
      <c r="C5713" s="2" t="s">
        <v>3178</v>
      </c>
      <c r="D5713" s="2" t="s">
        <v>10</v>
      </c>
      <c r="E5713" s="2" t="s">
        <v>16</v>
      </c>
      <c r="F5713" s="2">
        <v>1</v>
      </c>
      <c r="G5713" s="2" t="s">
        <v>17</v>
      </c>
    </row>
    <row r="5714" spans="1:7" x14ac:dyDescent="0.2">
      <c r="A5714" s="2" t="s">
        <v>7159</v>
      </c>
      <c r="B5714" s="2" t="s">
        <v>6486</v>
      </c>
      <c r="C5714" s="2" t="s">
        <v>3178</v>
      </c>
      <c r="D5714" s="2" t="s">
        <v>10</v>
      </c>
      <c r="E5714" s="2" t="s">
        <v>16</v>
      </c>
      <c r="F5714" s="2">
        <v>1</v>
      </c>
      <c r="G5714" s="2" t="s">
        <v>17</v>
      </c>
    </row>
    <row r="5715" spans="1:7" x14ac:dyDescent="0.2">
      <c r="A5715" s="2" t="s">
        <v>7162</v>
      </c>
      <c r="B5715" s="2" t="s">
        <v>5281</v>
      </c>
      <c r="C5715" s="2" t="s">
        <v>7163</v>
      </c>
      <c r="D5715" s="2" t="s">
        <v>10</v>
      </c>
      <c r="E5715" s="2" t="s">
        <v>16</v>
      </c>
      <c r="F5715" s="2">
        <v>1</v>
      </c>
      <c r="G5715" s="2" t="s">
        <v>17</v>
      </c>
    </row>
    <row r="5716" spans="1:7" x14ac:dyDescent="0.2">
      <c r="A5716" s="2" t="s">
        <v>7164</v>
      </c>
      <c r="B5716" s="2" t="s">
        <v>7165</v>
      </c>
      <c r="C5716" s="2" t="s">
        <v>7166</v>
      </c>
      <c r="D5716" s="2" t="s">
        <v>10</v>
      </c>
      <c r="E5716" s="2" t="s">
        <v>16</v>
      </c>
      <c r="F5716" s="2">
        <v>1</v>
      </c>
      <c r="G5716" s="2" t="s">
        <v>17</v>
      </c>
    </row>
    <row r="5717" spans="1:7" x14ac:dyDescent="0.2">
      <c r="A5717" s="2" t="s">
        <v>7167</v>
      </c>
      <c r="B5717" s="2" t="s">
        <v>7168</v>
      </c>
      <c r="C5717" s="2" t="s">
        <v>7169</v>
      </c>
      <c r="D5717" s="2" t="s">
        <v>56</v>
      </c>
      <c r="E5717" s="2" t="s">
        <v>16</v>
      </c>
      <c r="F5717" s="2">
        <v>1</v>
      </c>
      <c r="G5717" s="2" t="s">
        <v>17</v>
      </c>
    </row>
    <row r="5718" spans="1:7" x14ac:dyDescent="0.2">
      <c r="A5718" s="2" t="s">
        <v>7167</v>
      </c>
      <c r="B5718" s="2" t="s">
        <v>7170</v>
      </c>
      <c r="C5718" s="2" t="s">
        <v>7169</v>
      </c>
      <c r="D5718" s="2" t="s">
        <v>56</v>
      </c>
      <c r="E5718" s="2" t="s">
        <v>16</v>
      </c>
      <c r="F5718" s="2">
        <v>1</v>
      </c>
      <c r="G5718" s="2" t="s">
        <v>17</v>
      </c>
    </row>
    <row r="5719" spans="1:7" x14ac:dyDescent="0.2">
      <c r="A5719" s="2" t="s">
        <v>7167</v>
      </c>
      <c r="B5719" s="2" t="s">
        <v>7171</v>
      </c>
      <c r="C5719" s="2" t="s">
        <v>7172</v>
      </c>
      <c r="D5719" s="2" t="s">
        <v>56</v>
      </c>
      <c r="E5719" s="2" t="s">
        <v>52</v>
      </c>
      <c r="F5719" s="2">
        <v>1</v>
      </c>
      <c r="G5719" s="2" t="s">
        <v>17</v>
      </c>
    </row>
    <row r="5720" spans="1:7" x14ac:dyDescent="0.2">
      <c r="A5720" s="2" t="s">
        <v>7167</v>
      </c>
      <c r="B5720" s="2" t="s">
        <v>7173</v>
      </c>
      <c r="C5720" s="2" t="s">
        <v>7172</v>
      </c>
      <c r="D5720" s="2" t="s">
        <v>56</v>
      </c>
      <c r="E5720" s="2" t="s">
        <v>52</v>
      </c>
      <c r="F5720" s="2">
        <v>1</v>
      </c>
      <c r="G5720" s="2" t="s">
        <v>17</v>
      </c>
    </row>
    <row r="5721" spans="1:7" x14ac:dyDescent="0.2">
      <c r="A5721" s="2" t="s">
        <v>7167</v>
      </c>
      <c r="B5721" s="2" t="s">
        <v>7174</v>
      </c>
      <c r="C5721" s="2" t="s">
        <v>7169</v>
      </c>
      <c r="D5721" s="2" t="s">
        <v>56</v>
      </c>
      <c r="E5721" s="2" t="s">
        <v>16</v>
      </c>
      <c r="F5721" s="2">
        <v>1</v>
      </c>
      <c r="G5721" s="2" t="s">
        <v>17</v>
      </c>
    </row>
    <row r="5722" spans="1:7" x14ac:dyDescent="0.2">
      <c r="A5722" s="2" t="s">
        <v>7167</v>
      </c>
      <c r="B5722" s="2" t="s">
        <v>7175</v>
      </c>
      <c r="C5722" s="2" t="s">
        <v>7169</v>
      </c>
      <c r="D5722" s="2" t="s">
        <v>56</v>
      </c>
      <c r="E5722" s="2" t="s">
        <v>16</v>
      </c>
      <c r="F5722" s="2">
        <v>1</v>
      </c>
      <c r="G5722" s="2" t="s">
        <v>17</v>
      </c>
    </row>
    <row r="5723" spans="1:7" x14ac:dyDescent="0.2">
      <c r="A5723" s="2" t="s">
        <v>7167</v>
      </c>
      <c r="B5723" s="2" t="s">
        <v>7176</v>
      </c>
      <c r="C5723" s="2" t="s">
        <v>7172</v>
      </c>
      <c r="D5723" s="2" t="s">
        <v>56</v>
      </c>
      <c r="E5723" s="2" t="s">
        <v>52</v>
      </c>
      <c r="F5723" s="2">
        <v>1</v>
      </c>
      <c r="G5723" s="2" t="s">
        <v>17</v>
      </c>
    </row>
    <row r="5724" spans="1:7" x14ac:dyDescent="0.2">
      <c r="A5724" s="2" t="s">
        <v>7167</v>
      </c>
      <c r="B5724" s="2" t="s">
        <v>7177</v>
      </c>
      <c r="C5724" s="2" t="s">
        <v>7178</v>
      </c>
      <c r="D5724" s="2" t="s">
        <v>56</v>
      </c>
      <c r="E5724" s="2" t="s">
        <v>52</v>
      </c>
      <c r="F5724" s="2">
        <v>2</v>
      </c>
      <c r="G5724" s="2" t="s">
        <v>17</v>
      </c>
    </row>
    <row r="5725" spans="1:7" x14ac:dyDescent="0.2">
      <c r="A5725" s="2" t="s">
        <v>7167</v>
      </c>
      <c r="B5725" s="2" t="s">
        <v>7179</v>
      </c>
      <c r="C5725" s="2" t="s">
        <v>7169</v>
      </c>
      <c r="D5725" s="2" t="s">
        <v>56</v>
      </c>
      <c r="E5725" s="2" t="s">
        <v>16</v>
      </c>
      <c r="F5725" s="2">
        <v>1</v>
      </c>
      <c r="G5725" s="2" t="s">
        <v>17</v>
      </c>
    </row>
    <row r="5726" spans="1:7" x14ac:dyDescent="0.2">
      <c r="A5726" s="2" t="s">
        <v>7167</v>
      </c>
      <c r="B5726" s="2" t="s">
        <v>7180</v>
      </c>
      <c r="C5726" s="2" t="s">
        <v>7172</v>
      </c>
      <c r="D5726" s="2" t="s">
        <v>56</v>
      </c>
      <c r="E5726" s="2" t="s">
        <v>52</v>
      </c>
      <c r="F5726" s="2">
        <v>1</v>
      </c>
      <c r="G5726" s="2" t="s">
        <v>17</v>
      </c>
    </row>
    <row r="5727" spans="1:7" x14ac:dyDescent="0.2">
      <c r="A5727" s="2" t="s">
        <v>7167</v>
      </c>
      <c r="B5727" s="2" t="s">
        <v>7181</v>
      </c>
      <c r="C5727" s="2" t="s">
        <v>7172</v>
      </c>
      <c r="D5727" s="2" t="s">
        <v>56</v>
      </c>
      <c r="E5727" s="2" t="s">
        <v>52</v>
      </c>
      <c r="F5727" s="2">
        <v>1</v>
      </c>
      <c r="G5727" s="2" t="s">
        <v>17</v>
      </c>
    </row>
    <row r="5728" spans="1:7" x14ac:dyDescent="0.2">
      <c r="A5728" s="2" t="s">
        <v>7167</v>
      </c>
      <c r="B5728" s="2" t="s">
        <v>7182</v>
      </c>
      <c r="C5728" s="2" t="s">
        <v>7178</v>
      </c>
      <c r="D5728" s="2" t="s">
        <v>56</v>
      </c>
      <c r="E5728" s="2" t="s">
        <v>52</v>
      </c>
      <c r="F5728" s="2">
        <v>2</v>
      </c>
      <c r="G5728" s="2" t="s">
        <v>17</v>
      </c>
    </row>
    <row r="5729" spans="1:7" x14ac:dyDescent="0.2">
      <c r="A5729" s="2" t="s">
        <v>7167</v>
      </c>
      <c r="B5729" s="2" t="s">
        <v>7183</v>
      </c>
      <c r="C5729" s="2" t="s">
        <v>7184</v>
      </c>
      <c r="D5729" s="2" t="s">
        <v>56</v>
      </c>
      <c r="E5729" s="2" t="s">
        <v>52</v>
      </c>
      <c r="F5729" s="2">
        <v>1</v>
      </c>
      <c r="G5729" s="2" t="s">
        <v>17</v>
      </c>
    </row>
    <row r="5730" spans="1:7" x14ac:dyDescent="0.2">
      <c r="A5730" s="2" t="s">
        <v>7167</v>
      </c>
      <c r="B5730" s="2" t="s">
        <v>7185</v>
      </c>
      <c r="C5730" s="2" t="s">
        <v>7184</v>
      </c>
      <c r="D5730" s="2" t="s">
        <v>56</v>
      </c>
      <c r="E5730" s="2" t="s">
        <v>52</v>
      </c>
      <c r="F5730" s="2">
        <v>1</v>
      </c>
      <c r="G5730" s="2" t="s">
        <v>17</v>
      </c>
    </row>
    <row r="5731" spans="1:7" x14ac:dyDescent="0.2">
      <c r="A5731" s="2" t="s">
        <v>7167</v>
      </c>
      <c r="B5731" s="2" t="s">
        <v>7186</v>
      </c>
      <c r="C5731" s="2" t="s">
        <v>7169</v>
      </c>
      <c r="D5731" s="2" t="s">
        <v>56</v>
      </c>
      <c r="E5731" s="2" t="s">
        <v>16</v>
      </c>
      <c r="F5731" s="2">
        <v>1</v>
      </c>
      <c r="G5731" s="2" t="s">
        <v>17</v>
      </c>
    </row>
    <row r="5732" spans="1:7" x14ac:dyDescent="0.2">
      <c r="A5732" s="2" t="s">
        <v>7167</v>
      </c>
      <c r="B5732" s="2" t="s">
        <v>7187</v>
      </c>
      <c r="C5732" s="2" t="s">
        <v>7178</v>
      </c>
      <c r="D5732" s="2" t="s">
        <v>56</v>
      </c>
      <c r="E5732" s="2" t="s">
        <v>52</v>
      </c>
      <c r="F5732" s="2">
        <v>2</v>
      </c>
      <c r="G5732" s="2" t="s">
        <v>17</v>
      </c>
    </row>
    <row r="5733" spans="1:7" x14ac:dyDescent="0.2">
      <c r="A5733" s="2" t="s">
        <v>7167</v>
      </c>
      <c r="B5733" s="2" t="s">
        <v>7188</v>
      </c>
      <c r="C5733" s="2" t="s">
        <v>7178</v>
      </c>
      <c r="D5733" s="2" t="s">
        <v>56</v>
      </c>
      <c r="E5733" s="2" t="s">
        <v>52</v>
      </c>
      <c r="F5733" s="2">
        <v>2</v>
      </c>
      <c r="G5733" s="2" t="s">
        <v>17</v>
      </c>
    </row>
    <row r="5734" spans="1:7" x14ac:dyDescent="0.2">
      <c r="A5734" s="2" t="s">
        <v>7167</v>
      </c>
      <c r="B5734" s="2" t="s">
        <v>7189</v>
      </c>
      <c r="C5734" s="2" t="s">
        <v>7178</v>
      </c>
      <c r="D5734" s="2" t="s">
        <v>56</v>
      </c>
      <c r="E5734" s="2" t="s">
        <v>52</v>
      </c>
      <c r="F5734" s="2">
        <v>2</v>
      </c>
      <c r="G5734" s="2" t="s">
        <v>17</v>
      </c>
    </row>
    <row r="5735" spans="1:7" x14ac:dyDescent="0.2">
      <c r="A5735" s="2" t="s">
        <v>7167</v>
      </c>
      <c r="B5735" s="2" t="s">
        <v>7190</v>
      </c>
      <c r="C5735" s="2" t="s">
        <v>7178</v>
      </c>
      <c r="D5735" s="2" t="s">
        <v>56</v>
      </c>
      <c r="E5735" s="2" t="s">
        <v>52</v>
      </c>
      <c r="F5735" s="2">
        <v>2</v>
      </c>
      <c r="G5735" s="2" t="s">
        <v>17</v>
      </c>
    </row>
    <row r="5736" spans="1:7" x14ac:dyDescent="0.2">
      <c r="A5736" s="2" t="s">
        <v>7167</v>
      </c>
      <c r="B5736" s="2" t="s">
        <v>7191</v>
      </c>
      <c r="C5736" s="2" t="s">
        <v>7169</v>
      </c>
      <c r="D5736" s="2" t="s">
        <v>56</v>
      </c>
      <c r="E5736" s="2" t="s">
        <v>16</v>
      </c>
      <c r="F5736" s="2">
        <v>1</v>
      </c>
      <c r="G5736" s="2" t="s">
        <v>17</v>
      </c>
    </row>
    <row r="5737" spans="1:7" x14ac:dyDescent="0.2">
      <c r="A5737" s="2" t="s">
        <v>7192</v>
      </c>
      <c r="B5737" s="2" t="s">
        <v>7193</v>
      </c>
      <c r="C5737" s="3">
        <v>44713</v>
      </c>
      <c r="D5737" s="2" t="s">
        <v>10</v>
      </c>
      <c r="E5737" s="2" t="s">
        <v>16</v>
      </c>
      <c r="F5737" s="2">
        <v>1</v>
      </c>
      <c r="G5737" s="2" t="s">
        <v>17</v>
      </c>
    </row>
    <row r="5738" spans="1:7" x14ac:dyDescent="0.2">
      <c r="A5738" s="2" t="s">
        <v>7192</v>
      </c>
      <c r="B5738" s="2" t="s">
        <v>7194</v>
      </c>
      <c r="C5738" s="3">
        <v>44714</v>
      </c>
      <c r="D5738" s="2" t="s">
        <v>10</v>
      </c>
      <c r="E5738" s="2" t="s">
        <v>16</v>
      </c>
      <c r="F5738" s="2">
        <v>1</v>
      </c>
      <c r="G5738" s="2" t="s">
        <v>17</v>
      </c>
    </row>
    <row r="5739" spans="1:7" x14ac:dyDescent="0.2">
      <c r="A5739" s="2" t="s">
        <v>7192</v>
      </c>
      <c r="B5739" s="2" t="s">
        <v>7195</v>
      </c>
      <c r="C5739" s="3">
        <v>44713</v>
      </c>
      <c r="D5739" s="2" t="s">
        <v>10</v>
      </c>
      <c r="E5739" s="2" t="s">
        <v>16</v>
      </c>
      <c r="F5739" s="2">
        <v>1</v>
      </c>
      <c r="G5739" s="2" t="s">
        <v>17</v>
      </c>
    </row>
    <row r="5740" spans="1:7" x14ac:dyDescent="0.2">
      <c r="A5740" s="2" t="s">
        <v>7192</v>
      </c>
      <c r="B5740" s="2" t="s">
        <v>7196</v>
      </c>
      <c r="C5740" s="3">
        <v>44714</v>
      </c>
      <c r="D5740" s="2" t="s">
        <v>10</v>
      </c>
      <c r="E5740" s="2" t="s">
        <v>16</v>
      </c>
      <c r="F5740" s="2">
        <v>1</v>
      </c>
      <c r="G5740" s="2" t="s">
        <v>17</v>
      </c>
    </row>
    <row r="5741" spans="1:7" x14ac:dyDescent="0.2">
      <c r="A5741" s="2" t="s">
        <v>7197</v>
      </c>
      <c r="B5741" s="2" t="s">
        <v>7198</v>
      </c>
      <c r="C5741" s="2" t="s">
        <v>7199</v>
      </c>
      <c r="D5741" s="2" t="s">
        <v>56</v>
      </c>
      <c r="E5741" s="2" t="s">
        <v>52</v>
      </c>
      <c r="F5741" s="2">
        <v>2</v>
      </c>
      <c r="G5741" s="2" t="s">
        <v>12</v>
      </c>
    </row>
    <row r="5742" spans="1:7" x14ac:dyDescent="0.2">
      <c r="A5742" s="2" t="s">
        <v>7197</v>
      </c>
      <c r="B5742" s="2" t="s">
        <v>7200</v>
      </c>
      <c r="C5742" s="2" t="s">
        <v>7201</v>
      </c>
      <c r="D5742" s="2" t="s">
        <v>56</v>
      </c>
      <c r="E5742" s="2" t="s">
        <v>52</v>
      </c>
      <c r="F5742" s="2">
        <v>2</v>
      </c>
      <c r="G5742" s="2" t="s">
        <v>12</v>
      </c>
    </row>
    <row r="5743" spans="1:7" x14ac:dyDescent="0.2">
      <c r="A5743" s="2" t="s">
        <v>7197</v>
      </c>
      <c r="B5743" s="2" t="s">
        <v>7202</v>
      </c>
      <c r="C5743" s="2" t="s">
        <v>7201</v>
      </c>
      <c r="D5743" s="2" t="s">
        <v>56</v>
      </c>
      <c r="E5743" s="2" t="s">
        <v>52</v>
      </c>
      <c r="F5743" s="2">
        <v>2</v>
      </c>
      <c r="G5743" s="2" t="s">
        <v>12</v>
      </c>
    </row>
    <row r="5744" spans="1:7" x14ac:dyDescent="0.2">
      <c r="A5744" s="2" t="s">
        <v>7197</v>
      </c>
      <c r="B5744" s="2" t="s">
        <v>7203</v>
      </c>
      <c r="C5744" s="2" t="s">
        <v>7204</v>
      </c>
      <c r="D5744" s="2" t="s">
        <v>56</v>
      </c>
      <c r="E5744" s="2" t="s">
        <v>52</v>
      </c>
      <c r="F5744" s="2">
        <v>2</v>
      </c>
      <c r="G5744" s="2" t="s">
        <v>12</v>
      </c>
    </row>
    <row r="5745" spans="1:7" x14ac:dyDescent="0.2">
      <c r="A5745" s="2" t="s">
        <v>7197</v>
      </c>
      <c r="B5745" s="2" t="s">
        <v>7205</v>
      </c>
      <c r="C5745" s="2" t="s">
        <v>7206</v>
      </c>
      <c r="D5745" s="2" t="s">
        <v>56</v>
      </c>
      <c r="E5745" s="2" t="s">
        <v>16</v>
      </c>
      <c r="F5745" s="2">
        <v>2</v>
      </c>
      <c r="G5745" s="2" t="s">
        <v>17</v>
      </c>
    </row>
    <row r="5746" spans="1:7" x14ac:dyDescent="0.2">
      <c r="A5746" s="2" t="s">
        <v>7197</v>
      </c>
      <c r="B5746" s="2" t="s">
        <v>7207</v>
      </c>
      <c r="C5746" s="2" t="s">
        <v>7208</v>
      </c>
      <c r="D5746" s="2" t="s">
        <v>56</v>
      </c>
      <c r="E5746" s="2" t="s">
        <v>52</v>
      </c>
      <c r="F5746" s="2">
        <v>2</v>
      </c>
      <c r="G5746" s="2" t="s">
        <v>12</v>
      </c>
    </row>
    <row r="5747" spans="1:7" x14ac:dyDescent="0.2">
      <c r="A5747" s="2" t="s">
        <v>7197</v>
      </c>
      <c r="B5747" s="2" t="s">
        <v>7209</v>
      </c>
      <c r="C5747" s="2" t="s">
        <v>7208</v>
      </c>
      <c r="D5747" s="2" t="s">
        <v>56</v>
      </c>
      <c r="E5747" s="2" t="s">
        <v>52</v>
      </c>
      <c r="F5747" s="2">
        <v>2</v>
      </c>
      <c r="G5747" s="2" t="s">
        <v>12</v>
      </c>
    </row>
    <row r="5748" spans="1:7" x14ac:dyDescent="0.2">
      <c r="A5748" s="2" t="s">
        <v>7197</v>
      </c>
      <c r="B5748" s="2" t="s">
        <v>7210</v>
      </c>
      <c r="C5748" s="2" t="s">
        <v>7208</v>
      </c>
      <c r="D5748" s="2" t="s">
        <v>56</v>
      </c>
      <c r="E5748" s="2" t="s">
        <v>52</v>
      </c>
      <c r="F5748" s="2">
        <v>2</v>
      </c>
      <c r="G5748" s="2" t="s">
        <v>12</v>
      </c>
    </row>
    <row r="5749" spans="1:7" x14ac:dyDescent="0.2">
      <c r="A5749" s="2" t="s">
        <v>7197</v>
      </c>
      <c r="B5749" s="2" t="s">
        <v>7211</v>
      </c>
      <c r="C5749" s="2" t="s">
        <v>7208</v>
      </c>
      <c r="D5749" s="2" t="s">
        <v>56</v>
      </c>
      <c r="E5749" s="2" t="s">
        <v>52</v>
      </c>
      <c r="F5749" s="2">
        <v>2</v>
      </c>
      <c r="G5749" s="2" t="s">
        <v>12</v>
      </c>
    </row>
    <row r="5750" spans="1:7" x14ac:dyDescent="0.2">
      <c r="A5750" s="2" t="s">
        <v>7197</v>
      </c>
      <c r="B5750" s="2" t="s">
        <v>7212</v>
      </c>
      <c r="C5750" s="2" t="s">
        <v>7208</v>
      </c>
      <c r="D5750" s="2" t="s">
        <v>56</v>
      </c>
      <c r="E5750" s="2" t="s">
        <v>52</v>
      </c>
      <c r="F5750" s="2">
        <v>2</v>
      </c>
      <c r="G5750" s="2" t="s">
        <v>12</v>
      </c>
    </row>
    <row r="5751" spans="1:7" x14ac:dyDescent="0.2">
      <c r="A5751" s="2" t="s">
        <v>7197</v>
      </c>
      <c r="B5751" s="2" t="s">
        <v>7213</v>
      </c>
      <c r="C5751" s="2" t="s">
        <v>7201</v>
      </c>
      <c r="D5751" s="2" t="s">
        <v>56</v>
      </c>
      <c r="E5751" s="2" t="s">
        <v>52</v>
      </c>
      <c r="F5751" s="2">
        <v>2</v>
      </c>
      <c r="G5751" s="2" t="s">
        <v>12</v>
      </c>
    </row>
    <row r="5752" spans="1:7" x14ac:dyDescent="0.2">
      <c r="A5752" s="2" t="s">
        <v>7197</v>
      </c>
      <c r="B5752" s="2" t="s">
        <v>7214</v>
      </c>
      <c r="C5752" s="2" t="s">
        <v>7201</v>
      </c>
      <c r="D5752" s="2" t="s">
        <v>56</v>
      </c>
      <c r="E5752" s="2" t="s">
        <v>52</v>
      </c>
      <c r="F5752" s="2">
        <v>2</v>
      </c>
      <c r="G5752" s="2" t="s">
        <v>12</v>
      </c>
    </row>
    <row r="5753" spans="1:7" x14ac:dyDescent="0.2">
      <c r="A5753" s="2" t="s">
        <v>7197</v>
      </c>
      <c r="B5753" s="2" t="s">
        <v>7215</v>
      </c>
      <c r="C5753" s="2" t="s">
        <v>7201</v>
      </c>
      <c r="D5753" s="2" t="s">
        <v>56</v>
      </c>
      <c r="E5753" s="2" t="s">
        <v>52</v>
      </c>
      <c r="F5753" s="2">
        <v>2</v>
      </c>
      <c r="G5753" s="2" t="s">
        <v>12</v>
      </c>
    </row>
    <row r="5754" spans="1:7" x14ac:dyDescent="0.2">
      <c r="A5754" s="2" t="s">
        <v>7197</v>
      </c>
      <c r="B5754" s="2" t="s">
        <v>7216</v>
      </c>
      <c r="C5754" s="2" t="s">
        <v>7199</v>
      </c>
      <c r="D5754" s="2" t="s">
        <v>56</v>
      </c>
      <c r="E5754" s="2" t="s">
        <v>52</v>
      </c>
      <c r="F5754" s="2">
        <v>2</v>
      </c>
      <c r="G5754" s="2" t="s">
        <v>12</v>
      </c>
    </row>
    <row r="5755" spans="1:7" x14ac:dyDescent="0.2">
      <c r="A5755" s="2" t="s">
        <v>7197</v>
      </c>
      <c r="B5755" s="2" t="s">
        <v>7217</v>
      </c>
      <c r="C5755" s="2" t="s">
        <v>7218</v>
      </c>
      <c r="D5755" s="2" t="s">
        <v>56</v>
      </c>
      <c r="E5755" s="2" t="s">
        <v>52</v>
      </c>
      <c r="F5755" s="2">
        <v>2</v>
      </c>
      <c r="G5755" s="2" t="s">
        <v>17</v>
      </c>
    </row>
    <row r="5756" spans="1:7" x14ac:dyDescent="0.2">
      <c r="A5756" s="2" t="s">
        <v>7197</v>
      </c>
      <c r="B5756" s="2" t="s">
        <v>7219</v>
      </c>
      <c r="C5756" s="2" t="s">
        <v>7218</v>
      </c>
      <c r="D5756" s="2" t="s">
        <v>56</v>
      </c>
      <c r="E5756" s="2" t="s">
        <v>52</v>
      </c>
      <c r="F5756" s="2">
        <v>2</v>
      </c>
      <c r="G5756" s="2" t="s">
        <v>17</v>
      </c>
    </row>
    <row r="5757" spans="1:7" x14ac:dyDescent="0.2">
      <c r="A5757" s="2" t="s">
        <v>7197</v>
      </c>
      <c r="B5757" s="2" t="s">
        <v>6785</v>
      </c>
      <c r="C5757" s="2" t="s">
        <v>6786</v>
      </c>
      <c r="D5757" s="2" t="s">
        <v>56</v>
      </c>
      <c r="E5757" s="2" t="s">
        <v>52</v>
      </c>
      <c r="F5757" s="2">
        <v>1</v>
      </c>
      <c r="G5757" s="2" t="s">
        <v>17</v>
      </c>
    </row>
    <row r="5758" spans="1:7" x14ac:dyDescent="0.2">
      <c r="A5758" s="2" t="s">
        <v>7197</v>
      </c>
      <c r="B5758" s="2" t="s">
        <v>7220</v>
      </c>
      <c r="C5758" s="2" t="s">
        <v>7221</v>
      </c>
      <c r="D5758" s="2" t="s">
        <v>56</v>
      </c>
      <c r="E5758" s="2" t="s">
        <v>52</v>
      </c>
      <c r="F5758" s="2">
        <v>2</v>
      </c>
      <c r="G5758" s="2" t="s">
        <v>17</v>
      </c>
    </row>
    <row r="5759" spans="1:7" x14ac:dyDescent="0.2">
      <c r="A5759" s="2" t="s">
        <v>7197</v>
      </c>
      <c r="B5759" s="2" t="s">
        <v>7222</v>
      </c>
      <c r="C5759" s="2" t="s">
        <v>7218</v>
      </c>
      <c r="D5759" s="2" t="s">
        <v>56</v>
      </c>
      <c r="E5759" s="2" t="s">
        <v>52</v>
      </c>
      <c r="F5759" s="2">
        <v>2</v>
      </c>
      <c r="G5759" s="2" t="s">
        <v>17</v>
      </c>
    </row>
    <row r="5760" spans="1:7" x14ac:dyDescent="0.2">
      <c r="A5760" s="2" t="s">
        <v>7197</v>
      </c>
      <c r="B5760" s="2" t="s">
        <v>7223</v>
      </c>
      <c r="C5760" s="2" t="s">
        <v>7221</v>
      </c>
      <c r="D5760" s="2" t="s">
        <v>56</v>
      </c>
      <c r="E5760" s="2" t="s">
        <v>52</v>
      </c>
      <c r="F5760" s="2">
        <v>2</v>
      </c>
      <c r="G5760" s="2" t="s">
        <v>17</v>
      </c>
    </row>
    <row r="5761" spans="1:7" x14ac:dyDescent="0.2">
      <c r="A5761" s="2" t="s">
        <v>7197</v>
      </c>
      <c r="B5761" s="2" t="s">
        <v>7224</v>
      </c>
      <c r="C5761" s="2" t="s">
        <v>7201</v>
      </c>
      <c r="D5761" s="2" t="s">
        <v>56</v>
      </c>
      <c r="E5761" s="2" t="s">
        <v>52</v>
      </c>
      <c r="F5761" s="2">
        <v>2</v>
      </c>
      <c r="G5761" s="2" t="s">
        <v>12</v>
      </c>
    </row>
    <row r="5762" spans="1:7" x14ac:dyDescent="0.2">
      <c r="A5762" s="2" t="s">
        <v>7197</v>
      </c>
      <c r="B5762" s="2" t="s">
        <v>7225</v>
      </c>
      <c r="C5762" s="2" t="s">
        <v>7208</v>
      </c>
      <c r="D5762" s="2" t="s">
        <v>56</v>
      </c>
      <c r="E5762" s="2" t="s">
        <v>52</v>
      </c>
      <c r="F5762" s="2">
        <v>2</v>
      </c>
      <c r="G5762" s="2" t="s">
        <v>12</v>
      </c>
    </row>
    <row r="5763" spans="1:7" x14ac:dyDescent="0.2">
      <c r="A5763" s="2" t="s">
        <v>7197</v>
      </c>
      <c r="B5763" s="2" t="s">
        <v>7226</v>
      </c>
      <c r="C5763" s="2" t="s">
        <v>7208</v>
      </c>
      <c r="D5763" s="2" t="s">
        <v>56</v>
      </c>
      <c r="E5763" s="2" t="s">
        <v>52</v>
      </c>
      <c r="F5763" s="2">
        <v>2</v>
      </c>
      <c r="G5763" s="2" t="s">
        <v>12</v>
      </c>
    </row>
    <row r="5764" spans="1:7" x14ac:dyDescent="0.2">
      <c r="A5764" s="2" t="s">
        <v>7227</v>
      </c>
      <c r="B5764" s="2">
        <v>748</v>
      </c>
      <c r="C5764" s="2" t="s">
        <v>1011</v>
      </c>
      <c r="D5764" s="2" t="s">
        <v>10</v>
      </c>
      <c r="E5764" s="2" t="s">
        <v>52</v>
      </c>
      <c r="F5764" s="2">
        <v>2</v>
      </c>
      <c r="G5764" s="2" t="s">
        <v>12</v>
      </c>
    </row>
    <row r="5765" spans="1:7" x14ac:dyDescent="0.2">
      <c r="A5765" s="2" t="s">
        <v>7228</v>
      </c>
      <c r="B5765" s="2" t="s">
        <v>7229</v>
      </c>
      <c r="C5765" s="2" t="s">
        <v>7028</v>
      </c>
      <c r="D5765" s="2" t="s">
        <v>10</v>
      </c>
      <c r="E5765" s="2" t="s">
        <v>16</v>
      </c>
      <c r="F5765" s="2">
        <v>1</v>
      </c>
      <c r="G5765" s="2" t="s">
        <v>17</v>
      </c>
    </row>
    <row r="5766" spans="1:7" x14ac:dyDescent="0.2">
      <c r="A5766" s="2" t="s">
        <v>7228</v>
      </c>
      <c r="B5766" s="2" t="s">
        <v>7230</v>
      </c>
      <c r="C5766" s="2" t="s">
        <v>7028</v>
      </c>
      <c r="D5766" s="2" t="s">
        <v>10</v>
      </c>
      <c r="E5766" s="2" t="s">
        <v>16</v>
      </c>
      <c r="F5766" s="2">
        <v>1</v>
      </c>
      <c r="G5766" s="2" t="s">
        <v>17</v>
      </c>
    </row>
    <row r="5767" spans="1:7" x14ac:dyDescent="0.2">
      <c r="A5767" s="2" t="s">
        <v>7231</v>
      </c>
      <c r="B5767" s="2" t="s">
        <v>5435</v>
      </c>
      <c r="C5767" s="2" t="s">
        <v>7232</v>
      </c>
      <c r="D5767" s="2" t="s">
        <v>10</v>
      </c>
      <c r="E5767" s="2" t="s">
        <v>16</v>
      </c>
      <c r="F5767" s="2">
        <v>1</v>
      </c>
      <c r="G5767" s="2" t="s">
        <v>17</v>
      </c>
    </row>
    <row r="5768" spans="1:7" x14ac:dyDescent="0.2">
      <c r="A5768" s="2" t="s">
        <v>7231</v>
      </c>
      <c r="B5768" s="2" t="s">
        <v>7233</v>
      </c>
      <c r="C5768" s="2" t="s">
        <v>7234</v>
      </c>
      <c r="D5768" s="2" t="s">
        <v>10</v>
      </c>
      <c r="E5768" s="2" t="s">
        <v>16</v>
      </c>
      <c r="F5768" s="2">
        <v>2</v>
      </c>
      <c r="G5768" s="2" t="s">
        <v>17</v>
      </c>
    </row>
    <row r="5769" spans="1:7" x14ac:dyDescent="0.2">
      <c r="A5769" s="2" t="s">
        <v>7235</v>
      </c>
      <c r="B5769" s="2" t="s">
        <v>7236</v>
      </c>
      <c r="C5769" s="2" t="s">
        <v>7237</v>
      </c>
      <c r="D5769" s="2" t="s">
        <v>10</v>
      </c>
      <c r="E5769" s="2" t="s">
        <v>16</v>
      </c>
      <c r="F5769" s="2">
        <v>1</v>
      </c>
      <c r="G5769" s="2" t="s">
        <v>17</v>
      </c>
    </row>
    <row r="5770" spans="1:7" x14ac:dyDescent="0.2">
      <c r="A5770" s="2" t="s">
        <v>7235</v>
      </c>
      <c r="B5770" s="2" t="s">
        <v>7238</v>
      </c>
      <c r="C5770" s="2" t="s">
        <v>7237</v>
      </c>
      <c r="D5770" s="2" t="s">
        <v>10</v>
      </c>
      <c r="E5770" s="2" t="s">
        <v>16</v>
      </c>
      <c r="F5770" s="2">
        <v>1</v>
      </c>
      <c r="G5770" s="2" t="s">
        <v>17</v>
      </c>
    </row>
    <row r="5771" spans="1:7" x14ac:dyDescent="0.2">
      <c r="A5771" s="2" t="s">
        <v>7239</v>
      </c>
      <c r="B5771" s="2" t="s">
        <v>2414</v>
      </c>
      <c r="C5771" s="2" t="s">
        <v>790</v>
      </c>
      <c r="D5771" s="2" t="s">
        <v>56</v>
      </c>
      <c r="E5771" s="2" t="s">
        <v>16</v>
      </c>
      <c r="F5771" s="2">
        <v>1</v>
      </c>
      <c r="G5771" s="2" t="s">
        <v>17</v>
      </c>
    </row>
    <row r="5772" spans="1:7" x14ac:dyDescent="0.2">
      <c r="A5772" s="2" t="s">
        <v>7239</v>
      </c>
      <c r="B5772" s="2">
        <v>369</v>
      </c>
      <c r="C5772" s="2" t="s">
        <v>828</v>
      </c>
      <c r="D5772" s="2" t="s">
        <v>56</v>
      </c>
      <c r="E5772" s="2" t="s">
        <v>52</v>
      </c>
      <c r="F5772" s="2">
        <v>1</v>
      </c>
      <c r="G5772" s="2" t="s">
        <v>17</v>
      </c>
    </row>
    <row r="5773" spans="1:7" x14ac:dyDescent="0.2">
      <c r="A5773" s="2" t="s">
        <v>7239</v>
      </c>
      <c r="B5773" s="2">
        <v>500</v>
      </c>
      <c r="C5773" s="2" t="s">
        <v>828</v>
      </c>
      <c r="D5773" s="2" t="s">
        <v>56</v>
      </c>
      <c r="E5773" s="2" t="s">
        <v>52</v>
      </c>
      <c r="F5773" s="2">
        <v>1</v>
      </c>
      <c r="G5773" s="2" t="s">
        <v>17</v>
      </c>
    </row>
    <row r="5774" spans="1:7" x14ac:dyDescent="0.2">
      <c r="A5774" s="2" t="s">
        <v>7239</v>
      </c>
      <c r="B5774" s="2" t="s">
        <v>7240</v>
      </c>
      <c r="C5774" s="2" t="s">
        <v>7241</v>
      </c>
      <c r="D5774" s="2" t="s">
        <v>10</v>
      </c>
      <c r="E5774" s="2" t="s">
        <v>11</v>
      </c>
      <c r="F5774" s="2">
        <v>2</v>
      </c>
      <c r="G5774" s="2" t="s">
        <v>12</v>
      </c>
    </row>
    <row r="5775" spans="1:7" x14ac:dyDescent="0.2">
      <c r="A5775" s="2" t="s">
        <v>7239</v>
      </c>
      <c r="B5775" s="2" t="s">
        <v>2774</v>
      </c>
      <c r="C5775" s="2" t="s">
        <v>875</v>
      </c>
      <c r="D5775" s="2" t="s">
        <v>56</v>
      </c>
      <c r="E5775" s="2" t="s">
        <v>52</v>
      </c>
      <c r="F5775" s="2">
        <v>2</v>
      </c>
      <c r="G5775" s="2" t="s">
        <v>12</v>
      </c>
    </row>
    <row r="5776" spans="1:7" x14ac:dyDescent="0.2">
      <c r="A5776" s="2" t="s">
        <v>7239</v>
      </c>
      <c r="B5776" s="2" t="s">
        <v>876</v>
      </c>
      <c r="C5776" s="2" t="s">
        <v>875</v>
      </c>
      <c r="D5776" s="2" t="s">
        <v>56</v>
      </c>
      <c r="E5776" s="2" t="s">
        <v>52</v>
      </c>
      <c r="F5776" s="2">
        <v>2</v>
      </c>
      <c r="G5776" s="2" t="s">
        <v>12</v>
      </c>
    </row>
    <row r="5777" spans="1:7" x14ac:dyDescent="0.2">
      <c r="A5777" s="2" t="s">
        <v>7239</v>
      </c>
      <c r="B5777" s="2" t="s">
        <v>7242</v>
      </c>
      <c r="C5777" s="2" t="s">
        <v>7243</v>
      </c>
      <c r="D5777" s="2" t="s">
        <v>10</v>
      </c>
      <c r="E5777" s="2" t="s">
        <v>52</v>
      </c>
      <c r="F5777" s="2">
        <v>4</v>
      </c>
      <c r="G5777" s="2" t="s">
        <v>12</v>
      </c>
    </row>
    <row r="5778" spans="1:7" x14ac:dyDescent="0.2">
      <c r="A5778" s="2" t="s">
        <v>7239</v>
      </c>
      <c r="B5778" s="2" t="s">
        <v>2955</v>
      </c>
      <c r="C5778" s="2" t="s">
        <v>2951</v>
      </c>
      <c r="D5778" s="2" t="s">
        <v>56</v>
      </c>
      <c r="E5778" s="2" t="s">
        <v>52</v>
      </c>
      <c r="F5778" s="2">
        <v>2</v>
      </c>
      <c r="G5778" s="2" t="s">
        <v>12</v>
      </c>
    </row>
    <row r="5779" spans="1:7" x14ac:dyDescent="0.2">
      <c r="A5779" s="2" t="s">
        <v>7239</v>
      </c>
      <c r="B5779" s="2" t="s">
        <v>7244</v>
      </c>
      <c r="C5779" s="2" t="s">
        <v>7245</v>
      </c>
      <c r="D5779" s="2" t="s">
        <v>56</v>
      </c>
      <c r="E5779" s="2" t="s">
        <v>16</v>
      </c>
      <c r="F5779" s="2">
        <v>1</v>
      </c>
      <c r="G5779" s="2" t="s">
        <v>17</v>
      </c>
    </row>
    <row r="5780" spans="1:7" x14ac:dyDescent="0.2">
      <c r="A5780" s="2" t="s">
        <v>7239</v>
      </c>
      <c r="B5780" s="2" t="s">
        <v>7246</v>
      </c>
      <c r="C5780" s="2" t="s">
        <v>849</v>
      </c>
      <c r="D5780" s="2" t="s">
        <v>56</v>
      </c>
      <c r="E5780" s="2" t="s">
        <v>52</v>
      </c>
      <c r="F5780" s="2">
        <v>3</v>
      </c>
      <c r="G5780" s="2" t="s">
        <v>12</v>
      </c>
    </row>
    <row r="5781" spans="1:7" x14ac:dyDescent="0.2">
      <c r="A5781" s="2" t="s">
        <v>7239</v>
      </c>
      <c r="B5781" s="2" t="s">
        <v>7247</v>
      </c>
      <c r="C5781" s="2" t="s">
        <v>2951</v>
      </c>
      <c r="D5781" s="2" t="s">
        <v>56</v>
      </c>
      <c r="E5781" s="2" t="s">
        <v>52</v>
      </c>
      <c r="F5781" s="2">
        <v>2</v>
      </c>
      <c r="G5781" s="2" t="s">
        <v>12</v>
      </c>
    </row>
    <row r="5782" spans="1:7" x14ac:dyDescent="0.2">
      <c r="A5782" s="2" t="s">
        <v>7239</v>
      </c>
      <c r="B5782" s="2" t="s">
        <v>7248</v>
      </c>
      <c r="C5782" s="2" t="s">
        <v>7249</v>
      </c>
      <c r="D5782" s="2" t="s">
        <v>56</v>
      </c>
      <c r="E5782" s="2" t="s">
        <v>52</v>
      </c>
      <c r="F5782" s="2">
        <v>2</v>
      </c>
      <c r="G5782" s="2" t="s">
        <v>17</v>
      </c>
    </row>
    <row r="5783" spans="1:7" x14ac:dyDescent="0.2">
      <c r="A5783" s="2" t="s">
        <v>7239</v>
      </c>
      <c r="B5783" s="2" t="s">
        <v>7250</v>
      </c>
      <c r="C5783" s="2" t="s">
        <v>828</v>
      </c>
      <c r="D5783" s="2" t="s">
        <v>56</v>
      </c>
      <c r="E5783" s="2" t="s">
        <v>52</v>
      </c>
      <c r="F5783" s="2">
        <v>1</v>
      </c>
      <c r="G5783" s="2" t="s">
        <v>17</v>
      </c>
    </row>
    <row r="5784" spans="1:7" x14ac:dyDescent="0.2">
      <c r="A5784" s="2" t="s">
        <v>7239</v>
      </c>
      <c r="B5784" s="2" t="s">
        <v>412</v>
      </c>
      <c r="C5784" s="2" t="s">
        <v>7243</v>
      </c>
      <c r="D5784" s="2" t="s">
        <v>10</v>
      </c>
      <c r="E5784" s="2" t="s">
        <v>52</v>
      </c>
      <c r="F5784" s="2">
        <v>4</v>
      </c>
      <c r="G5784" s="2" t="s">
        <v>12</v>
      </c>
    </row>
    <row r="5785" spans="1:7" x14ac:dyDescent="0.2">
      <c r="A5785" s="2" t="s">
        <v>7239</v>
      </c>
      <c r="B5785" s="2" t="s">
        <v>7251</v>
      </c>
      <c r="C5785" s="2" t="s">
        <v>7243</v>
      </c>
      <c r="D5785" s="2" t="s">
        <v>10</v>
      </c>
      <c r="E5785" s="2" t="s">
        <v>52</v>
      </c>
      <c r="F5785" s="2">
        <v>4</v>
      </c>
      <c r="G5785" s="2" t="s">
        <v>12</v>
      </c>
    </row>
    <row r="5786" spans="1:7" x14ac:dyDescent="0.2">
      <c r="A5786" s="2" t="s">
        <v>7239</v>
      </c>
      <c r="B5786" s="2" t="s">
        <v>7252</v>
      </c>
      <c r="C5786" s="2" t="s">
        <v>7253</v>
      </c>
      <c r="D5786" s="2" t="s">
        <v>10</v>
      </c>
      <c r="E5786" s="2" t="s">
        <v>11</v>
      </c>
      <c r="F5786" s="2">
        <v>2</v>
      </c>
      <c r="G5786" s="2" t="s">
        <v>12</v>
      </c>
    </row>
    <row r="5787" spans="1:7" x14ac:dyDescent="0.2">
      <c r="A5787" s="2" t="s">
        <v>7239</v>
      </c>
      <c r="B5787" s="2" t="s">
        <v>7254</v>
      </c>
      <c r="C5787" s="2" t="s">
        <v>3298</v>
      </c>
      <c r="D5787" s="2" t="s">
        <v>10</v>
      </c>
      <c r="E5787" s="2" t="s">
        <v>11</v>
      </c>
      <c r="F5787" s="2">
        <v>1</v>
      </c>
      <c r="G5787" s="2" t="s">
        <v>12</v>
      </c>
    </row>
    <row r="5788" spans="1:7" x14ac:dyDescent="0.2">
      <c r="A5788" s="2" t="s">
        <v>7239</v>
      </c>
      <c r="B5788" s="2" t="s">
        <v>7255</v>
      </c>
      <c r="C5788" s="2" t="s">
        <v>3068</v>
      </c>
      <c r="D5788" s="2" t="s">
        <v>56</v>
      </c>
      <c r="E5788" s="2" t="s">
        <v>16</v>
      </c>
      <c r="F5788" s="2">
        <v>1</v>
      </c>
      <c r="G5788" s="2" t="s">
        <v>17</v>
      </c>
    </row>
    <row r="5789" spans="1:7" x14ac:dyDescent="0.2">
      <c r="A5789" s="2" t="s">
        <v>7239</v>
      </c>
      <c r="B5789" s="2" t="s">
        <v>7256</v>
      </c>
      <c r="C5789" s="2" t="s">
        <v>7243</v>
      </c>
      <c r="D5789" s="2" t="s">
        <v>10</v>
      </c>
      <c r="E5789" s="2" t="s">
        <v>52</v>
      </c>
      <c r="F5789" s="2">
        <v>4</v>
      </c>
      <c r="G5789" s="2" t="s">
        <v>12</v>
      </c>
    </row>
    <row r="5790" spans="1:7" x14ac:dyDescent="0.2">
      <c r="A5790" s="2" t="s">
        <v>7239</v>
      </c>
      <c r="B5790" s="2" t="s">
        <v>7257</v>
      </c>
      <c r="C5790" s="2" t="s">
        <v>7258</v>
      </c>
      <c r="D5790" s="2" t="s">
        <v>10</v>
      </c>
      <c r="E5790" s="2" t="s">
        <v>11</v>
      </c>
      <c r="F5790" s="2">
        <v>2</v>
      </c>
      <c r="G5790" s="2" t="s">
        <v>1069</v>
      </c>
    </row>
    <row r="5791" spans="1:7" x14ac:dyDescent="0.2">
      <c r="A5791" s="2" t="s">
        <v>7239</v>
      </c>
      <c r="B5791" s="2" t="s">
        <v>7259</v>
      </c>
      <c r="C5791" s="2" t="s">
        <v>7260</v>
      </c>
      <c r="D5791" s="2" t="s">
        <v>10</v>
      </c>
      <c r="E5791" s="2" t="s">
        <v>11</v>
      </c>
      <c r="F5791" s="2">
        <v>4</v>
      </c>
      <c r="G5791" s="2" t="s">
        <v>12</v>
      </c>
    </row>
    <row r="5792" spans="1:7" x14ac:dyDescent="0.2">
      <c r="A5792" s="2" t="s">
        <v>7239</v>
      </c>
      <c r="B5792" s="2" t="s">
        <v>7261</v>
      </c>
      <c r="C5792" s="2" t="s">
        <v>7260</v>
      </c>
      <c r="D5792" s="2" t="s">
        <v>10</v>
      </c>
      <c r="E5792" s="2" t="s">
        <v>11</v>
      </c>
      <c r="F5792" s="2">
        <v>4</v>
      </c>
      <c r="G5792" s="2" t="s">
        <v>12</v>
      </c>
    </row>
    <row r="5793" spans="1:7" x14ac:dyDescent="0.2">
      <c r="A5793" s="2" t="s">
        <v>7239</v>
      </c>
      <c r="B5793" s="2" t="s">
        <v>7262</v>
      </c>
      <c r="C5793" s="2" t="s">
        <v>849</v>
      </c>
      <c r="D5793" s="2" t="s">
        <v>56</v>
      </c>
      <c r="E5793" s="2" t="s">
        <v>52</v>
      </c>
      <c r="F5793" s="2">
        <v>3</v>
      </c>
      <c r="G5793" s="2" t="s">
        <v>12</v>
      </c>
    </row>
    <row r="5794" spans="1:7" x14ac:dyDescent="0.2">
      <c r="A5794" s="2" t="s">
        <v>7239</v>
      </c>
      <c r="B5794" s="2" t="s">
        <v>861</v>
      </c>
      <c r="C5794" s="2" t="s">
        <v>849</v>
      </c>
      <c r="D5794" s="2" t="s">
        <v>56</v>
      </c>
      <c r="E5794" s="2" t="s">
        <v>52</v>
      </c>
      <c r="F5794" s="2">
        <v>3</v>
      </c>
      <c r="G5794" s="2" t="s">
        <v>12</v>
      </c>
    </row>
    <row r="5795" spans="1:7" x14ac:dyDescent="0.2">
      <c r="A5795" s="2" t="s">
        <v>7239</v>
      </c>
      <c r="B5795" s="2" t="s">
        <v>7263</v>
      </c>
      <c r="C5795" s="2" t="s">
        <v>7258</v>
      </c>
      <c r="D5795" s="2" t="s">
        <v>10</v>
      </c>
      <c r="E5795" s="2" t="s">
        <v>11</v>
      </c>
      <c r="F5795" s="2">
        <v>2</v>
      </c>
      <c r="G5795" s="2" t="s">
        <v>1069</v>
      </c>
    </row>
    <row r="5796" spans="1:7" x14ac:dyDescent="0.2">
      <c r="A5796" s="2" t="s">
        <v>7239</v>
      </c>
      <c r="B5796" s="2" t="s">
        <v>7264</v>
      </c>
      <c r="C5796" s="2" t="s">
        <v>7241</v>
      </c>
      <c r="D5796" s="2" t="s">
        <v>10</v>
      </c>
      <c r="E5796" s="2" t="s">
        <v>11</v>
      </c>
      <c r="F5796" s="2">
        <v>2</v>
      </c>
      <c r="G5796" s="2" t="s">
        <v>12</v>
      </c>
    </row>
    <row r="5797" spans="1:7" x14ac:dyDescent="0.2">
      <c r="A5797" s="2" t="s">
        <v>7239</v>
      </c>
      <c r="B5797" s="2" t="s">
        <v>7265</v>
      </c>
      <c r="C5797" s="2" t="s">
        <v>7258</v>
      </c>
      <c r="D5797" s="2" t="s">
        <v>10</v>
      </c>
      <c r="E5797" s="2" t="s">
        <v>11</v>
      </c>
      <c r="F5797" s="2">
        <v>2</v>
      </c>
      <c r="G5797" s="2" t="s">
        <v>1069</v>
      </c>
    </row>
    <row r="5798" spans="1:7" x14ac:dyDescent="0.2">
      <c r="A5798" s="2" t="s">
        <v>7266</v>
      </c>
      <c r="B5798" s="2" t="s">
        <v>7267</v>
      </c>
      <c r="C5798" s="2" t="s">
        <v>7268</v>
      </c>
      <c r="D5798" s="2" t="s">
        <v>56</v>
      </c>
      <c r="E5798" s="2" t="s">
        <v>52</v>
      </c>
      <c r="F5798" s="2">
        <v>2</v>
      </c>
      <c r="G5798" s="2" t="s">
        <v>17</v>
      </c>
    </row>
    <row r="5799" spans="1:7" x14ac:dyDescent="0.2">
      <c r="A5799" s="2" t="s">
        <v>7266</v>
      </c>
      <c r="B5799" s="2" t="s">
        <v>7269</v>
      </c>
      <c r="C5799" s="2" t="s">
        <v>7270</v>
      </c>
      <c r="D5799" s="2" t="s">
        <v>56</v>
      </c>
      <c r="E5799" s="2" t="s">
        <v>52</v>
      </c>
      <c r="F5799" s="2">
        <v>2</v>
      </c>
      <c r="G5799" s="2" t="s">
        <v>17</v>
      </c>
    </row>
    <row r="5800" spans="1:7" x14ac:dyDescent="0.2">
      <c r="A5800" s="2" t="s">
        <v>7271</v>
      </c>
      <c r="B5800" s="2" t="s">
        <v>7272</v>
      </c>
      <c r="C5800" s="2" t="s">
        <v>7273</v>
      </c>
      <c r="D5800" s="2" t="s">
        <v>10</v>
      </c>
      <c r="E5800" s="2" t="s">
        <v>16</v>
      </c>
      <c r="F5800" s="2">
        <v>1</v>
      </c>
      <c r="G5800" s="2" t="s">
        <v>17</v>
      </c>
    </row>
    <row r="5801" spans="1:7" x14ac:dyDescent="0.2">
      <c r="A5801" s="2" t="s">
        <v>7274</v>
      </c>
      <c r="B5801" s="2" t="s">
        <v>5521</v>
      </c>
      <c r="C5801" s="2" t="s">
        <v>7275</v>
      </c>
      <c r="D5801" s="2" t="s">
        <v>10</v>
      </c>
      <c r="E5801" s="2" t="s">
        <v>16</v>
      </c>
      <c r="F5801" s="2">
        <v>1</v>
      </c>
      <c r="G5801" s="2" t="s">
        <v>17</v>
      </c>
    </row>
    <row r="5802" spans="1:7" x14ac:dyDescent="0.2">
      <c r="A5802" s="2" t="s">
        <v>7276</v>
      </c>
      <c r="B5802" s="2" t="s">
        <v>7277</v>
      </c>
      <c r="C5802" s="2" t="s">
        <v>3276</v>
      </c>
      <c r="D5802" s="2" t="s">
        <v>10</v>
      </c>
      <c r="E5802" s="2" t="s">
        <v>52</v>
      </c>
      <c r="F5802" s="2">
        <v>2</v>
      </c>
      <c r="G5802" s="2" t="s">
        <v>12</v>
      </c>
    </row>
    <row r="5803" spans="1:7" x14ac:dyDescent="0.2">
      <c r="A5803" s="2" t="s">
        <v>7278</v>
      </c>
      <c r="B5803" s="2" t="s">
        <v>7279</v>
      </c>
      <c r="C5803" s="2" t="s">
        <v>7280</v>
      </c>
      <c r="D5803" s="2" t="s">
        <v>10</v>
      </c>
      <c r="E5803" s="2" t="s">
        <v>16</v>
      </c>
      <c r="F5803" s="2">
        <v>1</v>
      </c>
      <c r="G5803" s="2" t="s">
        <v>17</v>
      </c>
    </row>
    <row r="5804" spans="1:7" x14ac:dyDescent="0.2">
      <c r="A5804" s="2" t="s">
        <v>7281</v>
      </c>
      <c r="B5804" s="2" t="s">
        <v>7282</v>
      </c>
      <c r="C5804" s="2" t="s">
        <v>7283</v>
      </c>
      <c r="D5804" s="2" t="s">
        <v>10</v>
      </c>
      <c r="E5804" s="2" t="s">
        <v>16</v>
      </c>
      <c r="F5804" s="2">
        <v>1</v>
      </c>
      <c r="G5804" s="2" t="s">
        <v>17</v>
      </c>
    </row>
    <row r="5805" spans="1:7" x14ac:dyDescent="0.2">
      <c r="A5805" s="2" t="s">
        <v>7281</v>
      </c>
      <c r="B5805" s="2" t="s">
        <v>7284</v>
      </c>
      <c r="C5805" s="2" t="s">
        <v>7283</v>
      </c>
      <c r="D5805" s="2" t="s">
        <v>10</v>
      </c>
      <c r="E5805" s="2" t="s">
        <v>16</v>
      </c>
      <c r="F5805" s="2">
        <v>1</v>
      </c>
      <c r="G5805" s="2" t="s">
        <v>17</v>
      </c>
    </row>
    <row r="5806" spans="1:7" x14ac:dyDescent="0.2">
      <c r="A5806" s="2" t="s">
        <v>7285</v>
      </c>
      <c r="B5806" s="2" t="s">
        <v>127</v>
      </c>
      <c r="C5806" s="2" t="s">
        <v>119</v>
      </c>
      <c r="D5806" s="2" t="s">
        <v>29</v>
      </c>
      <c r="E5806" s="2" t="s">
        <v>16</v>
      </c>
      <c r="F5806" s="2">
        <v>1</v>
      </c>
      <c r="G5806" s="2" t="s">
        <v>17</v>
      </c>
    </row>
    <row r="5807" spans="1:7" x14ac:dyDescent="0.2">
      <c r="A5807" s="2" t="s">
        <v>7285</v>
      </c>
      <c r="B5807" s="2" t="s">
        <v>1704</v>
      </c>
      <c r="C5807" s="2" t="s">
        <v>1705</v>
      </c>
      <c r="D5807" s="2" t="s">
        <v>10</v>
      </c>
      <c r="E5807" s="2" t="s">
        <v>16</v>
      </c>
      <c r="F5807" s="2">
        <v>1</v>
      </c>
      <c r="G5807" s="2" t="s">
        <v>17</v>
      </c>
    </row>
    <row r="5808" spans="1:7" x14ac:dyDescent="0.2">
      <c r="A5808" s="2" t="s">
        <v>7285</v>
      </c>
      <c r="B5808" s="2" t="s">
        <v>1706</v>
      </c>
      <c r="C5808" s="2" t="s">
        <v>238</v>
      </c>
      <c r="D5808" s="2" t="s">
        <v>10</v>
      </c>
      <c r="E5808" s="2" t="s">
        <v>16</v>
      </c>
      <c r="F5808" s="2">
        <v>1</v>
      </c>
      <c r="G5808" s="2" t="s">
        <v>17</v>
      </c>
    </row>
    <row r="5809" spans="1:7" x14ac:dyDescent="0.2">
      <c r="A5809" s="2" t="s">
        <v>7286</v>
      </c>
      <c r="B5809" s="2" t="s">
        <v>7287</v>
      </c>
      <c r="C5809" s="2" t="s">
        <v>7288</v>
      </c>
      <c r="D5809" s="2" t="s">
        <v>56</v>
      </c>
      <c r="E5809" s="2" t="s">
        <v>52</v>
      </c>
      <c r="F5809" s="2">
        <v>2</v>
      </c>
      <c r="G5809" s="2" t="s">
        <v>17</v>
      </c>
    </row>
    <row r="5810" spans="1:7" x14ac:dyDescent="0.2">
      <c r="A5810" s="2" t="s">
        <v>7289</v>
      </c>
      <c r="B5810" s="2" t="s">
        <v>7290</v>
      </c>
      <c r="C5810" s="2" t="s">
        <v>563</v>
      </c>
      <c r="D5810" s="2" t="s">
        <v>10</v>
      </c>
      <c r="E5810" s="2" t="s">
        <v>16</v>
      </c>
      <c r="F5810" s="2">
        <v>1</v>
      </c>
      <c r="G5810" s="2" t="s">
        <v>17</v>
      </c>
    </row>
    <row r="5811" spans="1:7" x14ac:dyDescent="0.2">
      <c r="A5811" s="2" t="s">
        <v>7289</v>
      </c>
      <c r="B5811" s="2" t="s">
        <v>7291</v>
      </c>
      <c r="C5811" s="2" t="s">
        <v>7292</v>
      </c>
      <c r="D5811" s="2" t="s">
        <v>10</v>
      </c>
      <c r="E5811" s="2" t="s">
        <v>16</v>
      </c>
      <c r="F5811" s="2">
        <v>1</v>
      </c>
      <c r="G5811" s="2" t="s">
        <v>17</v>
      </c>
    </row>
    <row r="5812" spans="1:7" x14ac:dyDescent="0.2">
      <c r="A5812" s="2" t="s">
        <v>7289</v>
      </c>
      <c r="B5812" s="2" t="s">
        <v>7293</v>
      </c>
      <c r="C5812" s="2" t="s">
        <v>563</v>
      </c>
      <c r="D5812" s="2" t="s">
        <v>10</v>
      </c>
      <c r="E5812" s="2" t="s">
        <v>16</v>
      </c>
      <c r="F5812" s="2">
        <v>1</v>
      </c>
      <c r="G5812" s="2" t="s">
        <v>17</v>
      </c>
    </row>
    <row r="5813" spans="1:7" x14ac:dyDescent="0.2">
      <c r="A5813" s="2" t="s">
        <v>7289</v>
      </c>
      <c r="B5813" s="2" t="s">
        <v>7294</v>
      </c>
      <c r="C5813" s="2" t="s">
        <v>563</v>
      </c>
      <c r="D5813" s="2" t="s">
        <v>10</v>
      </c>
      <c r="E5813" s="2" t="s">
        <v>16</v>
      </c>
      <c r="F5813" s="2">
        <v>1</v>
      </c>
      <c r="G5813" s="2" t="s">
        <v>17</v>
      </c>
    </row>
    <row r="5814" spans="1:7" x14ac:dyDescent="0.2">
      <c r="A5814" s="2" t="s">
        <v>7289</v>
      </c>
      <c r="B5814" s="2" t="s">
        <v>7295</v>
      </c>
      <c r="C5814" s="2" t="s">
        <v>7292</v>
      </c>
      <c r="D5814" s="2" t="s">
        <v>10</v>
      </c>
      <c r="E5814" s="2" t="s">
        <v>16</v>
      </c>
      <c r="F5814" s="2">
        <v>1</v>
      </c>
      <c r="G5814" s="2" t="s">
        <v>17</v>
      </c>
    </row>
    <row r="5815" spans="1:7" x14ac:dyDescent="0.2">
      <c r="A5815" s="2" t="s">
        <v>7289</v>
      </c>
      <c r="B5815" s="2" t="s">
        <v>2401</v>
      </c>
      <c r="C5815" s="2" t="s">
        <v>563</v>
      </c>
      <c r="D5815" s="2" t="s">
        <v>10</v>
      </c>
      <c r="E5815" s="2" t="s">
        <v>16</v>
      </c>
      <c r="F5815" s="2">
        <v>1</v>
      </c>
      <c r="G5815" s="2" t="s">
        <v>17</v>
      </c>
    </row>
    <row r="5816" spans="1:7" x14ac:dyDescent="0.2">
      <c r="A5816" s="2" t="s">
        <v>7289</v>
      </c>
      <c r="B5816" s="2" t="s">
        <v>229</v>
      </c>
      <c r="C5816" s="2" t="s">
        <v>7296</v>
      </c>
      <c r="D5816" s="2" t="s">
        <v>10</v>
      </c>
      <c r="E5816" s="2" t="s">
        <v>52</v>
      </c>
      <c r="F5816" s="2">
        <v>1</v>
      </c>
      <c r="G5816" s="2" t="s">
        <v>17</v>
      </c>
    </row>
    <row r="5817" spans="1:7" x14ac:dyDescent="0.2">
      <c r="A5817" s="2" t="s">
        <v>7289</v>
      </c>
      <c r="B5817" s="2" t="s">
        <v>7297</v>
      </c>
      <c r="C5817" s="2" t="s">
        <v>7298</v>
      </c>
      <c r="D5817" s="2" t="s">
        <v>10</v>
      </c>
      <c r="E5817" s="2" t="s">
        <v>16</v>
      </c>
      <c r="F5817" s="2">
        <v>1</v>
      </c>
      <c r="G5817" s="2" t="s">
        <v>17</v>
      </c>
    </row>
    <row r="5818" spans="1:7" x14ac:dyDescent="0.2">
      <c r="A5818" s="2" t="s">
        <v>7289</v>
      </c>
      <c r="B5818" s="2" t="s">
        <v>7299</v>
      </c>
      <c r="C5818" s="2" t="s">
        <v>7298</v>
      </c>
      <c r="D5818" s="2" t="s">
        <v>10</v>
      </c>
      <c r="E5818" s="2" t="s">
        <v>16</v>
      </c>
      <c r="F5818" s="2">
        <v>1</v>
      </c>
      <c r="G5818" s="2" t="s">
        <v>17</v>
      </c>
    </row>
    <row r="5819" spans="1:7" x14ac:dyDescent="0.2">
      <c r="A5819" s="2" t="s">
        <v>7300</v>
      </c>
      <c r="B5819" s="2" t="s">
        <v>424</v>
      </c>
      <c r="C5819" s="2" t="s">
        <v>7301</v>
      </c>
      <c r="D5819" s="2" t="s">
        <v>10</v>
      </c>
      <c r="E5819" s="2" t="s">
        <v>16</v>
      </c>
      <c r="F5819" s="2">
        <v>1</v>
      </c>
      <c r="G5819" s="2" t="s">
        <v>17</v>
      </c>
    </row>
    <row r="5820" spans="1:7" x14ac:dyDescent="0.2">
      <c r="A5820" s="2" t="s">
        <v>7300</v>
      </c>
      <c r="B5820" s="2" t="s">
        <v>7302</v>
      </c>
      <c r="C5820" s="2" t="s">
        <v>7093</v>
      </c>
      <c r="D5820" s="2" t="s">
        <v>10</v>
      </c>
      <c r="E5820" s="2" t="s">
        <v>16</v>
      </c>
      <c r="F5820" s="2">
        <v>1</v>
      </c>
      <c r="G5820" s="2" t="s">
        <v>17</v>
      </c>
    </row>
    <row r="5821" spans="1:7" x14ac:dyDescent="0.2">
      <c r="A5821" s="2" t="s">
        <v>7303</v>
      </c>
      <c r="B5821" s="2" t="s">
        <v>7304</v>
      </c>
      <c r="C5821" s="2" t="s">
        <v>7305</v>
      </c>
      <c r="D5821" s="2" t="s">
        <v>10</v>
      </c>
      <c r="E5821" s="2" t="s">
        <v>16</v>
      </c>
      <c r="F5821" s="2">
        <v>1</v>
      </c>
      <c r="G5821" s="2" t="s">
        <v>17</v>
      </c>
    </row>
    <row r="5822" spans="1:7" x14ac:dyDescent="0.2">
      <c r="A5822" s="2" t="s">
        <v>7303</v>
      </c>
      <c r="B5822" s="2" t="s">
        <v>7306</v>
      </c>
      <c r="C5822" s="2" t="s">
        <v>7305</v>
      </c>
      <c r="D5822" s="2" t="s">
        <v>10</v>
      </c>
      <c r="E5822" s="2" t="s">
        <v>16</v>
      </c>
      <c r="F5822" s="2">
        <v>1</v>
      </c>
      <c r="G5822" s="2" t="s">
        <v>17</v>
      </c>
    </row>
    <row r="5823" spans="1:7" x14ac:dyDescent="0.2">
      <c r="A5823" s="2" t="s">
        <v>7303</v>
      </c>
      <c r="B5823" s="2" t="s">
        <v>7307</v>
      </c>
      <c r="C5823" s="2" t="s">
        <v>7305</v>
      </c>
      <c r="D5823" s="2" t="s">
        <v>10</v>
      </c>
      <c r="E5823" s="2" t="s">
        <v>16</v>
      </c>
      <c r="F5823" s="2">
        <v>1</v>
      </c>
      <c r="G5823" s="2" t="s">
        <v>17</v>
      </c>
    </row>
    <row r="5824" spans="1:7" x14ac:dyDescent="0.2">
      <c r="A5824" s="2" t="s">
        <v>7303</v>
      </c>
      <c r="B5824" s="2" t="s">
        <v>2118</v>
      </c>
      <c r="C5824" s="2" t="s">
        <v>7305</v>
      </c>
      <c r="D5824" s="2" t="s">
        <v>10</v>
      </c>
      <c r="E5824" s="2" t="s">
        <v>16</v>
      </c>
      <c r="F5824" s="2">
        <v>1</v>
      </c>
      <c r="G5824" s="2" t="s">
        <v>17</v>
      </c>
    </row>
    <row r="5825" spans="1:7" x14ac:dyDescent="0.2">
      <c r="A5825" s="2" t="s">
        <v>7308</v>
      </c>
      <c r="B5825" s="2" t="s">
        <v>1271</v>
      </c>
      <c r="C5825" s="2" t="s">
        <v>1272</v>
      </c>
      <c r="D5825" s="2" t="s">
        <v>10</v>
      </c>
      <c r="E5825" s="2" t="s">
        <v>16</v>
      </c>
      <c r="F5825" s="2">
        <v>1</v>
      </c>
      <c r="G5825" s="2" t="s">
        <v>17</v>
      </c>
    </row>
    <row r="5826" spans="1:7" x14ac:dyDescent="0.2">
      <c r="A5826" s="2" t="s">
        <v>7308</v>
      </c>
      <c r="B5826" s="2" t="s">
        <v>7309</v>
      </c>
      <c r="C5826" s="2" t="s">
        <v>7310</v>
      </c>
      <c r="D5826" s="2" t="s">
        <v>10</v>
      </c>
      <c r="E5826" s="2" t="s">
        <v>16</v>
      </c>
      <c r="F5826" s="2">
        <v>1</v>
      </c>
      <c r="G5826" s="2" t="s">
        <v>17</v>
      </c>
    </row>
    <row r="5827" spans="1:7" x14ac:dyDescent="0.2">
      <c r="A5827" s="2" t="s">
        <v>7308</v>
      </c>
      <c r="B5827" s="2" t="s">
        <v>7311</v>
      </c>
      <c r="C5827" s="2" t="s">
        <v>7312</v>
      </c>
      <c r="D5827" s="2" t="s">
        <v>10</v>
      </c>
      <c r="E5827" s="2" t="s">
        <v>16</v>
      </c>
      <c r="F5827" s="2">
        <v>1</v>
      </c>
      <c r="G5827" s="2" t="s">
        <v>17</v>
      </c>
    </row>
    <row r="5828" spans="1:7" x14ac:dyDescent="0.2">
      <c r="A5828" s="2" t="s">
        <v>7308</v>
      </c>
      <c r="B5828" s="2" t="s">
        <v>1274</v>
      </c>
      <c r="C5828" s="2" t="s">
        <v>1272</v>
      </c>
      <c r="D5828" s="2" t="s">
        <v>10</v>
      </c>
      <c r="E5828" s="2" t="s">
        <v>16</v>
      </c>
      <c r="F5828" s="2">
        <v>1</v>
      </c>
      <c r="G5828" s="2" t="s">
        <v>17</v>
      </c>
    </row>
    <row r="5829" spans="1:7" x14ac:dyDescent="0.2">
      <c r="A5829" s="2" t="s">
        <v>7308</v>
      </c>
      <c r="B5829" s="2" t="s">
        <v>7313</v>
      </c>
      <c r="C5829" s="2" t="s">
        <v>7310</v>
      </c>
      <c r="D5829" s="2" t="s">
        <v>10</v>
      </c>
      <c r="E5829" s="2" t="s">
        <v>16</v>
      </c>
      <c r="F5829" s="2">
        <v>1</v>
      </c>
      <c r="G5829" s="2" t="s">
        <v>17</v>
      </c>
    </row>
    <row r="5830" spans="1:7" x14ac:dyDescent="0.2">
      <c r="A5830" s="2" t="s">
        <v>7308</v>
      </c>
      <c r="B5830" s="2" t="s">
        <v>7314</v>
      </c>
      <c r="C5830" s="2" t="s">
        <v>7310</v>
      </c>
      <c r="D5830" s="2" t="s">
        <v>10</v>
      </c>
      <c r="E5830" s="2" t="s">
        <v>16</v>
      </c>
      <c r="F5830" s="2">
        <v>1</v>
      </c>
      <c r="G5830" s="2" t="s">
        <v>17</v>
      </c>
    </row>
    <row r="5831" spans="1:7" x14ac:dyDescent="0.2">
      <c r="A5831" s="2" t="s">
        <v>7308</v>
      </c>
      <c r="B5831" s="2" t="s">
        <v>1932</v>
      </c>
      <c r="C5831" s="2" t="s">
        <v>7310</v>
      </c>
      <c r="D5831" s="2" t="s">
        <v>10</v>
      </c>
      <c r="E5831" s="2" t="s">
        <v>16</v>
      </c>
      <c r="F5831" s="2">
        <v>1</v>
      </c>
      <c r="G5831" s="2" t="s">
        <v>17</v>
      </c>
    </row>
    <row r="5832" spans="1:7" x14ac:dyDescent="0.2">
      <c r="A5832" s="2" t="s">
        <v>7308</v>
      </c>
      <c r="B5832" s="2" t="s">
        <v>7315</v>
      </c>
      <c r="C5832" s="2" t="s">
        <v>7310</v>
      </c>
      <c r="D5832" s="2" t="s">
        <v>10</v>
      </c>
      <c r="E5832" s="2" t="s">
        <v>16</v>
      </c>
      <c r="F5832" s="2">
        <v>1</v>
      </c>
      <c r="G5832" s="2" t="s">
        <v>17</v>
      </c>
    </row>
    <row r="5833" spans="1:7" x14ac:dyDescent="0.2">
      <c r="A5833" s="2" t="s">
        <v>7308</v>
      </c>
      <c r="B5833" s="2" t="s">
        <v>7316</v>
      </c>
      <c r="C5833" s="2" t="s">
        <v>7310</v>
      </c>
      <c r="D5833" s="2" t="s">
        <v>10</v>
      </c>
      <c r="E5833" s="2" t="s">
        <v>16</v>
      </c>
      <c r="F5833" s="2">
        <v>1</v>
      </c>
      <c r="G5833" s="2" t="s">
        <v>17</v>
      </c>
    </row>
    <row r="5834" spans="1:7" x14ac:dyDescent="0.2">
      <c r="A5834" s="2" t="s">
        <v>7308</v>
      </c>
      <c r="B5834" s="2" t="s">
        <v>7317</v>
      </c>
      <c r="C5834" s="2" t="s">
        <v>7310</v>
      </c>
      <c r="D5834" s="2" t="s">
        <v>10</v>
      </c>
      <c r="E5834" s="2" t="s">
        <v>16</v>
      </c>
      <c r="F5834" s="2">
        <v>1</v>
      </c>
      <c r="G5834" s="2" t="s">
        <v>17</v>
      </c>
    </row>
    <row r="5835" spans="1:7" x14ac:dyDescent="0.2">
      <c r="A5835" s="2" t="s">
        <v>7318</v>
      </c>
      <c r="B5835" s="2" t="s">
        <v>7319</v>
      </c>
      <c r="C5835" s="2" t="s">
        <v>7320</v>
      </c>
      <c r="D5835" s="2" t="s">
        <v>10</v>
      </c>
      <c r="E5835" s="2" t="s">
        <v>16</v>
      </c>
      <c r="F5835" s="2">
        <v>1</v>
      </c>
      <c r="G5835" s="2" t="s">
        <v>17</v>
      </c>
    </row>
    <row r="5836" spans="1:7" x14ac:dyDescent="0.2">
      <c r="A5836" s="2" t="s">
        <v>7321</v>
      </c>
      <c r="B5836" s="2" t="s">
        <v>7322</v>
      </c>
      <c r="C5836" s="2" t="s">
        <v>7323</v>
      </c>
      <c r="D5836" s="2" t="s">
        <v>10</v>
      </c>
      <c r="E5836" s="2" t="s">
        <v>16</v>
      </c>
      <c r="F5836" s="2">
        <v>1</v>
      </c>
      <c r="G5836" s="2" t="s">
        <v>17</v>
      </c>
    </row>
    <row r="5837" spans="1:7" x14ac:dyDescent="0.2">
      <c r="A5837" s="2" t="s">
        <v>7324</v>
      </c>
      <c r="B5837" s="2" t="s">
        <v>1598</v>
      </c>
      <c r="C5837" s="2" t="s">
        <v>1599</v>
      </c>
      <c r="D5837" s="2" t="s">
        <v>10</v>
      </c>
      <c r="E5837" s="2" t="s">
        <v>16</v>
      </c>
      <c r="F5837" s="2">
        <v>2</v>
      </c>
      <c r="G5837" s="2" t="s">
        <v>17</v>
      </c>
    </row>
    <row r="5838" spans="1:7" x14ac:dyDescent="0.2">
      <c r="A5838" s="2" t="s">
        <v>7324</v>
      </c>
      <c r="B5838" s="2" t="s">
        <v>1600</v>
      </c>
      <c r="C5838" s="2" t="s">
        <v>1599</v>
      </c>
      <c r="D5838" s="2" t="s">
        <v>10</v>
      </c>
      <c r="E5838" s="2" t="s">
        <v>16</v>
      </c>
      <c r="F5838" s="2">
        <v>2</v>
      </c>
      <c r="G5838" s="2" t="s">
        <v>17</v>
      </c>
    </row>
    <row r="5839" spans="1:7" x14ac:dyDescent="0.2">
      <c r="A5839" s="2" t="s">
        <v>7325</v>
      </c>
      <c r="B5839" s="2" t="s">
        <v>4595</v>
      </c>
      <c r="C5839" s="2" t="s">
        <v>4596</v>
      </c>
      <c r="D5839" s="2" t="s">
        <v>10</v>
      </c>
      <c r="E5839" s="2" t="s">
        <v>16</v>
      </c>
      <c r="F5839" s="2">
        <v>1</v>
      </c>
      <c r="G5839" s="2" t="s">
        <v>17</v>
      </c>
    </row>
    <row r="5840" spans="1:7" x14ac:dyDescent="0.2">
      <c r="A5840" s="2" t="s">
        <v>7326</v>
      </c>
      <c r="B5840" s="2" t="s">
        <v>7327</v>
      </c>
      <c r="C5840" s="2" t="s">
        <v>7328</v>
      </c>
      <c r="D5840" s="2" t="s">
        <v>10</v>
      </c>
      <c r="E5840" s="2" t="s">
        <v>16</v>
      </c>
      <c r="F5840" s="2">
        <v>1</v>
      </c>
      <c r="G5840" s="2" t="s">
        <v>17</v>
      </c>
    </row>
    <row r="5841" spans="1:7" x14ac:dyDescent="0.2">
      <c r="A5841" s="2" t="s">
        <v>7326</v>
      </c>
      <c r="B5841" s="2" t="s">
        <v>2802</v>
      </c>
      <c r="C5841" s="2" t="s">
        <v>7328</v>
      </c>
      <c r="D5841" s="2" t="s">
        <v>10</v>
      </c>
      <c r="E5841" s="2" t="s">
        <v>16</v>
      </c>
      <c r="F5841" s="2">
        <v>1</v>
      </c>
      <c r="G5841" s="2" t="s">
        <v>17</v>
      </c>
    </row>
    <row r="5842" spans="1:7" x14ac:dyDescent="0.2">
      <c r="A5842" s="2" t="s">
        <v>7326</v>
      </c>
      <c r="B5842" s="2" t="s">
        <v>3361</v>
      </c>
      <c r="C5842" s="2" t="s">
        <v>7329</v>
      </c>
      <c r="D5842" s="2" t="s">
        <v>10</v>
      </c>
      <c r="E5842" s="2" t="s">
        <v>16</v>
      </c>
      <c r="F5842" s="2">
        <v>1</v>
      </c>
      <c r="G5842" s="2" t="s">
        <v>17</v>
      </c>
    </row>
    <row r="5843" spans="1:7" x14ac:dyDescent="0.2">
      <c r="A5843" s="2" t="s">
        <v>7330</v>
      </c>
      <c r="B5843" s="2" t="s">
        <v>7331</v>
      </c>
      <c r="C5843" s="2" t="s">
        <v>7332</v>
      </c>
      <c r="D5843" s="2" t="s">
        <v>10</v>
      </c>
      <c r="E5843" s="2" t="s">
        <v>16</v>
      </c>
      <c r="F5843" s="2">
        <v>1</v>
      </c>
      <c r="G5843" s="2" t="s">
        <v>17</v>
      </c>
    </row>
    <row r="5844" spans="1:7" x14ac:dyDescent="0.2">
      <c r="A5844" s="2" t="s">
        <v>7330</v>
      </c>
      <c r="B5844" s="2" t="s">
        <v>2983</v>
      </c>
      <c r="C5844" s="2" t="s">
        <v>2982</v>
      </c>
      <c r="D5844" s="2" t="s">
        <v>10</v>
      </c>
      <c r="E5844" s="2" t="s">
        <v>16</v>
      </c>
      <c r="F5844" s="2">
        <v>1</v>
      </c>
      <c r="G5844" s="2" t="s">
        <v>17</v>
      </c>
    </row>
    <row r="5845" spans="1:7" x14ac:dyDescent="0.2">
      <c r="A5845" s="2" t="s">
        <v>7330</v>
      </c>
      <c r="B5845" s="2" t="s">
        <v>7333</v>
      </c>
      <c r="C5845" s="2" t="s">
        <v>7334</v>
      </c>
      <c r="D5845" s="2" t="s">
        <v>10</v>
      </c>
      <c r="E5845" s="2" t="s">
        <v>16</v>
      </c>
      <c r="F5845" s="2">
        <v>1</v>
      </c>
      <c r="G5845" s="2" t="s">
        <v>17</v>
      </c>
    </row>
    <row r="5846" spans="1:7" x14ac:dyDescent="0.2">
      <c r="A5846" s="2" t="s">
        <v>7335</v>
      </c>
      <c r="B5846" s="2" t="s">
        <v>1881</v>
      </c>
      <c r="C5846" s="2" t="s">
        <v>1880</v>
      </c>
      <c r="D5846" s="2" t="s">
        <v>10</v>
      </c>
      <c r="E5846" s="2" t="s">
        <v>16</v>
      </c>
      <c r="F5846" s="2">
        <v>1</v>
      </c>
      <c r="G5846" s="2" t="s">
        <v>17</v>
      </c>
    </row>
    <row r="5847" spans="1:7" x14ac:dyDescent="0.2">
      <c r="A5847" s="2" t="s">
        <v>7335</v>
      </c>
      <c r="B5847" s="2" t="s">
        <v>1879</v>
      </c>
      <c r="C5847" s="2" t="s">
        <v>1880</v>
      </c>
      <c r="D5847" s="2" t="s">
        <v>10</v>
      </c>
      <c r="E5847" s="2" t="s">
        <v>16</v>
      </c>
      <c r="F5847" s="2">
        <v>1</v>
      </c>
      <c r="G5847" s="2" t="s">
        <v>17</v>
      </c>
    </row>
    <row r="5848" spans="1:7" x14ac:dyDescent="0.2">
      <c r="A5848" s="2" t="s">
        <v>7335</v>
      </c>
      <c r="B5848" s="2" t="s">
        <v>43</v>
      </c>
      <c r="C5848" s="2" t="s">
        <v>1880</v>
      </c>
      <c r="D5848" s="2" t="s">
        <v>10</v>
      </c>
      <c r="E5848" s="2" t="s">
        <v>16</v>
      </c>
      <c r="F5848" s="2">
        <v>1</v>
      </c>
      <c r="G5848" s="2" t="s">
        <v>17</v>
      </c>
    </row>
    <row r="5849" spans="1:7" x14ac:dyDescent="0.2">
      <c r="A5849" s="2" t="s">
        <v>7336</v>
      </c>
      <c r="B5849" s="2" t="s">
        <v>5947</v>
      </c>
      <c r="C5849" s="2" t="s">
        <v>5948</v>
      </c>
      <c r="D5849" s="2" t="s">
        <v>10</v>
      </c>
      <c r="E5849" s="2" t="s">
        <v>16</v>
      </c>
      <c r="F5849" s="2">
        <v>1</v>
      </c>
      <c r="G5849" s="2" t="s">
        <v>17</v>
      </c>
    </row>
    <row r="5850" spans="1:7" x14ac:dyDescent="0.2">
      <c r="A5850" s="2" t="s">
        <v>7337</v>
      </c>
      <c r="B5850" s="2" t="s">
        <v>7338</v>
      </c>
      <c r="C5850" s="2" t="s">
        <v>7339</v>
      </c>
      <c r="D5850" s="2" t="s">
        <v>10</v>
      </c>
      <c r="E5850" s="2" t="s">
        <v>16</v>
      </c>
      <c r="F5850" s="2">
        <v>1</v>
      </c>
      <c r="G5850" s="2" t="s">
        <v>17</v>
      </c>
    </row>
    <row r="5851" spans="1:7" x14ac:dyDescent="0.2">
      <c r="A5851" s="2" t="s">
        <v>7337</v>
      </c>
      <c r="B5851" s="2" t="s">
        <v>7340</v>
      </c>
      <c r="C5851" s="2" t="s">
        <v>7341</v>
      </c>
      <c r="D5851" s="2" t="s">
        <v>10</v>
      </c>
      <c r="E5851" s="2" t="s">
        <v>16</v>
      </c>
      <c r="F5851" s="2">
        <v>1</v>
      </c>
      <c r="G5851" s="2" t="s">
        <v>17</v>
      </c>
    </row>
    <row r="5852" spans="1:7" x14ac:dyDescent="0.2">
      <c r="A5852" s="2" t="s">
        <v>7337</v>
      </c>
      <c r="B5852" s="2" t="s">
        <v>5611</v>
      </c>
      <c r="C5852" s="2" t="s">
        <v>5612</v>
      </c>
      <c r="D5852" s="2" t="s">
        <v>10</v>
      </c>
      <c r="E5852" s="2" t="s">
        <v>16</v>
      </c>
      <c r="F5852" s="2">
        <v>1</v>
      </c>
      <c r="G5852" s="2" t="s">
        <v>17</v>
      </c>
    </row>
    <row r="5853" spans="1:7" x14ac:dyDescent="0.2">
      <c r="A5853" s="2" t="s">
        <v>7337</v>
      </c>
      <c r="B5853" s="2" t="s">
        <v>5608</v>
      </c>
      <c r="C5853" s="2" t="s">
        <v>5609</v>
      </c>
      <c r="D5853" s="2" t="s">
        <v>10</v>
      </c>
      <c r="E5853" s="2" t="s">
        <v>16</v>
      </c>
      <c r="F5853" s="2">
        <v>1</v>
      </c>
      <c r="G5853" s="2" t="s">
        <v>17</v>
      </c>
    </row>
    <row r="5854" spans="1:7" x14ac:dyDescent="0.2">
      <c r="A5854" s="2" t="s">
        <v>7342</v>
      </c>
      <c r="B5854" s="2" t="s">
        <v>7343</v>
      </c>
      <c r="C5854" s="2" t="s">
        <v>7344</v>
      </c>
      <c r="D5854" s="2" t="s">
        <v>56</v>
      </c>
      <c r="E5854" s="2" t="s">
        <v>52</v>
      </c>
      <c r="F5854" s="2">
        <v>1</v>
      </c>
      <c r="G5854" s="2" t="s">
        <v>17</v>
      </c>
    </row>
    <row r="5855" spans="1:7" x14ac:dyDescent="0.2">
      <c r="A5855" s="2" t="s">
        <v>7345</v>
      </c>
      <c r="B5855" s="2" t="s">
        <v>7346</v>
      </c>
      <c r="C5855" s="2" t="s">
        <v>7347</v>
      </c>
      <c r="D5855" s="2" t="s">
        <v>10</v>
      </c>
      <c r="E5855" s="2" t="s">
        <v>11</v>
      </c>
      <c r="F5855" s="2">
        <v>1</v>
      </c>
      <c r="G5855" s="2" t="s">
        <v>12</v>
      </c>
    </row>
    <row r="5856" spans="1:7" x14ac:dyDescent="0.2">
      <c r="A5856" s="2" t="s">
        <v>7345</v>
      </c>
      <c r="B5856" s="2" t="s">
        <v>2976</v>
      </c>
      <c r="C5856" s="2" t="s">
        <v>2977</v>
      </c>
      <c r="D5856" s="2" t="s">
        <v>56</v>
      </c>
      <c r="E5856" s="2" t="s">
        <v>52</v>
      </c>
      <c r="F5856" s="2">
        <v>2</v>
      </c>
      <c r="G5856" s="2" t="s">
        <v>17</v>
      </c>
    </row>
    <row r="5857" spans="1:7" x14ac:dyDescent="0.2">
      <c r="A5857" s="2" t="s">
        <v>7345</v>
      </c>
      <c r="B5857" s="2" t="s">
        <v>5679</v>
      </c>
      <c r="C5857" s="2" t="s">
        <v>5680</v>
      </c>
      <c r="D5857" s="2" t="s">
        <v>10</v>
      </c>
      <c r="E5857" s="2" t="s">
        <v>11</v>
      </c>
      <c r="F5857" s="2">
        <v>1</v>
      </c>
      <c r="G5857" s="2" t="s">
        <v>12</v>
      </c>
    </row>
    <row r="5858" spans="1:7" x14ac:dyDescent="0.2">
      <c r="A5858" s="2" t="s">
        <v>7345</v>
      </c>
      <c r="B5858" s="2" t="s">
        <v>5687</v>
      </c>
      <c r="C5858" s="2" t="s">
        <v>5680</v>
      </c>
      <c r="D5858" s="2" t="s">
        <v>10</v>
      </c>
      <c r="E5858" s="2" t="s">
        <v>11</v>
      </c>
      <c r="F5858" s="2">
        <v>1</v>
      </c>
      <c r="G5858" s="2" t="s">
        <v>12</v>
      </c>
    </row>
    <row r="5859" spans="1:7" x14ac:dyDescent="0.2">
      <c r="A5859" s="2" t="s">
        <v>7345</v>
      </c>
      <c r="B5859" s="2" t="s">
        <v>3751</v>
      </c>
      <c r="C5859" s="2" t="s">
        <v>7347</v>
      </c>
      <c r="D5859" s="2" t="s">
        <v>10</v>
      </c>
      <c r="E5859" s="2" t="s">
        <v>11</v>
      </c>
      <c r="F5859" s="2">
        <v>1</v>
      </c>
      <c r="G5859" s="2" t="s">
        <v>12</v>
      </c>
    </row>
    <row r="5860" spans="1:7" x14ac:dyDescent="0.2">
      <c r="A5860" s="2" t="s">
        <v>7345</v>
      </c>
      <c r="B5860" s="2" t="s">
        <v>7348</v>
      </c>
      <c r="C5860" s="2" t="s">
        <v>4355</v>
      </c>
      <c r="D5860" s="2" t="s">
        <v>10</v>
      </c>
      <c r="E5860" s="2" t="s">
        <v>52</v>
      </c>
      <c r="F5860" s="2">
        <v>1</v>
      </c>
      <c r="G5860" s="2" t="s">
        <v>17</v>
      </c>
    </row>
    <row r="5861" spans="1:7" x14ac:dyDescent="0.2">
      <c r="A5861" s="2" t="s">
        <v>7345</v>
      </c>
      <c r="B5861" s="2" t="s">
        <v>4354</v>
      </c>
      <c r="C5861" s="2" t="s">
        <v>4355</v>
      </c>
      <c r="D5861" s="2" t="s">
        <v>10</v>
      </c>
      <c r="E5861" s="2" t="s">
        <v>52</v>
      </c>
      <c r="F5861" s="2">
        <v>1</v>
      </c>
      <c r="G5861" s="2" t="s">
        <v>17</v>
      </c>
    </row>
    <row r="5862" spans="1:7" x14ac:dyDescent="0.2">
      <c r="A5862" s="2" t="s">
        <v>7345</v>
      </c>
      <c r="B5862" s="2" t="s">
        <v>4356</v>
      </c>
      <c r="C5862" s="2" t="s">
        <v>4355</v>
      </c>
      <c r="D5862" s="2" t="s">
        <v>10</v>
      </c>
      <c r="E5862" s="2" t="s">
        <v>52</v>
      </c>
      <c r="F5862" s="2">
        <v>1</v>
      </c>
      <c r="G5862" s="2" t="s">
        <v>17</v>
      </c>
    </row>
    <row r="5863" spans="1:7" x14ac:dyDescent="0.2">
      <c r="A5863" s="2" t="s">
        <v>7345</v>
      </c>
      <c r="B5863" s="2" t="s">
        <v>7349</v>
      </c>
      <c r="C5863" s="2" t="s">
        <v>2441</v>
      </c>
      <c r="D5863" s="2" t="s">
        <v>56</v>
      </c>
      <c r="E5863" s="2" t="s">
        <v>52</v>
      </c>
      <c r="F5863" s="2">
        <v>2</v>
      </c>
      <c r="G5863" s="2" t="s">
        <v>17</v>
      </c>
    </row>
    <row r="5864" spans="1:7" x14ac:dyDescent="0.2">
      <c r="A5864" s="2" t="s">
        <v>7345</v>
      </c>
      <c r="B5864" s="2" t="s">
        <v>7350</v>
      </c>
      <c r="C5864" s="2" t="s">
        <v>7347</v>
      </c>
      <c r="D5864" s="2" t="s">
        <v>10</v>
      </c>
      <c r="E5864" s="2" t="s">
        <v>11</v>
      </c>
      <c r="F5864" s="2">
        <v>1</v>
      </c>
      <c r="G5864" s="2" t="s">
        <v>12</v>
      </c>
    </row>
    <row r="5865" spans="1:7" x14ac:dyDescent="0.2">
      <c r="A5865" s="2" t="s">
        <v>7345</v>
      </c>
      <c r="B5865" s="2" t="s">
        <v>4357</v>
      </c>
      <c r="C5865" s="2" t="s">
        <v>4355</v>
      </c>
      <c r="D5865" s="2" t="s">
        <v>10</v>
      </c>
      <c r="E5865" s="2" t="s">
        <v>52</v>
      </c>
      <c r="F5865" s="2">
        <v>1</v>
      </c>
      <c r="G5865" s="2" t="s">
        <v>17</v>
      </c>
    </row>
    <row r="5866" spans="1:7" x14ac:dyDescent="0.2">
      <c r="A5866" s="2" t="s">
        <v>7345</v>
      </c>
      <c r="B5866" s="2" t="s">
        <v>7351</v>
      </c>
      <c r="C5866" s="2" t="s">
        <v>4355</v>
      </c>
      <c r="D5866" s="2" t="s">
        <v>10</v>
      </c>
      <c r="E5866" s="2" t="s">
        <v>52</v>
      </c>
      <c r="F5866" s="2">
        <v>1</v>
      </c>
      <c r="G5866" s="2" t="s">
        <v>17</v>
      </c>
    </row>
    <row r="5867" spans="1:7" x14ac:dyDescent="0.2">
      <c r="A5867" s="2" t="s">
        <v>7345</v>
      </c>
      <c r="B5867" s="2" t="s">
        <v>7352</v>
      </c>
      <c r="C5867" s="2" t="s">
        <v>4355</v>
      </c>
      <c r="D5867" s="2" t="s">
        <v>10</v>
      </c>
      <c r="E5867" s="2" t="s">
        <v>52</v>
      </c>
      <c r="F5867" s="2">
        <v>1</v>
      </c>
      <c r="G5867" s="2" t="s">
        <v>17</v>
      </c>
    </row>
    <row r="5868" spans="1:7" x14ac:dyDescent="0.2">
      <c r="A5868" s="2" t="s">
        <v>7345</v>
      </c>
      <c r="B5868" s="2" t="s">
        <v>7353</v>
      </c>
      <c r="C5868" s="2" t="s">
        <v>4355</v>
      </c>
      <c r="D5868" s="2" t="s">
        <v>10</v>
      </c>
      <c r="E5868" s="2" t="s">
        <v>52</v>
      </c>
      <c r="F5868" s="2">
        <v>1</v>
      </c>
      <c r="G5868" s="2" t="s">
        <v>17</v>
      </c>
    </row>
    <row r="5869" spans="1:7" x14ac:dyDescent="0.2">
      <c r="A5869" s="2" t="s">
        <v>7345</v>
      </c>
      <c r="B5869" s="2" t="s">
        <v>7354</v>
      </c>
      <c r="C5869" s="2" t="s">
        <v>7347</v>
      </c>
      <c r="D5869" s="2" t="s">
        <v>10</v>
      </c>
      <c r="E5869" s="2" t="s">
        <v>11</v>
      </c>
      <c r="F5869" s="2">
        <v>1</v>
      </c>
      <c r="G5869" s="2" t="s">
        <v>12</v>
      </c>
    </row>
    <row r="5870" spans="1:7" x14ac:dyDescent="0.2">
      <c r="A5870" s="2" t="s">
        <v>7345</v>
      </c>
      <c r="B5870" s="2" t="s">
        <v>7355</v>
      </c>
      <c r="C5870" s="2" t="s">
        <v>7347</v>
      </c>
      <c r="D5870" s="2" t="s">
        <v>10</v>
      </c>
      <c r="E5870" s="2" t="s">
        <v>11</v>
      </c>
      <c r="F5870" s="2">
        <v>1</v>
      </c>
      <c r="G5870" s="2" t="s">
        <v>12</v>
      </c>
    </row>
    <row r="5871" spans="1:7" x14ac:dyDescent="0.2">
      <c r="A5871" s="2" t="s">
        <v>7345</v>
      </c>
      <c r="B5871" s="2" t="s">
        <v>7356</v>
      </c>
      <c r="C5871" s="2" t="s">
        <v>7357</v>
      </c>
      <c r="D5871" s="2" t="s">
        <v>56</v>
      </c>
      <c r="E5871" s="2" t="s">
        <v>52</v>
      </c>
      <c r="F5871" s="2">
        <v>2</v>
      </c>
      <c r="G5871" s="2" t="s">
        <v>12</v>
      </c>
    </row>
    <row r="5872" spans="1:7" x14ac:dyDescent="0.2">
      <c r="A5872" s="2" t="s">
        <v>7358</v>
      </c>
      <c r="B5872" s="2">
        <v>369</v>
      </c>
      <c r="C5872" s="2" t="s">
        <v>828</v>
      </c>
      <c r="D5872" s="2" t="s">
        <v>56</v>
      </c>
      <c r="E5872" s="2" t="s">
        <v>52</v>
      </c>
      <c r="F5872" s="2">
        <v>1</v>
      </c>
      <c r="G5872" s="2" t="s">
        <v>17</v>
      </c>
    </row>
    <row r="5873" spans="1:7" x14ac:dyDescent="0.2">
      <c r="A5873" s="2" t="s">
        <v>7358</v>
      </c>
      <c r="B5873" s="2">
        <v>500</v>
      </c>
      <c r="C5873" s="2" t="s">
        <v>828</v>
      </c>
      <c r="D5873" s="2" t="s">
        <v>56</v>
      </c>
      <c r="E5873" s="2" t="s">
        <v>52</v>
      </c>
      <c r="F5873" s="2">
        <v>1</v>
      </c>
      <c r="G5873" s="2" t="s">
        <v>17</v>
      </c>
    </row>
    <row r="5874" spans="1:7" x14ac:dyDescent="0.2">
      <c r="A5874" s="2" t="s">
        <v>7358</v>
      </c>
      <c r="B5874" s="2" t="s">
        <v>6668</v>
      </c>
      <c r="C5874" s="2" t="s">
        <v>828</v>
      </c>
      <c r="D5874" s="2" t="s">
        <v>56</v>
      </c>
      <c r="E5874" s="2" t="s">
        <v>52</v>
      </c>
      <c r="F5874" s="2">
        <v>1</v>
      </c>
      <c r="G5874" s="2" t="s">
        <v>17</v>
      </c>
    </row>
    <row r="5875" spans="1:7" x14ac:dyDescent="0.2">
      <c r="A5875" s="2" t="s">
        <v>7358</v>
      </c>
      <c r="B5875" s="2" t="s">
        <v>7359</v>
      </c>
      <c r="C5875" s="2" t="s">
        <v>828</v>
      </c>
      <c r="D5875" s="2" t="s">
        <v>56</v>
      </c>
      <c r="E5875" s="2" t="s">
        <v>52</v>
      </c>
      <c r="F5875" s="2">
        <v>1</v>
      </c>
      <c r="G5875" s="2" t="s">
        <v>17</v>
      </c>
    </row>
    <row r="5876" spans="1:7" x14ac:dyDescent="0.2">
      <c r="A5876" s="2" t="s">
        <v>7358</v>
      </c>
      <c r="B5876" s="2" t="s">
        <v>6404</v>
      </c>
      <c r="C5876" s="2" t="s">
        <v>1732</v>
      </c>
      <c r="D5876" s="2" t="s">
        <v>56</v>
      </c>
      <c r="E5876" s="2" t="s">
        <v>52</v>
      </c>
      <c r="F5876" s="2">
        <v>2</v>
      </c>
      <c r="G5876" s="2" t="s">
        <v>12</v>
      </c>
    </row>
    <row r="5877" spans="1:7" x14ac:dyDescent="0.2">
      <c r="A5877" s="2" t="s">
        <v>7358</v>
      </c>
      <c r="B5877" s="2" t="s">
        <v>7360</v>
      </c>
      <c r="C5877" s="2" t="s">
        <v>828</v>
      </c>
      <c r="D5877" s="2" t="s">
        <v>56</v>
      </c>
      <c r="E5877" s="2" t="s">
        <v>52</v>
      </c>
      <c r="F5877" s="2">
        <v>1</v>
      </c>
      <c r="G5877" s="2" t="s">
        <v>17</v>
      </c>
    </row>
    <row r="5878" spans="1:7" x14ac:dyDescent="0.2">
      <c r="A5878" s="2" t="s">
        <v>7358</v>
      </c>
      <c r="B5878" s="2" t="s">
        <v>7361</v>
      </c>
      <c r="C5878" s="2" t="s">
        <v>7362</v>
      </c>
      <c r="D5878" s="2" t="s">
        <v>10</v>
      </c>
      <c r="E5878" s="2" t="s">
        <v>16</v>
      </c>
      <c r="F5878" s="2">
        <v>1</v>
      </c>
      <c r="G5878" s="2" t="s">
        <v>17</v>
      </c>
    </row>
    <row r="5879" spans="1:7" x14ac:dyDescent="0.2">
      <c r="A5879" s="2" t="s">
        <v>7358</v>
      </c>
      <c r="B5879" s="2" t="s">
        <v>7363</v>
      </c>
      <c r="C5879" s="2" t="s">
        <v>995</v>
      </c>
      <c r="D5879" s="2" t="s">
        <v>10</v>
      </c>
      <c r="E5879" s="2" t="s">
        <v>11</v>
      </c>
      <c r="F5879" s="2">
        <v>2</v>
      </c>
      <c r="G5879" s="2" t="s">
        <v>12</v>
      </c>
    </row>
    <row r="5880" spans="1:7" x14ac:dyDescent="0.2">
      <c r="A5880" s="2" t="s">
        <v>7358</v>
      </c>
      <c r="B5880" s="2" t="s">
        <v>7364</v>
      </c>
      <c r="C5880" s="2" t="s">
        <v>7362</v>
      </c>
      <c r="D5880" s="2" t="s">
        <v>10</v>
      </c>
      <c r="E5880" s="2" t="s">
        <v>16</v>
      </c>
      <c r="F5880" s="2">
        <v>1</v>
      </c>
      <c r="G5880" s="2" t="s">
        <v>17</v>
      </c>
    </row>
    <row r="5881" spans="1:7" x14ac:dyDescent="0.2">
      <c r="A5881" s="2" t="s">
        <v>7358</v>
      </c>
      <c r="B5881" s="2" t="s">
        <v>488</v>
      </c>
      <c r="C5881" s="2" t="s">
        <v>828</v>
      </c>
      <c r="D5881" s="2" t="s">
        <v>56</v>
      </c>
      <c r="E5881" s="2" t="s">
        <v>52</v>
      </c>
      <c r="F5881" s="2">
        <v>1</v>
      </c>
      <c r="G5881" s="2" t="s">
        <v>17</v>
      </c>
    </row>
    <row r="5882" spans="1:7" x14ac:dyDescent="0.2">
      <c r="A5882" s="2" t="s">
        <v>7358</v>
      </c>
      <c r="B5882" s="2" t="s">
        <v>7365</v>
      </c>
      <c r="C5882" s="2" t="s">
        <v>995</v>
      </c>
      <c r="D5882" s="2" t="s">
        <v>10</v>
      </c>
      <c r="E5882" s="2" t="s">
        <v>11</v>
      </c>
      <c r="F5882" s="2">
        <v>2</v>
      </c>
      <c r="G5882" s="2" t="s">
        <v>12</v>
      </c>
    </row>
    <row r="5883" spans="1:7" x14ac:dyDescent="0.2">
      <c r="A5883" s="2" t="s">
        <v>7358</v>
      </c>
      <c r="B5883" s="2" t="s">
        <v>5345</v>
      </c>
      <c r="C5883" s="2" t="s">
        <v>995</v>
      </c>
      <c r="D5883" s="2" t="s">
        <v>10</v>
      </c>
      <c r="E5883" s="2" t="s">
        <v>11</v>
      </c>
      <c r="F5883" s="2">
        <v>2</v>
      </c>
      <c r="G5883" s="2" t="s">
        <v>12</v>
      </c>
    </row>
    <row r="5884" spans="1:7" x14ac:dyDescent="0.2">
      <c r="A5884" s="2" t="s">
        <v>7358</v>
      </c>
      <c r="B5884" s="2" t="s">
        <v>5347</v>
      </c>
      <c r="C5884" s="2" t="s">
        <v>995</v>
      </c>
      <c r="D5884" s="2" t="s">
        <v>10</v>
      </c>
      <c r="E5884" s="2" t="s">
        <v>11</v>
      </c>
      <c r="F5884" s="2">
        <v>2</v>
      </c>
      <c r="G5884" s="2" t="s">
        <v>12</v>
      </c>
    </row>
    <row r="5885" spans="1:7" x14ac:dyDescent="0.2">
      <c r="A5885" s="2" t="s">
        <v>7358</v>
      </c>
      <c r="B5885" s="2" t="s">
        <v>7366</v>
      </c>
      <c r="C5885" s="2" t="s">
        <v>1732</v>
      </c>
      <c r="D5885" s="2" t="s">
        <v>56</v>
      </c>
      <c r="E5885" s="2" t="s">
        <v>52</v>
      </c>
      <c r="F5885" s="2">
        <v>2</v>
      </c>
      <c r="G5885" s="2" t="s">
        <v>12</v>
      </c>
    </row>
    <row r="5886" spans="1:7" x14ac:dyDescent="0.2">
      <c r="A5886" s="2" t="s">
        <v>7367</v>
      </c>
      <c r="B5886" s="2" t="s">
        <v>7368</v>
      </c>
      <c r="C5886" s="2" t="s">
        <v>7369</v>
      </c>
      <c r="D5886" s="2" t="s">
        <v>10</v>
      </c>
      <c r="E5886" s="2" t="s">
        <v>16</v>
      </c>
      <c r="F5886" s="2">
        <v>1</v>
      </c>
      <c r="G5886" s="2" t="s">
        <v>17</v>
      </c>
    </row>
    <row r="5887" spans="1:7" x14ac:dyDescent="0.2">
      <c r="A5887" s="2" t="s">
        <v>7367</v>
      </c>
      <c r="B5887" s="2" t="s">
        <v>7370</v>
      </c>
      <c r="C5887" s="2" t="s">
        <v>7369</v>
      </c>
      <c r="D5887" s="2" t="s">
        <v>10</v>
      </c>
      <c r="E5887" s="2" t="s">
        <v>16</v>
      </c>
      <c r="F5887" s="2">
        <v>1</v>
      </c>
      <c r="G5887" s="2" t="s">
        <v>17</v>
      </c>
    </row>
    <row r="5888" spans="1:7" x14ac:dyDescent="0.2">
      <c r="A5888" s="2" t="s">
        <v>7371</v>
      </c>
      <c r="B5888" s="2" t="s">
        <v>7372</v>
      </c>
      <c r="C5888" s="2" t="s">
        <v>7373</v>
      </c>
      <c r="D5888" s="2" t="s">
        <v>10</v>
      </c>
      <c r="E5888" s="2" t="s">
        <v>16</v>
      </c>
      <c r="F5888" s="2">
        <v>1</v>
      </c>
      <c r="G5888" s="2" t="s">
        <v>17</v>
      </c>
    </row>
    <row r="5889" spans="1:7" x14ac:dyDescent="0.2">
      <c r="A5889" s="2" t="s">
        <v>7371</v>
      </c>
      <c r="B5889" s="2" t="s">
        <v>7374</v>
      </c>
      <c r="C5889" s="2" t="s">
        <v>7373</v>
      </c>
      <c r="D5889" s="2" t="s">
        <v>10</v>
      </c>
      <c r="E5889" s="2" t="s">
        <v>16</v>
      </c>
      <c r="F5889" s="2">
        <v>1</v>
      </c>
      <c r="G5889" s="2" t="s">
        <v>17</v>
      </c>
    </row>
    <row r="5890" spans="1:7" x14ac:dyDescent="0.2">
      <c r="A5890" s="2" t="s">
        <v>7375</v>
      </c>
      <c r="B5890" s="2" t="s">
        <v>7376</v>
      </c>
      <c r="C5890" s="2" t="s">
        <v>5408</v>
      </c>
      <c r="D5890" s="2" t="s">
        <v>10</v>
      </c>
      <c r="E5890" s="2" t="s">
        <v>16</v>
      </c>
      <c r="F5890" s="2">
        <v>1</v>
      </c>
      <c r="G5890" s="2" t="s">
        <v>17</v>
      </c>
    </row>
    <row r="5891" spans="1:7" x14ac:dyDescent="0.2">
      <c r="A5891" s="2" t="s">
        <v>7375</v>
      </c>
      <c r="B5891" s="2" t="s">
        <v>7377</v>
      </c>
      <c r="C5891" s="2" t="s">
        <v>5410</v>
      </c>
      <c r="D5891" s="2" t="s">
        <v>10</v>
      </c>
      <c r="E5891" s="2" t="s">
        <v>16</v>
      </c>
      <c r="F5891" s="2">
        <v>1</v>
      </c>
      <c r="G5891" s="2" t="s">
        <v>17</v>
      </c>
    </row>
    <row r="5892" spans="1:7" x14ac:dyDescent="0.2">
      <c r="A5892" s="2" t="s">
        <v>7375</v>
      </c>
      <c r="B5892" s="2" t="s">
        <v>7378</v>
      </c>
      <c r="C5892" s="2" t="s">
        <v>5410</v>
      </c>
      <c r="D5892" s="2" t="s">
        <v>10</v>
      </c>
      <c r="E5892" s="2" t="s">
        <v>16</v>
      </c>
      <c r="F5892" s="2">
        <v>1</v>
      </c>
      <c r="G5892" s="2" t="s">
        <v>17</v>
      </c>
    </row>
    <row r="5893" spans="1:7" x14ac:dyDescent="0.2">
      <c r="A5893" s="2" t="s">
        <v>7375</v>
      </c>
      <c r="B5893" s="2" t="s">
        <v>7379</v>
      </c>
      <c r="C5893" s="2" t="s">
        <v>5412</v>
      </c>
      <c r="D5893" s="2" t="s">
        <v>10</v>
      </c>
      <c r="E5893" s="2" t="s">
        <v>16</v>
      </c>
      <c r="F5893" s="2">
        <v>1</v>
      </c>
      <c r="G5893" s="2" t="s">
        <v>17</v>
      </c>
    </row>
    <row r="5894" spans="1:7" x14ac:dyDescent="0.2">
      <c r="A5894" s="2" t="s">
        <v>7375</v>
      </c>
      <c r="B5894" s="2" t="s">
        <v>7380</v>
      </c>
      <c r="C5894" s="2" t="s">
        <v>5412</v>
      </c>
      <c r="D5894" s="2" t="s">
        <v>10</v>
      </c>
      <c r="E5894" s="2" t="s">
        <v>16</v>
      </c>
      <c r="F5894" s="2">
        <v>1</v>
      </c>
      <c r="G5894" s="2" t="s">
        <v>17</v>
      </c>
    </row>
    <row r="5895" spans="1:7" x14ac:dyDescent="0.2">
      <c r="A5895" s="2" t="s">
        <v>7375</v>
      </c>
      <c r="B5895" s="2" t="s">
        <v>7381</v>
      </c>
      <c r="C5895" s="2" t="s">
        <v>5408</v>
      </c>
      <c r="D5895" s="2" t="s">
        <v>10</v>
      </c>
      <c r="E5895" s="2" t="s">
        <v>16</v>
      </c>
      <c r="F5895" s="2">
        <v>1</v>
      </c>
      <c r="G5895" s="2" t="s">
        <v>17</v>
      </c>
    </row>
    <row r="5896" spans="1:7" x14ac:dyDescent="0.2">
      <c r="A5896" s="2" t="s">
        <v>7382</v>
      </c>
      <c r="B5896" s="2" t="s">
        <v>7383</v>
      </c>
      <c r="C5896" s="2" t="s">
        <v>7384</v>
      </c>
      <c r="D5896" s="2" t="s">
        <v>10</v>
      </c>
      <c r="E5896" s="2" t="s">
        <v>16</v>
      </c>
      <c r="F5896" s="2">
        <v>1</v>
      </c>
      <c r="G5896" s="2" t="s">
        <v>17</v>
      </c>
    </row>
    <row r="5897" spans="1:7" x14ac:dyDescent="0.2">
      <c r="A5897" s="2" t="s">
        <v>7382</v>
      </c>
      <c r="B5897" s="2" t="s">
        <v>471</v>
      </c>
      <c r="C5897" s="2" t="s">
        <v>7384</v>
      </c>
      <c r="D5897" s="2" t="s">
        <v>10</v>
      </c>
      <c r="E5897" s="2" t="s">
        <v>16</v>
      </c>
      <c r="F5897" s="2">
        <v>1</v>
      </c>
      <c r="G5897" s="2" t="s">
        <v>17</v>
      </c>
    </row>
    <row r="5898" spans="1:7" x14ac:dyDescent="0.2">
      <c r="A5898" s="2" t="s">
        <v>7385</v>
      </c>
      <c r="B5898" s="2" t="s">
        <v>7386</v>
      </c>
      <c r="C5898" s="2" t="s">
        <v>4293</v>
      </c>
      <c r="D5898" s="2" t="s">
        <v>10</v>
      </c>
      <c r="E5898" s="2" t="s">
        <v>16</v>
      </c>
      <c r="F5898" s="2">
        <v>1</v>
      </c>
      <c r="G5898" s="2" t="s">
        <v>17</v>
      </c>
    </row>
    <row r="5899" spans="1:7" x14ac:dyDescent="0.2">
      <c r="A5899" s="2" t="s">
        <v>7387</v>
      </c>
      <c r="B5899" s="2" t="s">
        <v>7388</v>
      </c>
      <c r="C5899" s="2" t="s">
        <v>7389</v>
      </c>
      <c r="D5899" s="2" t="s">
        <v>10</v>
      </c>
      <c r="E5899" s="2" t="s">
        <v>16</v>
      </c>
      <c r="F5899" s="2">
        <v>1</v>
      </c>
      <c r="G5899" s="2" t="s">
        <v>17</v>
      </c>
    </row>
    <row r="5900" spans="1:7" x14ac:dyDescent="0.2">
      <c r="A5900" s="2" t="s">
        <v>7387</v>
      </c>
      <c r="B5900" s="2" t="s">
        <v>7390</v>
      </c>
      <c r="C5900" s="2" t="s">
        <v>7389</v>
      </c>
      <c r="D5900" s="2" t="s">
        <v>10</v>
      </c>
      <c r="E5900" s="2" t="s">
        <v>16</v>
      </c>
      <c r="F5900" s="2">
        <v>1</v>
      </c>
      <c r="G5900" s="2" t="s">
        <v>17</v>
      </c>
    </row>
    <row r="5901" spans="1:7" x14ac:dyDescent="0.2">
      <c r="A5901" s="2" t="s">
        <v>7387</v>
      </c>
      <c r="B5901" s="2" t="s">
        <v>7391</v>
      </c>
      <c r="C5901" s="2" t="s">
        <v>7389</v>
      </c>
      <c r="D5901" s="2" t="s">
        <v>10</v>
      </c>
      <c r="E5901" s="2" t="s">
        <v>16</v>
      </c>
      <c r="F5901" s="2">
        <v>1</v>
      </c>
      <c r="G5901" s="2" t="s">
        <v>17</v>
      </c>
    </row>
    <row r="5902" spans="1:7" x14ac:dyDescent="0.2">
      <c r="A5902" s="2" t="s">
        <v>7387</v>
      </c>
      <c r="B5902" s="2" t="s">
        <v>7392</v>
      </c>
      <c r="C5902" s="2" t="s">
        <v>7393</v>
      </c>
      <c r="D5902" s="2" t="s">
        <v>10</v>
      </c>
      <c r="E5902" s="2" t="s">
        <v>16</v>
      </c>
      <c r="F5902" s="2">
        <v>1</v>
      </c>
      <c r="G5902" s="2" t="s">
        <v>17</v>
      </c>
    </row>
    <row r="5903" spans="1:7" x14ac:dyDescent="0.2">
      <c r="A5903" s="2" t="s">
        <v>7387</v>
      </c>
      <c r="B5903" s="2" t="s">
        <v>7394</v>
      </c>
      <c r="C5903" s="2" t="s">
        <v>7393</v>
      </c>
      <c r="D5903" s="2" t="s">
        <v>10</v>
      </c>
      <c r="E5903" s="2" t="s">
        <v>16</v>
      </c>
      <c r="F5903" s="2">
        <v>1</v>
      </c>
      <c r="G5903" s="2" t="s">
        <v>17</v>
      </c>
    </row>
    <row r="5904" spans="1:7" x14ac:dyDescent="0.2">
      <c r="A5904" s="2" t="s">
        <v>7395</v>
      </c>
      <c r="B5904" s="2" t="s">
        <v>7396</v>
      </c>
      <c r="C5904" s="2" t="s">
        <v>7397</v>
      </c>
      <c r="D5904" s="2" t="s">
        <v>10</v>
      </c>
      <c r="E5904" s="2" t="s">
        <v>16</v>
      </c>
      <c r="F5904" s="2">
        <v>1</v>
      </c>
      <c r="G5904" s="2" t="s">
        <v>17</v>
      </c>
    </row>
    <row r="5905" spans="1:7" x14ac:dyDescent="0.2">
      <c r="A5905" s="2" t="s">
        <v>7395</v>
      </c>
      <c r="B5905" s="2" t="s">
        <v>7398</v>
      </c>
      <c r="C5905" s="2" t="s">
        <v>7399</v>
      </c>
      <c r="D5905" s="2" t="s">
        <v>10</v>
      </c>
      <c r="E5905" s="2" t="s">
        <v>16</v>
      </c>
      <c r="F5905" s="2">
        <v>1</v>
      </c>
      <c r="G5905" s="2" t="s">
        <v>17</v>
      </c>
    </row>
    <row r="5906" spans="1:7" x14ac:dyDescent="0.2">
      <c r="A5906" s="2" t="s">
        <v>7395</v>
      </c>
      <c r="B5906" s="2" t="s">
        <v>7400</v>
      </c>
      <c r="C5906" s="2" t="s">
        <v>7401</v>
      </c>
      <c r="D5906" s="2" t="s">
        <v>10</v>
      </c>
      <c r="E5906" s="2" t="s">
        <v>16</v>
      </c>
      <c r="F5906" s="2">
        <v>1</v>
      </c>
      <c r="G5906" s="2" t="s">
        <v>17</v>
      </c>
    </row>
    <row r="5907" spans="1:7" x14ac:dyDescent="0.2">
      <c r="A5907" s="2" t="s">
        <v>7402</v>
      </c>
      <c r="B5907" s="2" t="s">
        <v>127</v>
      </c>
      <c r="C5907" s="2" t="s">
        <v>7403</v>
      </c>
      <c r="D5907" s="2" t="s">
        <v>29</v>
      </c>
      <c r="E5907" s="2" t="s">
        <v>16</v>
      </c>
      <c r="F5907" s="2">
        <v>1</v>
      </c>
      <c r="G5907" s="2" t="s">
        <v>17</v>
      </c>
    </row>
    <row r="5908" spans="1:7" x14ac:dyDescent="0.2">
      <c r="A5908" s="2" t="s">
        <v>7402</v>
      </c>
      <c r="B5908" s="2" t="s">
        <v>7404</v>
      </c>
      <c r="C5908" s="2" t="s">
        <v>7403</v>
      </c>
      <c r="D5908" s="2" t="s">
        <v>29</v>
      </c>
      <c r="E5908" s="2" t="s">
        <v>16</v>
      </c>
      <c r="F5908" s="2">
        <v>1</v>
      </c>
      <c r="G5908" s="2" t="s">
        <v>17</v>
      </c>
    </row>
    <row r="5909" spans="1:7" x14ac:dyDescent="0.2">
      <c r="A5909" s="2" t="s">
        <v>7402</v>
      </c>
      <c r="B5909" s="2" t="s">
        <v>7405</v>
      </c>
      <c r="C5909" s="2" t="s">
        <v>7403</v>
      </c>
      <c r="D5909" s="2" t="s">
        <v>29</v>
      </c>
      <c r="E5909" s="2" t="s">
        <v>16</v>
      </c>
      <c r="F5909" s="2">
        <v>1</v>
      </c>
      <c r="G5909" s="2" t="s">
        <v>17</v>
      </c>
    </row>
    <row r="5910" spans="1:7" x14ac:dyDescent="0.2">
      <c r="A5910" s="2" t="s">
        <v>7402</v>
      </c>
      <c r="B5910" s="2" t="s">
        <v>7406</v>
      </c>
      <c r="C5910" s="2" t="s">
        <v>7403</v>
      </c>
      <c r="D5910" s="2" t="s">
        <v>29</v>
      </c>
      <c r="E5910" s="2" t="s">
        <v>16</v>
      </c>
      <c r="F5910" s="2">
        <v>1</v>
      </c>
      <c r="G5910" s="2" t="s">
        <v>17</v>
      </c>
    </row>
    <row r="5911" spans="1:7" x14ac:dyDescent="0.2">
      <c r="A5911" s="2" t="s">
        <v>7402</v>
      </c>
      <c r="B5911" s="2" t="s">
        <v>7407</v>
      </c>
      <c r="C5911" s="2" t="s">
        <v>7408</v>
      </c>
      <c r="D5911" s="2" t="s">
        <v>29</v>
      </c>
      <c r="E5911" s="2" t="s">
        <v>16</v>
      </c>
      <c r="F5911" s="2">
        <v>1</v>
      </c>
      <c r="G5911" s="2" t="s">
        <v>17</v>
      </c>
    </row>
    <row r="5912" spans="1:7" x14ac:dyDescent="0.2">
      <c r="A5912" s="2" t="s">
        <v>7402</v>
      </c>
      <c r="B5912" s="2" t="s">
        <v>7409</v>
      </c>
      <c r="C5912" s="2" t="s">
        <v>7408</v>
      </c>
      <c r="D5912" s="2" t="s">
        <v>29</v>
      </c>
      <c r="E5912" s="2" t="s">
        <v>16</v>
      </c>
      <c r="F5912" s="2">
        <v>1</v>
      </c>
      <c r="G5912" s="2" t="s">
        <v>17</v>
      </c>
    </row>
    <row r="5913" spans="1:7" x14ac:dyDescent="0.2">
      <c r="A5913" s="2" t="s">
        <v>7402</v>
      </c>
      <c r="B5913" s="2" t="s">
        <v>7410</v>
      </c>
      <c r="C5913" s="2" t="s">
        <v>7408</v>
      </c>
      <c r="D5913" s="2" t="s">
        <v>29</v>
      </c>
      <c r="E5913" s="2" t="s">
        <v>16</v>
      </c>
      <c r="F5913" s="2">
        <v>1</v>
      </c>
      <c r="G5913" s="2" t="s">
        <v>17</v>
      </c>
    </row>
    <row r="5914" spans="1:7" x14ac:dyDescent="0.2">
      <c r="A5914" s="2" t="s">
        <v>7402</v>
      </c>
      <c r="B5914" s="2" t="s">
        <v>7411</v>
      </c>
      <c r="C5914" s="2" t="s">
        <v>7408</v>
      </c>
      <c r="D5914" s="2" t="s">
        <v>29</v>
      </c>
      <c r="E5914" s="2" t="s">
        <v>16</v>
      </c>
      <c r="F5914" s="2">
        <v>1</v>
      </c>
      <c r="G5914" s="2" t="s">
        <v>17</v>
      </c>
    </row>
    <row r="5915" spans="1:7" x14ac:dyDescent="0.2">
      <c r="A5915" s="2" t="s">
        <v>7402</v>
      </c>
      <c r="B5915" s="2" t="s">
        <v>7412</v>
      </c>
      <c r="C5915" s="2" t="s">
        <v>7408</v>
      </c>
      <c r="D5915" s="2" t="s">
        <v>29</v>
      </c>
      <c r="E5915" s="2" t="s">
        <v>16</v>
      </c>
      <c r="F5915" s="2">
        <v>1</v>
      </c>
      <c r="G5915" s="2" t="s">
        <v>17</v>
      </c>
    </row>
    <row r="5916" spans="1:7" x14ac:dyDescent="0.2">
      <c r="A5916" s="2" t="s">
        <v>7402</v>
      </c>
      <c r="B5916" s="2" t="s">
        <v>7413</v>
      </c>
      <c r="C5916" s="2" t="s">
        <v>7408</v>
      </c>
      <c r="D5916" s="2" t="s">
        <v>29</v>
      </c>
      <c r="E5916" s="2" t="s">
        <v>16</v>
      </c>
      <c r="F5916" s="2">
        <v>1</v>
      </c>
      <c r="G5916" s="2" t="s">
        <v>17</v>
      </c>
    </row>
    <row r="5917" spans="1:7" x14ac:dyDescent="0.2">
      <c r="A5917" s="2" t="s">
        <v>7402</v>
      </c>
      <c r="B5917" s="2" t="s">
        <v>7414</v>
      </c>
      <c r="C5917" s="2" t="s">
        <v>7408</v>
      </c>
      <c r="D5917" s="2" t="s">
        <v>29</v>
      </c>
      <c r="E5917" s="2" t="s">
        <v>16</v>
      </c>
      <c r="F5917" s="2">
        <v>1</v>
      </c>
      <c r="G5917" s="2" t="s">
        <v>17</v>
      </c>
    </row>
    <row r="5918" spans="1:7" x14ac:dyDescent="0.2">
      <c r="A5918" s="2" t="s">
        <v>7402</v>
      </c>
      <c r="B5918" s="2" t="s">
        <v>7415</v>
      </c>
      <c r="C5918" s="2" t="s">
        <v>7408</v>
      </c>
      <c r="D5918" s="2" t="s">
        <v>29</v>
      </c>
      <c r="E5918" s="2" t="s">
        <v>16</v>
      </c>
      <c r="F5918" s="2">
        <v>1</v>
      </c>
      <c r="G5918" s="2" t="s">
        <v>17</v>
      </c>
    </row>
    <row r="5919" spans="1:7" x14ac:dyDescent="0.2">
      <c r="A5919" s="2" t="s">
        <v>7402</v>
      </c>
      <c r="B5919" s="2" t="s">
        <v>7416</v>
      </c>
      <c r="C5919" s="2" t="s">
        <v>7408</v>
      </c>
      <c r="D5919" s="2" t="s">
        <v>29</v>
      </c>
      <c r="E5919" s="2" t="s">
        <v>16</v>
      </c>
      <c r="F5919" s="2">
        <v>1</v>
      </c>
      <c r="G5919" s="2" t="s">
        <v>17</v>
      </c>
    </row>
    <row r="5920" spans="1:7" x14ac:dyDescent="0.2">
      <c r="A5920" s="2" t="s">
        <v>7402</v>
      </c>
      <c r="B5920" s="2" t="s">
        <v>7417</v>
      </c>
      <c r="C5920" s="2" t="s">
        <v>7408</v>
      </c>
      <c r="D5920" s="2" t="s">
        <v>29</v>
      </c>
      <c r="E5920" s="2" t="s">
        <v>16</v>
      </c>
      <c r="F5920" s="2">
        <v>1</v>
      </c>
      <c r="G5920" s="2" t="s">
        <v>17</v>
      </c>
    </row>
    <row r="5921" spans="1:7" x14ac:dyDescent="0.2">
      <c r="A5921" s="2" t="s">
        <v>7402</v>
      </c>
      <c r="B5921" s="2" t="s">
        <v>7418</v>
      </c>
      <c r="C5921" s="2" t="s">
        <v>7408</v>
      </c>
      <c r="D5921" s="2" t="s">
        <v>29</v>
      </c>
      <c r="E5921" s="2" t="s">
        <v>16</v>
      </c>
      <c r="F5921" s="2">
        <v>1</v>
      </c>
      <c r="G5921" s="2" t="s">
        <v>17</v>
      </c>
    </row>
    <row r="5922" spans="1:7" x14ac:dyDescent="0.2">
      <c r="A5922" s="2" t="s">
        <v>7419</v>
      </c>
      <c r="B5922" s="2" t="s">
        <v>7420</v>
      </c>
      <c r="C5922" s="2" t="s">
        <v>7421</v>
      </c>
      <c r="D5922" s="2" t="s">
        <v>10</v>
      </c>
      <c r="E5922" s="2" t="s">
        <v>16</v>
      </c>
      <c r="F5922" s="2">
        <v>1</v>
      </c>
      <c r="G5922" s="2" t="s">
        <v>17</v>
      </c>
    </row>
    <row r="5923" spans="1:7" x14ac:dyDescent="0.2">
      <c r="A5923" s="2" t="s">
        <v>7422</v>
      </c>
      <c r="B5923" s="2" t="s">
        <v>7423</v>
      </c>
      <c r="C5923" s="2" t="s">
        <v>7424</v>
      </c>
      <c r="D5923" s="2" t="s">
        <v>10</v>
      </c>
      <c r="E5923" s="2" t="s">
        <v>16</v>
      </c>
      <c r="F5923" s="2">
        <v>1</v>
      </c>
      <c r="G5923" s="2" t="s">
        <v>17</v>
      </c>
    </row>
    <row r="5924" spans="1:7" x14ac:dyDescent="0.2">
      <c r="A5924" s="2" t="s">
        <v>7422</v>
      </c>
      <c r="B5924" s="2" t="s">
        <v>7425</v>
      </c>
      <c r="C5924" s="2" t="s">
        <v>7426</v>
      </c>
      <c r="D5924" s="2" t="s">
        <v>10</v>
      </c>
      <c r="E5924" s="2" t="s">
        <v>16</v>
      </c>
      <c r="F5924" s="2">
        <v>1</v>
      </c>
      <c r="G5924" s="2" t="s">
        <v>17</v>
      </c>
    </row>
    <row r="5925" spans="1:7" x14ac:dyDescent="0.2">
      <c r="A5925" s="2" t="s">
        <v>7422</v>
      </c>
      <c r="B5925" s="2" t="s">
        <v>7427</v>
      </c>
      <c r="C5925" s="2" t="s">
        <v>7424</v>
      </c>
      <c r="D5925" s="2" t="s">
        <v>10</v>
      </c>
      <c r="E5925" s="2" t="s">
        <v>16</v>
      </c>
      <c r="F5925" s="2">
        <v>1</v>
      </c>
      <c r="G5925" s="2" t="s">
        <v>17</v>
      </c>
    </row>
    <row r="5926" spans="1:7" x14ac:dyDescent="0.2">
      <c r="A5926" s="2" t="s">
        <v>7422</v>
      </c>
      <c r="B5926" s="2" t="s">
        <v>7428</v>
      </c>
      <c r="C5926" s="2" t="s">
        <v>7426</v>
      </c>
      <c r="D5926" s="2" t="s">
        <v>10</v>
      </c>
      <c r="E5926" s="2" t="s">
        <v>16</v>
      </c>
      <c r="F5926" s="2">
        <v>1</v>
      </c>
      <c r="G5926" s="2" t="s">
        <v>17</v>
      </c>
    </row>
    <row r="5927" spans="1:7" x14ac:dyDescent="0.2">
      <c r="A5927" s="2" t="s">
        <v>7422</v>
      </c>
      <c r="B5927" s="2" t="s">
        <v>7429</v>
      </c>
      <c r="C5927" s="2" t="s">
        <v>7430</v>
      </c>
      <c r="D5927" s="2" t="s">
        <v>10</v>
      </c>
      <c r="E5927" s="2" t="s">
        <v>16</v>
      </c>
      <c r="F5927" s="2">
        <v>1</v>
      </c>
      <c r="G5927" s="2" t="s">
        <v>17</v>
      </c>
    </row>
    <row r="5928" spans="1:7" x14ac:dyDescent="0.2">
      <c r="A5928" s="2" t="s">
        <v>7422</v>
      </c>
      <c r="B5928" s="2" t="s">
        <v>7431</v>
      </c>
      <c r="C5928" s="2" t="s">
        <v>7430</v>
      </c>
      <c r="D5928" s="2" t="s">
        <v>10</v>
      </c>
      <c r="E5928" s="2" t="s">
        <v>16</v>
      </c>
      <c r="F5928" s="2">
        <v>1</v>
      </c>
      <c r="G5928" s="2" t="s">
        <v>17</v>
      </c>
    </row>
    <row r="5929" spans="1:7" x14ac:dyDescent="0.2">
      <c r="A5929" s="2" t="s">
        <v>7432</v>
      </c>
      <c r="B5929" s="2" t="s">
        <v>1244</v>
      </c>
      <c r="C5929" s="2" t="s">
        <v>7433</v>
      </c>
      <c r="D5929" s="2" t="s">
        <v>10</v>
      </c>
      <c r="E5929" s="2" t="s">
        <v>16</v>
      </c>
      <c r="F5929" s="2">
        <v>1</v>
      </c>
      <c r="G5929" s="2" t="s">
        <v>17</v>
      </c>
    </row>
    <row r="5930" spans="1:7" x14ac:dyDescent="0.2">
      <c r="A5930" s="2" t="s">
        <v>7434</v>
      </c>
      <c r="B5930" s="2" t="s">
        <v>7435</v>
      </c>
      <c r="C5930" s="2" t="s">
        <v>3797</v>
      </c>
      <c r="D5930" s="2" t="s">
        <v>10</v>
      </c>
      <c r="E5930" s="2" t="s">
        <v>16</v>
      </c>
      <c r="F5930" s="2">
        <v>1</v>
      </c>
      <c r="G5930" s="2" t="s">
        <v>17</v>
      </c>
    </row>
    <row r="5931" spans="1:7" x14ac:dyDescent="0.2">
      <c r="A5931" s="2" t="s">
        <v>7434</v>
      </c>
      <c r="B5931" s="2" t="s">
        <v>4099</v>
      </c>
      <c r="C5931" s="2" t="s">
        <v>3797</v>
      </c>
      <c r="D5931" s="2" t="s">
        <v>10</v>
      </c>
      <c r="E5931" s="2" t="s">
        <v>16</v>
      </c>
      <c r="F5931" s="2">
        <v>1</v>
      </c>
      <c r="G5931" s="2" t="s">
        <v>17</v>
      </c>
    </row>
    <row r="5932" spans="1:7" x14ac:dyDescent="0.2">
      <c r="A5932" s="2" t="s">
        <v>7434</v>
      </c>
      <c r="B5932" s="2" t="s">
        <v>4100</v>
      </c>
      <c r="C5932" s="2" t="s">
        <v>3719</v>
      </c>
      <c r="D5932" s="2" t="s">
        <v>10</v>
      </c>
      <c r="E5932" s="2" t="s">
        <v>16</v>
      </c>
      <c r="F5932" s="2">
        <v>1</v>
      </c>
      <c r="G5932" s="2" t="s">
        <v>17</v>
      </c>
    </row>
    <row r="5933" spans="1:7" x14ac:dyDescent="0.2">
      <c r="A5933" s="2" t="s">
        <v>7434</v>
      </c>
      <c r="B5933" s="2" t="s">
        <v>7436</v>
      </c>
      <c r="C5933" s="2" t="s">
        <v>7437</v>
      </c>
      <c r="D5933" s="2" t="s">
        <v>10</v>
      </c>
      <c r="E5933" s="2" t="s">
        <v>16</v>
      </c>
      <c r="F5933" s="2">
        <v>1</v>
      </c>
      <c r="G5933" s="2" t="s">
        <v>17</v>
      </c>
    </row>
    <row r="5934" spans="1:7" x14ac:dyDescent="0.2">
      <c r="A5934" s="2" t="s">
        <v>7434</v>
      </c>
      <c r="B5934" s="2" t="s">
        <v>7438</v>
      </c>
      <c r="C5934" s="2" t="s">
        <v>7439</v>
      </c>
      <c r="D5934" s="2" t="s">
        <v>10</v>
      </c>
      <c r="E5934" s="2" t="s">
        <v>16</v>
      </c>
      <c r="F5934" s="2">
        <v>1</v>
      </c>
      <c r="G5934" s="2" t="s">
        <v>17</v>
      </c>
    </row>
    <row r="5935" spans="1:7" x14ac:dyDescent="0.2">
      <c r="A5935" s="2" t="s">
        <v>7434</v>
      </c>
      <c r="B5935" s="2" t="s">
        <v>7440</v>
      </c>
      <c r="C5935" s="2" t="s">
        <v>7439</v>
      </c>
      <c r="D5935" s="2" t="s">
        <v>10</v>
      </c>
      <c r="E5935" s="2" t="s">
        <v>16</v>
      </c>
      <c r="F5935" s="2">
        <v>1</v>
      </c>
      <c r="G5935" s="2" t="s">
        <v>17</v>
      </c>
    </row>
    <row r="5936" spans="1:7" x14ac:dyDescent="0.2">
      <c r="A5936" s="2" t="s">
        <v>7434</v>
      </c>
      <c r="B5936" s="2" t="s">
        <v>7441</v>
      </c>
      <c r="C5936" s="2" t="s">
        <v>7439</v>
      </c>
      <c r="D5936" s="2" t="s">
        <v>10</v>
      </c>
      <c r="E5936" s="2" t="s">
        <v>16</v>
      </c>
      <c r="F5936" s="2">
        <v>1</v>
      </c>
      <c r="G5936" s="2" t="s">
        <v>17</v>
      </c>
    </row>
    <row r="5937" spans="1:7" x14ac:dyDescent="0.2">
      <c r="A5937" s="2" t="s">
        <v>7434</v>
      </c>
      <c r="B5937" s="2" t="s">
        <v>7442</v>
      </c>
      <c r="C5937" s="2" t="s">
        <v>7439</v>
      </c>
      <c r="D5937" s="2" t="s">
        <v>10</v>
      </c>
      <c r="E5937" s="2" t="s">
        <v>16</v>
      </c>
      <c r="F5937" s="2">
        <v>1</v>
      </c>
      <c r="G5937" s="2" t="s">
        <v>17</v>
      </c>
    </row>
    <row r="5938" spans="1:7" x14ac:dyDescent="0.2">
      <c r="A5938" s="2" t="s">
        <v>7434</v>
      </c>
      <c r="B5938" s="2" t="s">
        <v>7443</v>
      </c>
      <c r="C5938" s="2" t="s">
        <v>7444</v>
      </c>
      <c r="D5938" s="2" t="s">
        <v>10</v>
      </c>
      <c r="E5938" s="2" t="s">
        <v>16</v>
      </c>
      <c r="F5938" s="2">
        <v>1</v>
      </c>
      <c r="G5938" s="2" t="s">
        <v>17</v>
      </c>
    </row>
    <row r="5939" spans="1:7" x14ac:dyDescent="0.2">
      <c r="A5939" s="2" t="s">
        <v>7434</v>
      </c>
      <c r="B5939" s="2" t="s">
        <v>7445</v>
      </c>
      <c r="C5939" s="2" t="s">
        <v>7446</v>
      </c>
      <c r="D5939" s="2" t="s">
        <v>10</v>
      </c>
      <c r="E5939" s="2" t="s">
        <v>52</v>
      </c>
      <c r="F5939" s="2">
        <v>1</v>
      </c>
      <c r="G5939" s="2" t="s">
        <v>17</v>
      </c>
    </row>
    <row r="5940" spans="1:7" x14ac:dyDescent="0.2">
      <c r="A5940" s="2" t="s">
        <v>7434</v>
      </c>
      <c r="B5940" s="2" t="s">
        <v>7447</v>
      </c>
      <c r="C5940" s="2" t="s">
        <v>7444</v>
      </c>
      <c r="D5940" s="2" t="s">
        <v>10</v>
      </c>
      <c r="E5940" s="2" t="s">
        <v>16</v>
      </c>
      <c r="F5940" s="2">
        <v>1</v>
      </c>
      <c r="G5940" s="2" t="s">
        <v>17</v>
      </c>
    </row>
    <row r="5941" spans="1:7" x14ac:dyDescent="0.2">
      <c r="A5941" s="2" t="s">
        <v>7434</v>
      </c>
      <c r="B5941" s="2" t="s">
        <v>7448</v>
      </c>
      <c r="C5941" s="2" t="s">
        <v>3797</v>
      </c>
      <c r="D5941" s="2" t="s">
        <v>10</v>
      </c>
      <c r="E5941" s="2" t="s">
        <v>16</v>
      </c>
      <c r="F5941" s="2">
        <v>1</v>
      </c>
      <c r="G5941" s="2" t="s">
        <v>17</v>
      </c>
    </row>
    <row r="5942" spans="1:7" x14ac:dyDescent="0.2">
      <c r="A5942" s="2" t="s">
        <v>7434</v>
      </c>
      <c r="B5942" s="2" t="s">
        <v>4101</v>
      </c>
      <c r="C5942" s="2" t="s">
        <v>3719</v>
      </c>
      <c r="D5942" s="2" t="s">
        <v>10</v>
      </c>
      <c r="E5942" s="2" t="s">
        <v>16</v>
      </c>
      <c r="F5942" s="2">
        <v>1</v>
      </c>
      <c r="G5942" s="2" t="s">
        <v>17</v>
      </c>
    </row>
    <row r="5943" spans="1:7" x14ac:dyDescent="0.2">
      <c r="A5943" s="2" t="s">
        <v>7434</v>
      </c>
      <c r="B5943" s="2" t="s">
        <v>4102</v>
      </c>
      <c r="C5943" s="2" t="s">
        <v>3797</v>
      </c>
      <c r="D5943" s="2" t="s">
        <v>10</v>
      </c>
      <c r="E5943" s="2" t="s">
        <v>16</v>
      </c>
      <c r="F5943" s="2">
        <v>1</v>
      </c>
      <c r="G5943" s="2" t="s">
        <v>17</v>
      </c>
    </row>
    <row r="5944" spans="1:7" x14ac:dyDescent="0.2">
      <c r="A5944" s="2" t="s">
        <v>7434</v>
      </c>
      <c r="B5944" s="2" t="s">
        <v>7449</v>
      </c>
      <c r="C5944" s="2" t="s">
        <v>7450</v>
      </c>
      <c r="D5944" s="2" t="s">
        <v>10</v>
      </c>
      <c r="E5944" s="2" t="s">
        <v>52</v>
      </c>
      <c r="F5944" s="2">
        <v>1</v>
      </c>
      <c r="G5944" s="2" t="s">
        <v>17</v>
      </c>
    </row>
    <row r="5945" spans="1:7" x14ac:dyDescent="0.2">
      <c r="A5945" s="2" t="s">
        <v>7434</v>
      </c>
      <c r="B5945" s="2" t="s">
        <v>7451</v>
      </c>
      <c r="C5945" s="2" t="s">
        <v>7452</v>
      </c>
      <c r="D5945" s="2" t="s">
        <v>10</v>
      </c>
      <c r="E5945" s="2" t="s">
        <v>16</v>
      </c>
      <c r="F5945" s="2">
        <v>1</v>
      </c>
      <c r="G5945" s="2" t="s">
        <v>17</v>
      </c>
    </row>
    <row r="5946" spans="1:7" x14ac:dyDescent="0.2">
      <c r="A5946" s="2" t="s">
        <v>7434</v>
      </c>
      <c r="B5946" s="2" t="s">
        <v>4001</v>
      </c>
      <c r="C5946" s="2" t="s">
        <v>4002</v>
      </c>
      <c r="D5946" s="2" t="s">
        <v>10</v>
      </c>
      <c r="E5946" s="2" t="s">
        <v>16</v>
      </c>
      <c r="F5946" s="2">
        <v>1</v>
      </c>
      <c r="G5946" s="2" t="s">
        <v>17</v>
      </c>
    </row>
    <row r="5947" spans="1:7" x14ac:dyDescent="0.2">
      <c r="A5947" s="2" t="s">
        <v>7434</v>
      </c>
      <c r="B5947" s="2" t="s">
        <v>4003</v>
      </c>
      <c r="C5947" s="2" t="s">
        <v>4002</v>
      </c>
      <c r="D5947" s="2" t="s">
        <v>10</v>
      </c>
      <c r="E5947" s="2" t="s">
        <v>16</v>
      </c>
      <c r="F5947" s="2">
        <v>1</v>
      </c>
      <c r="G5947" s="2" t="s">
        <v>17</v>
      </c>
    </row>
    <row r="5948" spans="1:7" x14ac:dyDescent="0.2">
      <c r="A5948" s="2" t="s">
        <v>7434</v>
      </c>
      <c r="B5948" s="2" t="s">
        <v>4004</v>
      </c>
      <c r="C5948" s="2" t="s">
        <v>4002</v>
      </c>
      <c r="D5948" s="2" t="s">
        <v>10</v>
      </c>
      <c r="E5948" s="2" t="s">
        <v>16</v>
      </c>
      <c r="F5948" s="2">
        <v>1</v>
      </c>
      <c r="G5948" s="2" t="s">
        <v>17</v>
      </c>
    </row>
    <row r="5949" spans="1:7" x14ac:dyDescent="0.2">
      <c r="A5949" s="2" t="s">
        <v>7434</v>
      </c>
      <c r="B5949" s="2" t="s">
        <v>7453</v>
      </c>
      <c r="C5949" s="2" t="s">
        <v>7454</v>
      </c>
      <c r="D5949" s="2" t="s">
        <v>10</v>
      </c>
      <c r="E5949" s="2" t="s">
        <v>16</v>
      </c>
      <c r="F5949" s="2">
        <v>1</v>
      </c>
      <c r="G5949" s="2" t="s">
        <v>17</v>
      </c>
    </row>
    <row r="5950" spans="1:7" x14ac:dyDescent="0.2">
      <c r="A5950" s="2" t="s">
        <v>7434</v>
      </c>
      <c r="B5950" s="2" t="s">
        <v>7455</v>
      </c>
      <c r="C5950" s="2" t="s">
        <v>7456</v>
      </c>
      <c r="D5950" s="2" t="s">
        <v>10</v>
      </c>
      <c r="E5950" s="2" t="s">
        <v>52</v>
      </c>
      <c r="F5950" s="2">
        <v>1</v>
      </c>
      <c r="G5950" s="2" t="s">
        <v>17</v>
      </c>
    </row>
    <row r="5951" spans="1:7" x14ac:dyDescent="0.2">
      <c r="A5951" s="2" t="s">
        <v>7434</v>
      </c>
      <c r="B5951" s="2" t="s">
        <v>7457</v>
      </c>
      <c r="C5951" s="2" t="s">
        <v>7458</v>
      </c>
      <c r="D5951" s="2" t="s">
        <v>10</v>
      </c>
      <c r="E5951" s="2" t="s">
        <v>16</v>
      </c>
      <c r="F5951" s="2">
        <v>1</v>
      </c>
      <c r="G5951" s="2" t="s">
        <v>17</v>
      </c>
    </row>
    <row r="5952" spans="1:7" x14ac:dyDescent="0.2">
      <c r="A5952" s="2" t="s">
        <v>7434</v>
      </c>
      <c r="B5952" s="2" t="s">
        <v>7459</v>
      </c>
      <c r="C5952" s="2" t="s">
        <v>7460</v>
      </c>
      <c r="D5952" s="2" t="s">
        <v>10</v>
      </c>
      <c r="E5952" s="2" t="s">
        <v>16</v>
      </c>
      <c r="F5952" s="2">
        <v>1</v>
      </c>
      <c r="G5952" s="2" t="s">
        <v>17</v>
      </c>
    </row>
    <row r="5953" spans="1:7" x14ac:dyDescent="0.2">
      <c r="A5953" s="2" t="s">
        <v>7434</v>
      </c>
      <c r="B5953" s="2" t="s">
        <v>7461</v>
      </c>
      <c r="C5953" s="2" t="s">
        <v>7462</v>
      </c>
      <c r="D5953" s="2" t="s">
        <v>10</v>
      </c>
      <c r="E5953" s="2" t="s">
        <v>16</v>
      </c>
      <c r="F5953" s="2">
        <v>1</v>
      </c>
      <c r="G5953" s="2" t="s">
        <v>17</v>
      </c>
    </row>
    <row r="5954" spans="1:7" x14ac:dyDescent="0.2">
      <c r="A5954" s="2" t="s">
        <v>7463</v>
      </c>
      <c r="B5954" s="2" t="s">
        <v>7464</v>
      </c>
      <c r="C5954" s="2" t="s">
        <v>4957</v>
      </c>
      <c r="D5954" s="2" t="s">
        <v>10</v>
      </c>
      <c r="E5954" s="2" t="s">
        <v>16</v>
      </c>
      <c r="F5954" s="2">
        <v>1</v>
      </c>
      <c r="G5954" s="2" t="s">
        <v>17</v>
      </c>
    </row>
    <row r="5955" spans="1:7" x14ac:dyDescent="0.2">
      <c r="A5955" s="2" t="s">
        <v>7463</v>
      </c>
      <c r="B5955" s="2" t="s">
        <v>4272</v>
      </c>
      <c r="C5955" s="2" t="s">
        <v>4957</v>
      </c>
      <c r="D5955" s="2" t="s">
        <v>10</v>
      </c>
      <c r="E5955" s="2" t="s">
        <v>16</v>
      </c>
      <c r="F5955" s="2">
        <v>1</v>
      </c>
      <c r="G5955" s="2" t="s">
        <v>17</v>
      </c>
    </row>
    <row r="5956" spans="1:7" x14ac:dyDescent="0.2">
      <c r="A5956" s="2" t="s">
        <v>7465</v>
      </c>
      <c r="B5956" s="2" t="s">
        <v>7466</v>
      </c>
      <c r="C5956" s="2" t="s">
        <v>7467</v>
      </c>
      <c r="D5956" s="2" t="s">
        <v>10</v>
      </c>
      <c r="E5956" s="2" t="s">
        <v>1080</v>
      </c>
      <c r="F5956" s="2">
        <v>1</v>
      </c>
      <c r="G5956" s="2" t="s">
        <v>17</v>
      </c>
    </row>
    <row r="5957" spans="1:7" x14ac:dyDescent="0.2">
      <c r="A5957" s="2" t="s">
        <v>7465</v>
      </c>
      <c r="B5957" s="2" t="s">
        <v>7468</v>
      </c>
      <c r="C5957" s="2" t="s">
        <v>7469</v>
      </c>
      <c r="D5957" s="2" t="s">
        <v>10</v>
      </c>
      <c r="E5957" s="2" t="s">
        <v>1080</v>
      </c>
      <c r="F5957" s="2">
        <v>1</v>
      </c>
      <c r="G5957" s="2" t="s">
        <v>17</v>
      </c>
    </row>
    <row r="5958" spans="1:7" x14ac:dyDescent="0.2">
      <c r="A5958" s="2" t="s">
        <v>7465</v>
      </c>
      <c r="B5958" s="2" t="s">
        <v>7470</v>
      </c>
      <c r="C5958" s="2" t="s">
        <v>7469</v>
      </c>
      <c r="D5958" s="2" t="s">
        <v>10</v>
      </c>
      <c r="E5958" s="2" t="s">
        <v>1080</v>
      </c>
      <c r="F5958" s="2">
        <v>1</v>
      </c>
      <c r="G5958" s="2" t="s">
        <v>17</v>
      </c>
    </row>
    <row r="5959" spans="1:7" x14ac:dyDescent="0.2">
      <c r="A5959" s="2" t="s">
        <v>7465</v>
      </c>
      <c r="B5959" s="2" t="s">
        <v>7471</v>
      </c>
      <c r="C5959" s="2" t="s">
        <v>7467</v>
      </c>
      <c r="D5959" s="2" t="s">
        <v>10</v>
      </c>
      <c r="E5959" s="2" t="s">
        <v>1080</v>
      </c>
      <c r="F5959" s="2">
        <v>1</v>
      </c>
      <c r="G5959" s="2" t="s">
        <v>17</v>
      </c>
    </row>
    <row r="5960" spans="1:7" x14ac:dyDescent="0.2">
      <c r="A5960" s="2" t="s">
        <v>7472</v>
      </c>
      <c r="B5960" s="2" t="s">
        <v>7473</v>
      </c>
      <c r="C5960" s="2" t="s">
        <v>7408</v>
      </c>
      <c r="D5960" s="2" t="s">
        <v>29</v>
      </c>
      <c r="E5960" s="2" t="s">
        <v>16</v>
      </c>
      <c r="F5960" s="2">
        <v>1</v>
      </c>
      <c r="G5960" s="2" t="s">
        <v>17</v>
      </c>
    </row>
    <row r="5961" spans="1:7" x14ac:dyDescent="0.2">
      <c r="A5961" s="2" t="s">
        <v>7472</v>
      </c>
      <c r="B5961" s="2" t="s">
        <v>7409</v>
      </c>
      <c r="C5961" s="2" t="s">
        <v>7408</v>
      </c>
      <c r="D5961" s="2" t="s">
        <v>29</v>
      </c>
      <c r="E5961" s="2" t="s">
        <v>16</v>
      </c>
      <c r="F5961" s="2">
        <v>1</v>
      </c>
      <c r="G5961" s="2" t="s">
        <v>17</v>
      </c>
    </row>
    <row r="5962" spans="1:7" x14ac:dyDescent="0.2">
      <c r="A5962" s="2" t="s">
        <v>7472</v>
      </c>
      <c r="B5962" s="2" t="s">
        <v>7410</v>
      </c>
      <c r="C5962" s="2" t="s">
        <v>7408</v>
      </c>
      <c r="D5962" s="2" t="s">
        <v>29</v>
      </c>
      <c r="E5962" s="2" t="s">
        <v>16</v>
      </c>
      <c r="F5962" s="2">
        <v>1</v>
      </c>
      <c r="G5962" s="2" t="s">
        <v>17</v>
      </c>
    </row>
    <row r="5963" spans="1:7" x14ac:dyDescent="0.2">
      <c r="A5963" s="2" t="s">
        <v>7472</v>
      </c>
      <c r="B5963" s="2" t="s">
        <v>7474</v>
      </c>
      <c r="C5963" s="2" t="s">
        <v>7408</v>
      </c>
      <c r="D5963" s="2" t="s">
        <v>29</v>
      </c>
      <c r="E5963" s="2" t="s">
        <v>16</v>
      </c>
      <c r="F5963" s="2">
        <v>1</v>
      </c>
      <c r="G5963" s="2" t="s">
        <v>17</v>
      </c>
    </row>
    <row r="5964" spans="1:7" x14ac:dyDescent="0.2">
      <c r="A5964" s="2" t="s">
        <v>7472</v>
      </c>
      <c r="B5964" s="2" t="s">
        <v>7415</v>
      </c>
      <c r="C5964" s="2" t="s">
        <v>7408</v>
      </c>
      <c r="D5964" s="2" t="s">
        <v>29</v>
      </c>
      <c r="E5964" s="2" t="s">
        <v>16</v>
      </c>
      <c r="F5964" s="2">
        <v>1</v>
      </c>
      <c r="G5964" s="2" t="s">
        <v>17</v>
      </c>
    </row>
    <row r="5965" spans="1:7" x14ac:dyDescent="0.2">
      <c r="A5965" s="2" t="s">
        <v>7472</v>
      </c>
      <c r="B5965" s="2" t="s">
        <v>7416</v>
      </c>
      <c r="C5965" s="2" t="s">
        <v>7408</v>
      </c>
      <c r="D5965" s="2" t="s">
        <v>29</v>
      </c>
      <c r="E5965" s="2" t="s">
        <v>16</v>
      </c>
      <c r="F5965" s="2">
        <v>1</v>
      </c>
      <c r="G5965" s="2" t="s">
        <v>17</v>
      </c>
    </row>
    <row r="5966" spans="1:7" x14ac:dyDescent="0.2">
      <c r="A5966" s="2" t="s">
        <v>7472</v>
      </c>
      <c r="B5966" s="2" t="s">
        <v>7475</v>
      </c>
      <c r="C5966" s="2" t="s">
        <v>7476</v>
      </c>
      <c r="D5966" s="2" t="s">
        <v>10</v>
      </c>
      <c r="E5966" s="2" t="s">
        <v>16</v>
      </c>
      <c r="F5966" s="2">
        <v>1</v>
      </c>
      <c r="G5966" s="2" t="s">
        <v>17</v>
      </c>
    </row>
    <row r="5967" spans="1:7" x14ac:dyDescent="0.2">
      <c r="A5967" s="2" t="s">
        <v>7477</v>
      </c>
      <c r="B5967" s="2" t="s">
        <v>7478</v>
      </c>
      <c r="C5967" s="2" t="s">
        <v>7479</v>
      </c>
      <c r="D5967" s="2" t="s">
        <v>10</v>
      </c>
      <c r="E5967" s="2" t="s">
        <v>16</v>
      </c>
      <c r="F5967" s="2">
        <v>1</v>
      </c>
      <c r="G5967" s="2" t="s">
        <v>17</v>
      </c>
    </row>
    <row r="5968" spans="1:7" x14ac:dyDescent="0.2">
      <c r="A5968" s="2" t="s">
        <v>7480</v>
      </c>
      <c r="B5968" s="2" t="s">
        <v>7481</v>
      </c>
      <c r="C5968" s="2" t="s">
        <v>7482</v>
      </c>
      <c r="D5968" s="2" t="s">
        <v>10</v>
      </c>
      <c r="E5968" s="2" t="s">
        <v>16</v>
      </c>
      <c r="F5968" s="2">
        <v>1</v>
      </c>
      <c r="G5968" s="2" t="s">
        <v>17</v>
      </c>
    </row>
    <row r="5969" spans="1:7" x14ac:dyDescent="0.2">
      <c r="A5969" s="2" t="s">
        <v>7480</v>
      </c>
      <c r="B5969" s="2" t="s">
        <v>7483</v>
      </c>
      <c r="C5969" s="2" t="s">
        <v>7482</v>
      </c>
      <c r="D5969" s="2" t="s">
        <v>10</v>
      </c>
      <c r="E5969" s="2" t="s">
        <v>16</v>
      </c>
      <c r="F5969" s="2">
        <v>1</v>
      </c>
      <c r="G5969" s="2" t="s">
        <v>17</v>
      </c>
    </row>
    <row r="5970" spans="1:7" x14ac:dyDescent="0.2">
      <c r="A5970" s="2" t="s">
        <v>7484</v>
      </c>
      <c r="B5970" s="2" t="s">
        <v>435</v>
      </c>
      <c r="C5970" s="2" t="s">
        <v>436</v>
      </c>
      <c r="D5970" s="2" t="s">
        <v>10</v>
      </c>
      <c r="E5970" s="2" t="s">
        <v>16</v>
      </c>
      <c r="F5970" s="2">
        <v>1</v>
      </c>
      <c r="G5970" s="2" t="s">
        <v>17</v>
      </c>
    </row>
    <row r="5971" spans="1:7" x14ac:dyDescent="0.2">
      <c r="A5971" s="2" t="s">
        <v>7484</v>
      </c>
      <c r="B5971" s="2" t="s">
        <v>437</v>
      </c>
      <c r="C5971" s="2" t="s">
        <v>436</v>
      </c>
      <c r="D5971" s="2" t="s">
        <v>10</v>
      </c>
      <c r="E5971" s="2" t="s">
        <v>16</v>
      </c>
      <c r="F5971" s="2">
        <v>1</v>
      </c>
      <c r="G5971" s="2" t="s">
        <v>17</v>
      </c>
    </row>
    <row r="5972" spans="1:7" x14ac:dyDescent="0.2">
      <c r="A5972" s="2" t="s">
        <v>7485</v>
      </c>
      <c r="B5972" s="2" t="s">
        <v>7486</v>
      </c>
      <c r="C5972" s="2" t="s">
        <v>3956</v>
      </c>
      <c r="D5972" s="2" t="s">
        <v>10</v>
      </c>
      <c r="E5972" s="2" t="s">
        <v>16</v>
      </c>
      <c r="F5972" s="2">
        <v>1</v>
      </c>
      <c r="G5972" s="2" t="s">
        <v>17</v>
      </c>
    </row>
    <row r="5973" spans="1:7" x14ac:dyDescent="0.2">
      <c r="A5973" s="2" t="s">
        <v>7485</v>
      </c>
      <c r="B5973" s="2" t="s">
        <v>7487</v>
      </c>
      <c r="C5973" s="2" t="s">
        <v>3956</v>
      </c>
      <c r="D5973" s="2" t="s">
        <v>10</v>
      </c>
      <c r="E5973" s="2" t="s">
        <v>16</v>
      </c>
      <c r="F5973" s="2">
        <v>1</v>
      </c>
      <c r="G5973" s="2" t="s">
        <v>17</v>
      </c>
    </row>
    <row r="5974" spans="1:7" x14ac:dyDescent="0.2">
      <c r="A5974" s="2" t="s">
        <v>7485</v>
      </c>
      <c r="B5974" s="2" t="s">
        <v>7488</v>
      </c>
      <c r="C5974" s="2" t="s">
        <v>7489</v>
      </c>
      <c r="D5974" s="2" t="s">
        <v>10</v>
      </c>
      <c r="E5974" s="2" t="s">
        <v>16</v>
      </c>
      <c r="F5974" s="2">
        <v>1</v>
      </c>
      <c r="G5974" s="2" t="s">
        <v>17</v>
      </c>
    </row>
    <row r="5975" spans="1:7" x14ac:dyDescent="0.2">
      <c r="A5975" s="2" t="s">
        <v>7485</v>
      </c>
      <c r="B5975" s="2" t="s">
        <v>7490</v>
      </c>
      <c r="C5975" s="2" t="s">
        <v>7489</v>
      </c>
      <c r="D5975" s="2" t="s">
        <v>10</v>
      </c>
      <c r="E5975" s="2" t="s">
        <v>16</v>
      </c>
      <c r="F5975" s="2">
        <v>1</v>
      </c>
      <c r="G5975" s="2" t="s">
        <v>17</v>
      </c>
    </row>
    <row r="5976" spans="1:7" x14ac:dyDescent="0.2">
      <c r="A5976" s="2" t="s">
        <v>7485</v>
      </c>
      <c r="B5976" s="2" t="s">
        <v>173</v>
      </c>
      <c r="C5976" s="2" t="s">
        <v>7489</v>
      </c>
      <c r="D5976" s="2" t="s">
        <v>10</v>
      </c>
      <c r="E5976" s="2" t="s">
        <v>16</v>
      </c>
      <c r="F5976" s="2">
        <v>1</v>
      </c>
      <c r="G5976" s="2" t="s">
        <v>17</v>
      </c>
    </row>
    <row r="5977" spans="1:7" x14ac:dyDescent="0.2">
      <c r="A5977" s="2" t="s">
        <v>7485</v>
      </c>
      <c r="B5977" s="2" t="s">
        <v>7491</v>
      </c>
      <c r="C5977" s="2" t="s">
        <v>7489</v>
      </c>
      <c r="D5977" s="2" t="s">
        <v>10</v>
      </c>
      <c r="E5977" s="2" t="s">
        <v>16</v>
      </c>
      <c r="F5977" s="2">
        <v>1</v>
      </c>
      <c r="G5977" s="2" t="s">
        <v>17</v>
      </c>
    </row>
    <row r="5978" spans="1:7" x14ac:dyDescent="0.2">
      <c r="A5978" s="2" t="s">
        <v>7492</v>
      </c>
      <c r="B5978" s="2" t="s">
        <v>7493</v>
      </c>
      <c r="C5978" s="2" t="s">
        <v>6646</v>
      </c>
      <c r="D5978" s="2" t="s">
        <v>10</v>
      </c>
      <c r="E5978" s="2" t="s">
        <v>16</v>
      </c>
      <c r="F5978" s="2">
        <v>2</v>
      </c>
      <c r="G5978" s="2" t="s">
        <v>12</v>
      </c>
    </row>
    <row r="5979" spans="1:7" x14ac:dyDescent="0.2">
      <c r="A5979" s="2" t="s">
        <v>7494</v>
      </c>
      <c r="B5979" s="2">
        <v>23</v>
      </c>
      <c r="C5979" s="2" t="s">
        <v>7495</v>
      </c>
      <c r="D5979" s="2" t="s">
        <v>10</v>
      </c>
      <c r="E5979" s="2" t="s">
        <v>11</v>
      </c>
      <c r="F5979" s="2">
        <v>2</v>
      </c>
      <c r="G5979" s="2" t="s">
        <v>17</v>
      </c>
    </row>
    <row r="5980" spans="1:7" x14ac:dyDescent="0.2">
      <c r="A5980" s="2" t="s">
        <v>7494</v>
      </c>
      <c r="B5980" s="2">
        <v>24</v>
      </c>
      <c r="C5980" s="2" t="s">
        <v>5834</v>
      </c>
      <c r="D5980" s="2" t="s">
        <v>10</v>
      </c>
      <c r="E5980" s="2" t="s">
        <v>11</v>
      </c>
      <c r="F5980" s="2">
        <v>2</v>
      </c>
      <c r="G5980" s="2" t="s">
        <v>17</v>
      </c>
    </row>
    <row r="5981" spans="1:7" x14ac:dyDescent="0.2">
      <c r="A5981" s="2" t="s">
        <v>7494</v>
      </c>
      <c r="B5981" s="2">
        <v>25</v>
      </c>
      <c r="C5981" s="2" t="s">
        <v>5835</v>
      </c>
      <c r="D5981" s="2" t="s">
        <v>10</v>
      </c>
      <c r="E5981" s="2" t="s">
        <v>11</v>
      </c>
      <c r="F5981" s="2">
        <v>2</v>
      </c>
      <c r="G5981" s="2" t="s">
        <v>17</v>
      </c>
    </row>
    <row r="5982" spans="1:7" x14ac:dyDescent="0.2">
      <c r="A5982" s="2" t="s">
        <v>7496</v>
      </c>
      <c r="B5982" s="2">
        <v>31</v>
      </c>
      <c r="C5982" s="2" t="s">
        <v>5837</v>
      </c>
      <c r="D5982" s="2" t="s">
        <v>10</v>
      </c>
      <c r="E5982" s="2" t="s">
        <v>11</v>
      </c>
      <c r="F5982" s="2">
        <v>2</v>
      </c>
      <c r="G5982" s="2" t="s">
        <v>12</v>
      </c>
    </row>
    <row r="5983" spans="1:7" x14ac:dyDescent="0.2">
      <c r="A5983" s="2" t="s">
        <v>7496</v>
      </c>
      <c r="B5983" s="2">
        <v>35</v>
      </c>
      <c r="C5983" s="2" t="s">
        <v>5838</v>
      </c>
      <c r="D5983" s="2" t="s">
        <v>10</v>
      </c>
      <c r="E5983" s="2" t="s">
        <v>11</v>
      </c>
      <c r="F5983" s="2">
        <v>2</v>
      </c>
      <c r="G5983" s="2" t="s">
        <v>12</v>
      </c>
    </row>
    <row r="5984" spans="1:7" x14ac:dyDescent="0.2">
      <c r="A5984" s="2" t="s">
        <v>7496</v>
      </c>
      <c r="B5984" s="2">
        <v>36</v>
      </c>
      <c r="C5984" s="2" t="s">
        <v>5838</v>
      </c>
      <c r="D5984" s="2" t="s">
        <v>10</v>
      </c>
      <c r="E5984" s="2" t="s">
        <v>11</v>
      </c>
      <c r="F5984" s="2">
        <v>2</v>
      </c>
      <c r="G5984" s="2" t="s">
        <v>12</v>
      </c>
    </row>
    <row r="5985" spans="1:7" x14ac:dyDescent="0.2">
      <c r="A5985" s="2" t="s">
        <v>7496</v>
      </c>
      <c r="B5985" s="2">
        <v>40</v>
      </c>
      <c r="C5985" s="2" t="s">
        <v>7497</v>
      </c>
      <c r="D5985" s="2" t="s">
        <v>10</v>
      </c>
      <c r="E5985" s="2" t="s">
        <v>11</v>
      </c>
      <c r="F5985" s="2">
        <v>2</v>
      </c>
      <c r="G5985" s="2" t="s">
        <v>12</v>
      </c>
    </row>
    <row r="5986" spans="1:7" x14ac:dyDescent="0.2">
      <c r="A5986" s="2" t="s">
        <v>7496</v>
      </c>
      <c r="B5986" s="2">
        <v>45</v>
      </c>
      <c r="C5986" s="2" t="s">
        <v>7498</v>
      </c>
      <c r="D5986" s="2" t="s">
        <v>10</v>
      </c>
      <c r="E5986" s="2" t="s">
        <v>11</v>
      </c>
      <c r="F5986" s="2">
        <v>2</v>
      </c>
      <c r="G5986" s="2" t="s">
        <v>12</v>
      </c>
    </row>
    <row r="5987" spans="1:7" x14ac:dyDescent="0.2">
      <c r="A5987" s="2" t="s">
        <v>7496</v>
      </c>
      <c r="B5987" s="2">
        <v>55</v>
      </c>
      <c r="C5987" s="2" t="s">
        <v>5839</v>
      </c>
      <c r="D5987" s="2" t="s">
        <v>10</v>
      </c>
      <c r="E5987" s="2" t="s">
        <v>11</v>
      </c>
      <c r="F5987" s="2">
        <v>2</v>
      </c>
      <c r="G5987" s="2" t="s">
        <v>12</v>
      </c>
    </row>
    <row r="5988" spans="1:7" x14ac:dyDescent="0.2">
      <c r="A5988" s="2" t="s">
        <v>7496</v>
      </c>
      <c r="B5988" s="2">
        <v>60</v>
      </c>
      <c r="C5988" s="2" t="s">
        <v>7499</v>
      </c>
      <c r="D5988" s="2" t="s">
        <v>10</v>
      </c>
      <c r="E5988" s="2" t="s">
        <v>11</v>
      </c>
      <c r="F5988" s="2">
        <v>2</v>
      </c>
      <c r="G5988" s="2" t="s">
        <v>12</v>
      </c>
    </row>
    <row r="5989" spans="1:7" x14ac:dyDescent="0.2">
      <c r="A5989" s="2" t="s">
        <v>7496</v>
      </c>
      <c r="B5989" s="2" t="s">
        <v>5840</v>
      </c>
      <c r="C5989" s="2" t="s">
        <v>5838</v>
      </c>
      <c r="D5989" s="2" t="s">
        <v>10</v>
      </c>
      <c r="E5989" s="2" t="s">
        <v>11</v>
      </c>
      <c r="F5989" s="2">
        <v>2</v>
      </c>
      <c r="G5989" s="2" t="s">
        <v>12</v>
      </c>
    </row>
    <row r="5990" spans="1:7" x14ac:dyDescent="0.2">
      <c r="A5990" s="2" t="s">
        <v>7496</v>
      </c>
      <c r="B5990" s="2" t="s">
        <v>5842</v>
      </c>
      <c r="C5990" s="2" t="s">
        <v>5838</v>
      </c>
      <c r="D5990" s="2" t="s">
        <v>10</v>
      </c>
      <c r="E5990" s="2" t="s">
        <v>11</v>
      </c>
      <c r="F5990" s="2">
        <v>2</v>
      </c>
      <c r="G5990" s="2" t="s">
        <v>12</v>
      </c>
    </row>
    <row r="5991" spans="1:7" x14ac:dyDescent="0.2">
      <c r="A5991" s="2" t="s">
        <v>7496</v>
      </c>
      <c r="B5991" s="2" t="s">
        <v>5844</v>
      </c>
      <c r="C5991" s="2" t="s">
        <v>5838</v>
      </c>
      <c r="D5991" s="2" t="s">
        <v>10</v>
      </c>
      <c r="E5991" s="2" t="s">
        <v>11</v>
      </c>
      <c r="F5991" s="2">
        <v>2</v>
      </c>
      <c r="G5991" s="2" t="s">
        <v>12</v>
      </c>
    </row>
    <row r="5992" spans="1:7" x14ac:dyDescent="0.2">
      <c r="A5992" s="2" t="s">
        <v>7496</v>
      </c>
      <c r="B5992" s="2" t="s">
        <v>5846</v>
      </c>
      <c r="C5992" s="2" t="s">
        <v>5838</v>
      </c>
      <c r="D5992" s="2" t="s">
        <v>10</v>
      </c>
      <c r="E5992" s="2" t="s">
        <v>11</v>
      </c>
      <c r="F5992" s="2">
        <v>2</v>
      </c>
      <c r="G5992" s="2" t="s">
        <v>12</v>
      </c>
    </row>
    <row r="5993" spans="1:7" x14ac:dyDescent="0.2">
      <c r="A5993" s="2" t="s">
        <v>7496</v>
      </c>
      <c r="B5993" s="2" t="s">
        <v>7500</v>
      </c>
      <c r="C5993" s="2" t="s">
        <v>5838</v>
      </c>
      <c r="D5993" s="2" t="s">
        <v>10</v>
      </c>
      <c r="E5993" s="2" t="s">
        <v>11</v>
      </c>
      <c r="F5993" s="2">
        <v>2</v>
      </c>
      <c r="G5993" s="2" t="s">
        <v>12</v>
      </c>
    </row>
    <row r="5994" spans="1:7" x14ac:dyDescent="0.2">
      <c r="A5994" s="2" t="s">
        <v>7496</v>
      </c>
      <c r="B5994" s="2" t="s">
        <v>7501</v>
      </c>
      <c r="C5994" s="2" t="s">
        <v>5839</v>
      </c>
      <c r="D5994" s="2" t="s">
        <v>10</v>
      </c>
      <c r="E5994" s="2" t="s">
        <v>11</v>
      </c>
      <c r="F5994" s="2">
        <v>2</v>
      </c>
      <c r="G5994" s="2" t="s">
        <v>12</v>
      </c>
    </row>
    <row r="5995" spans="1:7" x14ac:dyDescent="0.2">
      <c r="A5995" s="2" t="s">
        <v>7496</v>
      </c>
      <c r="B5995" s="2">
        <v>70</v>
      </c>
      <c r="C5995" s="2" t="s">
        <v>7502</v>
      </c>
      <c r="D5995" s="2" t="s">
        <v>10</v>
      </c>
      <c r="E5995" s="2" t="s">
        <v>11</v>
      </c>
      <c r="F5995" s="2">
        <v>2</v>
      </c>
      <c r="G5995" s="2" t="s">
        <v>12</v>
      </c>
    </row>
    <row r="5996" spans="1:7" x14ac:dyDescent="0.2">
      <c r="A5996" s="2" t="s">
        <v>7496</v>
      </c>
      <c r="B5996" s="2">
        <v>75</v>
      </c>
      <c r="C5996" s="2" t="s">
        <v>7503</v>
      </c>
      <c r="D5996" s="2" t="s">
        <v>10</v>
      </c>
      <c r="E5996" s="2" t="s">
        <v>11</v>
      </c>
      <c r="F5996" s="2">
        <v>2</v>
      </c>
      <c r="G5996" s="2" t="s">
        <v>12</v>
      </c>
    </row>
    <row r="5997" spans="1:7" x14ac:dyDescent="0.2">
      <c r="A5997" s="2" t="s">
        <v>7496</v>
      </c>
      <c r="B5997" s="2">
        <v>85</v>
      </c>
      <c r="C5997" s="2" t="s">
        <v>7504</v>
      </c>
      <c r="D5997" s="2" t="s">
        <v>10</v>
      </c>
      <c r="E5997" s="2" t="s">
        <v>11</v>
      </c>
      <c r="F5997" s="2">
        <v>2</v>
      </c>
      <c r="G5997" s="2" t="s">
        <v>12</v>
      </c>
    </row>
    <row r="5998" spans="1:7" x14ac:dyDescent="0.2">
      <c r="A5998" s="2" t="s">
        <v>7496</v>
      </c>
      <c r="B5998" s="2" t="s">
        <v>7505</v>
      </c>
      <c r="C5998" s="2" t="s">
        <v>7503</v>
      </c>
      <c r="D5998" s="2" t="s">
        <v>10</v>
      </c>
      <c r="E5998" s="2" t="s">
        <v>11</v>
      </c>
      <c r="F5998" s="2">
        <v>2</v>
      </c>
      <c r="G5998" s="2" t="s">
        <v>12</v>
      </c>
    </row>
    <row r="5999" spans="1:7" x14ac:dyDescent="0.2">
      <c r="A5999" s="2" t="s">
        <v>7496</v>
      </c>
      <c r="B5999" s="2" t="s">
        <v>7506</v>
      </c>
      <c r="C5999" s="2" t="s">
        <v>7503</v>
      </c>
      <c r="D5999" s="2" t="s">
        <v>10</v>
      </c>
      <c r="E5999" s="2" t="s">
        <v>11</v>
      </c>
      <c r="F5999" s="2">
        <v>2</v>
      </c>
      <c r="G5999" s="2" t="s">
        <v>12</v>
      </c>
    </row>
    <row r="6000" spans="1:7" x14ac:dyDescent="0.2">
      <c r="A6000" s="2" t="s">
        <v>7507</v>
      </c>
      <c r="B6000" s="2" t="s">
        <v>5555</v>
      </c>
      <c r="C6000" s="2" t="s">
        <v>5556</v>
      </c>
      <c r="D6000" s="2" t="s">
        <v>10</v>
      </c>
      <c r="E6000" s="2" t="s">
        <v>16</v>
      </c>
      <c r="F6000" s="2">
        <v>1</v>
      </c>
      <c r="G6000" s="2" t="s">
        <v>17</v>
      </c>
    </row>
    <row r="6001" spans="1:7" x14ac:dyDescent="0.2">
      <c r="A6001" s="2" t="s">
        <v>7507</v>
      </c>
      <c r="B6001" s="2" t="s">
        <v>5557</v>
      </c>
      <c r="C6001" s="2" t="s">
        <v>5556</v>
      </c>
      <c r="D6001" s="2" t="s">
        <v>10</v>
      </c>
      <c r="E6001" s="2" t="s">
        <v>16</v>
      </c>
      <c r="F6001" s="2">
        <v>1</v>
      </c>
      <c r="G6001" s="2" t="s">
        <v>17</v>
      </c>
    </row>
    <row r="6002" spans="1:7" x14ac:dyDescent="0.2">
      <c r="A6002" s="2" t="s">
        <v>7508</v>
      </c>
      <c r="B6002" s="2" t="s">
        <v>7509</v>
      </c>
      <c r="C6002" s="2" t="s">
        <v>7510</v>
      </c>
      <c r="D6002" s="2" t="s">
        <v>10</v>
      </c>
      <c r="E6002" s="2" t="s">
        <v>16</v>
      </c>
      <c r="F6002" s="2">
        <v>1</v>
      </c>
      <c r="G6002" s="2" t="s">
        <v>17</v>
      </c>
    </row>
    <row r="6003" spans="1:7" x14ac:dyDescent="0.2">
      <c r="A6003" s="2" t="s">
        <v>7508</v>
      </c>
      <c r="B6003" s="2" t="s">
        <v>5462</v>
      </c>
      <c r="C6003" s="2" t="s">
        <v>7510</v>
      </c>
      <c r="D6003" s="2" t="s">
        <v>10</v>
      </c>
      <c r="E6003" s="2" t="s">
        <v>16</v>
      </c>
      <c r="F6003" s="2">
        <v>1</v>
      </c>
      <c r="G6003" s="2" t="s">
        <v>17</v>
      </c>
    </row>
    <row r="6004" spans="1:7" x14ac:dyDescent="0.2">
      <c r="A6004" s="2" t="s">
        <v>7511</v>
      </c>
      <c r="B6004" s="2" t="s">
        <v>7512</v>
      </c>
      <c r="C6004" s="2" t="s">
        <v>7513</v>
      </c>
      <c r="D6004" s="2" t="s">
        <v>10</v>
      </c>
      <c r="E6004" s="2" t="s">
        <v>52</v>
      </c>
      <c r="F6004" s="2">
        <v>1</v>
      </c>
      <c r="G6004" s="2" t="s">
        <v>17</v>
      </c>
    </row>
    <row r="6005" spans="1:7" x14ac:dyDescent="0.2">
      <c r="A6005" s="2" t="s">
        <v>7514</v>
      </c>
      <c r="B6005" s="2" t="s">
        <v>7515</v>
      </c>
      <c r="C6005" s="2" t="s">
        <v>7516</v>
      </c>
      <c r="D6005" s="2" t="s">
        <v>10</v>
      </c>
      <c r="E6005" s="2" t="s">
        <v>11</v>
      </c>
      <c r="F6005" s="2">
        <v>2</v>
      </c>
      <c r="G6005" s="2" t="s">
        <v>17</v>
      </c>
    </row>
    <row r="6006" spans="1:7" x14ac:dyDescent="0.2">
      <c r="A6006" s="2" t="s">
        <v>7517</v>
      </c>
      <c r="B6006" s="2" t="s">
        <v>7518</v>
      </c>
      <c r="C6006" s="2" t="s">
        <v>7519</v>
      </c>
      <c r="D6006" s="2" t="s">
        <v>10</v>
      </c>
      <c r="E6006" s="2" t="s">
        <v>16</v>
      </c>
      <c r="F6006" s="2">
        <v>1</v>
      </c>
      <c r="G6006" s="2" t="s">
        <v>17</v>
      </c>
    </row>
    <row r="6007" spans="1:7" x14ac:dyDescent="0.2">
      <c r="A6007" s="2" t="s">
        <v>7520</v>
      </c>
      <c r="B6007" s="2" t="s">
        <v>833</v>
      </c>
      <c r="C6007" s="2" t="s">
        <v>782</v>
      </c>
      <c r="D6007" s="2" t="s">
        <v>56</v>
      </c>
      <c r="E6007" s="2" t="s">
        <v>52</v>
      </c>
      <c r="F6007" s="2">
        <v>2</v>
      </c>
      <c r="G6007" s="2" t="s">
        <v>17</v>
      </c>
    </row>
    <row r="6008" spans="1:7" x14ac:dyDescent="0.2">
      <c r="A6008" s="2" t="s">
        <v>7520</v>
      </c>
      <c r="B6008" s="2" t="s">
        <v>844</v>
      </c>
      <c r="C6008" s="2" t="s">
        <v>782</v>
      </c>
      <c r="D6008" s="2" t="s">
        <v>56</v>
      </c>
      <c r="E6008" s="2" t="s">
        <v>52</v>
      </c>
      <c r="F6008" s="2">
        <v>2</v>
      </c>
      <c r="G6008" s="2" t="s">
        <v>17</v>
      </c>
    </row>
    <row r="6009" spans="1:7" x14ac:dyDescent="0.2">
      <c r="A6009" s="2" t="s">
        <v>7520</v>
      </c>
      <c r="B6009" s="2" t="s">
        <v>845</v>
      </c>
      <c r="C6009" s="2" t="s">
        <v>782</v>
      </c>
      <c r="D6009" s="2" t="s">
        <v>56</v>
      </c>
      <c r="E6009" s="2" t="s">
        <v>52</v>
      </c>
      <c r="F6009" s="2">
        <v>2</v>
      </c>
      <c r="G6009" s="2" t="s">
        <v>17</v>
      </c>
    </row>
    <row r="6010" spans="1:7" x14ac:dyDescent="0.2">
      <c r="A6010" s="2" t="s">
        <v>7520</v>
      </c>
      <c r="B6010" s="2" t="s">
        <v>863</v>
      </c>
      <c r="C6010" s="2" t="s">
        <v>849</v>
      </c>
      <c r="D6010" s="2" t="s">
        <v>56</v>
      </c>
      <c r="E6010" s="2" t="s">
        <v>52</v>
      </c>
      <c r="F6010" s="2">
        <v>3</v>
      </c>
      <c r="G6010" s="2" t="s">
        <v>12</v>
      </c>
    </row>
    <row r="6011" spans="1:7" x14ac:dyDescent="0.2">
      <c r="A6011" s="2" t="s">
        <v>7520</v>
      </c>
      <c r="B6011" s="2" t="s">
        <v>852</v>
      </c>
      <c r="C6011" s="2" t="s">
        <v>849</v>
      </c>
      <c r="D6011" s="2" t="s">
        <v>56</v>
      </c>
      <c r="E6011" s="2" t="s">
        <v>52</v>
      </c>
      <c r="F6011" s="2">
        <v>3</v>
      </c>
      <c r="G6011" s="2" t="s">
        <v>12</v>
      </c>
    </row>
    <row r="6012" spans="1:7" x14ac:dyDescent="0.2">
      <c r="A6012" s="2" t="s">
        <v>7520</v>
      </c>
      <c r="B6012" s="2" t="s">
        <v>853</v>
      </c>
      <c r="C6012" s="2" t="s">
        <v>849</v>
      </c>
      <c r="D6012" s="2" t="s">
        <v>56</v>
      </c>
      <c r="E6012" s="2" t="s">
        <v>52</v>
      </c>
      <c r="F6012" s="2">
        <v>3</v>
      </c>
      <c r="G6012" s="2" t="s">
        <v>12</v>
      </c>
    </row>
    <row r="6013" spans="1:7" x14ac:dyDescent="0.2">
      <c r="A6013" s="2" t="s">
        <v>7520</v>
      </c>
      <c r="B6013" s="2" t="s">
        <v>877</v>
      </c>
      <c r="C6013" s="2" t="s">
        <v>857</v>
      </c>
      <c r="D6013" s="2" t="s">
        <v>56</v>
      </c>
      <c r="E6013" s="2" t="s">
        <v>52</v>
      </c>
      <c r="F6013" s="2">
        <v>2</v>
      </c>
      <c r="G6013" s="2" t="s">
        <v>17</v>
      </c>
    </row>
    <row r="6014" spans="1:7" x14ac:dyDescent="0.2">
      <c r="A6014" s="2" t="s">
        <v>7520</v>
      </c>
      <c r="B6014" s="2" t="s">
        <v>878</v>
      </c>
      <c r="C6014" s="2" t="s">
        <v>857</v>
      </c>
      <c r="D6014" s="2" t="s">
        <v>56</v>
      </c>
      <c r="E6014" s="2" t="s">
        <v>52</v>
      </c>
      <c r="F6014" s="2">
        <v>2</v>
      </c>
      <c r="G6014" s="2" t="s">
        <v>17</v>
      </c>
    </row>
    <row r="6015" spans="1:7" x14ac:dyDescent="0.2">
      <c r="A6015" s="2" t="s">
        <v>7520</v>
      </c>
      <c r="B6015" s="2" t="s">
        <v>859</v>
      </c>
      <c r="C6015" s="2" t="s">
        <v>857</v>
      </c>
      <c r="D6015" s="2" t="s">
        <v>56</v>
      </c>
      <c r="E6015" s="2" t="s">
        <v>52</v>
      </c>
      <c r="F6015" s="2">
        <v>2</v>
      </c>
      <c r="G6015" s="2" t="s">
        <v>17</v>
      </c>
    </row>
    <row r="6016" spans="1:7" x14ac:dyDescent="0.2">
      <c r="A6016" s="2" t="s">
        <v>7520</v>
      </c>
      <c r="B6016" s="2" t="s">
        <v>860</v>
      </c>
      <c r="C6016" s="2" t="s">
        <v>857</v>
      </c>
      <c r="D6016" s="2" t="s">
        <v>56</v>
      </c>
      <c r="E6016" s="2" t="s">
        <v>52</v>
      </c>
      <c r="F6016" s="2">
        <v>2</v>
      </c>
      <c r="G6016" s="2" t="s">
        <v>17</v>
      </c>
    </row>
    <row r="6017" spans="1:7" x14ac:dyDescent="0.2">
      <c r="A6017" s="2" t="s">
        <v>7520</v>
      </c>
      <c r="B6017" s="2" t="s">
        <v>874</v>
      </c>
      <c r="C6017" s="2" t="s">
        <v>875</v>
      </c>
      <c r="D6017" s="2" t="s">
        <v>56</v>
      </c>
      <c r="E6017" s="2" t="s">
        <v>52</v>
      </c>
      <c r="F6017" s="2">
        <v>2</v>
      </c>
      <c r="G6017" s="2" t="s">
        <v>12</v>
      </c>
    </row>
    <row r="6018" spans="1:7" x14ac:dyDescent="0.2">
      <c r="A6018" s="2" t="s">
        <v>7520</v>
      </c>
      <c r="B6018" s="2" t="s">
        <v>876</v>
      </c>
      <c r="C6018" s="2" t="s">
        <v>875</v>
      </c>
      <c r="D6018" s="2" t="s">
        <v>56</v>
      </c>
      <c r="E6018" s="2" t="s">
        <v>52</v>
      </c>
      <c r="F6018" s="2">
        <v>2</v>
      </c>
      <c r="G6018" s="2" t="s">
        <v>12</v>
      </c>
    </row>
    <row r="6019" spans="1:7" x14ac:dyDescent="0.2">
      <c r="A6019" s="2" t="s">
        <v>7520</v>
      </c>
      <c r="B6019" s="2" t="s">
        <v>7521</v>
      </c>
      <c r="C6019" s="2" t="s">
        <v>7522</v>
      </c>
      <c r="D6019" s="2" t="s">
        <v>10</v>
      </c>
      <c r="E6019" s="2" t="s">
        <v>11</v>
      </c>
      <c r="F6019" s="2">
        <v>1</v>
      </c>
      <c r="G6019" s="2" t="s">
        <v>17</v>
      </c>
    </row>
    <row r="6020" spans="1:7" x14ac:dyDescent="0.2">
      <c r="A6020" s="2" t="s">
        <v>7520</v>
      </c>
      <c r="B6020" s="2" t="s">
        <v>7523</v>
      </c>
      <c r="C6020" s="2" t="s">
        <v>7522</v>
      </c>
      <c r="D6020" s="2" t="s">
        <v>10</v>
      </c>
      <c r="E6020" s="2" t="s">
        <v>11</v>
      </c>
      <c r="F6020" s="2">
        <v>1</v>
      </c>
      <c r="G6020" s="2" t="s">
        <v>17</v>
      </c>
    </row>
    <row r="6021" spans="1:7" x14ac:dyDescent="0.2">
      <c r="A6021" s="2" t="s">
        <v>7520</v>
      </c>
      <c r="B6021" s="2" t="s">
        <v>437</v>
      </c>
      <c r="C6021" s="2" t="s">
        <v>5525</v>
      </c>
      <c r="D6021" s="2" t="s">
        <v>10</v>
      </c>
      <c r="E6021" s="2" t="s">
        <v>16</v>
      </c>
      <c r="F6021" s="2">
        <v>1</v>
      </c>
      <c r="G6021" s="2" t="s">
        <v>17</v>
      </c>
    </row>
    <row r="6022" spans="1:7" x14ac:dyDescent="0.2">
      <c r="A6022" s="2" t="s">
        <v>7520</v>
      </c>
      <c r="B6022" s="2" t="s">
        <v>2960</v>
      </c>
      <c r="C6022" s="2" t="s">
        <v>812</v>
      </c>
      <c r="D6022" s="2" t="s">
        <v>56</v>
      </c>
      <c r="E6022" s="2" t="s">
        <v>52</v>
      </c>
      <c r="F6022" s="2">
        <v>2</v>
      </c>
      <c r="G6022" s="2" t="s">
        <v>17</v>
      </c>
    </row>
    <row r="6023" spans="1:7" x14ac:dyDescent="0.2">
      <c r="A6023" s="2" t="s">
        <v>7520</v>
      </c>
      <c r="B6023" s="2" t="s">
        <v>2961</v>
      </c>
      <c r="C6023" s="2" t="s">
        <v>812</v>
      </c>
      <c r="D6023" s="2" t="s">
        <v>56</v>
      </c>
      <c r="E6023" s="2" t="s">
        <v>52</v>
      </c>
      <c r="F6023" s="2">
        <v>2</v>
      </c>
      <c r="G6023" s="2" t="s">
        <v>17</v>
      </c>
    </row>
    <row r="6024" spans="1:7" x14ac:dyDescent="0.2">
      <c r="A6024" s="2" t="s">
        <v>7520</v>
      </c>
      <c r="B6024" s="2" t="s">
        <v>869</v>
      </c>
      <c r="C6024" s="2" t="s">
        <v>870</v>
      </c>
      <c r="D6024" s="2" t="s">
        <v>56</v>
      </c>
      <c r="E6024" s="2" t="s">
        <v>52</v>
      </c>
      <c r="F6024" s="2">
        <v>2</v>
      </c>
      <c r="G6024" s="2" t="s">
        <v>12</v>
      </c>
    </row>
    <row r="6025" spans="1:7" x14ac:dyDescent="0.2">
      <c r="A6025" s="2" t="s">
        <v>7520</v>
      </c>
      <c r="B6025" s="2" t="s">
        <v>810</v>
      </c>
      <c r="C6025" s="2" t="s">
        <v>786</v>
      </c>
      <c r="D6025" s="2" t="s">
        <v>56</v>
      </c>
      <c r="E6025" s="2" t="s">
        <v>52</v>
      </c>
      <c r="F6025" s="2">
        <v>1</v>
      </c>
      <c r="G6025" s="2" t="s">
        <v>17</v>
      </c>
    </row>
    <row r="6026" spans="1:7" x14ac:dyDescent="0.2">
      <c r="A6026" s="2" t="s">
        <v>7520</v>
      </c>
      <c r="B6026" s="2" t="s">
        <v>734</v>
      </c>
      <c r="C6026" s="2" t="s">
        <v>786</v>
      </c>
      <c r="D6026" s="2" t="s">
        <v>56</v>
      </c>
      <c r="E6026" s="2" t="s">
        <v>52</v>
      </c>
      <c r="F6026" s="2">
        <v>1</v>
      </c>
      <c r="G6026" s="2" t="s">
        <v>17</v>
      </c>
    </row>
    <row r="6027" spans="1:7" x14ac:dyDescent="0.2">
      <c r="A6027" s="2" t="s">
        <v>7520</v>
      </c>
      <c r="B6027" s="2" t="s">
        <v>811</v>
      </c>
      <c r="C6027" s="2" t="s">
        <v>812</v>
      </c>
      <c r="D6027" s="2" t="s">
        <v>56</v>
      </c>
      <c r="E6027" s="2" t="s">
        <v>52</v>
      </c>
      <c r="F6027" s="2">
        <v>2</v>
      </c>
      <c r="G6027" s="2" t="s">
        <v>17</v>
      </c>
    </row>
    <row r="6028" spans="1:7" x14ac:dyDescent="0.2">
      <c r="A6028" s="2" t="s">
        <v>7520</v>
      </c>
      <c r="B6028" s="2" t="s">
        <v>837</v>
      </c>
      <c r="C6028" s="2" t="s">
        <v>838</v>
      </c>
      <c r="D6028" s="2" t="s">
        <v>56</v>
      </c>
      <c r="E6028" s="2" t="s">
        <v>52</v>
      </c>
      <c r="F6028" s="2">
        <v>2</v>
      </c>
      <c r="G6028" s="2" t="s">
        <v>12</v>
      </c>
    </row>
    <row r="6029" spans="1:7" x14ac:dyDescent="0.2">
      <c r="A6029" s="2" t="s">
        <v>7520</v>
      </c>
      <c r="B6029" s="2" t="s">
        <v>867</v>
      </c>
      <c r="C6029" s="2" t="s">
        <v>868</v>
      </c>
      <c r="D6029" s="2" t="s">
        <v>56</v>
      </c>
      <c r="E6029" s="2" t="s">
        <v>52</v>
      </c>
      <c r="F6029" s="2">
        <v>2</v>
      </c>
      <c r="G6029" s="2" t="s">
        <v>17</v>
      </c>
    </row>
    <row r="6030" spans="1:7" x14ac:dyDescent="0.2">
      <c r="A6030" s="2" t="s">
        <v>7524</v>
      </c>
      <c r="B6030" s="2" t="s">
        <v>437</v>
      </c>
      <c r="C6030" s="2" t="s">
        <v>5525</v>
      </c>
      <c r="D6030" s="2" t="s">
        <v>10</v>
      </c>
      <c r="E6030" s="2" t="s">
        <v>16</v>
      </c>
      <c r="F6030" s="2">
        <v>1</v>
      </c>
      <c r="G6030" s="2" t="s">
        <v>17</v>
      </c>
    </row>
    <row r="6031" spans="1:7" x14ac:dyDescent="0.2">
      <c r="A6031" s="2" t="s">
        <v>7525</v>
      </c>
      <c r="B6031" s="2" t="s">
        <v>7526</v>
      </c>
      <c r="C6031" s="2" t="s">
        <v>199</v>
      </c>
      <c r="D6031" s="2" t="s">
        <v>10</v>
      </c>
      <c r="E6031" s="2" t="s">
        <v>16</v>
      </c>
      <c r="F6031" s="2">
        <v>2</v>
      </c>
      <c r="G6031" s="2" t="s">
        <v>17</v>
      </c>
    </row>
    <row r="6032" spans="1:7" x14ac:dyDescent="0.2">
      <c r="A6032" s="2" t="s">
        <v>7525</v>
      </c>
      <c r="B6032" s="2" t="s">
        <v>7527</v>
      </c>
      <c r="C6032" s="2" t="s">
        <v>7528</v>
      </c>
      <c r="D6032" s="2" t="s">
        <v>10</v>
      </c>
      <c r="E6032" s="2" t="s">
        <v>16</v>
      </c>
      <c r="F6032" s="2">
        <v>1</v>
      </c>
      <c r="G6032" s="2" t="s">
        <v>17</v>
      </c>
    </row>
    <row r="6033" spans="1:7" x14ac:dyDescent="0.2">
      <c r="A6033" s="2" t="s">
        <v>7525</v>
      </c>
      <c r="B6033" s="2" t="s">
        <v>7529</v>
      </c>
      <c r="C6033" s="2" t="s">
        <v>7530</v>
      </c>
      <c r="D6033" s="2" t="s">
        <v>10</v>
      </c>
      <c r="E6033" s="2" t="s">
        <v>16</v>
      </c>
      <c r="F6033" s="2">
        <v>1</v>
      </c>
      <c r="G6033" s="2" t="s">
        <v>17</v>
      </c>
    </row>
    <row r="6034" spans="1:7" x14ac:dyDescent="0.2">
      <c r="A6034" s="2" t="s">
        <v>7525</v>
      </c>
      <c r="B6034" s="2" t="s">
        <v>7531</v>
      </c>
      <c r="C6034" s="2" t="s">
        <v>7532</v>
      </c>
      <c r="D6034" s="2" t="s">
        <v>10</v>
      </c>
      <c r="E6034" s="2" t="s">
        <v>16</v>
      </c>
      <c r="F6034" s="2">
        <v>1</v>
      </c>
      <c r="G6034" s="2" t="s">
        <v>17</v>
      </c>
    </row>
    <row r="6035" spans="1:7" x14ac:dyDescent="0.2">
      <c r="A6035" s="2" t="s">
        <v>7525</v>
      </c>
      <c r="B6035" s="2" t="s">
        <v>7533</v>
      </c>
      <c r="C6035" s="2" t="s">
        <v>7528</v>
      </c>
      <c r="D6035" s="2" t="s">
        <v>10</v>
      </c>
      <c r="E6035" s="2" t="s">
        <v>16</v>
      </c>
      <c r="F6035" s="2">
        <v>1</v>
      </c>
      <c r="G6035" s="2" t="s">
        <v>17</v>
      </c>
    </row>
    <row r="6036" spans="1:7" x14ac:dyDescent="0.2">
      <c r="A6036" s="2" t="s">
        <v>7525</v>
      </c>
      <c r="B6036" s="2" t="s">
        <v>7534</v>
      </c>
      <c r="C6036" s="2" t="s">
        <v>7535</v>
      </c>
      <c r="D6036" s="2" t="s">
        <v>10</v>
      </c>
      <c r="E6036" s="2" t="s">
        <v>16</v>
      </c>
      <c r="F6036" s="2">
        <v>2</v>
      </c>
      <c r="G6036" s="2" t="s">
        <v>17</v>
      </c>
    </row>
    <row r="6037" spans="1:7" x14ac:dyDescent="0.2">
      <c r="A6037" s="2" t="s">
        <v>7525</v>
      </c>
      <c r="B6037" s="2" t="s">
        <v>1261</v>
      </c>
      <c r="C6037" s="2" t="s">
        <v>1262</v>
      </c>
      <c r="D6037" s="2" t="s">
        <v>10</v>
      </c>
      <c r="E6037" s="2" t="s">
        <v>52</v>
      </c>
      <c r="F6037" s="2">
        <v>2</v>
      </c>
      <c r="G6037" s="2" t="s">
        <v>17</v>
      </c>
    </row>
    <row r="6038" spans="1:7" x14ac:dyDescent="0.2">
      <c r="A6038" s="2" t="s">
        <v>7525</v>
      </c>
      <c r="B6038" s="2" t="s">
        <v>7536</v>
      </c>
      <c r="C6038" s="2" t="s">
        <v>1262</v>
      </c>
      <c r="D6038" s="2" t="s">
        <v>10</v>
      </c>
      <c r="E6038" s="2" t="s">
        <v>52</v>
      </c>
      <c r="F6038" s="2">
        <v>2</v>
      </c>
      <c r="G6038" s="2" t="s">
        <v>17</v>
      </c>
    </row>
    <row r="6039" spans="1:7" x14ac:dyDescent="0.2">
      <c r="A6039" s="2" t="s">
        <v>7525</v>
      </c>
      <c r="B6039" s="2" t="s">
        <v>7537</v>
      </c>
      <c r="C6039" s="2" t="s">
        <v>7538</v>
      </c>
      <c r="D6039" s="2" t="s">
        <v>10</v>
      </c>
      <c r="E6039" s="2" t="s">
        <v>52</v>
      </c>
      <c r="F6039" s="2">
        <v>2</v>
      </c>
      <c r="G6039" s="2" t="s">
        <v>12</v>
      </c>
    </row>
    <row r="6040" spans="1:7" x14ac:dyDescent="0.2">
      <c r="A6040" s="2" t="s">
        <v>7525</v>
      </c>
      <c r="B6040" s="2" t="s">
        <v>7539</v>
      </c>
      <c r="C6040" s="2" t="s">
        <v>7535</v>
      </c>
      <c r="D6040" s="2" t="s">
        <v>10</v>
      </c>
      <c r="E6040" s="2" t="s">
        <v>16</v>
      </c>
      <c r="F6040" s="2">
        <v>2</v>
      </c>
      <c r="G6040" s="2" t="s">
        <v>17</v>
      </c>
    </row>
    <row r="6041" spans="1:7" x14ac:dyDescent="0.2">
      <c r="A6041" s="2" t="s">
        <v>7525</v>
      </c>
      <c r="B6041" s="2" t="s">
        <v>7540</v>
      </c>
      <c r="C6041" s="2" t="s">
        <v>7532</v>
      </c>
      <c r="D6041" s="2" t="s">
        <v>10</v>
      </c>
      <c r="E6041" s="2" t="s">
        <v>16</v>
      </c>
      <c r="F6041" s="2">
        <v>1</v>
      </c>
      <c r="G6041" s="2" t="s">
        <v>17</v>
      </c>
    </row>
    <row r="6042" spans="1:7" x14ac:dyDescent="0.2">
      <c r="A6042" s="2" t="s">
        <v>7525</v>
      </c>
      <c r="B6042" s="2" t="s">
        <v>7541</v>
      </c>
      <c r="C6042" s="2" t="s">
        <v>199</v>
      </c>
      <c r="D6042" s="2" t="s">
        <v>10</v>
      </c>
      <c r="E6042" s="2" t="s">
        <v>16</v>
      </c>
      <c r="F6042" s="2">
        <v>2</v>
      </c>
      <c r="G6042" s="2" t="s">
        <v>17</v>
      </c>
    </row>
    <row r="6043" spans="1:7" x14ac:dyDescent="0.2">
      <c r="A6043" s="2" t="s">
        <v>7525</v>
      </c>
      <c r="B6043" s="2" t="s">
        <v>1263</v>
      </c>
      <c r="C6043" s="2" t="s">
        <v>1262</v>
      </c>
      <c r="D6043" s="2" t="s">
        <v>10</v>
      </c>
      <c r="E6043" s="2" t="s">
        <v>52</v>
      </c>
      <c r="F6043" s="2">
        <v>2</v>
      </c>
      <c r="G6043" s="2" t="s">
        <v>17</v>
      </c>
    </row>
    <row r="6044" spans="1:7" x14ac:dyDescent="0.2">
      <c r="A6044" s="2" t="s">
        <v>7525</v>
      </c>
      <c r="B6044" s="2" t="s">
        <v>7542</v>
      </c>
      <c r="C6044" s="2" t="s">
        <v>7532</v>
      </c>
      <c r="D6044" s="2" t="s">
        <v>10</v>
      </c>
      <c r="E6044" s="2" t="s">
        <v>16</v>
      </c>
      <c r="F6044" s="2">
        <v>1</v>
      </c>
      <c r="G6044" s="2" t="s">
        <v>17</v>
      </c>
    </row>
    <row r="6045" spans="1:7" x14ac:dyDescent="0.2">
      <c r="A6045" s="2" t="s">
        <v>7525</v>
      </c>
      <c r="B6045" s="2" t="s">
        <v>7543</v>
      </c>
      <c r="C6045" s="2" t="s">
        <v>7532</v>
      </c>
      <c r="D6045" s="2" t="s">
        <v>10</v>
      </c>
      <c r="E6045" s="2" t="s">
        <v>16</v>
      </c>
      <c r="F6045" s="2">
        <v>1</v>
      </c>
      <c r="G6045" s="2" t="s">
        <v>17</v>
      </c>
    </row>
    <row r="6046" spans="1:7" x14ac:dyDescent="0.2">
      <c r="A6046" s="2" t="s">
        <v>7525</v>
      </c>
      <c r="B6046" s="2" t="s">
        <v>7544</v>
      </c>
      <c r="C6046" s="2" t="s">
        <v>7532</v>
      </c>
      <c r="D6046" s="2" t="s">
        <v>10</v>
      </c>
      <c r="E6046" s="2" t="s">
        <v>16</v>
      </c>
      <c r="F6046" s="2">
        <v>1</v>
      </c>
      <c r="G6046" s="2" t="s">
        <v>17</v>
      </c>
    </row>
    <row r="6047" spans="1:7" x14ac:dyDescent="0.2">
      <c r="A6047" s="2" t="s">
        <v>7525</v>
      </c>
      <c r="B6047" s="2" t="s">
        <v>7545</v>
      </c>
      <c r="C6047" s="2" t="s">
        <v>7532</v>
      </c>
      <c r="D6047" s="2" t="s">
        <v>10</v>
      </c>
      <c r="E6047" s="2" t="s">
        <v>16</v>
      </c>
      <c r="F6047" s="2">
        <v>1</v>
      </c>
      <c r="G6047" s="2" t="s">
        <v>17</v>
      </c>
    </row>
    <row r="6048" spans="1:7" x14ac:dyDescent="0.2">
      <c r="A6048" s="2" t="s">
        <v>7525</v>
      </c>
      <c r="B6048" s="2" t="s">
        <v>7546</v>
      </c>
      <c r="C6048" s="2" t="s">
        <v>7532</v>
      </c>
      <c r="D6048" s="2" t="s">
        <v>10</v>
      </c>
      <c r="E6048" s="2" t="s">
        <v>16</v>
      </c>
      <c r="F6048" s="2">
        <v>1</v>
      </c>
      <c r="G6048" s="2" t="s">
        <v>17</v>
      </c>
    </row>
    <row r="6049" spans="1:7" x14ac:dyDescent="0.2">
      <c r="A6049" s="2" t="s">
        <v>7547</v>
      </c>
      <c r="B6049" s="2" t="s">
        <v>7548</v>
      </c>
      <c r="C6049" s="2" t="s">
        <v>7549</v>
      </c>
      <c r="D6049" s="2" t="s">
        <v>10</v>
      </c>
      <c r="E6049" s="2" t="s">
        <v>16</v>
      </c>
      <c r="F6049" s="2">
        <v>2</v>
      </c>
      <c r="G6049" s="2" t="s">
        <v>17</v>
      </c>
    </row>
    <row r="6050" spans="1:7" x14ac:dyDescent="0.2">
      <c r="A6050" s="2" t="s">
        <v>7550</v>
      </c>
      <c r="B6050" s="2" t="s">
        <v>7548</v>
      </c>
      <c r="C6050" s="2" t="s">
        <v>7549</v>
      </c>
      <c r="D6050" s="2" t="s">
        <v>10</v>
      </c>
      <c r="E6050" s="2" t="s">
        <v>16</v>
      </c>
      <c r="F6050" s="2">
        <v>2</v>
      </c>
      <c r="G6050" s="2" t="s">
        <v>17</v>
      </c>
    </row>
    <row r="6051" spans="1:7" x14ac:dyDescent="0.2">
      <c r="A6051" s="2" t="s">
        <v>7551</v>
      </c>
      <c r="B6051" s="2" t="s">
        <v>5321</v>
      </c>
      <c r="C6051" s="2" t="s">
        <v>7552</v>
      </c>
      <c r="D6051" s="2" t="s">
        <v>10</v>
      </c>
      <c r="E6051" s="2" t="s">
        <v>16</v>
      </c>
      <c r="F6051" s="2">
        <v>1</v>
      </c>
      <c r="G6051" s="2" t="s">
        <v>17</v>
      </c>
    </row>
    <row r="6052" spans="1:7" x14ac:dyDescent="0.2">
      <c r="A6052" s="2" t="s">
        <v>7551</v>
      </c>
      <c r="B6052" s="2" t="s">
        <v>7553</v>
      </c>
      <c r="C6052" s="2" t="s">
        <v>7552</v>
      </c>
      <c r="D6052" s="2" t="s">
        <v>10</v>
      </c>
      <c r="E6052" s="2" t="s">
        <v>16</v>
      </c>
      <c r="F6052" s="2">
        <v>1</v>
      </c>
      <c r="G6052" s="2" t="s">
        <v>17</v>
      </c>
    </row>
    <row r="6053" spans="1:7" x14ac:dyDescent="0.2">
      <c r="A6053" s="2" t="s">
        <v>7554</v>
      </c>
      <c r="B6053" s="2" t="s">
        <v>7555</v>
      </c>
      <c r="C6053" s="2" t="s">
        <v>7556</v>
      </c>
      <c r="D6053" s="2" t="s">
        <v>10</v>
      </c>
      <c r="E6053" s="2" t="s">
        <v>16</v>
      </c>
      <c r="F6053" s="2">
        <v>1</v>
      </c>
      <c r="G6053" s="2" t="s">
        <v>17</v>
      </c>
    </row>
    <row r="6054" spans="1:7" x14ac:dyDescent="0.2">
      <c r="A6054" s="2" t="s">
        <v>7557</v>
      </c>
      <c r="B6054" s="2" t="s">
        <v>4704</v>
      </c>
      <c r="C6054" s="2" t="s">
        <v>4705</v>
      </c>
      <c r="D6054" s="2" t="s">
        <v>10</v>
      </c>
      <c r="E6054" s="2" t="s">
        <v>16</v>
      </c>
      <c r="F6054" s="2">
        <v>1</v>
      </c>
      <c r="G6054" s="2" t="s">
        <v>17</v>
      </c>
    </row>
    <row r="6055" spans="1:7" x14ac:dyDescent="0.2">
      <c r="A6055" s="2" t="s">
        <v>7558</v>
      </c>
      <c r="B6055" s="2" t="s">
        <v>590</v>
      </c>
      <c r="C6055" s="2" t="s">
        <v>591</v>
      </c>
      <c r="D6055" s="2" t="s">
        <v>56</v>
      </c>
      <c r="E6055" s="2" t="s">
        <v>52</v>
      </c>
      <c r="F6055" s="2">
        <v>1</v>
      </c>
      <c r="G6055" s="2" t="s">
        <v>17</v>
      </c>
    </row>
    <row r="6056" spans="1:7" x14ac:dyDescent="0.2">
      <c r="A6056" s="2" t="s">
        <v>7558</v>
      </c>
      <c r="B6056" s="2" t="s">
        <v>5346</v>
      </c>
      <c r="C6056" s="2" t="s">
        <v>591</v>
      </c>
      <c r="D6056" s="2" t="s">
        <v>56</v>
      </c>
      <c r="E6056" s="2" t="s">
        <v>52</v>
      </c>
      <c r="F6056" s="2">
        <v>1</v>
      </c>
      <c r="G6056" s="2" t="s">
        <v>17</v>
      </c>
    </row>
    <row r="6057" spans="1:7" x14ac:dyDescent="0.2">
      <c r="A6057" s="2" t="s">
        <v>7559</v>
      </c>
      <c r="B6057" s="2" t="s">
        <v>1968</v>
      </c>
      <c r="C6057" s="2" t="s">
        <v>1969</v>
      </c>
      <c r="D6057" s="2" t="s">
        <v>29</v>
      </c>
      <c r="E6057" s="2" t="s">
        <v>16</v>
      </c>
      <c r="F6057" s="2">
        <v>1</v>
      </c>
      <c r="G6057" s="2" t="s">
        <v>17</v>
      </c>
    </row>
    <row r="6058" spans="1:7" x14ac:dyDescent="0.2">
      <c r="A6058" s="2" t="s">
        <v>7559</v>
      </c>
      <c r="B6058" s="2" t="s">
        <v>1289</v>
      </c>
      <c r="C6058" s="2" t="s">
        <v>1290</v>
      </c>
      <c r="D6058" s="2" t="s">
        <v>10</v>
      </c>
      <c r="E6058" s="2" t="s">
        <v>16</v>
      </c>
      <c r="F6058" s="2">
        <v>1</v>
      </c>
      <c r="G6058" s="2" t="s">
        <v>17</v>
      </c>
    </row>
    <row r="6059" spans="1:7" x14ac:dyDescent="0.2">
      <c r="A6059" s="2" t="s">
        <v>7560</v>
      </c>
      <c r="B6059" s="2" t="s">
        <v>7561</v>
      </c>
      <c r="C6059" s="2" t="s">
        <v>7562</v>
      </c>
      <c r="D6059" s="2" t="s">
        <v>10</v>
      </c>
      <c r="E6059" s="2" t="s">
        <v>16</v>
      </c>
      <c r="F6059" s="2">
        <v>1</v>
      </c>
      <c r="G6059" s="2" t="s">
        <v>17</v>
      </c>
    </row>
    <row r="6060" spans="1:7" x14ac:dyDescent="0.2">
      <c r="A6060" s="2" t="s">
        <v>7560</v>
      </c>
      <c r="B6060" s="2" t="s">
        <v>2105</v>
      </c>
      <c r="C6060" s="2" t="s">
        <v>7562</v>
      </c>
      <c r="D6060" s="2" t="s">
        <v>10</v>
      </c>
      <c r="E6060" s="2" t="s">
        <v>16</v>
      </c>
      <c r="F6060" s="2">
        <v>1</v>
      </c>
      <c r="G6060" s="2" t="s">
        <v>17</v>
      </c>
    </row>
    <row r="6061" spans="1:7" x14ac:dyDescent="0.2">
      <c r="A6061" s="2" t="s">
        <v>7563</v>
      </c>
      <c r="B6061" s="2" t="s">
        <v>7564</v>
      </c>
      <c r="C6061" s="2" t="s">
        <v>7565</v>
      </c>
      <c r="D6061" s="2" t="s">
        <v>10</v>
      </c>
      <c r="E6061" s="2" t="s">
        <v>16</v>
      </c>
      <c r="F6061" s="2">
        <v>1</v>
      </c>
      <c r="G6061" s="2" t="s">
        <v>17</v>
      </c>
    </row>
    <row r="6062" spans="1:7" x14ac:dyDescent="0.2">
      <c r="A6062" s="2" t="s">
        <v>7566</v>
      </c>
      <c r="B6062" s="2" t="s">
        <v>7567</v>
      </c>
      <c r="C6062" s="2" t="s">
        <v>7568</v>
      </c>
      <c r="D6062" s="2" t="s">
        <v>10</v>
      </c>
      <c r="E6062" s="2" t="s">
        <v>16</v>
      </c>
      <c r="F6062" s="2">
        <v>1</v>
      </c>
      <c r="G6062" s="2" t="s">
        <v>17</v>
      </c>
    </row>
    <row r="6063" spans="1:7" x14ac:dyDescent="0.2">
      <c r="A6063" s="2" t="s">
        <v>7569</v>
      </c>
      <c r="B6063" s="2" t="s">
        <v>7570</v>
      </c>
      <c r="C6063" s="2" t="s">
        <v>7571</v>
      </c>
      <c r="D6063" s="2" t="s">
        <v>10</v>
      </c>
      <c r="E6063" s="2" t="s">
        <v>16</v>
      </c>
      <c r="F6063" s="2">
        <v>1</v>
      </c>
      <c r="G6063" s="2" t="s">
        <v>17</v>
      </c>
    </row>
    <row r="6064" spans="1:7" x14ac:dyDescent="0.2">
      <c r="A6064" s="2" t="s">
        <v>7569</v>
      </c>
      <c r="B6064" s="2" t="s">
        <v>7572</v>
      </c>
      <c r="C6064" s="2" t="s">
        <v>7573</v>
      </c>
      <c r="D6064" s="2" t="s">
        <v>10</v>
      </c>
      <c r="E6064" s="2" t="s">
        <v>16</v>
      </c>
      <c r="F6064" s="2">
        <v>1</v>
      </c>
      <c r="G6064" s="2" t="s">
        <v>17</v>
      </c>
    </row>
    <row r="6065" spans="1:7" x14ac:dyDescent="0.2">
      <c r="A6065" s="2" t="s">
        <v>7569</v>
      </c>
      <c r="B6065" s="2" t="s">
        <v>7574</v>
      </c>
      <c r="C6065" s="2" t="s">
        <v>7571</v>
      </c>
      <c r="D6065" s="2" t="s">
        <v>10</v>
      </c>
      <c r="E6065" s="2" t="s">
        <v>16</v>
      </c>
      <c r="F6065" s="2">
        <v>1</v>
      </c>
      <c r="G6065" s="2" t="s">
        <v>17</v>
      </c>
    </row>
    <row r="6066" spans="1:7" x14ac:dyDescent="0.2">
      <c r="A6066" s="2" t="s">
        <v>7569</v>
      </c>
      <c r="B6066" s="2" t="s">
        <v>7575</v>
      </c>
      <c r="C6066" s="2" t="s">
        <v>7573</v>
      </c>
      <c r="D6066" s="2" t="s">
        <v>10</v>
      </c>
      <c r="E6066" s="2" t="s">
        <v>16</v>
      </c>
      <c r="F6066" s="2">
        <v>1</v>
      </c>
      <c r="G6066" s="2" t="s">
        <v>17</v>
      </c>
    </row>
    <row r="6067" spans="1:7" x14ac:dyDescent="0.2">
      <c r="A6067" s="2" t="s">
        <v>7569</v>
      </c>
      <c r="B6067" s="2">
        <v>100</v>
      </c>
      <c r="C6067" s="2" t="s">
        <v>7571</v>
      </c>
      <c r="D6067" s="2" t="s">
        <v>10</v>
      </c>
      <c r="E6067" s="2" t="s">
        <v>16</v>
      </c>
      <c r="F6067" s="2">
        <v>1</v>
      </c>
      <c r="G6067" s="2" t="s">
        <v>17</v>
      </c>
    </row>
    <row r="6068" spans="1:7" x14ac:dyDescent="0.2">
      <c r="A6068" s="2" t="s">
        <v>7569</v>
      </c>
      <c r="B6068" s="2" t="s">
        <v>7576</v>
      </c>
      <c r="C6068" s="2" t="s">
        <v>7571</v>
      </c>
      <c r="D6068" s="2" t="s">
        <v>10</v>
      </c>
      <c r="E6068" s="2" t="s">
        <v>16</v>
      </c>
      <c r="F6068" s="2">
        <v>1</v>
      </c>
      <c r="G6068" s="2" t="s">
        <v>17</v>
      </c>
    </row>
    <row r="6069" spans="1:7" x14ac:dyDescent="0.2">
      <c r="A6069" s="2" t="s">
        <v>7569</v>
      </c>
      <c r="B6069" s="2" t="s">
        <v>7577</v>
      </c>
      <c r="C6069" s="2" t="s">
        <v>7571</v>
      </c>
      <c r="D6069" s="2" t="s">
        <v>10</v>
      </c>
      <c r="E6069" s="2" t="s">
        <v>16</v>
      </c>
      <c r="F6069" s="2">
        <v>1</v>
      </c>
      <c r="G6069" s="2" t="s">
        <v>17</v>
      </c>
    </row>
    <row r="6070" spans="1:7" x14ac:dyDescent="0.2">
      <c r="A6070" s="2" t="s">
        <v>7578</v>
      </c>
      <c r="B6070" s="2" t="s">
        <v>7579</v>
      </c>
      <c r="C6070" s="2" t="s">
        <v>7580</v>
      </c>
      <c r="D6070" s="2" t="s">
        <v>10</v>
      </c>
      <c r="E6070" s="2" t="s">
        <v>16</v>
      </c>
      <c r="F6070" s="2">
        <v>1</v>
      </c>
      <c r="G6070" s="2" t="s">
        <v>17</v>
      </c>
    </row>
    <row r="6071" spans="1:7" x14ac:dyDescent="0.2">
      <c r="A6071" s="2" t="s">
        <v>7578</v>
      </c>
      <c r="B6071" s="2" t="s">
        <v>7581</v>
      </c>
      <c r="C6071" s="2" t="s">
        <v>7582</v>
      </c>
      <c r="D6071" s="2" t="s">
        <v>10</v>
      </c>
      <c r="E6071" s="2" t="s">
        <v>16</v>
      </c>
      <c r="F6071" s="2">
        <v>1</v>
      </c>
      <c r="G6071" s="2" t="s">
        <v>17</v>
      </c>
    </row>
    <row r="6072" spans="1:7" x14ac:dyDescent="0.2">
      <c r="A6072" s="2" t="s">
        <v>7578</v>
      </c>
      <c r="B6072" s="2" t="s">
        <v>7583</v>
      </c>
      <c r="C6072" s="2" t="s">
        <v>7580</v>
      </c>
      <c r="D6072" s="2" t="s">
        <v>10</v>
      </c>
      <c r="E6072" s="2" t="s">
        <v>16</v>
      </c>
      <c r="F6072" s="2">
        <v>1</v>
      </c>
      <c r="G6072" s="2" t="s">
        <v>17</v>
      </c>
    </row>
    <row r="6073" spans="1:7" x14ac:dyDescent="0.2">
      <c r="A6073" s="2" t="s">
        <v>7584</v>
      </c>
      <c r="B6073" s="2" t="s">
        <v>7585</v>
      </c>
      <c r="C6073" s="2" t="s">
        <v>7586</v>
      </c>
      <c r="D6073" s="2" t="s">
        <v>29</v>
      </c>
      <c r="E6073" s="2" t="s">
        <v>16</v>
      </c>
      <c r="F6073" s="2">
        <v>1</v>
      </c>
      <c r="G6073" s="2" t="s">
        <v>17</v>
      </c>
    </row>
    <row r="6074" spans="1:7" x14ac:dyDescent="0.2">
      <c r="A6074" s="2" t="s">
        <v>7587</v>
      </c>
      <c r="B6074" s="2" t="s">
        <v>7588</v>
      </c>
      <c r="C6074" s="2" t="s">
        <v>4765</v>
      </c>
      <c r="D6074" s="2" t="s">
        <v>10</v>
      </c>
      <c r="E6074" s="2" t="s">
        <v>16</v>
      </c>
      <c r="F6074" s="2">
        <v>2</v>
      </c>
      <c r="G6074" s="2" t="s">
        <v>12</v>
      </c>
    </row>
    <row r="6075" spans="1:7" x14ac:dyDescent="0.2">
      <c r="A6075" s="2" t="s">
        <v>7589</v>
      </c>
      <c r="B6075" s="2" t="s">
        <v>7590</v>
      </c>
      <c r="C6075" s="2" t="s">
        <v>7591</v>
      </c>
      <c r="D6075" s="2" t="s">
        <v>64</v>
      </c>
      <c r="E6075" s="2" t="s">
        <v>16</v>
      </c>
      <c r="F6075" s="2">
        <v>1</v>
      </c>
      <c r="G6075" s="2" t="s">
        <v>17</v>
      </c>
    </row>
    <row r="6076" spans="1:7" x14ac:dyDescent="0.2">
      <c r="A6076" s="2" t="s">
        <v>7589</v>
      </c>
      <c r="B6076" s="2" t="s">
        <v>7592</v>
      </c>
      <c r="C6076" s="2" t="s">
        <v>7591</v>
      </c>
      <c r="D6076" s="2" t="s">
        <v>64</v>
      </c>
      <c r="E6076" s="2" t="s">
        <v>16</v>
      </c>
      <c r="F6076" s="2">
        <v>1</v>
      </c>
      <c r="G6076" s="2" t="s">
        <v>17</v>
      </c>
    </row>
    <row r="6077" spans="1:7" x14ac:dyDescent="0.2">
      <c r="A6077" s="2" t="s">
        <v>7589</v>
      </c>
      <c r="B6077" s="2" t="s">
        <v>7593</v>
      </c>
      <c r="C6077" s="2" t="s">
        <v>7591</v>
      </c>
      <c r="D6077" s="2" t="s">
        <v>64</v>
      </c>
      <c r="E6077" s="2" t="s">
        <v>16</v>
      </c>
      <c r="F6077" s="2">
        <v>1</v>
      </c>
      <c r="G6077" s="2" t="s">
        <v>17</v>
      </c>
    </row>
    <row r="6078" spans="1:7" x14ac:dyDescent="0.2">
      <c r="A6078" s="2" t="s">
        <v>7594</v>
      </c>
      <c r="B6078" s="2" t="s">
        <v>5658</v>
      </c>
      <c r="C6078" s="2" t="s">
        <v>5653</v>
      </c>
      <c r="D6078" s="2" t="s">
        <v>10</v>
      </c>
      <c r="E6078" s="2" t="s">
        <v>11</v>
      </c>
      <c r="F6078" s="2">
        <v>1</v>
      </c>
      <c r="G6078" s="2" t="s">
        <v>17</v>
      </c>
    </row>
    <row r="6079" spans="1:7" x14ac:dyDescent="0.2">
      <c r="A6079" s="2" t="s">
        <v>7594</v>
      </c>
      <c r="B6079" s="2" t="s">
        <v>5652</v>
      </c>
      <c r="C6079" s="2" t="s">
        <v>5653</v>
      </c>
      <c r="D6079" s="2" t="s">
        <v>10</v>
      </c>
      <c r="E6079" s="2" t="s">
        <v>11</v>
      </c>
      <c r="F6079" s="2">
        <v>1</v>
      </c>
      <c r="G6079" s="2" t="s">
        <v>17</v>
      </c>
    </row>
    <row r="6080" spans="1:7" x14ac:dyDescent="0.2">
      <c r="A6080" s="2" t="s">
        <v>7594</v>
      </c>
      <c r="B6080" s="2" t="s">
        <v>5655</v>
      </c>
      <c r="C6080" s="2" t="s">
        <v>5653</v>
      </c>
      <c r="D6080" s="2" t="s">
        <v>10</v>
      </c>
      <c r="E6080" s="2" t="s">
        <v>11</v>
      </c>
      <c r="F6080" s="2">
        <v>1</v>
      </c>
      <c r="G6080" s="2" t="s">
        <v>17</v>
      </c>
    </row>
    <row r="6081" spans="1:7" x14ac:dyDescent="0.2">
      <c r="A6081" s="2" t="s">
        <v>7595</v>
      </c>
      <c r="B6081" s="2">
        <v>2000</v>
      </c>
      <c r="C6081" s="2" t="s">
        <v>7596</v>
      </c>
      <c r="D6081" s="2" t="s">
        <v>56</v>
      </c>
      <c r="E6081" s="2" t="s">
        <v>52</v>
      </c>
      <c r="F6081" s="2">
        <v>1</v>
      </c>
      <c r="G6081" s="2" t="s">
        <v>17</v>
      </c>
    </row>
    <row r="6082" spans="1:7" x14ac:dyDescent="0.2">
      <c r="A6082" s="2" t="s">
        <v>7597</v>
      </c>
      <c r="B6082" s="2" t="s">
        <v>7598</v>
      </c>
      <c r="C6082" s="2" t="s">
        <v>7599</v>
      </c>
      <c r="D6082" s="2" t="s">
        <v>10</v>
      </c>
      <c r="E6082" s="2" t="s">
        <v>52</v>
      </c>
      <c r="F6082" s="2">
        <v>4</v>
      </c>
      <c r="G6082" s="2" t="s">
        <v>12</v>
      </c>
    </row>
    <row r="6083" spans="1:7" x14ac:dyDescent="0.2">
      <c r="A6083" s="2" t="s">
        <v>7597</v>
      </c>
      <c r="B6083" s="2" t="s">
        <v>7600</v>
      </c>
      <c r="C6083" s="2" t="s">
        <v>7243</v>
      </c>
      <c r="D6083" s="2" t="s">
        <v>10</v>
      </c>
      <c r="E6083" s="2" t="s">
        <v>52</v>
      </c>
      <c r="F6083" s="2">
        <v>4</v>
      </c>
      <c r="G6083" s="2" t="s">
        <v>12</v>
      </c>
    </row>
    <row r="6084" spans="1:7" x14ac:dyDescent="0.2">
      <c r="A6084" s="2" t="s">
        <v>7597</v>
      </c>
      <c r="B6084" s="2" t="s">
        <v>7601</v>
      </c>
      <c r="C6084" s="2" t="s">
        <v>7243</v>
      </c>
      <c r="D6084" s="2" t="s">
        <v>10</v>
      </c>
      <c r="E6084" s="2" t="s">
        <v>52</v>
      </c>
      <c r="F6084" s="2">
        <v>4</v>
      </c>
      <c r="G6084" s="2" t="s">
        <v>12</v>
      </c>
    </row>
    <row r="6085" spans="1:7" x14ac:dyDescent="0.2">
      <c r="A6085" s="2" t="s">
        <v>7597</v>
      </c>
      <c r="B6085" s="2" t="s">
        <v>7602</v>
      </c>
      <c r="C6085" s="2" t="s">
        <v>3298</v>
      </c>
      <c r="D6085" s="2" t="s">
        <v>10</v>
      </c>
      <c r="E6085" s="2" t="s">
        <v>11</v>
      </c>
      <c r="F6085" s="2">
        <v>1</v>
      </c>
      <c r="G6085" s="2" t="s">
        <v>12</v>
      </c>
    </row>
    <row r="6086" spans="1:7" x14ac:dyDescent="0.2">
      <c r="A6086" s="2" t="s">
        <v>7597</v>
      </c>
      <c r="B6086" s="2" t="s">
        <v>7603</v>
      </c>
      <c r="C6086" s="2" t="s">
        <v>7243</v>
      </c>
      <c r="D6086" s="2" t="s">
        <v>10</v>
      </c>
      <c r="E6086" s="2" t="s">
        <v>52</v>
      </c>
      <c r="F6086" s="2">
        <v>4</v>
      </c>
      <c r="G6086" s="2" t="s">
        <v>12</v>
      </c>
    </row>
    <row r="6087" spans="1:7" x14ac:dyDescent="0.2">
      <c r="A6087" s="2" t="s">
        <v>7597</v>
      </c>
      <c r="B6087" s="2" t="s">
        <v>7604</v>
      </c>
      <c r="C6087" s="2" t="s">
        <v>7599</v>
      </c>
      <c r="D6087" s="2" t="s">
        <v>10</v>
      </c>
      <c r="E6087" s="2" t="s">
        <v>52</v>
      </c>
      <c r="F6087" s="2">
        <v>4</v>
      </c>
      <c r="G6087" s="2" t="s">
        <v>12</v>
      </c>
    </row>
    <row r="6088" spans="1:7" x14ac:dyDescent="0.2">
      <c r="A6088" s="2" t="s">
        <v>7597</v>
      </c>
      <c r="B6088" s="2" t="s">
        <v>7605</v>
      </c>
      <c r="C6088" s="2" t="s">
        <v>6647</v>
      </c>
      <c r="D6088" s="2" t="s">
        <v>10</v>
      </c>
      <c r="E6088" s="2" t="s">
        <v>16</v>
      </c>
      <c r="F6088" s="2">
        <v>2</v>
      </c>
      <c r="G6088" s="2" t="s">
        <v>12</v>
      </c>
    </row>
    <row r="6089" spans="1:7" x14ac:dyDescent="0.2">
      <c r="A6089" s="2" t="s">
        <v>7597</v>
      </c>
      <c r="B6089" s="2" t="s">
        <v>7606</v>
      </c>
      <c r="C6089" s="2" t="s">
        <v>7607</v>
      </c>
      <c r="D6089" s="2" t="s">
        <v>10</v>
      </c>
      <c r="E6089" s="2" t="s">
        <v>16</v>
      </c>
      <c r="F6089" s="2">
        <v>2</v>
      </c>
      <c r="G6089" s="2" t="s">
        <v>17</v>
      </c>
    </row>
    <row r="6090" spans="1:7" x14ac:dyDescent="0.2">
      <c r="A6090" s="2" t="s">
        <v>7597</v>
      </c>
      <c r="B6090" s="2" t="s">
        <v>7608</v>
      </c>
      <c r="C6090" s="2" t="s">
        <v>6646</v>
      </c>
      <c r="D6090" s="2" t="s">
        <v>10</v>
      </c>
      <c r="E6090" s="2" t="s">
        <v>16</v>
      </c>
      <c r="F6090" s="2">
        <v>2</v>
      </c>
      <c r="G6090" s="2" t="s">
        <v>12</v>
      </c>
    </row>
    <row r="6091" spans="1:7" x14ac:dyDescent="0.2">
      <c r="A6091" s="2" t="s">
        <v>7597</v>
      </c>
      <c r="B6091" s="2" t="s">
        <v>7609</v>
      </c>
      <c r="C6091" s="2" t="s">
        <v>6646</v>
      </c>
      <c r="D6091" s="2" t="s">
        <v>10</v>
      </c>
      <c r="E6091" s="2" t="s">
        <v>16</v>
      </c>
      <c r="F6091" s="2">
        <v>2</v>
      </c>
      <c r="G6091" s="2" t="s">
        <v>12</v>
      </c>
    </row>
    <row r="6092" spans="1:7" x14ac:dyDescent="0.2">
      <c r="A6092" s="2" t="s">
        <v>7597</v>
      </c>
      <c r="B6092" s="2" t="s">
        <v>7610</v>
      </c>
      <c r="C6092" s="2" t="s">
        <v>6646</v>
      </c>
      <c r="D6092" s="2" t="s">
        <v>10</v>
      </c>
      <c r="E6092" s="2" t="s">
        <v>16</v>
      </c>
      <c r="F6092" s="2">
        <v>2</v>
      </c>
      <c r="G6092" s="2" t="s">
        <v>12</v>
      </c>
    </row>
    <row r="6093" spans="1:7" x14ac:dyDescent="0.2">
      <c r="A6093" s="2" t="s">
        <v>7597</v>
      </c>
      <c r="B6093" s="2" t="s">
        <v>7611</v>
      </c>
      <c r="C6093" s="2" t="s">
        <v>6646</v>
      </c>
      <c r="D6093" s="2" t="s">
        <v>10</v>
      </c>
      <c r="E6093" s="2" t="s">
        <v>16</v>
      </c>
      <c r="F6093" s="2">
        <v>2</v>
      </c>
      <c r="G6093" s="2" t="s">
        <v>12</v>
      </c>
    </row>
    <row r="6094" spans="1:7" x14ac:dyDescent="0.2">
      <c r="A6094" s="2" t="s">
        <v>7597</v>
      </c>
      <c r="B6094" s="2" t="s">
        <v>7612</v>
      </c>
      <c r="C6094" s="2" t="s">
        <v>7613</v>
      </c>
      <c r="D6094" s="2" t="s">
        <v>10</v>
      </c>
      <c r="E6094" s="2" t="s">
        <v>16</v>
      </c>
      <c r="F6094" s="2">
        <v>4</v>
      </c>
      <c r="G6094" s="2" t="s">
        <v>12</v>
      </c>
    </row>
    <row r="6095" spans="1:7" x14ac:dyDescent="0.2">
      <c r="A6095" s="2" t="s">
        <v>7597</v>
      </c>
      <c r="B6095" s="2" t="s">
        <v>7614</v>
      </c>
      <c r="C6095" s="2" t="s">
        <v>7599</v>
      </c>
      <c r="D6095" s="2" t="s">
        <v>10</v>
      </c>
      <c r="E6095" s="2" t="s">
        <v>52</v>
      </c>
      <c r="F6095" s="2">
        <v>4</v>
      </c>
      <c r="G6095" s="2" t="s">
        <v>12</v>
      </c>
    </row>
    <row r="6096" spans="1:7" x14ac:dyDescent="0.2">
      <c r="A6096" s="2" t="s">
        <v>7597</v>
      </c>
      <c r="B6096" s="2" t="s">
        <v>7615</v>
      </c>
      <c r="C6096" s="2" t="s">
        <v>7599</v>
      </c>
      <c r="D6096" s="2" t="s">
        <v>10</v>
      </c>
      <c r="E6096" s="2" t="s">
        <v>52</v>
      </c>
      <c r="F6096" s="2">
        <v>4</v>
      </c>
      <c r="G6096" s="2" t="s">
        <v>12</v>
      </c>
    </row>
    <row r="6097" spans="1:7" x14ac:dyDescent="0.2">
      <c r="A6097" s="2" t="s">
        <v>7597</v>
      </c>
      <c r="B6097" s="2" t="s">
        <v>7616</v>
      </c>
      <c r="C6097" s="2" t="s">
        <v>7599</v>
      </c>
      <c r="D6097" s="2" t="s">
        <v>10</v>
      </c>
      <c r="E6097" s="2" t="s">
        <v>52</v>
      </c>
      <c r="F6097" s="2">
        <v>4</v>
      </c>
      <c r="G6097" s="2" t="s">
        <v>12</v>
      </c>
    </row>
    <row r="6098" spans="1:7" x14ac:dyDescent="0.2">
      <c r="A6098" s="2" t="s">
        <v>7597</v>
      </c>
      <c r="B6098" s="2" t="s">
        <v>7617</v>
      </c>
      <c r="C6098" s="2" t="s">
        <v>7599</v>
      </c>
      <c r="D6098" s="2" t="s">
        <v>10</v>
      </c>
      <c r="E6098" s="2" t="s">
        <v>52</v>
      </c>
      <c r="F6098" s="2">
        <v>4</v>
      </c>
      <c r="G6098" s="2" t="s">
        <v>12</v>
      </c>
    </row>
    <row r="6099" spans="1:7" x14ac:dyDescent="0.2">
      <c r="A6099" s="2" t="s">
        <v>7597</v>
      </c>
      <c r="B6099" s="2" t="s">
        <v>7618</v>
      </c>
      <c r="C6099" s="2" t="s">
        <v>7599</v>
      </c>
      <c r="D6099" s="2" t="s">
        <v>10</v>
      </c>
      <c r="E6099" s="2" t="s">
        <v>52</v>
      </c>
      <c r="F6099" s="2">
        <v>4</v>
      </c>
      <c r="G6099" s="2" t="s">
        <v>12</v>
      </c>
    </row>
    <row r="6100" spans="1:7" x14ac:dyDescent="0.2">
      <c r="A6100" s="2" t="s">
        <v>7597</v>
      </c>
      <c r="B6100" s="2" t="s">
        <v>7619</v>
      </c>
      <c r="C6100" s="2" t="s">
        <v>7599</v>
      </c>
      <c r="D6100" s="2" t="s">
        <v>10</v>
      </c>
      <c r="E6100" s="2" t="s">
        <v>52</v>
      </c>
      <c r="F6100" s="2">
        <v>4</v>
      </c>
      <c r="G6100" s="2" t="s">
        <v>12</v>
      </c>
    </row>
    <row r="6101" spans="1:7" x14ac:dyDescent="0.2">
      <c r="A6101" s="2" t="s">
        <v>7597</v>
      </c>
      <c r="B6101" s="2" t="s">
        <v>7620</v>
      </c>
      <c r="C6101" s="2" t="s">
        <v>7599</v>
      </c>
      <c r="D6101" s="2" t="s">
        <v>10</v>
      </c>
      <c r="E6101" s="2" t="s">
        <v>52</v>
      </c>
      <c r="F6101" s="2">
        <v>4</v>
      </c>
      <c r="G6101" s="2" t="s">
        <v>12</v>
      </c>
    </row>
    <row r="6102" spans="1:7" x14ac:dyDescent="0.2">
      <c r="A6102" s="2" t="s">
        <v>7597</v>
      </c>
      <c r="B6102" s="2" t="s">
        <v>7621</v>
      </c>
      <c r="C6102" s="2" t="s">
        <v>7622</v>
      </c>
      <c r="D6102" s="2" t="s">
        <v>10</v>
      </c>
      <c r="E6102" s="2" t="s">
        <v>11</v>
      </c>
      <c r="F6102" s="2">
        <v>4</v>
      </c>
      <c r="G6102" s="2" t="s">
        <v>1069</v>
      </c>
    </row>
    <row r="6103" spans="1:7" x14ac:dyDescent="0.2">
      <c r="A6103" s="2" t="s">
        <v>7597</v>
      </c>
      <c r="B6103" s="2" t="s">
        <v>7623</v>
      </c>
      <c r="C6103" s="2" t="s">
        <v>7599</v>
      </c>
      <c r="D6103" s="2" t="s">
        <v>10</v>
      </c>
      <c r="E6103" s="2" t="s">
        <v>52</v>
      </c>
      <c r="F6103" s="2">
        <v>4</v>
      </c>
      <c r="G6103" s="2" t="s">
        <v>12</v>
      </c>
    </row>
    <row r="6104" spans="1:7" x14ac:dyDescent="0.2">
      <c r="A6104" s="2" t="s">
        <v>7597</v>
      </c>
      <c r="B6104" s="2" t="s">
        <v>7624</v>
      </c>
      <c r="C6104" s="2" t="s">
        <v>7613</v>
      </c>
      <c r="D6104" s="2" t="s">
        <v>10</v>
      </c>
      <c r="E6104" s="2" t="s">
        <v>16</v>
      </c>
      <c r="F6104" s="2">
        <v>4</v>
      </c>
      <c r="G6104" s="2" t="s">
        <v>12</v>
      </c>
    </row>
    <row r="6105" spans="1:7" x14ac:dyDescent="0.2">
      <c r="A6105" s="2" t="s">
        <v>7597</v>
      </c>
      <c r="B6105" s="2" t="s">
        <v>7625</v>
      </c>
      <c r="C6105" s="2" t="s">
        <v>7243</v>
      </c>
      <c r="D6105" s="2" t="s">
        <v>10</v>
      </c>
      <c r="E6105" s="2" t="s">
        <v>52</v>
      </c>
      <c r="F6105" s="2">
        <v>4</v>
      </c>
      <c r="G6105" s="2" t="s">
        <v>12</v>
      </c>
    </row>
    <row r="6106" spans="1:7" x14ac:dyDescent="0.2">
      <c r="A6106" s="2" t="s">
        <v>7597</v>
      </c>
      <c r="B6106" s="2" t="s">
        <v>7626</v>
      </c>
      <c r="C6106" s="2" t="s">
        <v>7243</v>
      </c>
      <c r="D6106" s="2" t="s">
        <v>10</v>
      </c>
      <c r="E6106" s="2" t="s">
        <v>52</v>
      </c>
      <c r="F6106" s="2">
        <v>4</v>
      </c>
      <c r="G6106" s="2" t="s">
        <v>12</v>
      </c>
    </row>
    <row r="6107" spans="1:7" x14ac:dyDescent="0.2">
      <c r="A6107" s="2" t="s">
        <v>7597</v>
      </c>
      <c r="B6107" s="2" t="s">
        <v>7627</v>
      </c>
      <c r="C6107" s="2" t="s">
        <v>7599</v>
      </c>
      <c r="D6107" s="2" t="s">
        <v>10</v>
      </c>
      <c r="E6107" s="2" t="s">
        <v>52</v>
      </c>
      <c r="F6107" s="2">
        <v>4</v>
      </c>
      <c r="G6107" s="2" t="s">
        <v>12</v>
      </c>
    </row>
    <row r="6108" spans="1:7" x14ac:dyDescent="0.2">
      <c r="A6108" s="2" t="s">
        <v>7597</v>
      </c>
      <c r="B6108" s="2" t="s">
        <v>7628</v>
      </c>
      <c r="C6108" s="2" t="s">
        <v>7613</v>
      </c>
      <c r="D6108" s="2" t="s">
        <v>10</v>
      </c>
      <c r="E6108" s="2" t="s">
        <v>16</v>
      </c>
      <c r="F6108" s="2">
        <v>4</v>
      </c>
      <c r="G6108" s="2" t="s">
        <v>12</v>
      </c>
    </row>
    <row r="6109" spans="1:7" x14ac:dyDescent="0.2">
      <c r="A6109" s="2" t="s">
        <v>7597</v>
      </c>
      <c r="B6109" s="2" t="s">
        <v>7629</v>
      </c>
      <c r="C6109" s="2" t="s">
        <v>7599</v>
      </c>
      <c r="D6109" s="2" t="s">
        <v>10</v>
      </c>
      <c r="E6109" s="2" t="s">
        <v>52</v>
      </c>
      <c r="F6109" s="2">
        <v>4</v>
      </c>
      <c r="G6109" s="2" t="s">
        <v>12</v>
      </c>
    </row>
    <row r="6110" spans="1:7" x14ac:dyDescent="0.2">
      <c r="A6110" s="2" t="s">
        <v>7597</v>
      </c>
      <c r="B6110" s="2" t="s">
        <v>7630</v>
      </c>
      <c r="C6110" s="2" t="s">
        <v>7599</v>
      </c>
      <c r="D6110" s="2" t="s">
        <v>10</v>
      </c>
      <c r="E6110" s="2" t="s">
        <v>52</v>
      </c>
      <c r="F6110" s="2">
        <v>4</v>
      </c>
      <c r="G6110" s="2" t="s">
        <v>12</v>
      </c>
    </row>
    <row r="6111" spans="1:7" x14ac:dyDescent="0.2">
      <c r="A6111" s="2" t="s">
        <v>7597</v>
      </c>
      <c r="B6111" s="2" t="s">
        <v>7631</v>
      </c>
      <c r="C6111" s="2" t="s">
        <v>7599</v>
      </c>
      <c r="D6111" s="2" t="s">
        <v>10</v>
      </c>
      <c r="E6111" s="2" t="s">
        <v>52</v>
      </c>
      <c r="F6111" s="2">
        <v>4</v>
      </c>
      <c r="G6111" s="2" t="s">
        <v>12</v>
      </c>
    </row>
    <row r="6112" spans="1:7" x14ac:dyDescent="0.2">
      <c r="A6112" s="2" t="s">
        <v>7597</v>
      </c>
      <c r="B6112" s="2" t="s">
        <v>7632</v>
      </c>
      <c r="C6112" s="2" t="s">
        <v>7599</v>
      </c>
      <c r="D6112" s="2" t="s">
        <v>10</v>
      </c>
      <c r="E6112" s="2" t="s">
        <v>52</v>
      </c>
      <c r="F6112" s="2">
        <v>4</v>
      </c>
      <c r="G6112" s="2" t="s">
        <v>12</v>
      </c>
    </row>
    <row r="6113" spans="1:7" x14ac:dyDescent="0.2">
      <c r="A6113" s="2" t="s">
        <v>7597</v>
      </c>
      <c r="B6113" s="2" t="s">
        <v>7633</v>
      </c>
      <c r="C6113" s="2" t="s">
        <v>7599</v>
      </c>
      <c r="D6113" s="2" t="s">
        <v>10</v>
      </c>
      <c r="E6113" s="2" t="s">
        <v>52</v>
      </c>
      <c r="F6113" s="2">
        <v>4</v>
      </c>
      <c r="G6113" s="2" t="s">
        <v>12</v>
      </c>
    </row>
    <row r="6114" spans="1:7" x14ac:dyDescent="0.2">
      <c r="A6114" s="2" t="s">
        <v>7597</v>
      </c>
      <c r="B6114" s="2" t="s">
        <v>7634</v>
      </c>
      <c r="C6114" s="2" t="s">
        <v>7599</v>
      </c>
      <c r="D6114" s="2" t="s">
        <v>10</v>
      </c>
      <c r="E6114" s="2" t="s">
        <v>52</v>
      </c>
      <c r="F6114" s="2">
        <v>4</v>
      </c>
      <c r="G6114" s="2" t="s">
        <v>12</v>
      </c>
    </row>
    <row r="6115" spans="1:7" x14ac:dyDescent="0.2">
      <c r="A6115" s="2" t="s">
        <v>7597</v>
      </c>
      <c r="B6115" s="2" t="s">
        <v>7635</v>
      </c>
      <c r="C6115" s="2" t="s">
        <v>7636</v>
      </c>
      <c r="D6115" s="2" t="s">
        <v>10</v>
      </c>
      <c r="E6115" s="2" t="s">
        <v>16</v>
      </c>
      <c r="F6115" s="2">
        <v>2</v>
      </c>
      <c r="G6115" s="2" t="s">
        <v>17</v>
      </c>
    </row>
    <row r="6116" spans="1:7" x14ac:dyDescent="0.2">
      <c r="A6116" s="2" t="s">
        <v>7597</v>
      </c>
      <c r="B6116" s="2" t="s">
        <v>7637</v>
      </c>
      <c r="C6116" s="2" t="s">
        <v>7638</v>
      </c>
      <c r="D6116" s="2" t="s">
        <v>10</v>
      </c>
      <c r="E6116" s="2" t="s">
        <v>52</v>
      </c>
      <c r="F6116" s="2">
        <v>4</v>
      </c>
      <c r="G6116" s="2" t="s">
        <v>12</v>
      </c>
    </row>
    <row r="6117" spans="1:7" x14ac:dyDescent="0.2">
      <c r="A6117" s="2" t="s">
        <v>7597</v>
      </c>
      <c r="B6117" s="2" t="s">
        <v>7639</v>
      </c>
      <c r="C6117" s="2" t="s">
        <v>7607</v>
      </c>
      <c r="D6117" s="2" t="s">
        <v>10</v>
      </c>
      <c r="E6117" s="2" t="s">
        <v>16</v>
      </c>
      <c r="F6117" s="2">
        <v>2</v>
      </c>
      <c r="G6117" s="2" t="s">
        <v>17</v>
      </c>
    </row>
    <row r="6118" spans="1:7" x14ac:dyDescent="0.2">
      <c r="A6118" s="2" t="s">
        <v>7597</v>
      </c>
      <c r="B6118" s="2" t="s">
        <v>7242</v>
      </c>
      <c r="C6118" s="2" t="s">
        <v>7243</v>
      </c>
      <c r="D6118" s="2" t="s">
        <v>10</v>
      </c>
      <c r="E6118" s="2" t="s">
        <v>52</v>
      </c>
      <c r="F6118" s="2">
        <v>4</v>
      </c>
      <c r="G6118" s="2" t="s">
        <v>12</v>
      </c>
    </row>
    <row r="6119" spans="1:7" x14ac:dyDescent="0.2">
      <c r="A6119" s="2" t="s">
        <v>7597</v>
      </c>
      <c r="B6119" s="2" t="s">
        <v>7640</v>
      </c>
      <c r="C6119" s="2" t="s">
        <v>7641</v>
      </c>
      <c r="D6119" s="2" t="s">
        <v>10</v>
      </c>
      <c r="E6119" s="2" t="s">
        <v>11</v>
      </c>
      <c r="F6119" s="2">
        <v>1</v>
      </c>
      <c r="G6119" s="2" t="s">
        <v>12</v>
      </c>
    </row>
    <row r="6120" spans="1:7" x14ac:dyDescent="0.2">
      <c r="A6120" s="2" t="s">
        <v>7597</v>
      </c>
      <c r="B6120" s="2" t="s">
        <v>7642</v>
      </c>
      <c r="C6120" s="2" t="s">
        <v>7643</v>
      </c>
      <c r="D6120" s="2" t="s">
        <v>10</v>
      </c>
      <c r="E6120" s="2" t="s">
        <v>16</v>
      </c>
      <c r="F6120" s="2">
        <v>2</v>
      </c>
      <c r="G6120" s="2" t="s">
        <v>12</v>
      </c>
    </row>
    <row r="6121" spans="1:7" x14ac:dyDescent="0.2">
      <c r="A6121" s="2" t="s">
        <v>7597</v>
      </c>
      <c r="B6121" s="2" t="s">
        <v>5679</v>
      </c>
      <c r="C6121" s="2" t="s">
        <v>5680</v>
      </c>
      <c r="D6121" s="2" t="s">
        <v>10</v>
      </c>
      <c r="E6121" s="2" t="s">
        <v>11</v>
      </c>
      <c r="F6121" s="2">
        <v>1</v>
      </c>
      <c r="G6121" s="2" t="s">
        <v>12</v>
      </c>
    </row>
    <row r="6122" spans="1:7" x14ac:dyDescent="0.2">
      <c r="A6122" s="2" t="s">
        <v>7597</v>
      </c>
      <c r="B6122" s="2" t="s">
        <v>3339</v>
      </c>
      <c r="C6122" s="2" t="s">
        <v>3282</v>
      </c>
      <c r="D6122" s="2" t="s">
        <v>10</v>
      </c>
      <c r="E6122" s="2" t="s">
        <v>11</v>
      </c>
      <c r="F6122" s="2">
        <v>1</v>
      </c>
      <c r="G6122" s="2" t="s">
        <v>12</v>
      </c>
    </row>
    <row r="6123" spans="1:7" x14ac:dyDescent="0.2">
      <c r="A6123" s="2" t="s">
        <v>7597</v>
      </c>
      <c r="B6123" s="2" t="s">
        <v>7644</v>
      </c>
      <c r="C6123" s="2" t="s">
        <v>7645</v>
      </c>
      <c r="D6123" s="2" t="s">
        <v>10</v>
      </c>
      <c r="E6123" s="2" t="s">
        <v>11</v>
      </c>
      <c r="F6123" s="2">
        <v>2</v>
      </c>
      <c r="G6123" s="2" t="s">
        <v>12</v>
      </c>
    </row>
    <row r="6124" spans="1:7" x14ac:dyDescent="0.2">
      <c r="A6124" s="2" t="s">
        <v>7597</v>
      </c>
      <c r="B6124" s="2" t="s">
        <v>5687</v>
      </c>
      <c r="C6124" s="2" t="s">
        <v>5680</v>
      </c>
      <c r="D6124" s="2" t="s">
        <v>10</v>
      </c>
      <c r="E6124" s="2" t="s">
        <v>11</v>
      </c>
      <c r="F6124" s="2">
        <v>1</v>
      </c>
      <c r="G6124" s="2" t="s">
        <v>12</v>
      </c>
    </row>
    <row r="6125" spans="1:7" x14ac:dyDescent="0.2">
      <c r="A6125" s="2" t="s">
        <v>7597</v>
      </c>
      <c r="B6125" s="2" t="s">
        <v>6294</v>
      </c>
      <c r="C6125" s="2" t="s">
        <v>6647</v>
      </c>
      <c r="D6125" s="2" t="s">
        <v>10</v>
      </c>
      <c r="E6125" s="2" t="s">
        <v>16</v>
      </c>
      <c r="F6125" s="2">
        <v>2</v>
      </c>
      <c r="G6125" s="2" t="s">
        <v>12</v>
      </c>
    </row>
    <row r="6126" spans="1:7" x14ac:dyDescent="0.2">
      <c r="A6126" s="2" t="s">
        <v>7597</v>
      </c>
      <c r="B6126" s="2" t="s">
        <v>7646</v>
      </c>
      <c r="C6126" s="2" t="s">
        <v>7599</v>
      </c>
      <c r="D6126" s="2" t="s">
        <v>10</v>
      </c>
      <c r="E6126" s="2" t="s">
        <v>52</v>
      </c>
      <c r="F6126" s="2">
        <v>4</v>
      </c>
      <c r="G6126" s="2" t="s">
        <v>12</v>
      </c>
    </row>
    <row r="6127" spans="1:7" x14ac:dyDescent="0.2">
      <c r="A6127" s="2" t="s">
        <v>7597</v>
      </c>
      <c r="B6127" s="2" t="s">
        <v>7647</v>
      </c>
      <c r="C6127" s="2" t="s">
        <v>7599</v>
      </c>
      <c r="D6127" s="2" t="s">
        <v>10</v>
      </c>
      <c r="E6127" s="2" t="s">
        <v>52</v>
      </c>
      <c r="F6127" s="2">
        <v>4</v>
      </c>
      <c r="G6127" s="2" t="s">
        <v>12</v>
      </c>
    </row>
    <row r="6128" spans="1:7" x14ac:dyDescent="0.2">
      <c r="A6128" s="2" t="s">
        <v>7597</v>
      </c>
      <c r="B6128" s="2" t="s">
        <v>7648</v>
      </c>
      <c r="C6128" s="2" t="s">
        <v>7649</v>
      </c>
      <c r="D6128" s="2" t="s">
        <v>10</v>
      </c>
      <c r="E6128" s="2" t="s">
        <v>16</v>
      </c>
      <c r="F6128" s="2">
        <v>2</v>
      </c>
      <c r="G6128" s="2" t="s">
        <v>12</v>
      </c>
    </row>
    <row r="6129" spans="1:7" x14ac:dyDescent="0.2">
      <c r="A6129" s="2" t="s">
        <v>7597</v>
      </c>
      <c r="B6129" s="2" t="s">
        <v>7650</v>
      </c>
      <c r="C6129" s="2" t="s">
        <v>7599</v>
      </c>
      <c r="D6129" s="2" t="s">
        <v>10</v>
      </c>
      <c r="E6129" s="2" t="s">
        <v>52</v>
      </c>
      <c r="F6129" s="2">
        <v>4</v>
      </c>
      <c r="G6129" s="2" t="s">
        <v>12</v>
      </c>
    </row>
    <row r="6130" spans="1:7" x14ac:dyDescent="0.2">
      <c r="A6130" s="2" t="s">
        <v>7597</v>
      </c>
      <c r="B6130" s="2" t="s">
        <v>7651</v>
      </c>
      <c r="C6130" s="2" t="s">
        <v>7652</v>
      </c>
      <c r="D6130" s="2" t="s">
        <v>10</v>
      </c>
      <c r="E6130" s="2" t="s">
        <v>11</v>
      </c>
      <c r="F6130" s="2">
        <v>4</v>
      </c>
      <c r="G6130" s="2" t="s">
        <v>12</v>
      </c>
    </row>
    <row r="6131" spans="1:7" x14ac:dyDescent="0.2">
      <c r="A6131" s="2" t="s">
        <v>7597</v>
      </c>
      <c r="B6131" s="2" t="s">
        <v>7653</v>
      </c>
      <c r="C6131" s="2" t="s">
        <v>7654</v>
      </c>
      <c r="D6131" s="2" t="s">
        <v>10</v>
      </c>
      <c r="E6131" s="2" t="s">
        <v>11</v>
      </c>
      <c r="F6131" s="2">
        <v>4</v>
      </c>
      <c r="G6131" s="2" t="s">
        <v>12</v>
      </c>
    </row>
    <row r="6132" spans="1:7" x14ac:dyDescent="0.2">
      <c r="A6132" s="2" t="s">
        <v>7597</v>
      </c>
      <c r="B6132" s="2" t="s">
        <v>7655</v>
      </c>
      <c r="C6132" s="2" t="s">
        <v>7654</v>
      </c>
      <c r="D6132" s="2" t="s">
        <v>10</v>
      </c>
      <c r="E6132" s="2" t="s">
        <v>11</v>
      </c>
      <c r="F6132" s="2">
        <v>4</v>
      </c>
      <c r="G6132" s="2" t="s">
        <v>12</v>
      </c>
    </row>
    <row r="6133" spans="1:7" x14ac:dyDescent="0.2">
      <c r="A6133" s="2" t="s">
        <v>7597</v>
      </c>
      <c r="B6133" s="2" t="s">
        <v>7656</v>
      </c>
      <c r="C6133" s="2" t="s">
        <v>7652</v>
      </c>
      <c r="D6133" s="2" t="s">
        <v>10</v>
      </c>
      <c r="E6133" s="2" t="s">
        <v>11</v>
      </c>
      <c r="F6133" s="2">
        <v>4</v>
      </c>
      <c r="G6133" s="2" t="s">
        <v>12</v>
      </c>
    </row>
    <row r="6134" spans="1:7" x14ac:dyDescent="0.2">
      <c r="A6134" s="2" t="s">
        <v>7597</v>
      </c>
      <c r="B6134" s="2" t="s">
        <v>7657</v>
      </c>
      <c r="C6134" s="2" t="s">
        <v>7607</v>
      </c>
      <c r="D6134" s="2" t="s">
        <v>10</v>
      </c>
      <c r="E6134" s="2" t="s">
        <v>16</v>
      </c>
      <c r="F6134" s="2">
        <v>2</v>
      </c>
      <c r="G6134" s="2" t="s">
        <v>17</v>
      </c>
    </row>
    <row r="6135" spans="1:7" x14ac:dyDescent="0.2">
      <c r="A6135" s="2" t="s">
        <v>7597</v>
      </c>
      <c r="B6135" s="2" t="s">
        <v>7658</v>
      </c>
      <c r="C6135" s="2" t="s">
        <v>7599</v>
      </c>
      <c r="D6135" s="2" t="s">
        <v>10</v>
      </c>
      <c r="E6135" s="2" t="s">
        <v>52</v>
      </c>
      <c r="F6135" s="2">
        <v>4</v>
      </c>
      <c r="G6135" s="2" t="s">
        <v>12</v>
      </c>
    </row>
    <row r="6136" spans="1:7" x14ac:dyDescent="0.2">
      <c r="A6136" s="2" t="s">
        <v>7597</v>
      </c>
      <c r="B6136" s="2" t="s">
        <v>7659</v>
      </c>
      <c r="C6136" s="2" t="s">
        <v>7599</v>
      </c>
      <c r="D6136" s="2" t="s">
        <v>10</v>
      </c>
      <c r="E6136" s="2" t="s">
        <v>52</v>
      </c>
      <c r="F6136" s="2">
        <v>4</v>
      </c>
      <c r="G6136" s="2" t="s">
        <v>12</v>
      </c>
    </row>
    <row r="6137" spans="1:7" x14ac:dyDescent="0.2">
      <c r="A6137" s="2" t="s">
        <v>7597</v>
      </c>
      <c r="B6137" s="2" t="s">
        <v>7660</v>
      </c>
      <c r="C6137" s="2" t="s">
        <v>7599</v>
      </c>
      <c r="D6137" s="2" t="s">
        <v>10</v>
      </c>
      <c r="E6137" s="2" t="s">
        <v>52</v>
      </c>
      <c r="F6137" s="2">
        <v>4</v>
      </c>
      <c r="G6137" s="2" t="s">
        <v>12</v>
      </c>
    </row>
    <row r="6138" spans="1:7" x14ac:dyDescent="0.2">
      <c r="A6138" s="2" t="s">
        <v>7597</v>
      </c>
      <c r="B6138" s="2" t="s">
        <v>7661</v>
      </c>
      <c r="C6138" s="2" t="s">
        <v>7599</v>
      </c>
      <c r="D6138" s="2" t="s">
        <v>10</v>
      </c>
      <c r="E6138" s="2" t="s">
        <v>52</v>
      </c>
      <c r="F6138" s="2">
        <v>4</v>
      </c>
      <c r="G6138" s="2" t="s">
        <v>12</v>
      </c>
    </row>
    <row r="6139" spans="1:7" x14ac:dyDescent="0.2">
      <c r="A6139" s="2" t="s">
        <v>7597</v>
      </c>
      <c r="B6139" s="2" t="s">
        <v>7662</v>
      </c>
      <c r="C6139" s="2" t="s">
        <v>7599</v>
      </c>
      <c r="D6139" s="2" t="s">
        <v>10</v>
      </c>
      <c r="E6139" s="2" t="s">
        <v>52</v>
      </c>
      <c r="F6139" s="2">
        <v>4</v>
      </c>
      <c r="G6139" s="2" t="s">
        <v>12</v>
      </c>
    </row>
    <row r="6140" spans="1:7" x14ac:dyDescent="0.2">
      <c r="A6140" s="2" t="s">
        <v>7597</v>
      </c>
      <c r="B6140" s="2" t="s">
        <v>7663</v>
      </c>
      <c r="C6140" s="2" t="s">
        <v>7599</v>
      </c>
      <c r="D6140" s="2" t="s">
        <v>10</v>
      </c>
      <c r="E6140" s="2" t="s">
        <v>52</v>
      </c>
      <c r="F6140" s="2">
        <v>4</v>
      </c>
      <c r="G6140" s="2" t="s">
        <v>12</v>
      </c>
    </row>
    <row r="6141" spans="1:7" x14ac:dyDescent="0.2">
      <c r="A6141" s="2" t="s">
        <v>7597</v>
      </c>
      <c r="B6141" s="2" t="s">
        <v>7664</v>
      </c>
      <c r="C6141" s="2" t="s">
        <v>7599</v>
      </c>
      <c r="D6141" s="2" t="s">
        <v>10</v>
      </c>
      <c r="E6141" s="2" t="s">
        <v>52</v>
      </c>
      <c r="F6141" s="2">
        <v>4</v>
      </c>
      <c r="G6141" s="2" t="s">
        <v>12</v>
      </c>
    </row>
    <row r="6142" spans="1:7" x14ac:dyDescent="0.2">
      <c r="A6142" s="2" t="s">
        <v>7597</v>
      </c>
      <c r="B6142" s="2" t="s">
        <v>7665</v>
      </c>
      <c r="C6142" s="2" t="s">
        <v>7636</v>
      </c>
      <c r="D6142" s="2" t="s">
        <v>10</v>
      </c>
      <c r="E6142" s="2" t="s">
        <v>16</v>
      </c>
      <c r="F6142" s="2">
        <v>2</v>
      </c>
      <c r="G6142" s="2" t="s">
        <v>17</v>
      </c>
    </row>
    <row r="6143" spans="1:7" x14ac:dyDescent="0.2">
      <c r="A6143" s="2" t="s">
        <v>7597</v>
      </c>
      <c r="B6143" s="2" t="s">
        <v>7666</v>
      </c>
      <c r="C6143" s="2" t="s">
        <v>7607</v>
      </c>
      <c r="D6143" s="2" t="s">
        <v>10</v>
      </c>
      <c r="E6143" s="2" t="s">
        <v>16</v>
      </c>
      <c r="F6143" s="2">
        <v>2</v>
      </c>
      <c r="G6143" s="2" t="s">
        <v>17</v>
      </c>
    </row>
    <row r="6144" spans="1:7" x14ac:dyDescent="0.2">
      <c r="A6144" s="2" t="s">
        <v>7597</v>
      </c>
      <c r="B6144" s="2" t="s">
        <v>7667</v>
      </c>
      <c r="C6144" s="2" t="s">
        <v>7649</v>
      </c>
      <c r="D6144" s="2" t="s">
        <v>10</v>
      </c>
      <c r="E6144" s="2" t="s">
        <v>16</v>
      </c>
      <c r="F6144" s="2">
        <v>2</v>
      </c>
      <c r="G6144" s="2" t="s">
        <v>12</v>
      </c>
    </row>
    <row r="6145" spans="1:7" x14ac:dyDescent="0.2">
      <c r="A6145" s="2" t="s">
        <v>7597</v>
      </c>
      <c r="B6145" s="2" t="s">
        <v>7668</v>
      </c>
      <c r="C6145" s="2" t="s">
        <v>7649</v>
      </c>
      <c r="D6145" s="2" t="s">
        <v>10</v>
      </c>
      <c r="E6145" s="2" t="s">
        <v>16</v>
      </c>
      <c r="F6145" s="2">
        <v>2</v>
      </c>
      <c r="G6145" s="2" t="s">
        <v>12</v>
      </c>
    </row>
    <row r="6146" spans="1:7" x14ac:dyDescent="0.2">
      <c r="A6146" s="2" t="s">
        <v>7597</v>
      </c>
      <c r="B6146" s="2" t="s">
        <v>7669</v>
      </c>
      <c r="C6146" s="2" t="s">
        <v>6647</v>
      </c>
      <c r="D6146" s="2" t="s">
        <v>10</v>
      </c>
      <c r="E6146" s="2" t="s">
        <v>16</v>
      </c>
      <c r="F6146" s="2">
        <v>2</v>
      </c>
      <c r="G6146" s="2" t="s">
        <v>12</v>
      </c>
    </row>
    <row r="6147" spans="1:7" x14ac:dyDescent="0.2">
      <c r="A6147" s="2" t="s">
        <v>7597</v>
      </c>
      <c r="B6147" s="2" t="s">
        <v>7670</v>
      </c>
      <c r="C6147" s="2" t="s">
        <v>6646</v>
      </c>
      <c r="D6147" s="2" t="s">
        <v>10</v>
      </c>
      <c r="E6147" s="2" t="s">
        <v>16</v>
      </c>
      <c r="F6147" s="2">
        <v>2</v>
      </c>
      <c r="G6147" s="2" t="s">
        <v>12</v>
      </c>
    </row>
    <row r="6148" spans="1:7" x14ac:dyDescent="0.2">
      <c r="A6148" s="2" t="s">
        <v>7597</v>
      </c>
      <c r="B6148" s="2" t="s">
        <v>7671</v>
      </c>
      <c r="C6148" s="2" t="s">
        <v>7613</v>
      </c>
      <c r="D6148" s="2" t="s">
        <v>10</v>
      </c>
      <c r="E6148" s="2" t="s">
        <v>16</v>
      </c>
      <c r="F6148" s="2">
        <v>4</v>
      </c>
      <c r="G6148" s="2" t="s">
        <v>12</v>
      </c>
    </row>
    <row r="6149" spans="1:7" x14ac:dyDescent="0.2">
      <c r="A6149" s="2" t="s">
        <v>7597</v>
      </c>
      <c r="B6149" s="2" t="s">
        <v>7672</v>
      </c>
      <c r="C6149" s="2" t="s">
        <v>7599</v>
      </c>
      <c r="D6149" s="2" t="s">
        <v>10</v>
      </c>
      <c r="E6149" s="2" t="s">
        <v>52</v>
      </c>
      <c r="F6149" s="2">
        <v>4</v>
      </c>
      <c r="G6149" s="2" t="s">
        <v>12</v>
      </c>
    </row>
    <row r="6150" spans="1:7" x14ac:dyDescent="0.2">
      <c r="A6150" s="2" t="s">
        <v>7597</v>
      </c>
      <c r="B6150" s="2" t="s">
        <v>7673</v>
      </c>
      <c r="C6150" s="2" t="s">
        <v>6647</v>
      </c>
      <c r="D6150" s="2" t="s">
        <v>10</v>
      </c>
      <c r="E6150" s="2" t="s">
        <v>16</v>
      </c>
      <c r="F6150" s="2">
        <v>2</v>
      </c>
      <c r="G6150" s="2" t="s">
        <v>12</v>
      </c>
    </row>
    <row r="6151" spans="1:7" x14ac:dyDescent="0.2">
      <c r="A6151" s="2" t="s">
        <v>7597</v>
      </c>
      <c r="B6151" s="2" t="s">
        <v>7674</v>
      </c>
      <c r="C6151" s="2" t="s">
        <v>7243</v>
      </c>
      <c r="D6151" s="2" t="s">
        <v>10</v>
      </c>
      <c r="E6151" s="2" t="s">
        <v>52</v>
      </c>
      <c r="F6151" s="2">
        <v>4</v>
      </c>
      <c r="G6151" s="2" t="s">
        <v>12</v>
      </c>
    </row>
    <row r="6152" spans="1:7" x14ac:dyDescent="0.2">
      <c r="A6152" s="2" t="s">
        <v>7597</v>
      </c>
      <c r="B6152" s="2" t="s">
        <v>7675</v>
      </c>
      <c r="C6152" s="2" t="s">
        <v>7638</v>
      </c>
      <c r="D6152" s="2" t="s">
        <v>10</v>
      </c>
      <c r="E6152" s="2" t="s">
        <v>52</v>
      </c>
      <c r="F6152" s="2">
        <v>4</v>
      </c>
      <c r="G6152" s="2" t="s">
        <v>12</v>
      </c>
    </row>
    <row r="6153" spans="1:7" x14ac:dyDescent="0.2">
      <c r="A6153" s="2" t="s">
        <v>7597</v>
      </c>
      <c r="B6153" s="2" t="s">
        <v>7676</v>
      </c>
      <c r="C6153" s="2" t="s">
        <v>7643</v>
      </c>
      <c r="D6153" s="2" t="s">
        <v>10</v>
      </c>
      <c r="E6153" s="2" t="s">
        <v>16</v>
      </c>
      <c r="F6153" s="2">
        <v>2</v>
      </c>
      <c r="G6153" s="2" t="s">
        <v>12</v>
      </c>
    </row>
    <row r="6154" spans="1:7" x14ac:dyDescent="0.2">
      <c r="A6154" s="2" t="s">
        <v>7597</v>
      </c>
      <c r="B6154" s="2" t="s">
        <v>7677</v>
      </c>
      <c r="C6154" s="2" t="s">
        <v>6647</v>
      </c>
      <c r="D6154" s="2" t="s">
        <v>10</v>
      </c>
      <c r="E6154" s="2" t="s">
        <v>16</v>
      </c>
      <c r="F6154" s="2">
        <v>2</v>
      </c>
      <c r="G6154" s="2" t="s">
        <v>12</v>
      </c>
    </row>
    <row r="6155" spans="1:7" x14ac:dyDescent="0.2">
      <c r="A6155" s="2" t="s">
        <v>7597</v>
      </c>
      <c r="B6155" s="2" t="s">
        <v>7678</v>
      </c>
      <c r="C6155" s="2" t="s">
        <v>7243</v>
      </c>
      <c r="D6155" s="2" t="s">
        <v>10</v>
      </c>
      <c r="E6155" s="2" t="s">
        <v>52</v>
      </c>
      <c r="F6155" s="2">
        <v>4</v>
      </c>
      <c r="G6155" s="2" t="s">
        <v>12</v>
      </c>
    </row>
    <row r="6156" spans="1:7" x14ac:dyDescent="0.2">
      <c r="A6156" s="2" t="s">
        <v>7597</v>
      </c>
      <c r="B6156" s="2" t="s">
        <v>7679</v>
      </c>
      <c r="C6156" s="2" t="s">
        <v>7622</v>
      </c>
      <c r="D6156" s="2" t="s">
        <v>10</v>
      </c>
      <c r="E6156" s="2" t="s">
        <v>11</v>
      </c>
      <c r="F6156" s="2">
        <v>4</v>
      </c>
      <c r="G6156" s="2" t="s">
        <v>1069</v>
      </c>
    </row>
    <row r="6157" spans="1:7" x14ac:dyDescent="0.2">
      <c r="A6157" s="2" t="s">
        <v>7597</v>
      </c>
      <c r="B6157" s="2" t="s">
        <v>7680</v>
      </c>
      <c r="C6157" s="2" t="s">
        <v>7643</v>
      </c>
      <c r="D6157" s="2" t="s">
        <v>10</v>
      </c>
      <c r="E6157" s="2" t="s">
        <v>16</v>
      </c>
      <c r="F6157" s="2">
        <v>2</v>
      </c>
      <c r="G6157" s="2" t="s">
        <v>12</v>
      </c>
    </row>
    <row r="6158" spans="1:7" x14ac:dyDescent="0.2">
      <c r="A6158" s="2" t="s">
        <v>7597</v>
      </c>
      <c r="B6158" s="2" t="s">
        <v>7681</v>
      </c>
      <c r="C6158" s="2" t="s">
        <v>7682</v>
      </c>
      <c r="D6158" s="2" t="s">
        <v>10</v>
      </c>
      <c r="E6158" s="2" t="s">
        <v>11</v>
      </c>
      <c r="F6158" s="2">
        <v>2</v>
      </c>
      <c r="G6158" s="2" t="s">
        <v>12</v>
      </c>
    </row>
    <row r="6159" spans="1:7" x14ac:dyDescent="0.2">
      <c r="A6159" s="2" t="s">
        <v>7597</v>
      </c>
      <c r="B6159" s="2" t="s">
        <v>7683</v>
      </c>
      <c r="C6159" s="2" t="s">
        <v>7643</v>
      </c>
      <c r="D6159" s="2" t="s">
        <v>10</v>
      </c>
      <c r="E6159" s="2" t="s">
        <v>16</v>
      </c>
      <c r="F6159" s="2">
        <v>2</v>
      </c>
      <c r="G6159" s="2" t="s">
        <v>12</v>
      </c>
    </row>
    <row r="6160" spans="1:7" x14ac:dyDescent="0.2">
      <c r="A6160" s="2" t="s">
        <v>7597</v>
      </c>
      <c r="B6160" s="2" t="s">
        <v>7684</v>
      </c>
      <c r="C6160" s="2" t="s">
        <v>7685</v>
      </c>
      <c r="D6160" s="2" t="s">
        <v>10</v>
      </c>
      <c r="E6160" s="2" t="s">
        <v>16</v>
      </c>
      <c r="F6160" s="2">
        <v>2</v>
      </c>
      <c r="G6160" s="2" t="s">
        <v>12</v>
      </c>
    </row>
    <row r="6161" spans="1:7" x14ac:dyDescent="0.2">
      <c r="A6161" s="2" t="s">
        <v>7597</v>
      </c>
      <c r="B6161" s="2" t="s">
        <v>7686</v>
      </c>
      <c r="C6161" s="2" t="s">
        <v>3298</v>
      </c>
      <c r="D6161" s="2" t="s">
        <v>10</v>
      </c>
      <c r="E6161" s="2" t="s">
        <v>11</v>
      </c>
      <c r="F6161" s="2">
        <v>1</v>
      </c>
      <c r="G6161" s="2" t="s">
        <v>12</v>
      </c>
    </row>
    <row r="6162" spans="1:7" x14ac:dyDescent="0.2">
      <c r="A6162" s="2" t="s">
        <v>7597</v>
      </c>
      <c r="B6162" s="2" t="s">
        <v>7687</v>
      </c>
      <c r="C6162" s="2" t="s">
        <v>3298</v>
      </c>
      <c r="D6162" s="2" t="s">
        <v>10</v>
      </c>
      <c r="E6162" s="2" t="s">
        <v>11</v>
      </c>
      <c r="F6162" s="2">
        <v>1</v>
      </c>
      <c r="G6162" s="2" t="s">
        <v>12</v>
      </c>
    </row>
    <row r="6163" spans="1:7" x14ac:dyDescent="0.2">
      <c r="A6163" s="2" t="s">
        <v>7597</v>
      </c>
      <c r="B6163" s="2" t="s">
        <v>7688</v>
      </c>
      <c r="C6163" s="2" t="s">
        <v>3282</v>
      </c>
      <c r="D6163" s="2" t="s">
        <v>10</v>
      </c>
      <c r="E6163" s="2" t="s">
        <v>11</v>
      </c>
      <c r="F6163" s="2">
        <v>1</v>
      </c>
      <c r="G6163" s="2" t="s">
        <v>12</v>
      </c>
    </row>
    <row r="6164" spans="1:7" x14ac:dyDescent="0.2">
      <c r="A6164" s="2" t="s">
        <v>7597</v>
      </c>
      <c r="B6164" s="2" t="s">
        <v>7689</v>
      </c>
      <c r="C6164" s="2" t="s">
        <v>3282</v>
      </c>
      <c r="D6164" s="2" t="s">
        <v>10</v>
      </c>
      <c r="E6164" s="2" t="s">
        <v>11</v>
      </c>
      <c r="F6164" s="2">
        <v>1</v>
      </c>
      <c r="G6164" s="2" t="s">
        <v>12</v>
      </c>
    </row>
    <row r="6165" spans="1:7" x14ac:dyDescent="0.2">
      <c r="A6165" s="2" t="s">
        <v>7597</v>
      </c>
      <c r="B6165" s="2" t="s">
        <v>7690</v>
      </c>
      <c r="C6165" s="2" t="s">
        <v>7243</v>
      </c>
      <c r="D6165" s="2" t="s">
        <v>10</v>
      </c>
      <c r="E6165" s="2" t="s">
        <v>52</v>
      </c>
      <c r="F6165" s="2">
        <v>4</v>
      </c>
      <c r="G6165" s="2" t="s">
        <v>12</v>
      </c>
    </row>
    <row r="6166" spans="1:7" x14ac:dyDescent="0.2">
      <c r="A6166" s="2" t="s">
        <v>7597</v>
      </c>
      <c r="B6166" s="2" t="s">
        <v>7691</v>
      </c>
      <c r="C6166" s="2" t="s">
        <v>7685</v>
      </c>
      <c r="D6166" s="2" t="s">
        <v>10</v>
      </c>
      <c r="E6166" s="2" t="s">
        <v>16</v>
      </c>
      <c r="F6166" s="2">
        <v>2</v>
      </c>
      <c r="G6166" s="2" t="s">
        <v>12</v>
      </c>
    </row>
    <row r="6167" spans="1:7" x14ac:dyDescent="0.2">
      <c r="A6167" s="2" t="s">
        <v>7597</v>
      </c>
      <c r="B6167" s="2" t="s">
        <v>7692</v>
      </c>
      <c r="C6167" s="2" t="s">
        <v>7613</v>
      </c>
      <c r="D6167" s="2" t="s">
        <v>10</v>
      </c>
      <c r="E6167" s="2" t="s">
        <v>16</v>
      </c>
      <c r="F6167" s="2">
        <v>4</v>
      </c>
      <c r="G6167" s="2" t="s">
        <v>12</v>
      </c>
    </row>
    <row r="6168" spans="1:7" x14ac:dyDescent="0.2">
      <c r="A6168" s="2" t="s">
        <v>7597</v>
      </c>
      <c r="B6168" s="2" t="s">
        <v>7693</v>
      </c>
      <c r="C6168" s="2" t="s">
        <v>7243</v>
      </c>
      <c r="D6168" s="2" t="s">
        <v>10</v>
      </c>
      <c r="E6168" s="2" t="s">
        <v>52</v>
      </c>
      <c r="F6168" s="2">
        <v>4</v>
      </c>
      <c r="G6168" s="2" t="s">
        <v>12</v>
      </c>
    </row>
    <row r="6169" spans="1:7" x14ac:dyDescent="0.2">
      <c r="A6169" s="2" t="s">
        <v>7597</v>
      </c>
      <c r="B6169" s="2" t="s">
        <v>7694</v>
      </c>
      <c r="C6169" s="2" t="s">
        <v>7685</v>
      </c>
      <c r="D6169" s="2" t="s">
        <v>10</v>
      </c>
      <c r="E6169" s="2" t="s">
        <v>16</v>
      </c>
      <c r="F6169" s="2">
        <v>2</v>
      </c>
      <c r="G6169" s="2" t="s">
        <v>12</v>
      </c>
    </row>
    <row r="6170" spans="1:7" x14ac:dyDescent="0.2">
      <c r="A6170" s="2" t="s">
        <v>7597</v>
      </c>
      <c r="B6170" s="2" t="s">
        <v>7695</v>
      </c>
      <c r="C6170" s="2" t="s">
        <v>7696</v>
      </c>
      <c r="D6170" s="2" t="s">
        <v>10</v>
      </c>
      <c r="E6170" s="2" t="s">
        <v>11</v>
      </c>
      <c r="F6170" s="2">
        <v>3</v>
      </c>
      <c r="G6170" s="2" t="s">
        <v>1069</v>
      </c>
    </row>
    <row r="6171" spans="1:7" x14ac:dyDescent="0.2">
      <c r="A6171" s="2" t="s">
        <v>7597</v>
      </c>
      <c r="B6171" s="2" t="s">
        <v>7697</v>
      </c>
      <c r="C6171" s="2" t="s">
        <v>7613</v>
      </c>
      <c r="D6171" s="2" t="s">
        <v>10</v>
      </c>
      <c r="E6171" s="2" t="s">
        <v>16</v>
      </c>
      <c r="F6171" s="2">
        <v>4</v>
      </c>
      <c r="G6171" s="2" t="s">
        <v>12</v>
      </c>
    </row>
    <row r="6172" spans="1:7" x14ac:dyDescent="0.2">
      <c r="A6172" s="2" t="s">
        <v>7597</v>
      </c>
      <c r="B6172" s="2" t="s">
        <v>7698</v>
      </c>
      <c r="C6172" s="2" t="s">
        <v>7652</v>
      </c>
      <c r="D6172" s="2" t="s">
        <v>10</v>
      </c>
      <c r="E6172" s="2" t="s">
        <v>11</v>
      </c>
      <c r="F6172" s="2">
        <v>4</v>
      </c>
      <c r="G6172" s="2" t="s">
        <v>12</v>
      </c>
    </row>
    <row r="6173" spans="1:7" x14ac:dyDescent="0.2">
      <c r="A6173" s="2" t="s">
        <v>7597</v>
      </c>
      <c r="B6173" s="2" t="s">
        <v>7699</v>
      </c>
      <c r="C6173" s="2" t="s">
        <v>7654</v>
      </c>
      <c r="D6173" s="2" t="s">
        <v>10</v>
      </c>
      <c r="E6173" s="2" t="s">
        <v>11</v>
      </c>
      <c r="F6173" s="2">
        <v>4</v>
      </c>
      <c r="G6173" s="2" t="s">
        <v>12</v>
      </c>
    </row>
    <row r="6174" spans="1:7" x14ac:dyDescent="0.2">
      <c r="A6174" s="2" t="s">
        <v>7597</v>
      </c>
      <c r="B6174" s="2" t="s">
        <v>7700</v>
      </c>
      <c r="C6174" s="2" t="s">
        <v>7654</v>
      </c>
      <c r="D6174" s="2" t="s">
        <v>10</v>
      </c>
      <c r="E6174" s="2" t="s">
        <v>11</v>
      </c>
      <c r="F6174" s="2">
        <v>4</v>
      </c>
      <c r="G6174" s="2" t="s">
        <v>12</v>
      </c>
    </row>
    <row r="6175" spans="1:7" x14ac:dyDescent="0.2">
      <c r="A6175" s="2" t="s">
        <v>7597</v>
      </c>
      <c r="B6175" s="2" t="s">
        <v>7701</v>
      </c>
      <c r="C6175" s="2" t="s">
        <v>7652</v>
      </c>
      <c r="D6175" s="2" t="s">
        <v>10</v>
      </c>
      <c r="E6175" s="2" t="s">
        <v>11</v>
      </c>
      <c r="F6175" s="2">
        <v>4</v>
      </c>
      <c r="G6175" s="2" t="s">
        <v>12</v>
      </c>
    </row>
    <row r="6176" spans="1:7" x14ac:dyDescent="0.2">
      <c r="A6176" s="2" t="s">
        <v>7597</v>
      </c>
      <c r="B6176" s="2" t="s">
        <v>7702</v>
      </c>
      <c r="C6176" s="2" t="s">
        <v>150</v>
      </c>
      <c r="D6176" s="2" t="s">
        <v>10</v>
      </c>
      <c r="E6176" s="2" t="s">
        <v>16</v>
      </c>
      <c r="F6176" s="2">
        <v>1</v>
      </c>
      <c r="G6176" s="2" t="s">
        <v>17</v>
      </c>
    </row>
    <row r="6177" spans="1:7" x14ac:dyDescent="0.2">
      <c r="A6177" s="2" t="s">
        <v>7597</v>
      </c>
      <c r="B6177" s="2" t="s">
        <v>7703</v>
      </c>
      <c r="C6177" s="2" t="s">
        <v>7599</v>
      </c>
      <c r="D6177" s="2" t="s">
        <v>10</v>
      </c>
      <c r="E6177" s="2" t="s">
        <v>52</v>
      </c>
      <c r="F6177" s="2">
        <v>4</v>
      </c>
      <c r="G6177" s="2" t="s">
        <v>12</v>
      </c>
    </row>
    <row r="6178" spans="1:7" x14ac:dyDescent="0.2">
      <c r="A6178" s="2" t="s">
        <v>7597</v>
      </c>
      <c r="B6178" s="2" t="s">
        <v>1695</v>
      </c>
      <c r="C6178" s="2" t="s">
        <v>7643</v>
      </c>
      <c r="D6178" s="2" t="s">
        <v>10</v>
      </c>
      <c r="E6178" s="2" t="s">
        <v>16</v>
      </c>
      <c r="F6178" s="2">
        <v>2</v>
      </c>
      <c r="G6178" s="2" t="s">
        <v>12</v>
      </c>
    </row>
    <row r="6179" spans="1:7" x14ac:dyDescent="0.2">
      <c r="A6179" s="2" t="s">
        <v>7597</v>
      </c>
      <c r="B6179" s="2" t="s">
        <v>7704</v>
      </c>
      <c r="C6179" s="2" t="s">
        <v>6646</v>
      </c>
      <c r="D6179" s="2" t="s">
        <v>10</v>
      </c>
      <c r="E6179" s="2" t="s">
        <v>16</v>
      </c>
      <c r="F6179" s="2">
        <v>2</v>
      </c>
      <c r="G6179" s="2" t="s">
        <v>12</v>
      </c>
    </row>
    <row r="6180" spans="1:7" x14ac:dyDescent="0.2">
      <c r="A6180" s="2" t="s">
        <v>7597</v>
      </c>
      <c r="B6180" s="2" t="s">
        <v>7705</v>
      </c>
      <c r="C6180" s="2" t="s">
        <v>7599</v>
      </c>
      <c r="D6180" s="2" t="s">
        <v>10</v>
      </c>
      <c r="E6180" s="2" t="s">
        <v>52</v>
      </c>
      <c r="F6180" s="2">
        <v>4</v>
      </c>
      <c r="G6180" s="2" t="s">
        <v>12</v>
      </c>
    </row>
    <row r="6181" spans="1:7" x14ac:dyDescent="0.2">
      <c r="A6181" s="2" t="s">
        <v>7597</v>
      </c>
      <c r="B6181" s="2" t="s">
        <v>7706</v>
      </c>
      <c r="C6181" s="2" t="s">
        <v>7599</v>
      </c>
      <c r="D6181" s="2" t="s">
        <v>10</v>
      </c>
      <c r="E6181" s="2" t="s">
        <v>52</v>
      </c>
      <c r="F6181" s="2">
        <v>4</v>
      </c>
      <c r="G6181" s="2" t="s">
        <v>12</v>
      </c>
    </row>
    <row r="6182" spans="1:7" x14ac:dyDescent="0.2">
      <c r="A6182" s="2" t="s">
        <v>7597</v>
      </c>
      <c r="B6182" s="2" t="s">
        <v>7707</v>
      </c>
      <c r="C6182" s="2" t="s">
        <v>7685</v>
      </c>
      <c r="D6182" s="2" t="s">
        <v>10</v>
      </c>
      <c r="E6182" s="2" t="s">
        <v>16</v>
      </c>
      <c r="F6182" s="2">
        <v>2</v>
      </c>
      <c r="G6182" s="2" t="s">
        <v>12</v>
      </c>
    </row>
    <row r="6183" spans="1:7" x14ac:dyDescent="0.2">
      <c r="A6183" s="2" t="s">
        <v>7597</v>
      </c>
      <c r="B6183" s="2" t="s">
        <v>7708</v>
      </c>
      <c r="C6183" s="2" t="s">
        <v>7645</v>
      </c>
      <c r="D6183" s="2" t="s">
        <v>10</v>
      </c>
      <c r="E6183" s="2" t="s">
        <v>11</v>
      </c>
      <c r="F6183" s="2">
        <v>2</v>
      </c>
      <c r="G6183" s="2" t="s">
        <v>12</v>
      </c>
    </row>
    <row r="6184" spans="1:7" x14ac:dyDescent="0.2">
      <c r="A6184" s="2" t="s">
        <v>7597</v>
      </c>
      <c r="B6184" s="2" t="s">
        <v>7709</v>
      </c>
      <c r="C6184" s="2" t="s">
        <v>7243</v>
      </c>
      <c r="D6184" s="2" t="s">
        <v>10</v>
      </c>
      <c r="E6184" s="2" t="s">
        <v>52</v>
      </c>
      <c r="F6184" s="2">
        <v>4</v>
      </c>
      <c r="G6184" s="2" t="s">
        <v>12</v>
      </c>
    </row>
    <row r="6185" spans="1:7" x14ac:dyDescent="0.2">
      <c r="A6185" s="2" t="s">
        <v>7597</v>
      </c>
      <c r="B6185" s="2" t="s">
        <v>7710</v>
      </c>
      <c r="C6185" s="2" t="s">
        <v>3298</v>
      </c>
      <c r="D6185" s="2" t="s">
        <v>10</v>
      </c>
      <c r="E6185" s="2" t="s">
        <v>11</v>
      </c>
      <c r="F6185" s="2">
        <v>1</v>
      </c>
      <c r="G6185" s="2" t="s">
        <v>12</v>
      </c>
    </row>
    <row r="6186" spans="1:7" x14ac:dyDescent="0.2">
      <c r="A6186" s="2" t="s">
        <v>7597</v>
      </c>
      <c r="B6186" s="2" t="s">
        <v>412</v>
      </c>
      <c r="C6186" s="2" t="s">
        <v>7243</v>
      </c>
      <c r="D6186" s="2" t="s">
        <v>10</v>
      </c>
      <c r="E6186" s="2" t="s">
        <v>52</v>
      </c>
      <c r="F6186" s="2">
        <v>4</v>
      </c>
      <c r="G6186" s="2" t="s">
        <v>12</v>
      </c>
    </row>
    <row r="6187" spans="1:7" x14ac:dyDescent="0.2">
      <c r="A6187" s="2" t="s">
        <v>7597</v>
      </c>
      <c r="B6187" s="2" t="s">
        <v>7711</v>
      </c>
      <c r="C6187" s="2" t="s">
        <v>7685</v>
      </c>
      <c r="D6187" s="2" t="s">
        <v>10</v>
      </c>
      <c r="E6187" s="2" t="s">
        <v>16</v>
      </c>
      <c r="F6187" s="2">
        <v>2</v>
      </c>
      <c r="G6187" s="2" t="s">
        <v>12</v>
      </c>
    </row>
    <row r="6188" spans="1:7" x14ac:dyDescent="0.2">
      <c r="A6188" s="2" t="s">
        <v>7597</v>
      </c>
      <c r="B6188" s="2" t="s">
        <v>7712</v>
      </c>
      <c r="C6188" s="2" t="s">
        <v>7685</v>
      </c>
      <c r="D6188" s="2" t="s">
        <v>10</v>
      </c>
      <c r="E6188" s="2" t="s">
        <v>16</v>
      </c>
      <c r="F6188" s="2">
        <v>2</v>
      </c>
      <c r="G6188" s="2" t="s">
        <v>12</v>
      </c>
    </row>
    <row r="6189" spans="1:7" x14ac:dyDescent="0.2">
      <c r="A6189" s="2" t="s">
        <v>7597</v>
      </c>
      <c r="B6189" s="2" t="s">
        <v>7251</v>
      </c>
      <c r="C6189" s="2" t="s">
        <v>7243</v>
      </c>
      <c r="D6189" s="2" t="s">
        <v>10</v>
      </c>
      <c r="E6189" s="2" t="s">
        <v>52</v>
      </c>
      <c r="F6189" s="2">
        <v>4</v>
      </c>
      <c r="G6189" s="2" t="s">
        <v>12</v>
      </c>
    </row>
    <row r="6190" spans="1:7" x14ac:dyDescent="0.2">
      <c r="A6190" s="2" t="s">
        <v>7597</v>
      </c>
      <c r="B6190" s="2" t="s">
        <v>7713</v>
      </c>
      <c r="C6190" s="2" t="s">
        <v>7643</v>
      </c>
      <c r="D6190" s="2" t="s">
        <v>10</v>
      </c>
      <c r="E6190" s="2" t="s">
        <v>16</v>
      </c>
      <c r="F6190" s="2">
        <v>2</v>
      </c>
      <c r="G6190" s="2" t="s">
        <v>12</v>
      </c>
    </row>
    <row r="6191" spans="1:7" x14ac:dyDescent="0.2">
      <c r="A6191" s="2" t="s">
        <v>7597</v>
      </c>
      <c r="B6191" s="2" t="s">
        <v>7714</v>
      </c>
      <c r="C6191" s="2" t="s">
        <v>6647</v>
      </c>
      <c r="D6191" s="2" t="s">
        <v>10</v>
      </c>
      <c r="E6191" s="2" t="s">
        <v>16</v>
      </c>
      <c r="F6191" s="2">
        <v>2</v>
      </c>
      <c r="G6191" s="2" t="s">
        <v>12</v>
      </c>
    </row>
    <row r="6192" spans="1:7" x14ac:dyDescent="0.2">
      <c r="A6192" s="2" t="s">
        <v>7597</v>
      </c>
      <c r="B6192" s="2" t="s">
        <v>7715</v>
      </c>
      <c r="C6192" s="2" t="s">
        <v>6647</v>
      </c>
      <c r="D6192" s="2" t="s">
        <v>10</v>
      </c>
      <c r="E6192" s="2" t="s">
        <v>16</v>
      </c>
      <c r="F6192" s="2">
        <v>2</v>
      </c>
      <c r="G6192" s="2" t="s">
        <v>12</v>
      </c>
    </row>
    <row r="6193" spans="1:7" x14ac:dyDescent="0.2">
      <c r="A6193" s="2" t="s">
        <v>7597</v>
      </c>
      <c r="B6193" s="2" t="s">
        <v>7716</v>
      </c>
      <c r="C6193" s="2" t="s">
        <v>6646</v>
      </c>
      <c r="D6193" s="2" t="s">
        <v>10</v>
      </c>
      <c r="E6193" s="2" t="s">
        <v>16</v>
      </c>
      <c r="F6193" s="2">
        <v>2</v>
      </c>
      <c r="G6193" s="2" t="s">
        <v>12</v>
      </c>
    </row>
    <row r="6194" spans="1:7" x14ac:dyDescent="0.2">
      <c r="A6194" s="2" t="s">
        <v>7597</v>
      </c>
      <c r="B6194" s="2" t="s">
        <v>7717</v>
      </c>
      <c r="C6194" s="2" t="s">
        <v>7613</v>
      </c>
      <c r="D6194" s="2" t="s">
        <v>10</v>
      </c>
      <c r="E6194" s="2" t="s">
        <v>16</v>
      </c>
      <c r="F6194" s="2">
        <v>4</v>
      </c>
      <c r="G6194" s="2" t="s">
        <v>12</v>
      </c>
    </row>
    <row r="6195" spans="1:7" x14ac:dyDescent="0.2">
      <c r="A6195" s="2" t="s">
        <v>7597</v>
      </c>
      <c r="B6195" s="2" t="s">
        <v>7718</v>
      </c>
      <c r="C6195" s="2" t="s">
        <v>7613</v>
      </c>
      <c r="D6195" s="2" t="s">
        <v>10</v>
      </c>
      <c r="E6195" s="2" t="s">
        <v>16</v>
      </c>
      <c r="F6195" s="2">
        <v>4</v>
      </c>
      <c r="G6195" s="2" t="s">
        <v>12</v>
      </c>
    </row>
    <row r="6196" spans="1:7" x14ac:dyDescent="0.2">
      <c r="A6196" s="2" t="s">
        <v>7597</v>
      </c>
      <c r="B6196" s="2" t="s">
        <v>7719</v>
      </c>
      <c r="C6196" s="2" t="s">
        <v>7599</v>
      </c>
      <c r="D6196" s="2" t="s">
        <v>10</v>
      </c>
      <c r="E6196" s="2" t="s">
        <v>52</v>
      </c>
      <c r="F6196" s="2">
        <v>4</v>
      </c>
      <c r="G6196" s="2" t="s">
        <v>12</v>
      </c>
    </row>
    <row r="6197" spans="1:7" x14ac:dyDescent="0.2">
      <c r="A6197" s="2" t="s">
        <v>7597</v>
      </c>
      <c r="B6197" s="2" t="s">
        <v>7720</v>
      </c>
      <c r="C6197" s="2" t="s">
        <v>3282</v>
      </c>
      <c r="D6197" s="2" t="s">
        <v>10</v>
      </c>
      <c r="E6197" s="2" t="s">
        <v>11</v>
      </c>
      <c r="F6197" s="2">
        <v>1</v>
      </c>
      <c r="G6197" s="2" t="s">
        <v>12</v>
      </c>
    </row>
    <row r="6198" spans="1:7" x14ac:dyDescent="0.2">
      <c r="A6198" s="2" t="s">
        <v>7597</v>
      </c>
      <c r="B6198" s="2" t="s">
        <v>7721</v>
      </c>
      <c r="C6198" s="2" t="s">
        <v>7243</v>
      </c>
      <c r="D6198" s="2" t="s">
        <v>10</v>
      </c>
      <c r="E6198" s="2" t="s">
        <v>52</v>
      </c>
      <c r="F6198" s="2">
        <v>4</v>
      </c>
      <c r="G6198" s="2" t="s">
        <v>12</v>
      </c>
    </row>
    <row r="6199" spans="1:7" x14ac:dyDescent="0.2">
      <c r="A6199" s="2" t="s">
        <v>7597</v>
      </c>
      <c r="B6199" s="2" t="s">
        <v>7722</v>
      </c>
      <c r="C6199" s="2" t="s">
        <v>3298</v>
      </c>
      <c r="D6199" s="2" t="s">
        <v>10</v>
      </c>
      <c r="E6199" s="2" t="s">
        <v>11</v>
      </c>
      <c r="F6199" s="2">
        <v>1</v>
      </c>
      <c r="G6199" s="2" t="s">
        <v>12</v>
      </c>
    </row>
    <row r="6200" spans="1:7" x14ac:dyDescent="0.2">
      <c r="A6200" s="2" t="s">
        <v>7597</v>
      </c>
      <c r="B6200" s="2" t="s">
        <v>7723</v>
      </c>
      <c r="C6200" s="2" t="s">
        <v>7682</v>
      </c>
      <c r="D6200" s="2" t="s">
        <v>10</v>
      </c>
      <c r="E6200" s="2" t="s">
        <v>11</v>
      </c>
      <c r="F6200" s="2">
        <v>2</v>
      </c>
      <c r="G6200" s="2" t="s">
        <v>12</v>
      </c>
    </row>
    <row r="6201" spans="1:7" x14ac:dyDescent="0.2">
      <c r="A6201" s="2" t="s">
        <v>7597</v>
      </c>
      <c r="B6201" s="2" t="s">
        <v>7724</v>
      </c>
      <c r="C6201" s="2" t="s">
        <v>7599</v>
      </c>
      <c r="D6201" s="2" t="s">
        <v>10</v>
      </c>
      <c r="E6201" s="2" t="s">
        <v>52</v>
      </c>
      <c r="F6201" s="2">
        <v>4</v>
      </c>
      <c r="G6201" s="2" t="s">
        <v>12</v>
      </c>
    </row>
    <row r="6202" spans="1:7" x14ac:dyDescent="0.2">
      <c r="A6202" s="2" t="s">
        <v>7597</v>
      </c>
      <c r="B6202" s="2" t="s">
        <v>7725</v>
      </c>
      <c r="C6202" s="2" t="s">
        <v>3298</v>
      </c>
      <c r="D6202" s="2" t="s">
        <v>10</v>
      </c>
      <c r="E6202" s="2" t="s">
        <v>11</v>
      </c>
      <c r="F6202" s="2">
        <v>1</v>
      </c>
      <c r="G6202" s="2" t="s">
        <v>12</v>
      </c>
    </row>
    <row r="6203" spans="1:7" x14ac:dyDescent="0.2">
      <c r="A6203" s="2" t="s">
        <v>7597</v>
      </c>
      <c r="B6203" s="2" t="s">
        <v>7726</v>
      </c>
      <c r="C6203" s="2" t="s">
        <v>7685</v>
      </c>
      <c r="D6203" s="2" t="s">
        <v>10</v>
      </c>
      <c r="E6203" s="2" t="s">
        <v>16</v>
      </c>
      <c r="F6203" s="2">
        <v>2</v>
      </c>
      <c r="G6203" s="2" t="s">
        <v>12</v>
      </c>
    </row>
    <row r="6204" spans="1:7" x14ac:dyDescent="0.2">
      <c r="A6204" s="2" t="s">
        <v>7597</v>
      </c>
      <c r="B6204" s="2" t="s">
        <v>7727</v>
      </c>
      <c r="C6204" s="2" t="s">
        <v>7599</v>
      </c>
      <c r="D6204" s="2" t="s">
        <v>10</v>
      </c>
      <c r="E6204" s="2" t="s">
        <v>52</v>
      </c>
      <c r="F6204" s="2">
        <v>4</v>
      </c>
      <c r="G6204" s="2" t="s">
        <v>12</v>
      </c>
    </row>
    <row r="6205" spans="1:7" x14ac:dyDescent="0.2">
      <c r="A6205" s="2" t="s">
        <v>7597</v>
      </c>
      <c r="B6205" s="2" t="s">
        <v>3355</v>
      </c>
      <c r="C6205" s="2" t="s">
        <v>3282</v>
      </c>
      <c r="D6205" s="2" t="s">
        <v>10</v>
      </c>
      <c r="E6205" s="2" t="s">
        <v>11</v>
      </c>
      <c r="F6205" s="2">
        <v>1</v>
      </c>
      <c r="G6205" s="2" t="s">
        <v>12</v>
      </c>
    </row>
    <row r="6206" spans="1:7" x14ac:dyDescent="0.2">
      <c r="A6206" s="2" t="s">
        <v>7597</v>
      </c>
      <c r="B6206" s="2" t="s">
        <v>7728</v>
      </c>
      <c r="C6206" s="2" t="s">
        <v>7622</v>
      </c>
      <c r="D6206" s="2" t="s">
        <v>10</v>
      </c>
      <c r="E6206" s="2" t="s">
        <v>11</v>
      </c>
      <c r="F6206" s="2">
        <v>4</v>
      </c>
      <c r="G6206" s="2" t="s">
        <v>1069</v>
      </c>
    </row>
    <row r="6207" spans="1:7" x14ac:dyDescent="0.2">
      <c r="A6207" s="2" t="s">
        <v>7597</v>
      </c>
      <c r="B6207" s="2" t="s">
        <v>7729</v>
      </c>
      <c r="C6207" s="2" t="s">
        <v>7613</v>
      </c>
      <c r="D6207" s="2" t="s">
        <v>10</v>
      </c>
      <c r="E6207" s="2" t="s">
        <v>16</v>
      </c>
      <c r="F6207" s="2">
        <v>4</v>
      </c>
      <c r="G6207" s="2" t="s">
        <v>12</v>
      </c>
    </row>
    <row r="6208" spans="1:7" x14ac:dyDescent="0.2">
      <c r="A6208" s="2" t="s">
        <v>7597</v>
      </c>
      <c r="B6208" s="2" t="s">
        <v>7730</v>
      </c>
      <c r="C6208" s="2" t="s">
        <v>7649</v>
      </c>
      <c r="D6208" s="2" t="s">
        <v>10</v>
      </c>
      <c r="E6208" s="2" t="s">
        <v>16</v>
      </c>
      <c r="F6208" s="2">
        <v>2</v>
      </c>
      <c r="G6208" s="2" t="s">
        <v>12</v>
      </c>
    </row>
    <row r="6209" spans="1:7" x14ac:dyDescent="0.2">
      <c r="A6209" s="2" t="s">
        <v>7597</v>
      </c>
      <c r="B6209" s="2" t="s">
        <v>7731</v>
      </c>
      <c r="C6209" s="2" t="s">
        <v>3298</v>
      </c>
      <c r="D6209" s="2" t="s">
        <v>10</v>
      </c>
      <c r="E6209" s="2" t="s">
        <v>11</v>
      </c>
      <c r="F6209" s="2">
        <v>1</v>
      </c>
      <c r="G6209" s="2" t="s">
        <v>12</v>
      </c>
    </row>
    <row r="6210" spans="1:7" x14ac:dyDescent="0.2">
      <c r="A6210" s="2" t="s">
        <v>7597</v>
      </c>
      <c r="B6210" s="2" t="s">
        <v>7732</v>
      </c>
      <c r="C6210" s="2" t="s">
        <v>3298</v>
      </c>
      <c r="D6210" s="2" t="s">
        <v>10</v>
      </c>
      <c r="E6210" s="2" t="s">
        <v>11</v>
      </c>
      <c r="F6210" s="2">
        <v>1</v>
      </c>
      <c r="G6210" s="2" t="s">
        <v>12</v>
      </c>
    </row>
    <row r="6211" spans="1:7" x14ac:dyDescent="0.2">
      <c r="A6211" s="2" t="s">
        <v>7597</v>
      </c>
      <c r="B6211" s="2" t="s">
        <v>7733</v>
      </c>
      <c r="C6211" s="2" t="s">
        <v>3298</v>
      </c>
      <c r="D6211" s="2" t="s">
        <v>10</v>
      </c>
      <c r="E6211" s="2" t="s">
        <v>11</v>
      </c>
      <c r="F6211" s="2">
        <v>1</v>
      </c>
      <c r="G6211" s="2" t="s">
        <v>12</v>
      </c>
    </row>
    <row r="6212" spans="1:7" x14ac:dyDescent="0.2">
      <c r="A6212" s="2" t="s">
        <v>7597</v>
      </c>
      <c r="B6212" s="2" t="s">
        <v>7734</v>
      </c>
      <c r="C6212" s="2" t="s">
        <v>7599</v>
      </c>
      <c r="D6212" s="2" t="s">
        <v>10</v>
      </c>
      <c r="E6212" s="2" t="s">
        <v>52</v>
      </c>
      <c r="F6212" s="2">
        <v>4</v>
      </c>
      <c r="G6212" s="2" t="s">
        <v>12</v>
      </c>
    </row>
    <row r="6213" spans="1:7" x14ac:dyDescent="0.2">
      <c r="A6213" s="2" t="s">
        <v>7597</v>
      </c>
      <c r="B6213" s="2" t="s">
        <v>7735</v>
      </c>
      <c r="C6213" s="2" t="s">
        <v>3282</v>
      </c>
      <c r="D6213" s="2" t="s">
        <v>10</v>
      </c>
      <c r="E6213" s="2" t="s">
        <v>11</v>
      </c>
      <c r="F6213" s="2">
        <v>1</v>
      </c>
      <c r="G6213" s="2" t="s">
        <v>12</v>
      </c>
    </row>
    <row r="6214" spans="1:7" x14ac:dyDescent="0.2">
      <c r="A6214" s="2" t="s">
        <v>7597</v>
      </c>
      <c r="B6214" s="2" t="s">
        <v>7736</v>
      </c>
      <c r="C6214" s="2" t="s">
        <v>7243</v>
      </c>
      <c r="D6214" s="2" t="s">
        <v>10</v>
      </c>
      <c r="E6214" s="2" t="s">
        <v>52</v>
      </c>
      <c r="F6214" s="2">
        <v>4</v>
      </c>
      <c r="G6214" s="2" t="s">
        <v>12</v>
      </c>
    </row>
    <row r="6215" spans="1:7" x14ac:dyDescent="0.2">
      <c r="A6215" s="2" t="s">
        <v>7597</v>
      </c>
      <c r="B6215" s="2" t="s">
        <v>7737</v>
      </c>
      <c r="C6215" s="2" t="s">
        <v>7599</v>
      </c>
      <c r="D6215" s="2" t="s">
        <v>10</v>
      </c>
      <c r="E6215" s="2" t="s">
        <v>52</v>
      </c>
      <c r="F6215" s="2">
        <v>4</v>
      </c>
      <c r="G6215" s="2" t="s">
        <v>12</v>
      </c>
    </row>
    <row r="6216" spans="1:7" x14ac:dyDescent="0.2">
      <c r="A6216" s="2" t="s">
        <v>7597</v>
      </c>
      <c r="B6216" s="2" t="s">
        <v>7738</v>
      </c>
      <c r="C6216" s="2" t="s">
        <v>7696</v>
      </c>
      <c r="D6216" s="2" t="s">
        <v>10</v>
      </c>
      <c r="E6216" s="2" t="s">
        <v>11</v>
      </c>
      <c r="F6216" s="2">
        <v>3</v>
      </c>
      <c r="G6216" s="2" t="s">
        <v>1069</v>
      </c>
    </row>
    <row r="6217" spans="1:7" x14ac:dyDescent="0.2">
      <c r="A6217" s="2" t="s">
        <v>7597</v>
      </c>
      <c r="B6217" s="2" t="s">
        <v>7739</v>
      </c>
      <c r="C6217" s="2" t="s">
        <v>7641</v>
      </c>
      <c r="D6217" s="2" t="s">
        <v>10</v>
      </c>
      <c r="E6217" s="2" t="s">
        <v>11</v>
      </c>
      <c r="F6217" s="2">
        <v>1</v>
      </c>
      <c r="G6217" s="2" t="s">
        <v>12</v>
      </c>
    </row>
    <row r="6218" spans="1:7" x14ac:dyDescent="0.2">
      <c r="A6218" s="2" t="s">
        <v>7597</v>
      </c>
      <c r="B6218" s="2" t="s">
        <v>7256</v>
      </c>
      <c r="C6218" s="2" t="s">
        <v>7243</v>
      </c>
      <c r="D6218" s="2" t="s">
        <v>10</v>
      </c>
      <c r="E6218" s="2" t="s">
        <v>52</v>
      </c>
      <c r="F6218" s="2">
        <v>4</v>
      </c>
      <c r="G6218" s="2" t="s">
        <v>12</v>
      </c>
    </row>
    <row r="6219" spans="1:7" x14ac:dyDescent="0.2">
      <c r="A6219" s="2" t="s">
        <v>7597</v>
      </c>
      <c r="B6219" s="2" t="s">
        <v>7740</v>
      </c>
      <c r="C6219" s="2" t="s">
        <v>7613</v>
      </c>
      <c r="D6219" s="2" t="s">
        <v>10</v>
      </c>
      <c r="E6219" s="2" t="s">
        <v>16</v>
      </c>
      <c r="F6219" s="2">
        <v>4</v>
      </c>
      <c r="G6219" s="2" t="s">
        <v>12</v>
      </c>
    </row>
    <row r="6220" spans="1:7" x14ac:dyDescent="0.2">
      <c r="A6220" s="2" t="s">
        <v>7597</v>
      </c>
      <c r="B6220" s="2" t="s">
        <v>7741</v>
      </c>
      <c r="C6220" s="2" t="s">
        <v>7599</v>
      </c>
      <c r="D6220" s="2" t="s">
        <v>10</v>
      </c>
      <c r="E6220" s="2" t="s">
        <v>52</v>
      </c>
      <c r="F6220" s="2">
        <v>4</v>
      </c>
      <c r="G6220" s="2" t="s">
        <v>12</v>
      </c>
    </row>
    <row r="6221" spans="1:7" x14ac:dyDescent="0.2">
      <c r="A6221" s="2" t="s">
        <v>7597</v>
      </c>
      <c r="B6221" s="2" t="s">
        <v>3373</v>
      </c>
      <c r="C6221" s="2" t="s">
        <v>6647</v>
      </c>
      <c r="D6221" s="2" t="s">
        <v>10</v>
      </c>
      <c r="E6221" s="2" t="s">
        <v>16</v>
      </c>
      <c r="F6221" s="2">
        <v>2</v>
      </c>
      <c r="G6221" s="2" t="s">
        <v>12</v>
      </c>
    </row>
    <row r="6222" spans="1:7" x14ac:dyDescent="0.2">
      <c r="A6222" s="2" t="s">
        <v>7597</v>
      </c>
      <c r="B6222" s="2" t="s">
        <v>547</v>
      </c>
      <c r="C6222" s="2" t="s">
        <v>7682</v>
      </c>
      <c r="D6222" s="2" t="s">
        <v>10</v>
      </c>
      <c r="E6222" s="2" t="s">
        <v>11</v>
      </c>
      <c r="F6222" s="2">
        <v>2</v>
      </c>
      <c r="G6222" s="2" t="s">
        <v>12</v>
      </c>
    </row>
    <row r="6223" spans="1:7" x14ac:dyDescent="0.2">
      <c r="A6223" s="2" t="s">
        <v>7597</v>
      </c>
      <c r="B6223" s="2" t="s">
        <v>7742</v>
      </c>
      <c r="C6223" s="2" t="s">
        <v>7243</v>
      </c>
      <c r="D6223" s="2" t="s">
        <v>10</v>
      </c>
      <c r="E6223" s="2" t="s">
        <v>52</v>
      </c>
      <c r="F6223" s="2">
        <v>4</v>
      </c>
      <c r="G6223" s="2" t="s">
        <v>12</v>
      </c>
    </row>
    <row r="6224" spans="1:7" x14ac:dyDescent="0.2">
      <c r="A6224" s="2" t="s">
        <v>7597</v>
      </c>
      <c r="B6224" s="2" t="s">
        <v>7743</v>
      </c>
      <c r="C6224" s="2" t="s">
        <v>7613</v>
      </c>
      <c r="D6224" s="2" t="s">
        <v>10</v>
      </c>
      <c r="E6224" s="2" t="s">
        <v>16</v>
      </c>
      <c r="F6224" s="2">
        <v>4</v>
      </c>
      <c r="G6224" s="2" t="s">
        <v>12</v>
      </c>
    </row>
    <row r="6225" spans="1:7" x14ac:dyDescent="0.2">
      <c r="A6225" s="2" t="s">
        <v>7597</v>
      </c>
      <c r="B6225" s="2" t="s">
        <v>7744</v>
      </c>
      <c r="C6225" s="2" t="s">
        <v>7599</v>
      </c>
      <c r="D6225" s="2" t="s">
        <v>10</v>
      </c>
      <c r="E6225" s="2" t="s">
        <v>52</v>
      </c>
      <c r="F6225" s="2">
        <v>4</v>
      </c>
      <c r="G6225" s="2" t="s">
        <v>12</v>
      </c>
    </row>
    <row r="6226" spans="1:7" x14ac:dyDescent="0.2">
      <c r="A6226" s="2" t="s">
        <v>7597</v>
      </c>
      <c r="B6226" s="2" t="s">
        <v>7745</v>
      </c>
      <c r="C6226" s="2" t="s">
        <v>7599</v>
      </c>
      <c r="D6226" s="2" t="s">
        <v>10</v>
      </c>
      <c r="E6226" s="2" t="s">
        <v>52</v>
      </c>
      <c r="F6226" s="2">
        <v>4</v>
      </c>
      <c r="G6226" s="2" t="s">
        <v>12</v>
      </c>
    </row>
    <row r="6227" spans="1:7" x14ac:dyDescent="0.2">
      <c r="A6227" s="2" t="s">
        <v>7597</v>
      </c>
      <c r="B6227" s="2" t="s">
        <v>7746</v>
      </c>
      <c r="C6227" s="2" t="s">
        <v>7243</v>
      </c>
      <c r="D6227" s="2" t="s">
        <v>10</v>
      </c>
      <c r="E6227" s="2" t="s">
        <v>52</v>
      </c>
      <c r="F6227" s="2">
        <v>4</v>
      </c>
      <c r="G6227" s="2" t="s">
        <v>12</v>
      </c>
    </row>
    <row r="6228" spans="1:7" x14ac:dyDescent="0.2">
      <c r="A6228" s="2" t="s">
        <v>7597</v>
      </c>
      <c r="B6228" s="2" t="s">
        <v>7747</v>
      </c>
      <c r="C6228" s="2" t="s">
        <v>7613</v>
      </c>
      <c r="D6228" s="2" t="s">
        <v>10</v>
      </c>
      <c r="E6228" s="2" t="s">
        <v>16</v>
      </c>
      <c r="F6228" s="2">
        <v>4</v>
      </c>
      <c r="G6228" s="2" t="s">
        <v>12</v>
      </c>
    </row>
    <row r="6229" spans="1:7" x14ac:dyDescent="0.2">
      <c r="A6229" s="2" t="s">
        <v>7597</v>
      </c>
      <c r="B6229" s="2" t="s">
        <v>7748</v>
      </c>
      <c r="C6229" s="2" t="s">
        <v>7636</v>
      </c>
      <c r="D6229" s="2" t="s">
        <v>10</v>
      </c>
      <c r="E6229" s="2" t="s">
        <v>16</v>
      </c>
      <c r="F6229" s="2">
        <v>2</v>
      </c>
      <c r="G6229" s="2" t="s">
        <v>17</v>
      </c>
    </row>
    <row r="6230" spans="1:7" x14ac:dyDescent="0.2">
      <c r="A6230" s="2" t="s">
        <v>7597</v>
      </c>
      <c r="B6230" s="2" t="s">
        <v>7749</v>
      </c>
      <c r="C6230" s="2" t="s">
        <v>6646</v>
      </c>
      <c r="D6230" s="2" t="s">
        <v>10</v>
      </c>
      <c r="E6230" s="2" t="s">
        <v>16</v>
      </c>
      <c r="F6230" s="2">
        <v>2</v>
      </c>
      <c r="G6230" s="2" t="s">
        <v>12</v>
      </c>
    </row>
    <row r="6231" spans="1:7" x14ac:dyDescent="0.2">
      <c r="A6231" s="2" t="s">
        <v>7597</v>
      </c>
      <c r="B6231" s="2" t="s">
        <v>7750</v>
      </c>
      <c r="C6231" s="2" t="s">
        <v>7645</v>
      </c>
      <c r="D6231" s="2" t="s">
        <v>10</v>
      </c>
      <c r="E6231" s="2" t="s">
        <v>11</v>
      </c>
      <c r="F6231" s="2">
        <v>2</v>
      </c>
      <c r="G6231" s="2" t="s">
        <v>12</v>
      </c>
    </row>
    <row r="6232" spans="1:7" x14ac:dyDescent="0.2">
      <c r="A6232" s="2" t="s">
        <v>7597</v>
      </c>
      <c r="B6232" s="2" t="s">
        <v>7751</v>
      </c>
      <c r="C6232" s="2" t="s">
        <v>7752</v>
      </c>
      <c r="D6232" s="2" t="s">
        <v>10</v>
      </c>
      <c r="E6232" s="2" t="s">
        <v>16</v>
      </c>
      <c r="F6232" s="2">
        <v>1</v>
      </c>
      <c r="G6232" s="2" t="s">
        <v>17</v>
      </c>
    </row>
    <row r="6233" spans="1:7" x14ac:dyDescent="0.2">
      <c r="A6233" s="2" t="s">
        <v>7597</v>
      </c>
      <c r="B6233" s="2" t="s">
        <v>7753</v>
      </c>
      <c r="C6233" s="2" t="s">
        <v>7754</v>
      </c>
      <c r="D6233" s="2" t="s">
        <v>10</v>
      </c>
      <c r="E6233" s="2" t="s">
        <v>11</v>
      </c>
      <c r="F6233" s="2">
        <v>4</v>
      </c>
      <c r="G6233" s="2" t="s">
        <v>1069</v>
      </c>
    </row>
    <row r="6234" spans="1:7" x14ac:dyDescent="0.2">
      <c r="A6234" s="2" t="s">
        <v>7597</v>
      </c>
      <c r="B6234" s="2" t="s">
        <v>7755</v>
      </c>
      <c r="C6234" s="2" t="s">
        <v>7754</v>
      </c>
      <c r="D6234" s="2" t="s">
        <v>10</v>
      </c>
      <c r="E6234" s="2" t="s">
        <v>11</v>
      </c>
      <c r="F6234" s="2">
        <v>4</v>
      </c>
      <c r="G6234" s="2" t="s">
        <v>1069</v>
      </c>
    </row>
    <row r="6235" spans="1:7" x14ac:dyDescent="0.2">
      <c r="A6235" s="2" t="s">
        <v>7597</v>
      </c>
      <c r="B6235" s="2" t="s">
        <v>7756</v>
      </c>
      <c r="C6235" s="2" t="s">
        <v>7599</v>
      </c>
      <c r="D6235" s="2" t="s">
        <v>10</v>
      </c>
      <c r="E6235" s="2" t="s">
        <v>52</v>
      </c>
      <c r="F6235" s="2">
        <v>4</v>
      </c>
      <c r="G6235" s="2" t="s">
        <v>12</v>
      </c>
    </row>
    <row r="6236" spans="1:7" x14ac:dyDescent="0.2">
      <c r="A6236" s="2" t="s">
        <v>7597</v>
      </c>
      <c r="B6236" s="2" t="s">
        <v>7757</v>
      </c>
      <c r="C6236" s="2" t="s">
        <v>7599</v>
      </c>
      <c r="D6236" s="2" t="s">
        <v>10</v>
      </c>
      <c r="E6236" s="2" t="s">
        <v>52</v>
      </c>
      <c r="F6236" s="2">
        <v>4</v>
      </c>
      <c r="G6236" s="2" t="s">
        <v>12</v>
      </c>
    </row>
    <row r="6237" spans="1:7" x14ac:dyDescent="0.2">
      <c r="A6237" s="2" t="s">
        <v>7597</v>
      </c>
      <c r="B6237" s="2" t="s">
        <v>7758</v>
      </c>
      <c r="C6237" s="2" t="s">
        <v>7599</v>
      </c>
      <c r="D6237" s="2" t="s">
        <v>10</v>
      </c>
      <c r="E6237" s="2" t="s">
        <v>52</v>
      </c>
      <c r="F6237" s="2">
        <v>4</v>
      </c>
      <c r="G6237" s="2" t="s">
        <v>12</v>
      </c>
    </row>
    <row r="6238" spans="1:7" x14ac:dyDescent="0.2">
      <c r="A6238" s="2" t="s">
        <v>7759</v>
      </c>
      <c r="B6238" s="2" t="s">
        <v>7760</v>
      </c>
      <c r="C6238" s="2" t="s">
        <v>7599</v>
      </c>
      <c r="D6238" s="2" t="s">
        <v>10</v>
      </c>
      <c r="E6238" s="2" t="s">
        <v>52</v>
      </c>
      <c r="F6238" s="2">
        <v>4</v>
      </c>
      <c r="G6238" s="2" t="s">
        <v>12</v>
      </c>
    </row>
    <row r="6239" spans="1:7" x14ac:dyDescent="0.2">
      <c r="A6239" s="2" t="s">
        <v>7759</v>
      </c>
      <c r="B6239" s="2" t="s">
        <v>7761</v>
      </c>
      <c r="C6239" s="2" t="s">
        <v>7599</v>
      </c>
      <c r="D6239" s="2" t="s">
        <v>10</v>
      </c>
      <c r="E6239" s="2" t="s">
        <v>52</v>
      </c>
      <c r="F6239" s="2">
        <v>4</v>
      </c>
      <c r="G6239" s="2" t="s">
        <v>12</v>
      </c>
    </row>
    <row r="6240" spans="1:7" x14ac:dyDescent="0.2">
      <c r="A6240" s="2" t="s">
        <v>7759</v>
      </c>
      <c r="B6240" s="2" t="s">
        <v>7762</v>
      </c>
      <c r="C6240" s="2" t="s">
        <v>7763</v>
      </c>
      <c r="D6240" s="2" t="s">
        <v>10</v>
      </c>
      <c r="E6240" s="2" t="s">
        <v>52</v>
      </c>
      <c r="F6240" s="2">
        <v>4</v>
      </c>
      <c r="G6240" s="2" t="s">
        <v>12</v>
      </c>
    </row>
    <row r="6241" spans="1:7" x14ac:dyDescent="0.2">
      <c r="A6241" s="2" t="s">
        <v>7759</v>
      </c>
      <c r="B6241" s="2" t="s">
        <v>7764</v>
      </c>
      <c r="C6241" s="2" t="s">
        <v>7763</v>
      </c>
      <c r="D6241" s="2" t="s">
        <v>10</v>
      </c>
      <c r="E6241" s="2" t="s">
        <v>52</v>
      </c>
      <c r="F6241" s="2">
        <v>4</v>
      </c>
      <c r="G6241" s="2" t="s">
        <v>12</v>
      </c>
    </row>
    <row r="6242" spans="1:7" x14ac:dyDescent="0.2">
      <c r="A6242" s="2" t="s">
        <v>7759</v>
      </c>
      <c r="B6242" s="2" t="s">
        <v>7765</v>
      </c>
      <c r="C6242" s="2" t="s">
        <v>7763</v>
      </c>
      <c r="D6242" s="2" t="s">
        <v>10</v>
      </c>
      <c r="E6242" s="2" t="s">
        <v>52</v>
      </c>
      <c r="F6242" s="2">
        <v>4</v>
      </c>
      <c r="G6242" s="2" t="s">
        <v>12</v>
      </c>
    </row>
    <row r="6243" spans="1:7" x14ac:dyDescent="0.2">
      <c r="A6243" s="2" t="s">
        <v>7759</v>
      </c>
      <c r="B6243" s="2" t="s">
        <v>7766</v>
      </c>
      <c r="C6243" s="2" t="s">
        <v>7763</v>
      </c>
      <c r="D6243" s="2" t="s">
        <v>10</v>
      </c>
      <c r="E6243" s="2" t="s">
        <v>52</v>
      </c>
      <c r="F6243" s="2">
        <v>4</v>
      </c>
      <c r="G6243" s="2" t="s">
        <v>12</v>
      </c>
    </row>
    <row r="6244" spans="1:7" x14ac:dyDescent="0.2">
      <c r="A6244" s="2" t="s">
        <v>7759</v>
      </c>
      <c r="B6244" s="2" t="s">
        <v>7767</v>
      </c>
      <c r="C6244" s="2" t="s">
        <v>7763</v>
      </c>
      <c r="D6244" s="2" t="s">
        <v>10</v>
      </c>
      <c r="E6244" s="2" t="s">
        <v>52</v>
      </c>
      <c r="F6244" s="2">
        <v>4</v>
      </c>
      <c r="G6244" s="2" t="s">
        <v>12</v>
      </c>
    </row>
    <row r="6245" spans="1:7" x14ac:dyDescent="0.2">
      <c r="A6245" s="2" t="s">
        <v>7759</v>
      </c>
      <c r="B6245" s="2" t="s">
        <v>7768</v>
      </c>
      <c r="C6245" s="2" t="s">
        <v>7763</v>
      </c>
      <c r="D6245" s="2" t="s">
        <v>10</v>
      </c>
      <c r="E6245" s="2" t="s">
        <v>52</v>
      </c>
      <c r="F6245" s="2">
        <v>4</v>
      </c>
      <c r="G6245" s="2" t="s">
        <v>12</v>
      </c>
    </row>
    <row r="6246" spans="1:7" x14ac:dyDescent="0.2">
      <c r="A6246" s="2" t="s">
        <v>7759</v>
      </c>
      <c r="B6246" s="2" t="s">
        <v>7769</v>
      </c>
      <c r="C6246" s="2" t="s">
        <v>7763</v>
      </c>
      <c r="D6246" s="2" t="s">
        <v>10</v>
      </c>
      <c r="E6246" s="2" t="s">
        <v>52</v>
      </c>
      <c r="F6246" s="2">
        <v>4</v>
      </c>
      <c r="G6246" s="2" t="s">
        <v>12</v>
      </c>
    </row>
    <row r="6247" spans="1:7" x14ac:dyDescent="0.2">
      <c r="A6247" s="2" t="s">
        <v>7759</v>
      </c>
      <c r="B6247" s="2" t="s">
        <v>7770</v>
      </c>
      <c r="C6247" s="2" t="s">
        <v>7763</v>
      </c>
      <c r="D6247" s="2" t="s">
        <v>10</v>
      </c>
      <c r="E6247" s="2" t="s">
        <v>52</v>
      </c>
      <c r="F6247" s="2">
        <v>4</v>
      </c>
      <c r="G6247" s="2" t="s">
        <v>12</v>
      </c>
    </row>
    <row r="6248" spans="1:7" x14ac:dyDescent="0.2">
      <c r="A6248" s="2" t="s">
        <v>7759</v>
      </c>
      <c r="B6248" s="2" t="s">
        <v>7771</v>
      </c>
      <c r="C6248" s="2" t="s">
        <v>7763</v>
      </c>
      <c r="D6248" s="2" t="s">
        <v>10</v>
      </c>
      <c r="E6248" s="2" t="s">
        <v>52</v>
      </c>
      <c r="F6248" s="2">
        <v>4</v>
      </c>
      <c r="G6248" s="2" t="s">
        <v>12</v>
      </c>
    </row>
    <row r="6249" spans="1:7" x14ac:dyDescent="0.2">
      <c r="A6249" s="2" t="s">
        <v>7759</v>
      </c>
      <c r="B6249" s="2" t="s">
        <v>7772</v>
      </c>
      <c r="C6249" s="2" t="s">
        <v>7763</v>
      </c>
      <c r="D6249" s="2" t="s">
        <v>10</v>
      </c>
      <c r="E6249" s="2" t="s">
        <v>52</v>
      </c>
      <c r="F6249" s="2">
        <v>4</v>
      </c>
      <c r="G6249" s="2" t="s">
        <v>12</v>
      </c>
    </row>
    <row r="6250" spans="1:7" x14ac:dyDescent="0.2">
      <c r="A6250" s="2" t="s">
        <v>7759</v>
      </c>
      <c r="B6250" s="2" t="s">
        <v>7773</v>
      </c>
      <c r="C6250" s="2" t="s">
        <v>7763</v>
      </c>
      <c r="D6250" s="2" t="s">
        <v>10</v>
      </c>
      <c r="E6250" s="2" t="s">
        <v>52</v>
      </c>
      <c r="F6250" s="2">
        <v>4</v>
      </c>
      <c r="G6250" s="2" t="s">
        <v>12</v>
      </c>
    </row>
    <row r="6251" spans="1:7" x14ac:dyDescent="0.2">
      <c r="A6251" s="2" t="s">
        <v>7759</v>
      </c>
      <c r="B6251" s="2" t="s">
        <v>7774</v>
      </c>
      <c r="C6251" s="2" t="s">
        <v>7763</v>
      </c>
      <c r="D6251" s="2" t="s">
        <v>10</v>
      </c>
      <c r="E6251" s="2" t="s">
        <v>52</v>
      </c>
      <c r="F6251" s="2">
        <v>4</v>
      </c>
      <c r="G6251" s="2" t="s">
        <v>12</v>
      </c>
    </row>
    <row r="6252" spans="1:7" x14ac:dyDescent="0.2">
      <c r="A6252" s="2" t="s">
        <v>7759</v>
      </c>
      <c r="B6252" s="2" t="s">
        <v>7775</v>
      </c>
      <c r="C6252" s="2" t="s">
        <v>7776</v>
      </c>
      <c r="D6252" s="2" t="s">
        <v>10</v>
      </c>
      <c r="E6252" s="2" t="s">
        <v>11</v>
      </c>
      <c r="F6252" s="2">
        <v>1</v>
      </c>
      <c r="G6252" s="2" t="s">
        <v>12</v>
      </c>
    </row>
    <row r="6253" spans="1:7" x14ac:dyDescent="0.2">
      <c r="A6253" s="2" t="s">
        <v>7759</v>
      </c>
      <c r="B6253" s="2" t="s">
        <v>7777</v>
      </c>
      <c r="C6253" s="2" t="s">
        <v>7778</v>
      </c>
      <c r="D6253" s="2" t="s">
        <v>10</v>
      </c>
      <c r="E6253" s="2" t="s">
        <v>11</v>
      </c>
      <c r="F6253" s="2">
        <v>1</v>
      </c>
      <c r="G6253" s="2" t="s">
        <v>12</v>
      </c>
    </row>
    <row r="6254" spans="1:7" x14ac:dyDescent="0.2">
      <c r="A6254" s="2" t="s">
        <v>7759</v>
      </c>
      <c r="B6254" s="2" t="s">
        <v>7779</v>
      </c>
      <c r="C6254" s="2" t="s">
        <v>7776</v>
      </c>
      <c r="D6254" s="2" t="s">
        <v>10</v>
      </c>
      <c r="E6254" s="2" t="s">
        <v>11</v>
      </c>
      <c r="F6254" s="2">
        <v>1</v>
      </c>
      <c r="G6254" s="2" t="s">
        <v>12</v>
      </c>
    </row>
    <row r="6255" spans="1:7" x14ac:dyDescent="0.2">
      <c r="A6255" s="2" t="s">
        <v>7759</v>
      </c>
      <c r="B6255" s="2" t="s">
        <v>7780</v>
      </c>
      <c r="C6255" s="2" t="s">
        <v>7776</v>
      </c>
      <c r="D6255" s="2" t="s">
        <v>10</v>
      </c>
      <c r="E6255" s="2" t="s">
        <v>11</v>
      </c>
      <c r="F6255" s="2">
        <v>1</v>
      </c>
      <c r="G6255" s="2" t="s">
        <v>12</v>
      </c>
    </row>
    <row r="6256" spans="1:7" x14ac:dyDescent="0.2">
      <c r="A6256" s="2" t="s">
        <v>7759</v>
      </c>
      <c r="B6256" s="2" t="s">
        <v>7781</v>
      </c>
      <c r="C6256" s="2" t="s">
        <v>7778</v>
      </c>
      <c r="D6256" s="2" t="s">
        <v>10</v>
      </c>
      <c r="E6256" s="2" t="s">
        <v>11</v>
      </c>
      <c r="F6256" s="2">
        <v>1</v>
      </c>
      <c r="G6256" s="2" t="s">
        <v>12</v>
      </c>
    </row>
    <row r="6257" spans="1:7" x14ac:dyDescent="0.2">
      <c r="A6257" s="2" t="s">
        <v>7759</v>
      </c>
      <c r="B6257" s="2" t="s">
        <v>7619</v>
      </c>
      <c r="C6257" s="2" t="s">
        <v>7599</v>
      </c>
      <c r="D6257" s="2" t="s">
        <v>10</v>
      </c>
      <c r="E6257" s="2" t="s">
        <v>52</v>
      </c>
      <c r="F6257" s="2">
        <v>4</v>
      </c>
      <c r="G6257" s="2" t="s">
        <v>12</v>
      </c>
    </row>
    <row r="6258" spans="1:7" x14ac:dyDescent="0.2">
      <c r="A6258" s="2" t="s">
        <v>7759</v>
      </c>
      <c r="B6258" s="2" t="s">
        <v>7782</v>
      </c>
      <c r="C6258" s="2" t="s">
        <v>5680</v>
      </c>
      <c r="D6258" s="2" t="s">
        <v>10</v>
      </c>
      <c r="E6258" s="2" t="s">
        <v>11</v>
      </c>
      <c r="F6258" s="2">
        <v>1</v>
      </c>
      <c r="G6258" s="2" t="s">
        <v>12</v>
      </c>
    </row>
    <row r="6259" spans="1:7" x14ac:dyDescent="0.2">
      <c r="A6259" s="2" t="s">
        <v>7759</v>
      </c>
      <c r="B6259" s="2" t="s">
        <v>7783</v>
      </c>
      <c r="C6259" s="2" t="s">
        <v>5680</v>
      </c>
      <c r="D6259" s="2" t="s">
        <v>10</v>
      </c>
      <c r="E6259" s="2" t="s">
        <v>11</v>
      </c>
      <c r="F6259" s="2">
        <v>1</v>
      </c>
      <c r="G6259" s="2" t="s">
        <v>12</v>
      </c>
    </row>
    <row r="6260" spans="1:7" x14ac:dyDescent="0.2">
      <c r="A6260" s="2" t="s">
        <v>7759</v>
      </c>
      <c r="B6260" s="2" t="s">
        <v>7784</v>
      </c>
      <c r="C6260" s="2" t="s">
        <v>5680</v>
      </c>
      <c r="D6260" s="2" t="s">
        <v>10</v>
      </c>
      <c r="E6260" s="2" t="s">
        <v>11</v>
      </c>
      <c r="F6260" s="2">
        <v>1</v>
      </c>
      <c r="G6260" s="2" t="s">
        <v>12</v>
      </c>
    </row>
    <row r="6261" spans="1:7" x14ac:dyDescent="0.2">
      <c r="A6261" s="2" t="s">
        <v>7759</v>
      </c>
      <c r="B6261" s="2" t="s">
        <v>5679</v>
      </c>
      <c r="C6261" s="2" t="s">
        <v>5680</v>
      </c>
      <c r="D6261" s="2" t="s">
        <v>10</v>
      </c>
      <c r="E6261" s="2" t="s">
        <v>11</v>
      </c>
      <c r="F6261" s="2">
        <v>1</v>
      </c>
      <c r="G6261" s="2" t="s">
        <v>12</v>
      </c>
    </row>
    <row r="6262" spans="1:7" x14ac:dyDescent="0.2">
      <c r="A6262" s="2" t="s">
        <v>7759</v>
      </c>
      <c r="B6262" s="2" t="s">
        <v>7785</v>
      </c>
      <c r="C6262" s="2" t="s">
        <v>7786</v>
      </c>
      <c r="D6262" s="2" t="s">
        <v>10</v>
      </c>
      <c r="E6262" s="2" t="s">
        <v>11</v>
      </c>
      <c r="F6262" s="2">
        <v>2</v>
      </c>
      <c r="G6262" s="2" t="s">
        <v>12</v>
      </c>
    </row>
    <row r="6263" spans="1:7" x14ac:dyDescent="0.2">
      <c r="A6263" s="2" t="s">
        <v>7759</v>
      </c>
      <c r="B6263" s="2" t="s">
        <v>5687</v>
      </c>
      <c r="C6263" s="2" t="s">
        <v>5680</v>
      </c>
      <c r="D6263" s="2" t="s">
        <v>10</v>
      </c>
      <c r="E6263" s="2" t="s">
        <v>11</v>
      </c>
      <c r="F6263" s="2">
        <v>1</v>
      </c>
      <c r="G6263" s="2" t="s">
        <v>12</v>
      </c>
    </row>
    <row r="6264" spans="1:7" x14ac:dyDescent="0.2">
      <c r="A6264" s="2" t="s">
        <v>7759</v>
      </c>
      <c r="B6264" s="2" t="s">
        <v>7678</v>
      </c>
      <c r="C6264" s="2" t="s">
        <v>7243</v>
      </c>
      <c r="D6264" s="2" t="s">
        <v>10</v>
      </c>
      <c r="E6264" s="2" t="s">
        <v>52</v>
      </c>
      <c r="F6264" s="2">
        <v>4</v>
      </c>
      <c r="G6264" s="2" t="s">
        <v>12</v>
      </c>
    </row>
    <row r="6265" spans="1:7" x14ac:dyDescent="0.2">
      <c r="A6265" s="2" t="s">
        <v>7759</v>
      </c>
      <c r="B6265" s="2" t="s">
        <v>7787</v>
      </c>
      <c r="C6265" s="2" t="s">
        <v>7786</v>
      </c>
      <c r="D6265" s="2" t="s">
        <v>10</v>
      </c>
      <c r="E6265" s="2" t="s">
        <v>11</v>
      </c>
      <c r="F6265" s="2">
        <v>2</v>
      </c>
      <c r="G6265" s="2" t="s">
        <v>12</v>
      </c>
    </row>
    <row r="6266" spans="1:7" x14ac:dyDescent="0.2">
      <c r="A6266" s="2" t="s">
        <v>7759</v>
      </c>
      <c r="B6266" s="2" t="s">
        <v>7703</v>
      </c>
      <c r="C6266" s="2" t="s">
        <v>7599</v>
      </c>
      <c r="D6266" s="2" t="s">
        <v>10</v>
      </c>
      <c r="E6266" s="2" t="s">
        <v>52</v>
      </c>
      <c r="F6266" s="2">
        <v>4</v>
      </c>
      <c r="G6266" s="2" t="s">
        <v>12</v>
      </c>
    </row>
    <row r="6267" spans="1:7" x14ac:dyDescent="0.2">
      <c r="A6267" s="2" t="s">
        <v>7759</v>
      </c>
      <c r="B6267" s="2" t="s">
        <v>412</v>
      </c>
      <c r="C6267" s="2" t="s">
        <v>7243</v>
      </c>
      <c r="D6267" s="2" t="s">
        <v>10</v>
      </c>
      <c r="E6267" s="2" t="s">
        <v>52</v>
      </c>
      <c r="F6267" s="2">
        <v>4</v>
      </c>
      <c r="G6267" s="2" t="s">
        <v>12</v>
      </c>
    </row>
    <row r="6268" spans="1:7" x14ac:dyDescent="0.2">
      <c r="A6268" s="2" t="s">
        <v>7759</v>
      </c>
      <c r="B6268" s="2" t="s">
        <v>7251</v>
      </c>
      <c r="C6268" s="2" t="s">
        <v>7243</v>
      </c>
      <c r="D6268" s="2" t="s">
        <v>10</v>
      </c>
      <c r="E6268" s="2" t="s">
        <v>52</v>
      </c>
      <c r="F6268" s="2">
        <v>4</v>
      </c>
      <c r="G6268" s="2" t="s">
        <v>12</v>
      </c>
    </row>
    <row r="6269" spans="1:7" x14ac:dyDescent="0.2">
      <c r="A6269" s="2" t="s">
        <v>7759</v>
      </c>
      <c r="B6269" s="2" t="s">
        <v>7788</v>
      </c>
      <c r="C6269" s="2" t="s">
        <v>7786</v>
      </c>
      <c r="D6269" s="2" t="s">
        <v>10</v>
      </c>
      <c r="E6269" s="2" t="s">
        <v>11</v>
      </c>
      <c r="F6269" s="2">
        <v>2</v>
      </c>
      <c r="G6269" s="2" t="s">
        <v>12</v>
      </c>
    </row>
    <row r="6270" spans="1:7" x14ac:dyDescent="0.2">
      <c r="A6270" s="2" t="s">
        <v>7759</v>
      </c>
      <c r="B6270" s="2" t="s">
        <v>7789</v>
      </c>
      <c r="C6270" s="2" t="s">
        <v>5680</v>
      </c>
      <c r="D6270" s="2" t="s">
        <v>10</v>
      </c>
      <c r="E6270" s="2" t="s">
        <v>11</v>
      </c>
      <c r="F6270" s="2">
        <v>1</v>
      </c>
      <c r="G6270" s="2" t="s">
        <v>12</v>
      </c>
    </row>
    <row r="6271" spans="1:7" x14ac:dyDescent="0.2">
      <c r="A6271" s="2" t="s">
        <v>7790</v>
      </c>
      <c r="B6271" s="2" t="s">
        <v>7791</v>
      </c>
      <c r="C6271" s="2" t="s">
        <v>150</v>
      </c>
      <c r="D6271" s="2" t="s">
        <v>10</v>
      </c>
      <c r="E6271" s="2" t="s">
        <v>16</v>
      </c>
      <c r="F6271" s="2">
        <v>1</v>
      </c>
      <c r="G6271" s="2" t="s">
        <v>17</v>
      </c>
    </row>
    <row r="6272" spans="1:7" x14ac:dyDescent="0.2">
      <c r="A6272" s="2" t="s">
        <v>7790</v>
      </c>
      <c r="B6272" s="2" t="s">
        <v>7792</v>
      </c>
      <c r="C6272" s="2" t="s">
        <v>150</v>
      </c>
      <c r="D6272" s="2" t="s">
        <v>10</v>
      </c>
      <c r="E6272" s="2" t="s">
        <v>16</v>
      </c>
      <c r="F6272" s="2">
        <v>1</v>
      </c>
      <c r="G6272" s="2" t="s">
        <v>17</v>
      </c>
    </row>
    <row r="6273" spans="1:7" x14ac:dyDescent="0.2">
      <c r="A6273" s="2" t="s">
        <v>7793</v>
      </c>
      <c r="B6273" s="2" t="s">
        <v>7548</v>
      </c>
      <c r="C6273" s="2" t="s">
        <v>7549</v>
      </c>
      <c r="D6273" s="2" t="s">
        <v>10</v>
      </c>
      <c r="E6273" s="2" t="s">
        <v>16</v>
      </c>
      <c r="F6273" s="2">
        <v>2</v>
      </c>
      <c r="G6273" s="2" t="s">
        <v>17</v>
      </c>
    </row>
    <row r="6274" spans="1:7" x14ac:dyDescent="0.2">
      <c r="A6274" s="2" t="s">
        <v>7794</v>
      </c>
      <c r="B6274" s="2" t="s">
        <v>7795</v>
      </c>
      <c r="C6274" s="2" t="s">
        <v>7796</v>
      </c>
      <c r="D6274" s="2" t="s">
        <v>10</v>
      </c>
      <c r="E6274" s="2" t="s">
        <v>16</v>
      </c>
      <c r="F6274" s="2">
        <v>1</v>
      </c>
      <c r="G6274" s="2" t="s">
        <v>17</v>
      </c>
    </row>
    <row r="6275" spans="1:7" x14ac:dyDescent="0.2">
      <c r="A6275" s="2" t="s">
        <v>7797</v>
      </c>
      <c r="B6275" s="2" t="s">
        <v>7798</v>
      </c>
      <c r="C6275" s="2" t="s">
        <v>7799</v>
      </c>
      <c r="D6275" s="2" t="s">
        <v>10</v>
      </c>
      <c r="E6275" s="2" t="s">
        <v>16</v>
      </c>
      <c r="F6275" s="2">
        <v>1</v>
      </c>
      <c r="G6275" s="2" t="s">
        <v>17</v>
      </c>
    </row>
    <row r="6276" spans="1:7" x14ac:dyDescent="0.2">
      <c r="A6276" s="2" t="s">
        <v>7797</v>
      </c>
      <c r="B6276" s="2" t="s">
        <v>1885</v>
      </c>
      <c r="C6276" s="2" t="s">
        <v>1886</v>
      </c>
      <c r="D6276" s="2" t="s">
        <v>10</v>
      </c>
      <c r="E6276" s="2" t="s">
        <v>16</v>
      </c>
      <c r="F6276" s="2">
        <v>1</v>
      </c>
      <c r="G6276" s="2" t="s">
        <v>17</v>
      </c>
    </row>
    <row r="6277" spans="1:7" x14ac:dyDescent="0.2">
      <c r="A6277" s="2" t="s">
        <v>7797</v>
      </c>
      <c r="B6277" s="2" t="s">
        <v>1486</v>
      </c>
      <c r="C6277" s="2" t="s">
        <v>1487</v>
      </c>
      <c r="D6277" s="2" t="s">
        <v>10</v>
      </c>
      <c r="E6277" s="2" t="s">
        <v>16</v>
      </c>
      <c r="F6277" s="2">
        <v>1</v>
      </c>
      <c r="G6277" s="2" t="s">
        <v>17</v>
      </c>
    </row>
    <row r="6278" spans="1:7" x14ac:dyDescent="0.2">
      <c r="A6278" s="2" t="s">
        <v>7797</v>
      </c>
      <c r="B6278" s="2" t="s">
        <v>7800</v>
      </c>
      <c r="C6278" s="2" t="s">
        <v>1886</v>
      </c>
      <c r="D6278" s="2" t="s">
        <v>10</v>
      </c>
      <c r="E6278" s="2" t="s">
        <v>16</v>
      </c>
      <c r="F6278" s="2">
        <v>1</v>
      </c>
      <c r="G6278" s="2" t="s">
        <v>17</v>
      </c>
    </row>
    <row r="6279" spans="1:7" x14ac:dyDescent="0.2">
      <c r="A6279" s="2" t="s">
        <v>7797</v>
      </c>
      <c r="B6279" s="2" t="s">
        <v>7801</v>
      </c>
      <c r="C6279" s="2" t="s">
        <v>7799</v>
      </c>
      <c r="D6279" s="2" t="s">
        <v>10</v>
      </c>
      <c r="E6279" s="2" t="s">
        <v>16</v>
      </c>
      <c r="F6279" s="2">
        <v>1</v>
      </c>
      <c r="G6279" s="2" t="s">
        <v>17</v>
      </c>
    </row>
    <row r="6280" spans="1:7" x14ac:dyDescent="0.2">
      <c r="A6280" s="2" t="s">
        <v>7797</v>
      </c>
      <c r="B6280" s="2" t="s">
        <v>7802</v>
      </c>
      <c r="C6280" s="2" t="s">
        <v>7803</v>
      </c>
      <c r="D6280" s="2" t="s">
        <v>10</v>
      </c>
      <c r="E6280" s="2" t="s">
        <v>16</v>
      </c>
      <c r="F6280" s="2">
        <v>1</v>
      </c>
      <c r="G6280" s="2" t="s">
        <v>17</v>
      </c>
    </row>
    <row r="6281" spans="1:7" x14ac:dyDescent="0.2">
      <c r="A6281" s="2" t="s">
        <v>7797</v>
      </c>
      <c r="B6281" s="2" t="s">
        <v>1488</v>
      </c>
      <c r="C6281" s="2" t="s">
        <v>1487</v>
      </c>
      <c r="D6281" s="2" t="s">
        <v>10</v>
      </c>
      <c r="E6281" s="2" t="s">
        <v>16</v>
      </c>
      <c r="F6281" s="2">
        <v>1</v>
      </c>
      <c r="G6281" s="2" t="s">
        <v>17</v>
      </c>
    </row>
    <row r="6282" spans="1:7" x14ac:dyDescent="0.2">
      <c r="A6282" s="2" t="s">
        <v>7804</v>
      </c>
      <c r="B6282" s="2" t="s">
        <v>3201</v>
      </c>
      <c r="C6282" s="2" t="s">
        <v>3202</v>
      </c>
      <c r="D6282" s="2" t="s">
        <v>10</v>
      </c>
      <c r="E6282" s="2" t="s">
        <v>16</v>
      </c>
      <c r="F6282" s="2">
        <v>1</v>
      </c>
      <c r="G6282" s="2" t="s">
        <v>17</v>
      </c>
    </row>
    <row r="6283" spans="1:7" x14ac:dyDescent="0.2">
      <c r="A6283" s="2" t="s">
        <v>7804</v>
      </c>
      <c r="B6283" s="2" t="s">
        <v>3203</v>
      </c>
      <c r="C6283" s="2" t="s">
        <v>3202</v>
      </c>
      <c r="D6283" s="2" t="s">
        <v>10</v>
      </c>
      <c r="E6283" s="2" t="s">
        <v>16</v>
      </c>
      <c r="F6283" s="2">
        <v>1</v>
      </c>
      <c r="G6283" s="2" t="s">
        <v>17</v>
      </c>
    </row>
    <row r="6284" spans="1:7" x14ac:dyDescent="0.2">
      <c r="A6284" s="2" t="s">
        <v>7805</v>
      </c>
      <c r="B6284" s="2" t="s">
        <v>7806</v>
      </c>
      <c r="C6284" s="2" t="s">
        <v>4196</v>
      </c>
      <c r="D6284" s="2" t="s">
        <v>10</v>
      </c>
      <c r="E6284" s="2" t="s">
        <v>16</v>
      </c>
      <c r="F6284" s="2">
        <v>1</v>
      </c>
      <c r="G6284" s="2" t="s">
        <v>17</v>
      </c>
    </row>
    <row r="6285" spans="1:7" x14ac:dyDescent="0.2">
      <c r="A6285" s="2" t="s">
        <v>7805</v>
      </c>
      <c r="B6285" s="2" t="s">
        <v>7807</v>
      </c>
      <c r="C6285" s="2" t="s">
        <v>4196</v>
      </c>
      <c r="D6285" s="2" t="s">
        <v>10</v>
      </c>
      <c r="E6285" s="2" t="s">
        <v>16</v>
      </c>
      <c r="F6285" s="2">
        <v>1</v>
      </c>
      <c r="G6285" s="2" t="s">
        <v>17</v>
      </c>
    </row>
    <row r="6286" spans="1:7" x14ac:dyDescent="0.2">
      <c r="A6286" s="2" t="s">
        <v>7808</v>
      </c>
      <c r="B6286" s="2" t="s">
        <v>6368</v>
      </c>
      <c r="C6286" s="2" t="s">
        <v>7809</v>
      </c>
      <c r="D6286" s="2" t="s">
        <v>10</v>
      </c>
      <c r="E6286" s="2" t="s">
        <v>16</v>
      </c>
      <c r="F6286" s="2">
        <v>1</v>
      </c>
      <c r="G6286" s="2" t="s">
        <v>17</v>
      </c>
    </row>
    <row r="6287" spans="1:7" x14ac:dyDescent="0.2">
      <c r="A6287" s="2" t="s">
        <v>7808</v>
      </c>
      <c r="B6287" s="2" t="s">
        <v>7810</v>
      </c>
      <c r="C6287" s="2" t="s">
        <v>7809</v>
      </c>
      <c r="D6287" s="2" t="s">
        <v>10</v>
      </c>
      <c r="E6287" s="2" t="s">
        <v>16</v>
      </c>
      <c r="F6287" s="2">
        <v>1</v>
      </c>
      <c r="G6287" s="2" t="s">
        <v>17</v>
      </c>
    </row>
    <row r="6288" spans="1:7" x14ac:dyDescent="0.2">
      <c r="A6288" s="2" t="s">
        <v>7811</v>
      </c>
      <c r="B6288" s="2" t="s">
        <v>7812</v>
      </c>
      <c r="C6288" s="2" t="s">
        <v>7813</v>
      </c>
      <c r="D6288" s="2" t="s">
        <v>10</v>
      </c>
      <c r="E6288" s="2" t="s">
        <v>16</v>
      </c>
      <c r="F6288" s="2">
        <v>1</v>
      </c>
      <c r="G6288" s="2" t="s">
        <v>17</v>
      </c>
    </row>
    <row r="6289" spans="1:7" x14ac:dyDescent="0.2">
      <c r="A6289" s="2" t="s">
        <v>7811</v>
      </c>
      <c r="B6289" s="2" t="s">
        <v>7814</v>
      </c>
      <c r="C6289" s="2" t="s">
        <v>7813</v>
      </c>
      <c r="D6289" s="2" t="s">
        <v>10</v>
      </c>
      <c r="E6289" s="2" t="s">
        <v>16</v>
      </c>
      <c r="F6289" s="2">
        <v>1</v>
      </c>
      <c r="G6289" s="2" t="s">
        <v>17</v>
      </c>
    </row>
    <row r="6290" spans="1:7" x14ac:dyDescent="0.2">
      <c r="A6290" s="2" t="s">
        <v>7815</v>
      </c>
      <c r="B6290" s="2" t="s">
        <v>606</v>
      </c>
      <c r="C6290" s="2" t="s">
        <v>605</v>
      </c>
      <c r="D6290" s="2" t="s">
        <v>56</v>
      </c>
      <c r="E6290" s="2" t="s">
        <v>52</v>
      </c>
      <c r="F6290" s="2">
        <v>1</v>
      </c>
      <c r="G6290" s="2" t="s">
        <v>17</v>
      </c>
    </row>
    <row r="6291" spans="1:7" x14ac:dyDescent="0.2">
      <c r="A6291" s="2" t="s">
        <v>7815</v>
      </c>
      <c r="B6291" s="2" t="s">
        <v>636</v>
      </c>
      <c r="C6291" s="2" t="s">
        <v>605</v>
      </c>
      <c r="D6291" s="2" t="s">
        <v>56</v>
      </c>
      <c r="E6291" s="2" t="s">
        <v>52</v>
      </c>
      <c r="F6291" s="2">
        <v>1</v>
      </c>
      <c r="G6291" s="2" t="s">
        <v>17</v>
      </c>
    </row>
    <row r="6292" spans="1:7" x14ac:dyDescent="0.2">
      <c r="A6292" s="2" t="s">
        <v>7816</v>
      </c>
      <c r="B6292" s="2" t="s">
        <v>7817</v>
      </c>
      <c r="C6292" s="2" t="s">
        <v>7818</v>
      </c>
      <c r="D6292" s="2" t="s">
        <v>10</v>
      </c>
      <c r="E6292" s="2" t="s">
        <v>16</v>
      </c>
      <c r="F6292" s="2">
        <v>1</v>
      </c>
      <c r="G6292" s="2" t="s">
        <v>17</v>
      </c>
    </row>
    <row r="6293" spans="1:7" x14ac:dyDescent="0.2">
      <c r="A6293" s="2" t="s">
        <v>7816</v>
      </c>
      <c r="B6293" s="2" t="s">
        <v>7819</v>
      </c>
      <c r="C6293" s="2" t="s">
        <v>7818</v>
      </c>
      <c r="D6293" s="2" t="s">
        <v>10</v>
      </c>
      <c r="E6293" s="2" t="s">
        <v>16</v>
      </c>
      <c r="F6293" s="2">
        <v>1</v>
      </c>
      <c r="G6293" s="2" t="s">
        <v>17</v>
      </c>
    </row>
    <row r="6294" spans="1:7" x14ac:dyDescent="0.2">
      <c r="A6294" s="2" t="s">
        <v>7820</v>
      </c>
      <c r="B6294" s="2" t="s">
        <v>5472</v>
      </c>
      <c r="C6294" s="2" t="s">
        <v>5473</v>
      </c>
      <c r="D6294" s="2" t="s">
        <v>10</v>
      </c>
      <c r="E6294" s="2" t="s">
        <v>16</v>
      </c>
      <c r="F6294" s="2">
        <v>1</v>
      </c>
      <c r="G6294" s="2" t="s">
        <v>17</v>
      </c>
    </row>
    <row r="6295" spans="1:7" x14ac:dyDescent="0.2">
      <c r="A6295" s="2" t="s">
        <v>7821</v>
      </c>
      <c r="B6295" s="2" t="s">
        <v>7822</v>
      </c>
      <c r="C6295" s="2" t="s">
        <v>3883</v>
      </c>
      <c r="D6295" s="2" t="s">
        <v>10</v>
      </c>
      <c r="E6295" s="2" t="s">
        <v>11</v>
      </c>
      <c r="F6295" s="2">
        <v>1</v>
      </c>
      <c r="G6295" s="2" t="s">
        <v>12</v>
      </c>
    </row>
    <row r="6296" spans="1:7" x14ac:dyDescent="0.2">
      <c r="A6296" s="2" t="s">
        <v>7823</v>
      </c>
      <c r="B6296" s="2" t="s">
        <v>7824</v>
      </c>
      <c r="C6296" s="2" t="s">
        <v>7825</v>
      </c>
      <c r="D6296" s="2" t="s">
        <v>10</v>
      </c>
      <c r="E6296" s="2" t="s">
        <v>16</v>
      </c>
      <c r="F6296" s="2">
        <v>1</v>
      </c>
      <c r="G6296" s="2" t="s">
        <v>17</v>
      </c>
    </row>
    <row r="6297" spans="1:7" x14ac:dyDescent="0.2">
      <c r="A6297" s="2" t="s">
        <v>7823</v>
      </c>
      <c r="B6297" s="2" t="s">
        <v>756</v>
      </c>
      <c r="C6297" s="2" t="s">
        <v>7826</v>
      </c>
      <c r="D6297" s="2" t="s">
        <v>10</v>
      </c>
      <c r="E6297" s="2" t="s">
        <v>16</v>
      </c>
      <c r="F6297" s="2">
        <v>1</v>
      </c>
      <c r="G6297" s="2" t="s">
        <v>17</v>
      </c>
    </row>
    <row r="6298" spans="1:7" x14ac:dyDescent="0.2">
      <c r="A6298" s="2" t="s">
        <v>7823</v>
      </c>
      <c r="B6298" s="2" t="s">
        <v>7827</v>
      </c>
      <c r="C6298" s="2" t="s">
        <v>7828</v>
      </c>
      <c r="D6298" s="2" t="s">
        <v>10</v>
      </c>
      <c r="E6298" s="2" t="s">
        <v>16</v>
      </c>
      <c r="F6298" s="2">
        <v>1</v>
      </c>
      <c r="G6298" s="2" t="s">
        <v>17</v>
      </c>
    </row>
    <row r="6299" spans="1:7" x14ac:dyDescent="0.2">
      <c r="A6299" s="2" t="s">
        <v>7823</v>
      </c>
      <c r="B6299" s="2" t="s">
        <v>7829</v>
      </c>
      <c r="C6299" s="2" t="s">
        <v>7830</v>
      </c>
      <c r="D6299" s="2" t="s">
        <v>10</v>
      </c>
      <c r="E6299" s="2" t="s">
        <v>16</v>
      </c>
      <c r="F6299" s="2">
        <v>1</v>
      </c>
      <c r="G6299" s="2" t="s">
        <v>17</v>
      </c>
    </row>
    <row r="6300" spans="1:7" x14ac:dyDescent="0.2">
      <c r="A6300" s="2" t="s">
        <v>7831</v>
      </c>
      <c r="B6300" s="2" t="s">
        <v>7832</v>
      </c>
      <c r="C6300" s="2" t="s">
        <v>7833</v>
      </c>
      <c r="D6300" s="2" t="s">
        <v>10</v>
      </c>
      <c r="E6300" s="2" t="s">
        <v>16</v>
      </c>
      <c r="F6300" s="2">
        <v>1</v>
      </c>
      <c r="G6300" s="2" t="s">
        <v>17</v>
      </c>
    </row>
    <row r="6301" spans="1:7" x14ac:dyDescent="0.2">
      <c r="A6301" s="2" t="s">
        <v>7831</v>
      </c>
      <c r="B6301" s="2" t="s">
        <v>7834</v>
      </c>
      <c r="C6301" s="2" t="s">
        <v>7833</v>
      </c>
      <c r="D6301" s="2" t="s">
        <v>10</v>
      </c>
      <c r="E6301" s="2" t="s">
        <v>16</v>
      </c>
      <c r="F6301" s="2">
        <v>1</v>
      </c>
      <c r="G6301" s="2" t="s">
        <v>17</v>
      </c>
    </row>
    <row r="6302" spans="1:7" x14ac:dyDescent="0.2">
      <c r="A6302" s="2" t="s">
        <v>7835</v>
      </c>
      <c r="B6302" s="2" t="s">
        <v>7836</v>
      </c>
      <c r="C6302" s="2" t="s">
        <v>7837</v>
      </c>
      <c r="D6302" s="2" t="s">
        <v>10</v>
      </c>
      <c r="E6302" s="2" t="s">
        <v>16</v>
      </c>
      <c r="F6302" s="2">
        <v>1</v>
      </c>
      <c r="G6302" s="2" t="s">
        <v>17</v>
      </c>
    </row>
    <row r="6303" spans="1:7" x14ac:dyDescent="0.2">
      <c r="A6303" s="2" t="s">
        <v>7835</v>
      </c>
      <c r="B6303" s="2" t="s">
        <v>7838</v>
      </c>
      <c r="C6303" s="2" t="s">
        <v>7837</v>
      </c>
      <c r="D6303" s="2" t="s">
        <v>10</v>
      </c>
      <c r="E6303" s="2" t="s">
        <v>16</v>
      </c>
      <c r="F6303" s="2">
        <v>1</v>
      </c>
      <c r="G6303" s="2" t="s">
        <v>17</v>
      </c>
    </row>
    <row r="6304" spans="1:7" x14ac:dyDescent="0.2">
      <c r="A6304" s="2" t="s">
        <v>7839</v>
      </c>
      <c r="B6304" s="2" t="s">
        <v>7840</v>
      </c>
      <c r="C6304" s="2" t="s">
        <v>7841</v>
      </c>
      <c r="D6304" s="2" t="s">
        <v>10</v>
      </c>
      <c r="E6304" s="2" t="s">
        <v>16</v>
      </c>
      <c r="F6304" s="2">
        <v>1</v>
      </c>
      <c r="G6304" s="2" t="s">
        <v>17</v>
      </c>
    </row>
    <row r="6305" spans="1:7" x14ac:dyDescent="0.2">
      <c r="A6305" s="2" t="s">
        <v>7842</v>
      </c>
      <c r="B6305" s="2">
        <v>8</v>
      </c>
      <c r="C6305" s="2" t="s">
        <v>7843</v>
      </c>
      <c r="D6305" s="2" t="s">
        <v>10</v>
      </c>
      <c r="E6305" s="2" t="s">
        <v>16</v>
      </c>
      <c r="F6305" s="2">
        <v>1</v>
      </c>
      <c r="G6305" s="2" t="s">
        <v>17</v>
      </c>
    </row>
    <row r="6306" spans="1:7" x14ac:dyDescent="0.2">
      <c r="A6306" s="2" t="s">
        <v>7842</v>
      </c>
      <c r="B6306" s="2" t="s">
        <v>7844</v>
      </c>
      <c r="C6306" s="2" t="s">
        <v>7843</v>
      </c>
      <c r="D6306" s="2" t="s">
        <v>10</v>
      </c>
      <c r="E6306" s="2" t="s">
        <v>16</v>
      </c>
      <c r="F6306" s="2">
        <v>1</v>
      </c>
      <c r="G6306" s="2" t="s">
        <v>17</v>
      </c>
    </row>
    <row r="6307" spans="1:7" x14ac:dyDescent="0.2">
      <c r="A6307" s="2" t="s">
        <v>7842</v>
      </c>
      <c r="B6307" s="2" t="s">
        <v>7845</v>
      </c>
      <c r="C6307" s="2" t="s">
        <v>7843</v>
      </c>
      <c r="D6307" s="2" t="s">
        <v>10</v>
      </c>
      <c r="E6307" s="2" t="s">
        <v>16</v>
      </c>
      <c r="F6307" s="2">
        <v>1</v>
      </c>
      <c r="G6307" s="2" t="s">
        <v>17</v>
      </c>
    </row>
    <row r="6308" spans="1:7" x14ac:dyDescent="0.2">
      <c r="A6308" s="2" t="s">
        <v>7842</v>
      </c>
      <c r="B6308" s="2" t="s">
        <v>7846</v>
      </c>
      <c r="C6308" s="2" t="s">
        <v>7843</v>
      </c>
      <c r="D6308" s="2" t="s">
        <v>10</v>
      </c>
      <c r="E6308" s="2" t="s">
        <v>16</v>
      </c>
      <c r="F6308" s="2">
        <v>1</v>
      </c>
      <c r="G6308" s="2" t="s">
        <v>17</v>
      </c>
    </row>
    <row r="6309" spans="1:7" x14ac:dyDescent="0.2">
      <c r="A6309" s="2" t="s">
        <v>7842</v>
      </c>
      <c r="B6309" s="2" t="s">
        <v>7847</v>
      </c>
      <c r="C6309" s="2" t="s">
        <v>7848</v>
      </c>
      <c r="D6309" s="2" t="s">
        <v>10</v>
      </c>
      <c r="E6309" s="2" t="s">
        <v>16</v>
      </c>
      <c r="F6309" s="2">
        <v>1</v>
      </c>
      <c r="G6309" s="2" t="s">
        <v>17</v>
      </c>
    </row>
    <row r="6310" spans="1:7" x14ac:dyDescent="0.2">
      <c r="A6310" s="2" t="s">
        <v>7842</v>
      </c>
      <c r="B6310" s="2">
        <v>50</v>
      </c>
      <c r="C6310" s="2" t="s">
        <v>7843</v>
      </c>
      <c r="D6310" s="2" t="s">
        <v>10</v>
      </c>
      <c r="E6310" s="2" t="s">
        <v>16</v>
      </c>
      <c r="F6310" s="2">
        <v>1</v>
      </c>
      <c r="G6310" s="2" t="s">
        <v>17</v>
      </c>
    </row>
    <row r="6311" spans="1:7" x14ac:dyDescent="0.2">
      <c r="A6311" s="2" t="s">
        <v>7842</v>
      </c>
      <c r="B6311" s="2" t="s">
        <v>173</v>
      </c>
      <c r="C6311" s="2" t="s">
        <v>7843</v>
      </c>
      <c r="D6311" s="2" t="s">
        <v>10</v>
      </c>
      <c r="E6311" s="2" t="s">
        <v>16</v>
      </c>
      <c r="F6311" s="2">
        <v>1</v>
      </c>
      <c r="G6311" s="2" t="s">
        <v>17</v>
      </c>
    </row>
    <row r="6312" spans="1:7" x14ac:dyDescent="0.2">
      <c r="A6312" s="2" t="s">
        <v>7842</v>
      </c>
      <c r="B6312" s="2" t="s">
        <v>7849</v>
      </c>
      <c r="C6312" s="2" t="s">
        <v>7843</v>
      </c>
      <c r="D6312" s="2" t="s">
        <v>10</v>
      </c>
      <c r="E6312" s="2" t="s">
        <v>16</v>
      </c>
      <c r="F6312" s="2">
        <v>1</v>
      </c>
      <c r="G6312" s="2" t="s">
        <v>17</v>
      </c>
    </row>
    <row r="6313" spans="1:7" x14ac:dyDescent="0.2">
      <c r="A6313" s="2" t="s">
        <v>7842</v>
      </c>
      <c r="B6313" s="2" t="s">
        <v>464</v>
      </c>
      <c r="C6313" s="2" t="s">
        <v>7848</v>
      </c>
      <c r="D6313" s="2" t="s">
        <v>10</v>
      </c>
      <c r="E6313" s="2" t="s">
        <v>16</v>
      </c>
      <c r="F6313" s="2">
        <v>1</v>
      </c>
      <c r="G6313" s="2" t="s">
        <v>17</v>
      </c>
    </row>
    <row r="6314" spans="1:7" x14ac:dyDescent="0.2">
      <c r="A6314" s="2" t="s">
        <v>7842</v>
      </c>
      <c r="B6314" s="2" t="s">
        <v>7850</v>
      </c>
      <c r="C6314" s="2" t="s">
        <v>7843</v>
      </c>
      <c r="D6314" s="2" t="s">
        <v>10</v>
      </c>
      <c r="E6314" s="2" t="s">
        <v>16</v>
      </c>
      <c r="F6314" s="2">
        <v>1</v>
      </c>
      <c r="G6314" s="2" t="s">
        <v>17</v>
      </c>
    </row>
    <row r="6315" spans="1:7" x14ac:dyDescent="0.2">
      <c r="A6315" s="2" t="s">
        <v>7842</v>
      </c>
      <c r="B6315" s="2" t="s">
        <v>7851</v>
      </c>
      <c r="C6315" s="2" t="s">
        <v>7843</v>
      </c>
      <c r="D6315" s="2" t="s">
        <v>10</v>
      </c>
      <c r="E6315" s="2" t="s">
        <v>16</v>
      </c>
      <c r="F6315" s="2">
        <v>1</v>
      </c>
      <c r="G6315" s="2" t="s">
        <v>17</v>
      </c>
    </row>
    <row r="6316" spans="1:7" x14ac:dyDescent="0.2">
      <c r="A6316" s="2" t="s">
        <v>7842</v>
      </c>
      <c r="B6316" s="2" t="s">
        <v>1522</v>
      </c>
      <c r="C6316" s="2" t="s">
        <v>7843</v>
      </c>
      <c r="D6316" s="2" t="s">
        <v>10</v>
      </c>
      <c r="E6316" s="2" t="s">
        <v>16</v>
      </c>
      <c r="F6316" s="2">
        <v>1</v>
      </c>
      <c r="G6316" s="2" t="s">
        <v>17</v>
      </c>
    </row>
    <row r="6317" spans="1:7" x14ac:dyDescent="0.2">
      <c r="A6317" s="2" t="s">
        <v>7842</v>
      </c>
      <c r="B6317" s="2" t="s">
        <v>7852</v>
      </c>
      <c r="C6317" s="2" t="s">
        <v>7853</v>
      </c>
      <c r="D6317" s="2" t="s">
        <v>10</v>
      </c>
      <c r="E6317" s="2" t="s">
        <v>16</v>
      </c>
      <c r="F6317" s="2">
        <v>1</v>
      </c>
      <c r="G6317" s="2" t="s">
        <v>17</v>
      </c>
    </row>
    <row r="6318" spans="1:7" x14ac:dyDescent="0.2">
      <c r="A6318" s="2" t="s">
        <v>7842</v>
      </c>
      <c r="B6318" s="2" t="s">
        <v>7854</v>
      </c>
      <c r="C6318" s="2" t="s">
        <v>7853</v>
      </c>
      <c r="D6318" s="2" t="s">
        <v>10</v>
      </c>
      <c r="E6318" s="2" t="s">
        <v>16</v>
      </c>
      <c r="F6318" s="2">
        <v>1</v>
      </c>
      <c r="G6318" s="2" t="s">
        <v>17</v>
      </c>
    </row>
    <row r="6319" spans="1:7" x14ac:dyDescent="0.2">
      <c r="A6319" s="2" t="s">
        <v>7842</v>
      </c>
      <c r="B6319" s="2" t="s">
        <v>7855</v>
      </c>
      <c r="C6319" s="2" t="s">
        <v>7853</v>
      </c>
      <c r="D6319" s="2" t="s">
        <v>10</v>
      </c>
      <c r="E6319" s="2" t="s">
        <v>16</v>
      </c>
      <c r="F6319" s="2">
        <v>1</v>
      </c>
      <c r="G6319" s="2" t="s">
        <v>17</v>
      </c>
    </row>
    <row r="6320" spans="1:7" x14ac:dyDescent="0.2">
      <c r="A6320" s="2" t="s">
        <v>7856</v>
      </c>
      <c r="B6320" s="2" t="s">
        <v>7857</v>
      </c>
      <c r="C6320" s="2" t="s">
        <v>7843</v>
      </c>
      <c r="D6320" s="2" t="s">
        <v>10</v>
      </c>
      <c r="E6320" s="2" t="s">
        <v>16</v>
      </c>
      <c r="F6320" s="2">
        <v>1</v>
      </c>
      <c r="G6320" s="2" t="s">
        <v>17</v>
      </c>
    </row>
    <row r="6321" spans="1:7" x14ac:dyDescent="0.2">
      <c r="A6321" s="2" t="s">
        <v>7856</v>
      </c>
      <c r="B6321" s="2" t="s">
        <v>7858</v>
      </c>
      <c r="C6321" s="2" t="s">
        <v>7843</v>
      </c>
      <c r="D6321" s="2" t="s">
        <v>10</v>
      </c>
      <c r="E6321" s="2" t="s">
        <v>16</v>
      </c>
      <c r="F6321" s="2">
        <v>1</v>
      </c>
      <c r="G6321" s="2" t="s">
        <v>17</v>
      </c>
    </row>
    <row r="6322" spans="1:7" x14ac:dyDescent="0.2">
      <c r="A6322" s="2" t="s">
        <v>7859</v>
      </c>
      <c r="B6322" s="2" t="s">
        <v>7860</v>
      </c>
      <c r="C6322" s="2" t="s">
        <v>5456</v>
      </c>
      <c r="D6322" s="2" t="s">
        <v>10</v>
      </c>
      <c r="E6322" s="2" t="s">
        <v>16</v>
      </c>
      <c r="F6322" s="2">
        <v>1</v>
      </c>
      <c r="G6322" s="2" t="s">
        <v>17</v>
      </c>
    </row>
    <row r="6323" spans="1:7" x14ac:dyDescent="0.2">
      <c r="A6323" s="2" t="s">
        <v>7859</v>
      </c>
      <c r="B6323" s="2" t="s">
        <v>3497</v>
      </c>
      <c r="C6323" s="2" t="s">
        <v>5456</v>
      </c>
      <c r="D6323" s="2" t="s">
        <v>10</v>
      </c>
      <c r="E6323" s="2" t="s">
        <v>16</v>
      </c>
      <c r="F6323" s="2">
        <v>1</v>
      </c>
      <c r="G6323" s="2" t="s">
        <v>17</v>
      </c>
    </row>
    <row r="6324" spans="1:7" x14ac:dyDescent="0.2">
      <c r="A6324" s="2" t="s">
        <v>7861</v>
      </c>
      <c r="B6324" s="2" t="s">
        <v>210</v>
      </c>
      <c r="C6324" s="2" t="s">
        <v>7862</v>
      </c>
      <c r="D6324" s="2" t="s">
        <v>10</v>
      </c>
      <c r="E6324" s="2" t="s">
        <v>16</v>
      </c>
      <c r="F6324" s="2">
        <v>1</v>
      </c>
      <c r="G6324" s="2" t="s">
        <v>17</v>
      </c>
    </row>
    <row r="6325" spans="1:7" x14ac:dyDescent="0.2">
      <c r="A6325" s="2" t="s">
        <v>7863</v>
      </c>
      <c r="B6325" s="2" t="s">
        <v>1458</v>
      </c>
      <c r="C6325" s="2" t="s">
        <v>1459</v>
      </c>
      <c r="D6325" s="2" t="s">
        <v>10</v>
      </c>
      <c r="E6325" s="2" t="s">
        <v>16</v>
      </c>
      <c r="F6325" s="2">
        <v>1</v>
      </c>
      <c r="G6325" s="2" t="s">
        <v>17</v>
      </c>
    </row>
    <row r="6326" spans="1:7" x14ac:dyDescent="0.2">
      <c r="A6326" s="2" t="s">
        <v>7863</v>
      </c>
      <c r="B6326" s="2" t="s">
        <v>1460</v>
      </c>
      <c r="C6326" s="2" t="s">
        <v>1459</v>
      </c>
      <c r="D6326" s="2" t="s">
        <v>10</v>
      </c>
      <c r="E6326" s="2" t="s">
        <v>16</v>
      </c>
      <c r="F6326" s="2">
        <v>1</v>
      </c>
      <c r="G6326" s="2" t="s">
        <v>17</v>
      </c>
    </row>
    <row r="6327" spans="1:7" x14ac:dyDescent="0.2">
      <c r="A6327" s="2" t="s">
        <v>7864</v>
      </c>
      <c r="B6327" s="2" t="s">
        <v>407</v>
      </c>
      <c r="C6327" s="2" t="s">
        <v>408</v>
      </c>
      <c r="D6327" s="2" t="s">
        <v>10</v>
      </c>
      <c r="E6327" s="2" t="s">
        <v>16</v>
      </c>
      <c r="F6327" s="2">
        <v>1</v>
      </c>
      <c r="G6327" s="2" t="s">
        <v>17</v>
      </c>
    </row>
    <row r="6328" spans="1:7" x14ac:dyDescent="0.2">
      <c r="A6328" s="2" t="s">
        <v>7865</v>
      </c>
      <c r="B6328" s="2" t="s">
        <v>149</v>
      </c>
      <c r="C6328" s="2" t="s">
        <v>150</v>
      </c>
      <c r="D6328" s="2" t="s">
        <v>10</v>
      </c>
      <c r="E6328" s="2" t="s">
        <v>16</v>
      </c>
      <c r="F6328" s="2">
        <v>1</v>
      </c>
      <c r="G6328" s="2" t="s">
        <v>17</v>
      </c>
    </row>
    <row r="6329" spans="1:7" x14ac:dyDescent="0.2">
      <c r="A6329" s="2" t="s">
        <v>7865</v>
      </c>
      <c r="B6329" s="2" t="s">
        <v>5916</v>
      </c>
      <c r="C6329" s="2" t="s">
        <v>5917</v>
      </c>
      <c r="D6329" s="2" t="s">
        <v>10</v>
      </c>
      <c r="E6329" s="2" t="s">
        <v>16</v>
      </c>
      <c r="F6329" s="2">
        <v>1</v>
      </c>
      <c r="G6329" s="2" t="s">
        <v>17</v>
      </c>
    </row>
    <row r="6330" spans="1:7" x14ac:dyDescent="0.2">
      <c r="A6330" s="2" t="s">
        <v>7865</v>
      </c>
      <c r="B6330" s="2" t="s">
        <v>158</v>
      </c>
      <c r="C6330" s="2" t="s">
        <v>159</v>
      </c>
      <c r="D6330" s="2" t="s">
        <v>10</v>
      </c>
      <c r="E6330" s="2" t="s">
        <v>11</v>
      </c>
      <c r="F6330" s="2">
        <v>1</v>
      </c>
      <c r="G6330" s="2" t="s">
        <v>17</v>
      </c>
    </row>
    <row r="6331" spans="1:7" x14ac:dyDescent="0.2">
      <c r="A6331" s="2" t="s">
        <v>7866</v>
      </c>
      <c r="B6331" s="2" t="s">
        <v>7867</v>
      </c>
      <c r="C6331" s="2" t="s">
        <v>7868</v>
      </c>
      <c r="D6331" s="2" t="s">
        <v>10</v>
      </c>
      <c r="E6331" s="2" t="s">
        <v>16</v>
      </c>
      <c r="F6331" s="2">
        <v>1</v>
      </c>
      <c r="G6331" s="2" t="s">
        <v>17</v>
      </c>
    </row>
    <row r="6332" spans="1:7" x14ac:dyDescent="0.2">
      <c r="A6332" s="2" t="s">
        <v>7869</v>
      </c>
      <c r="B6332" s="2" t="s">
        <v>7870</v>
      </c>
      <c r="C6332" s="2" t="s">
        <v>693</v>
      </c>
      <c r="D6332" s="2" t="s">
        <v>10</v>
      </c>
      <c r="E6332" s="2" t="s">
        <v>16</v>
      </c>
      <c r="F6332" s="2">
        <v>2</v>
      </c>
      <c r="G6332" s="2" t="s">
        <v>17</v>
      </c>
    </row>
    <row r="6333" spans="1:7" x14ac:dyDescent="0.2">
      <c r="A6333" s="2" t="s">
        <v>7871</v>
      </c>
      <c r="B6333" s="2" t="s">
        <v>7872</v>
      </c>
      <c r="C6333" s="2" t="s">
        <v>2110</v>
      </c>
      <c r="D6333" s="2" t="s">
        <v>10</v>
      </c>
      <c r="E6333" s="2" t="s">
        <v>16</v>
      </c>
      <c r="F6333" s="2">
        <v>1</v>
      </c>
      <c r="G6333" s="2" t="s">
        <v>17</v>
      </c>
    </row>
    <row r="6334" spans="1:7" x14ac:dyDescent="0.2">
      <c r="A6334" s="2" t="s">
        <v>7873</v>
      </c>
      <c r="B6334" s="2" t="s">
        <v>7874</v>
      </c>
      <c r="C6334" s="2" t="s">
        <v>7875</v>
      </c>
      <c r="D6334" s="2" t="s">
        <v>64</v>
      </c>
      <c r="E6334" s="2" t="s">
        <v>16</v>
      </c>
      <c r="F6334" s="2">
        <v>1</v>
      </c>
      <c r="G6334" s="2" t="s">
        <v>17</v>
      </c>
    </row>
    <row r="6335" spans="1:7" x14ac:dyDescent="0.2">
      <c r="A6335" s="2" t="s">
        <v>7876</v>
      </c>
      <c r="B6335" s="2" t="s">
        <v>7877</v>
      </c>
      <c r="C6335" s="2" t="s">
        <v>7878</v>
      </c>
      <c r="D6335" s="2" t="s">
        <v>64</v>
      </c>
      <c r="E6335" s="2" t="s">
        <v>16</v>
      </c>
      <c r="F6335" s="2">
        <v>1</v>
      </c>
      <c r="G6335" s="2" t="s">
        <v>17</v>
      </c>
    </row>
    <row r="6336" spans="1:7" x14ac:dyDescent="0.2">
      <c r="A6336" s="2" t="s">
        <v>7876</v>
      </c>
      <c r="B6336" s="2" t="s">
        <v>7879</v>
      </c>
      <c r="C6336" s="2" t="s">
        <v>7880</v>
      </c>
      <c r="D6336" s="2" t="s">
        <v>64</v>
      </c>
      <c r="E6336" s="2" t="s">
        <v>16</v>
      </c>
      <c r="F6336" s="2">
        <v>1</v>
      </c>
      <c r="G6336" s="2" t="s">
        <v>17</v>
      </c>
    </row>
    <row r="6337" spans="1:7" x14ac:dyDescent="0.2">
      <c r="A6337" s="2" t="s">
        <v>7876</v>
      </c>
      <c r="B6337" s="2" t="s">
        <v>7881</v>
      </c>
      <c r="C6337" s="2" t="s">
        <v>7882</v>
      </c>
      <c r="D6337" s="2" t="s">
        <v>64</v>
      </c>
      <c r="E6337" s="2" t="s">
        <v>16</v>
      </c>
      <c r="F6337" s="2">
        <v>1</v>
      </c>
      <c r="G6337" s="2" t="s">
        <v>17</v>
      </c>
    </row>
    <row r="6338" spans="1:7" x14ac:dyDescent="0.2">
      <c r="A6338" s="2" t="s">
        <v>7876</v>
      </c>
      <c r="B6338" s="2" t="s">
        <v>7883</v>
      </c>
      <c r="C6338" s="2" t="s">
        <v>7884</v>
      </c>
      <c r="D6338" s="2" t="s">
        <v>64</v>
      </c>
      <c r="E6338" s="2" t="s">
        <v>16</v>
      </c>
      <c r="F6338" s="2">
        <v>1</v>
      </c>
      <c r="G6338" s="2" t="s">
        <v>17</v>
      </c>
    </row>
    <row r="6339" spans="1:7" x14ac:dyDescent="0.2">
      <c r="A6339" s="2" t="s">
        <v>7876</v>
      </c>
      <c r="B6339" s="2" t="s">
        <v>7885</v>
      </c>
      <c r="C6339" s="2" t="s">
        <v>7886</v>
      </c>
      <c r="D6339" s="2" t="s">
        <v>64</v>
      </c>
      <c r="E6339" s="2" t="s">
        <v>16</v>
      </c>
      <c r="F6339" s="2">
        <v>1</v>
      </c>
      <c r="G6339" s="2" t="s">
        <v>17</v>
      </c>
    </row>
    <row r="6340" spans="1:7" x14ac:dyDescent="0.2">
      <c r="A6340" s="2" t="s">
        <v>7876</v>
      </c>
      <c r="B6340" s="2" t="s">
        <v>471</v>
      </c>
      <c r="C6340" s="2" t="s">
        <v>7878</v>
      </c>
      <c r="D6340" s="2" t="s">
        <v>64</v>
      </c>
      <c r="E6340" s="2" t="s">
        <v>16</v>
      </c>
      <c r="F6340" s="2">
        <v>1</v>
      </c>
      <c r="G6340" s="2" t="s">
        <v>17</v>
      </c>
    </row>
    <row r="6341" spans="1:7" x14ac:dyDescent="0.2">
      <c r="A6341" s="2" t="s">
        <v>7876</v>
      </c>
      <c r="B6341" s="2" t="s">
        <v>5216</v>
      </c>
      <c r="C6341" s="2" t="s">
        <v>7882</v>
      </c>
      <c r="D6341" s="2" t="s">
        <v>64</v>
      </c>
      <c r="E6341" s="2" t="s">
        <v>16</v>
      </c>
      <c r="F6341" s="2">
        <v>1</v>
      </c>
      <c r="G6341" s="2" t="s">
        <v>17</v>
      </c>
    </row>
    <row r="6342" spans="1:7" x14ac:dyDescent="0.2">
      <c r="A6342" s="2" t="s">
        <v>7876</v>
      </c>
      <c r="B6342" s="2" t="s">
        <v>7887</v>
      </c>
      <c r="C6342" s="2" t="s">
        <v>7880</v>
      </c>
      <c r="D6342" s="2" t="s">
        <v>64</v>
      </c>
      <c r="E6342" s="2" t="s">
        <v>16</v>
      </c>
      <c r="F6342" s="2">
        <v>1</v>
      </c>
      <c r="G6342" s="2" t="s">
        <v>17</v>
      </c>
    </row>
    <row r="6343" spans="1:7" x14ac:dyDescent="0.2">
      <c r="A6343" s="2" t="s">
        <v>7876</v>
      </c>
      <c r="B6343" s="2" t="s">
        <v>1082</v>
      </c>
      <c r="C6343" s="2" t="s">
        <v>7886</v>
      </c>
      <c r="D6343" s="2" t="s">
        <v>64</v>
      </c>
      <c r="E6343" s="2" t="s">
        <v>16</v>
      </c>
      <c r="F6343" s="2">
        <v>1</v>
      </c>
      <c r="G6343" s="2" t="s">
        <v>17</v>
      </c>
    </row>
    <row r="6344" spans="1:7" x14ac:dyDescent="0.2">
      <c r="A6344" s="2" t="s">
        <v>7876</v>
      </c>
      <c r="B6344" s="2" t="s">
        <v>412</v>
      </c>
      <c r="C6344" s="2" t="s">
        <v>7888</v>
      </c>
      <c r="D6344" s="2" t="s">
        <v>64</v>
      </c>
      <c r="E6344" s="2" t="s">
        <v>16</v>
      </c>
      <c r="F6344" s="2">
        <v>1</v>
      </c>
      <c r="G6344" s="2" t="s">
        <v>17</v>
      </c>
    </row>
    <row r="6345" spans="1:7" x14ac:dyDescent="0.2">
      <c r="A6345" s="2" t="s">
        <v>7876</v>
      </c>
      <c r="B6345" s="2" t="s">
        <v>7889</v>
      </c>
      <c r="C6345" s="2" t="s">
        <v>7888</v>
      </c>
      <c r="D6345" s="2" t="s">
        <v>64</v>
      </c>
      <c r="E6345" s="2" t="s">
        <v>16</v>
      </c>
      <c r="F6345" s="2">
        <v>1</v>
      </c>
      <c r="G6345" s="2" t="s">
        <v>17</v>
      </c>
    </row>
    <row r="6346" spans="1:7" x14ac:dyDescent="0.2">
      <c r="A6346" s="2" t="s">
        <v>7890</v>
      </c>
      <c r="B6346" s="2" t="s">
        <v>7891</v>
      </c>
      <c r="C6346" s="2" t="s">
        <v>4225</v>
      </c>
      <c r="D6346" s="2" t="s">
        <v>10</v>
      </c>
      <c r="E6346" s="2" t="s">
        <v>16</v>
      </c>
      <c r="F6346" s="2">
        <v>1</v>
      </c>
      <c r="G6346" s="2" t="s">
        <v>17</v>
      </c>
    </row>
    <row r="6347" spans="1:7" x14ac:dyDescent="0.2">
      <c r="A6347" s="2" t="s">
        <v>7890</v>
      </c>
      <c r="B6347" s="2" t="s">
        <v>4224</v>
      </c>
      <c r="C6347" s="2" t="s">
        <v>4225</v>
      </c>
      <c r="D6347" s="2" t="s">
        <v>10</v>
      </c>
      <c r="E6347" s="2" t="s">
        <v>16</v>
      </c>
      <c r="F6347" s="2">
        <v>1</v>
      </c>
      <c r="G6347" s="2" t="s">
        <v>17</v>
      </c>
    </row>
    <row r="6348" spans="1:7" x14ac:dyDescent="0.2">
      <c r="A6348" s="2" t="s">
        <v>7890</v>
      </c>
      <c r="B6348" s="2" t="s">
        <v>7892</v>
      </c>
      <c r="C6348" s="2" t="s">
        <v>7893</v>
      </c>
      <c r="D6348" s="2" t="s">
        <v>10</v>
      </c>
      <c r="E6348" s="2" t="s">
        <v>1080</v>
      </c>
      <c r="F6348" s="2">
        <v>1</v>
      </c>
      <c r="G6348" s="2" t="s">
        <v>17</v>
      </c>
    </row>
    <row r="6349" spans="1:7" x14ac:dyDescent="0.2">
      <c r="A6349" s="2" t="s">
        <v>7890</v>
      </c>
      <c r="B6349" s="2" t="s">
        <v>7894</v>
      </c>
      <c r="C6349" s="2" t="s">
        <v>7893</v>
      </c>
      <c r="D6349" s="2" t="s">
        <v>10</v>
      </c>
      <c r="E6349" s="2" t="s">
        <v>1080</v>
      </c>
      <c r="F6349" s="2">
        <v>1</v>
      </c>
      <c r="G6349" s="2" t="s">
        <v>17</v>
      </c>
    </row>
    <row r="6350" spans="1:7" x14ac:dyDescent="0.2">
      <c r="A6350" s="2" t="s">
        <v>7895</v>
      </c>
      <c r="B6350" s="2" t="s">
        <v>7896</v>
      </c>
      <c r="C6350" s="2" t="s">
        <v>6363</v>
      </c>
      <c r="D6350" s="2" t="s">
        <v>10</v>
      </c>
      <c r="E6350" s="2" t="s">
        <v>16</v>
      </c>
      <c r="F6350" s="2">
        <v>1</v>
      </c>
      <c r="G6350" s="2" t="s">
        <v>17</v>
      </c>
    </row>
    <row r="6351" spans="1:7" x14ac:dyDescent="0.2">
      <c r="A6351" s="2" t="s">
        <v>7897</v>
      </c>
      <c r="B6351" s="2" t="s">
        <v>2574</v>
      </c>
      <c r="C6351" s="2" t="s">
        <v>1595</v>
      </c>
      <c r="D6351" s="2" t="s">
        <v>10</v>
      </c>
      <c r="E6351" s="2" t="s">
        <v>16</v>
      </c>
      <c r="F6351" s="2">
        <v>1</v>
      </c>
      <c r="G6351" s="2" t="s">
        <v>17</v>
      </c>
    </row>
    <row r="6352" spans="1:7" x14ac:dyDescent="0.2">
      <c r="A6352" s="2" t="s">
        <v>7897</v>
      </c>
      <c r="B6352" s="2" t="s">
        <v>7898</v>
      </c>
      <c r="C6352" s="2" t="s">
        <v>1595</v>
      </c>
      <c r="D6352" s="2" t="s">
        <v>10</v>
      </c>
      <c r="E6352" s="2" t="s">
        <v>16</v>
      </c>
      <c r="F6352" s="2">
        <v>1</v>
      </c>
      <c r="G6352" s="2" t="s">
        <v>17</v>
      </c>
    </row>
    <row r="6353" spans="1:7" x14ac:dyDescent="0.2">
      <c r="A6353" s="2" t="s">
        <v>7897</v>
      </c>
      <c r="B6353" s="2" t="s">
        <v>7899</v>
      </c>
      <c r="C6353" s="2" t="s">
        <v>7900</v>
      </c>
      <c r="D6353" s="2" t="s">
        <v>10</v>
      </c>
      <c r="E6353" s="2" t="s">
        <v>16</v>
      </c>
      <c r="F6353" s="2">
        <v>1</v>
      </c>
      <c r="G6353" s="2" t="s">
        <v>17</v>
      </c>
    </row>
    <row r="6354" spans="1:7" x14ac:dyDescent="0.2">
      <c r="A6354" s="2" t="s">
        <v>7897</v>
      </c>
      <c r="B6354" s="2" t="s">
        <v>7901</v>
      </c>
      <c r="C6354" s="2" t="s">
        <v>7900</v>
      </c>
      <c r="D6354" s="2" t="s">
        <v>10</v>
      </c>
      <c r="E6354" s="2" t="s">
        <v>16</v>
      </c>
      <c r="F6354" s="2">
        <v>1</v>
      </c>
      <c r="G6354" s="2" t="s">
        <v>17</v>
      </c>
    </row>
    <row r="6355" spans="1:7" x14ac:dyDescent="0.2">
      <c r="A6355" s="2" t="s">
        <v>7902</v>
      </c>
      <c r="B6355" s="2" t="s">
        <v>6908</v>
      </c>
      <c r="C6355" s="2" t="s">
        <v>2027</v>
      </c>
      <c r="D6355" s="2" t="s">
        <v>10</v>
      </c>
      <c r="E6355" s="2" t="s">
        <v>16</v>
      </c>
      <c r="F6355" s="2">
        <v>1</v>
      </c>
      <c r="G6355" s="2" t="s">
        <v>17</v>
      </c>
    </row>
    <row r="6356" spans="1:7" x14ac:dyDescent="0.2">
      <c r="A6356" s="2" t="s">
        <v>7902</v>
      </c>
      <c r="B6356" s="2" t="s">
        <v>7903</v>
      </c>
      <c r="C6356" s="2" t="s">
        <v>7904</v>
      </c>
      <c r="D6356" s="2" t="s">
        <v>10</v>
      </c>
      <c r="E6356" s="2" t="s">
        <v>11</v>
      </c>
      <c r="F6356" s="2">
        <v>2</v>
      </c>
      <c r="G6356" s="2" t="s">
        <v>12</v>
      </c>
    </row>
    <row r="6357" spans="1:7" x14ac:dyDescent="0.2">
      <c r="A6357" s="2" t="s">
        <v>7902</v>
      </c>
      <c r="B6357" s="2" t="s">
        <v>7905</v>
      </c>
      <c r="C6357" s="2" t="s">
        <v>7906</v>
      </c>
      <c r="D6357" s="2" t="s">
        <v>10</v>
      </c>
      <c r="E6357" s="2" t="s">
        <v>11</v>
      </c>
      <c r="F6357" s="2">
        <v>2</v>
      </c>
      <c r="G6357" s="2" t="s">
        <v>12</v>
      </c>
    </row>
    <row r="6358" spans="1:7" x14ac:dyDescent="0.2">
      <c r="A6358" s="2" t="s">
        <v>7902</v>
      </c>
      <c r="B6358" s="2" t="s">
        <v>7907</v>
      </c>
      <c r="C6358" s="2" t="s">
        <v>7904</v>
      </c>
      <c r="D6358" s="2" t="s">
        <v>10</v>
      </c>
      <c r="E6358" s="2" t="s">
        <v>11</v>
      </c>
      <c r="F6358" s="2">
        <v>2</v>
      </c>
      <c r="G6358" s="2" t="s">
        <v>12</v>
      </c>
    </row>
    <row r="6359" spans="1:7" x14ac:dyDescent="0.2">
      <c r="A6359" s="2" t="s">
        <v>7902</v>
      </c>
      <c r="B6359" s="2" t="s">
        <v>7908</v>
      </c>
      <c r="C6359" s="2" t="s">
        <v>7909</v>
      </c>
      <c r="D6359" s="2" t="s">
        <v>10</v>
      </c>
      <c r="E6359" s="2" t="s">
        <v>11</v>
      </c>
      <c r="F6359" s="2">
        <v>1</v>
      </c>
      <c r="G6359" s="2" t="s">
        <v>17</v>
      </c>
    </row>
    <row r="6360" spans="1:7" x14ac:dyDescent="0.2">
      <c r="A6360" s="2" t="s">
        <v>7902</v>
      </c>
      <c r="B6360" s="2" t="s">
        <v>7910</v>
      </c>
      <c r="C6360" s="2" t="s">
        <v>7911</v>
      </c>
      <c r="D6360" s="2" t="s">
        <v>10</v>
      </c>
      <c r="E6360" s="2" t="s">
        <v>16</v>
      </c>
      <c r="F6360" s="2">
        <v>1</v>
      </c>
      <c r="G6360" s="2" t="s">
        <v>17</v>
      </c>
    </row>
    <row r="6361" spans="1:7" x14ac:dyDescent="0.2">
      <c r="A6361" s="2" t="s">
        <v>7912</v>
      </c>
      <c r="B6361" s="2" t="s">
        <v>7913</v>
      </c>
      <c r="C6361" s="2" t="s">
        <v>7914</v>
      </c>
      <c r="D6361" s="2" t="s">
        <v>10</v>
      </c>
      <c r="E6361" s="2" t="s">
        <v>16</v>
      </c>
      <c r="F6361" s="2">
        <v>1</v>
      </c>
      <c r="G6361" s="2" t="s">
        <v>17</v>
      </c>
    </row>
    <row r="6362" spans="1:7" x14ac:dyDescent="0.2">
      <c r="A6362" s="2" t="s">
        <v>7912</v>
      </c>
      <c r="B6362" s="2" t="s">
        <v>7915</v>
      </c>
      <c r="C6362" s="2" t="s">
        <v>7914</v>
      </c>
      <c r="D6362" s="2" t="s">
        <v>10</v>
      </c>
      <c r="E6362" s="2" t="s">
        <v>16</v>
      </c>
      <c r="F6362" s="2">
        <v>1</v>
      </c>
      <c r="G6362" s="2" t="s">
        <v>17</v>
      </c>
    </row>
    <row r="6363" spans="1:7" x14ac:dyDescent="0.2">
      <c r="A6363" s="2" t="s">
        <v>7912</v>
      </c>
      <c r="B6363" s="2" t="s">
        <v>7916</v>
      </c>
      <c r="C6363" s="2" t="s">
        <v>7914</v>
      </c>
      <c r="D6363" s="2" t="s">
        <v>10</v>
      </c>
      <c r="E6363" s="2" t="s">
        <v>16</v>
      </c>
      <c r="F6363" s="2">
        <v>1</v>
      </c>
      <c r="G6363" s="2" t="s">
        <v>17</v>
      </c>
    </row>
    <row r="6364" spans="1:7" x14ac:dyDescent="0.2">
      <c r="A6364" s="2" t="s">
        <v>7917</v>
      </c>
      <c r="B6364" s="2" t="s">
        <v>7918</v>
      </c>
      <c r="C6364" s="2" t="s">
        <v>104</v>
      </c>
      <c r="D6364" s="2" t="s">
        <v>10</v>
      </c>
      <c r="E6364" s="2" t="s">
        <v>16</v>
      </c>
      <c r="F6364" s="2">
        <v>1</v>
      </c>
      <c r="G6364" s="2" t="s">
        <v>17</v>
      </c>
    </row>
    <row r="6365" spans="1:7" x14ac:dyDescent="0.2">
      <c r="A6365" s="2" t="s">
        <v>7917</v>
      </c>
      <c r="B6365" s="2" t="s">
        <v>7919</v>
      </c>
      <c r="C6365" s="2" t="s">
        <v>104</v>
      </c>
      <c r="D6365" s="2" t="s">
        <v>10</v>
      </c>
      <c r="E6365" s="2" t="s">
        <v>16</v>
      </c>
      <c r="F6365" s="2">
        <v>1</v>
      </c>
      <c r="G6365" s="2" t="s">
        <v>17</v>
      </c>
    </row>
    <row r="6366" spans="1:7" x14ac:dyDescent="0.2">
      <c r="A6366" s="2" t="s">
        <v>7917</v>
      </c>
      <c r="B6366" s="2" t="s">
        <v>7920</v>
      </c>
      <c r="C6366" s="2" t="s">
        <v>107</v>
      </c>
      <c r="D6366" s="2" t="s">
        <v>10</v>
      </c>
      <c r="E6366" s="2" t="s">
        <v>16</v>
      </c>
      <c r="F6366" s="2">
        <v>1</v>
      </c>
      <c r="G6366" s="2" t="s">
        <v>17</v>
      </c>
    </row>
    <row r="6367" spans="1:7" x14ac:dyDescent="0.2">
      <c r="A6367" s="2" t="s">
        <v>7917</v>
      </c>
      <c r="B6367" s="2" t="s">
        <v>7921</v>
      </c>
      <c r="C6367" s="2" t="s">
        <v>3222</v>
      </c>
      <c r="D6367" s="2" t="s">
        <v>10</v>
      </c>
      <c r="E6367" s="2" t="s">
        <v>16</v>
      </c>
      <c r="F6367" s="2">
        <v>1</v>
      </c>
      <c r="G6367" s="2" t="s">
        <v>17</v>
      </c>
    </row>
    <row r="6368" spans="1:7" x14ac:dyDescent="0.2">
      <c r="A6368" s="2" t="s">
        <v>7917</v>
      </c>
      <c r="B6368" s="2" t="s">
        <v>7922</v>
      </c>
      <c r="C6368" s="2" t="s">
        <v>7923</v>
      </c>
      <c r="D6368" s="2" t="s">
        <v>10</v>
      </c>
      <c r="E6368" s="2" t="s">
        <v>16</v>
      </c>
      <c r="F6368" s="2">
        <v>1</v>
      </c>
      <c r="G6368" s="2" t="s">
        <v>17</v>
      </c>
    </row>
    <row r="6369" spans="1:7" x14ac:dyDescent="0.2">
      <c r="A6369" s="2" t="s">
        <v>7917</v>
      </c>
      <c r="B6369" s="2" t="s">
        <v>7272</v>
      </c>
      <c r="C6369" s="2" t="s">
        <v>7923</v>
      </c>
      <c r="D6369" s="2" t="s">
        <v>10</v>
      </c>
      <c r="E6369" s="2" t="s">
        <v>16</v>
      </c>
      <c r="F6369" s="2">
        <v>1</v>
      </c>
      <c r="G6369" s="2" t="s">
        <v>17</v>
      </c>
    </row>
    <row r="6370" spans="1:7" x14ac:dyDescent="0.2">
      <c r="A6370" s="2" t="s">
        <v>7917</v>
      </c>
      <c r="B6370" s="2" t="s">
        <v>103</v>
      </c>
      <c r="C6370" s="2" t="s">
        <v>104</v>
      </c>
      <c r="D6370" s="2" t="s">
        <v>10</v>
      </c>
      <c r="E6370" s="2" t="s">
        <v>16</v>
      </c>
      <c r="F6370" s="2">
        <v>1</v>
      </c>
      <c r="G6370" s="2" t="s">
        <v>17</v>
      </c>
    </row>
    <row r="6371" spans="1:7" x14ac:dyDescent="0.2">
      <c r="A6371" s="2" t="s">
        <v>7917</v>
      </c>
      <c r="B6371" s="2" t="s">
        <v>7924</v>
      </c>
      <c r="C6371" s="2" t="s">
        <v>104</v>
      </c>
      <c r="D6371" s="2" t="s">
        <v>10</v>
      </c>
      <c r="E6371" s="2" t="s">
        <v>16</v>
      </c>
      <c r="F6371" s="2">
        <v>1</v>
      </c>
      <c r="G6371" s="2" t="s">
        <v>17</v>
      </c>
    </row>
    <row r="6372" spans="1:7" x14ac:dyDescent="0.2">
      <c r="A6372" s="2" t="s">
        <v>7925</v>
      </c>
      <c r="B6372" s="2" t="s">
        <v>1436</v>
      </c>
      <c r="C6372" s="2" t="s">
        <v>1437</v>
      </c>
      <c r="D6372" s="2" t="s">
        <v>10</v>
      </c>
      <c r="E6372" s="2" t="s">
        <v>16</v>
      </c>
      <c r="F6372" s="2">
        <v>1</v>
      </c>
      <c r="G6372" s="2" t="s">
        <v>17</v>
      </c>
    </row>
    <row r="6373" spans="1:7" x14ac:dyDescent="0.2">
      <c r="A6373" s="2" t="s">
        <v>7925</v>
      </c>
      <c r="B6373" s="2" t="s">
        <v>1438</v>
      </c>
      <c r="C6373" s="2" t="s">
        <v>1437</v>
      </c>
      <c r="D6373" s="2" t="s">
        <v>10</v>
      </c>
      <c r="E6373" s="2" t="s">
        <v>16</v>
      </c>
      <c r="F6373" s="2">
        <v>1</v>
      </c>
      <c r="G6373" s="2" t="s">
        <v>17</v>
      </c>
    </row>
    <row r="6374" spans="1:7" x14ac:dyDescent="0.2">
      <c r="A6374" s="2" t="s">
        <v>7926</v>
      </c>
      <c r="B6374" s="2" t="s">
        <v>7927</v>
      </c>
      <c r="C6374" s="2" t="s">
        <v>7928</v>
      </c>
      <c r="D6374" s="2" t="s">
        <v>10</v>
      </c>
      <c r="E6374" s="2" t="s">
        <v>11</v>
      </c>
      <c r="F6374" s="2">
        <v>1</v>
      </c>
      <c r="G6374" s="2" t="s">
        <v>17</v>
      </c>
    </row>
    <row r="6375" spans="1:7" x14ac:dyDescent="0.2">
      <c r="A6375" s="2" t="s">
        <v>7926</v>
      </c>
      <c r="B6375" s="2" t="s">
        <v>7929</v>
      </c>
      <c r="C6375" s="2" t="s">
        <v>7928</v>
      </c>
      <c r="D6375" s="2" t="s">
        <v>10</v>
      </c>
      <c r="E6375" s="2" t="s">
        <v>11</v>
      </c>
      <c r="F6375" s="2">
        <v>1</v>
      </c>
      <c r="G6375" s="2" t="s">
        <v>17</v>
      </c>
    </row>
    <row r="6376" spans="1:7" x14ac:dyDescent="0.2">
      <c r="A6376" s="2" t="s">
        <v>7926</v>
      </c>
      <c r="B6376" s="2" t="s">
        <v>7930</v>
      </c>
      <c r="C6376" s="2" t="s">
        <v>7931</v>
      </c>
      <c r="D6376" s="2" t="s">
        <v>10</v>
      </c>
      <c r="E6376" s="2" t="s">
        <v>16</v>
      </c>
      <c r="F6376" s="2">
        <v>2</v>
      </c>
      <c r="G6376" s="2" t="s">
        <v>17</v>
      </c>
    </row>
    <row r="6377" spans="1:7" x14ac:dyDescent="0.2">
      <c r="A6377" s="2" t="s">
        <v>7926</v>
      </c>
      <c r="B6377" s="2" t="s">
        <v>7932</v>
      </c>
      <c r="C6377" s="2" t="s">
        <v>7931</v>
      </c>
      <c r="D6377" s="2" t="s">
        <v>10</v>
      </c>
      <c r="E6377" s="2" t="s">
        <v>16</v>
      </c>
      <c r="F6377" s="2">
        <v>2</v>
      </c>
      <c r="G6377" s="2" t="s">
        <v>17</v>
      </c>
    </row>
    <row r="6378" spans="1:7" x14ac:dyDescent="0.2">
      <c r="A6378" s="2" t="s">
        <v>7933</v>
      </c>
      <c r="B6378" s="2" t="s">
        <v>7934</v>
      </c>
      <c r="C6378" s="2" t="s">
        <v>7935</v>
      </c>
      <c r="D6378" s="2" t="s">
        <v>10</v>
      </c>
      <c r="E6378" s="2" t="s">
        <v>16</v>
      </c>
      <c r="F6378" s="2">
        <v>1</v>
      </c>
      <c r="G6378" s="2" t="s">
        <v>17</v>
      </c>
    </row>
    <row r="6379" spans="1:7" x14ac:dyDescent="0.2">
      <c r="A6379" s="2" t="s">
        <v>7933</v>
      </c>
      <c r="B6379" s="2" t="s">
        <v>7936</v>
      </c>
      <c r="C6379" s="2" t="s">
        <v>7935</v>
      </c>
      <c r="D6379" s="2" t="s">
        <v>10</v>
      </c>
      <c r="E6379" s="2" t="s">
        <v>16</v>
      </c>
      <c r="F6379" s="2">
        <v>1</v>
      </c>
      <c r="G6379" s="2" t="s">
        <v>17</v>
      </c>
    </row>
    <row r="6380" spans="1:7" x14ac:dyDescent="0.2">
      <c r="A6380" s="2" t="s">
        <v>7933</v>
      </c>
      <c r="B6380" s="2" t="s">
        <v>7937</v>
      </c>
      <c r="C6380" s="2" t="s">
        <v>7935</v>
      </c>
      <c r="D6380" s="2" t="s">
        <v>10</v>
      </c>
      <c r="E6380" s="2" t="s">
        <v>16</v>
      </c>
      <c r="F6380" s="2">
        <v>1</v>
      </c>
      <c r="G6380" s="2" t="s">
        <v>17</v>
      </c>
    </row>
    <row r="6381" spans="1:7" x14ac:dyDescent="0.2">
      <c r="A6381" s="2" t="s">
        <v>7933</v>
      </c>
      <c r="B6381" s="2" t="s">
        <v>7938</v>
      </c>
      <c r="C6381" s="2" t="s">
        <v>7935</v>
      </c>
      <c r="D6381" s="2" t="s">
        <v>10</v>
      </c>
      <c r="E6381" s="2" t="s">
        <v>16</v>
      </c>
      <c r="F6381" s="2">
        <v>1</v>
      </c>
      <c r="G6381" s="2" t="s">
        <v>17</v>
      </c>
    </row>
    <row r="6382" spans="1:7" x14ac:dyDescent="0.2">
      <c r="A6382" s="2" t="s">
        <v>7939</v>
      </c>
      <c r="B6382" s="2" t="s">
        <v>7940</v>
      </c>
      <c r="C6382" s="2" t="s">
        <v>7941</v>
      </c>
      <c r="D6382" s="2" t="s">
        <v>10</v>
      </c>
      <c r="E6382" s="2" t="s">
        <v>16</v>
      </c>
      <c r="F6382" s="2">
        <v>1</v>
      </c>
      <c r="G6382" s="2" t="s">
        <v>17</v>
      </c>
    </row>
    <row r="6383" spans="1:7" x14ac:dyDescent="0.2">
      <c r="A6383" s="2" t="s">
        <v>7939</v>
      </c>
      <c r="B6383" s="2" t="s">
        <v>7942</v>
      </c>
      <c r="C6383" s="2" t="s">
        <v>7941</v>
      </c>
      <c r="D6383" s="2" t="s">
        <v>10</v>
      </c>
      <c r="E6383" s="2" t="s">
        <v>16</v>
      </c>
      <c r="F6383" s="2">
        <v>1</v>
      </c>
      <c r="G6383" s="2" t="s">
        <v>17</v>
      </c>
    </row>
    <row r="6384" spans="1:7" x14ac:dyDescent="0.2">
      <c r="A6384" s="2" t="s">
        <v>7943</v>
      </c>
      <c r="B6384" s="2" t="s">
        <v>3783</v>
      </c>
      <c r="C6384" s="2" t="s">
        <v>4865</v>
      </c>
      <c r="D6384" s="2" t="s">
        <v>10</v>
      </c>
      <c r="E6384" s="2" t="s">
        <v>16</v>
      </c>
      <c r="F6384" s="2">
        <v>1</v>
      </c>
      <c r="G6384" s="2" t="s">
        <v>17</v>
      </c>
    </row>
    <row r="6385" spans="1:7" x14ac:dyDescent="0.2">
      <c r="A6385" s="2" t="s">
        <v>7944</v>
      </c>
      <c r="B6385" s="2" t="s">
        <v>5736</v>
      </c>
      <c r="C6385" s="2" t="s">
        <v>773</v>
      </c>
      <c r="D6385" s="2" t="s">
        <v>10</v>
      </c>
      <c r="E6385" s="2" t="s">
        <v>52</v>
      </c>
      <c r="F6385" s="2">
        <v>1</v>
      </c>
      <c r="G6385" s="2" t="s">
        <v>17</v>
      </c>
    </row>
    <row r="6386" spans="1:7" x14ac:dyDescent="0.2">
      <c r="A6386" s="2" t="s">
        <v>7944</v>
      </c>
      <c r="B6386" s="2" t="s">
        <v>7945</v>
      </c>
      <c r="C6386" s="2" t="s">
        <v>4165</v>
      </c>
      <c r="D6386" s="2" t="s">
        <v>10</v>
      </c>
      <c r="E6386" s="2" t="s">
        <v>52</v>
      </c>
      <c r="F6386" s="2">
        <v>2</v>
      </c>
      <c r="G6386" s="2" t="s">
        <v>12</v>
      </c>
    </row>
    <row r="6387" spans="1:7" x14ac:dyDescent="0.2">
      <c r="A6387" s="2" t="s">
        <v>7944</v>
      </c>
      <c r="B6387" s="2" t="s">
        <v>5737</v>
      </c>
      <c r="C6387" s="2" t="s">
        <v>773</v>
      </c>
      <c r="D6387" s="2" t="s">
        <v>10</v>
      </c>
      <c r="E6387" s="2" t="s">
        <v>52</v>
      </c>
      <c r="F6387" s="2">
        <v>1</v>
      </c>
      <c r="G6387" s="2" t="s">
        <v>17</v>
      </c>
    </row>
    <row r="6388" spans="1:7" x14ac:dyDescent="0.2">
      <c r="A6388" s="2" t="s">
        <v>7944</v>
      </c>
      <c r="B6388" s="2" t="s">
        <v>7946</v>
      </c>
      <c r="C6388" s="2" t="s">
        <v>2064</v>
      </c>
      <c r="D6388" s="2" t="s">
        <v>10</v>
      </c>
      <c r="E6388" s="2" t="s">
        <v>52</v>
      </c>
      <c r="F6388" s="2">
        <v>1</v>
      </c>
      <c r="G6388" s="2" t="s">
        <v>17</v>
      </c>
    </row>
    <row r="6389" spans="1:7" x14ac:dyDescent="0.2">
      <c r="A6389" s="2" t="s">
        <v>7944</v>
      </c>
      <c r="B6389" s="2" t="s">
        <v>6165</v>
      </c>
      <c r="C6389" s="2" t="s">
        <v>4165</v>
      </c>
      <c r="D6389" s="2" t="s">
        <v>10</v>
      </c>
      <c r="E6389" s="2" t="s">
        <v>52</v>
      </c>
      <c r="F6389" s="2">
        <v>2</v>
      </c>
      <c r="G6389" s="2" t="s">
        <v>12</v>
      </c>
    </row>
    <row r="6390" spans="1:7" x14ac:dyDescent="0.2">
      <c r="A6390" s="2" t="s">
        <v>7947</v>
      </c>
      <c r="B6390" s="2" t="s">
        <v>7948</v>
      </c>
      <c r="C6390" s="2" t="s">
        <v>7949</v>
      </c>
      <c r="D6390" s="2" t="s">
        <v>3928</v>
      </c>
      <c r="E6390" s="2" t="s">
        <v>16</v>
      </c>
      <c r="F6390" s="2">
        <v>4</v>
      </c>
      <c r="G6390" s="2" t="s">
        <v>12</v>
      </c>
    </row>
    <row r="6391" spans="1:7" x14ac:dyDescent="0.2">
      <c r="A6391" s="2" t="s">
        <v>7947</v>
      </c>
      <c r="B6391" s="2" t="s">
        <v>7950</v>
      </c>
      <c r="C6391" s="2" t="s">
        <v>7951</v>
      </c>
      <c r="D6391" s="2" t="s">
        <v>10</v>
      </c>
      <c r="E6391" s="2" t="s">
        <v>16</v>
      </c>
      <c r="F6391" s="2">
        <v>2</v>
      </c>
      <c r="G6391" s="2" t="s">
        <v>12</v>
      </c>
    </row>
    <row r="6392" spans="1:7" x14ac:dyDescent="0.2">
      <c r="A6392" s="2" t="s">
        <v>7947</v>
      </c>
      <c r="B6392" s="2">
        <v>272</v>
      </c>
      <c r="C6392" s="2" t="s">
        <v>7952</v>
      </c>
      <c r="D6392" s="2" t="s">
        <v>10</v>
      </c>
      <c r="E6392" s="2" t="s">
        <v>11</v>
      </c>
      <c r="F6392" s="2">
        <v>2</v>
      </c>
      <c r="G6392" s="2" t="s">
        <v>12</v>
      </c>
    </row>
    <row r="6393" spans="1:7" x14ac:dyDescent="0.2">
      <c r="A6393" s="2" t="s">
        <v>7947</v>
      </c>
      <c r="B6393" s="2">
        <v>404</v>
      </c>
      <c r="C6393" s="2" t="s">
        <v>7953</v>
      </c>
      <c r="D6393" s="2" t="s">
        <v>10</v>
      </c>
      <c r="E6393" s="2" t="s">
        <v>16</v>
      </c>
      <c r="F6393" s="2">
        <v>2</v>
      </c>
      <c r="G6393" s="2" t="s">
        <v>12</v>
      </c>
    </row>
    <row r="6394" spans="1:7" x14ac:dyDescent="0.2">
      <c r="A6394" s="2" t="s">
        <v>7947</v>
      </c>
      <c r="B6394" s="2" t="s">
        <v>7954</v>
      </c>
      <c r="C6394" s="2" t="s">
        <v>7951</v>
      </c>
      <c r="D6394" s="2" t="s">
        <v>10</v>
      </c>
      <c r="E6394" s="2" t="s">
        <v>16</v>
      </c>
      <c r="F6394" s="2">
        <v>2</v>
      </c>
      <c r="G6394" s="2" t="s">
        <v>12</v>
      </c>
    </row>
    <row r="6395" spans="1:7" x14ac:dyDescent="0.2">
      <c r="A6395" s="2" t="s">
        <v>7947</v>
      </c>
      <c r="B6395" s="2" t="s">
        <v>7955</v>
      </c>
      <c r="C6395" s="2" t="s">
        <v>7949</v>
      </c>
      <c r="D6395" s="2" t="s">
        <v>3928</v>
      </c>
      <c r="E6395" s="2" t="s">
        <v>16</v>
      </c>
      <c r="F6395" s="2">
        <v>4</v>
      </c>
      <c r="G6395" s="2" t="s">
        <v>12</v>
      </c>
    </row>
    <row r="6396" spans="1:7" x14ac:dyDescent="0.2">
      <c r="A6396" s="2" t="s">
        <v>7947</v>
      </c>
      <c r="B6396" s="2" t="s">
        <v>7956</v>
      </c>
      <c r="C6396" s="2" t="s">
        <v>7951</v>
      </c>
      <c r="D6396" s="2" t="s">
        <v>10</v>
      </c>
      <c r="E6396" s="2" t="s">
        <v>16</v>
      </c>
      <c r="F6396" s="2">
        <v>2</v>
      </c>
      <c r="G6396" s="2" t="s">
        <v>12</v>
      </c>
    </row>
    <row r="6397" spans="1:7" x14ac:dyDescent="0.2">
      <c r="A6397" s="2" t="s">
        <v>7947</v>
      </c>
      <c r="B6397" s="2" t="s">
        <v>7957</v>
      </c>
      <c r="C6397" s="2" t="s">
        <v>7949</v>
      </c>
      <c r="D6397" s="2" t="s">
        <v>3928</v>
      </c>
      <c r="E6397" s="2" t="s">
        <v>16</v>
      </c>
      <c r="F6397" s="2">
        <v>4</v>
      </c>
      <c r="G6397" s="2" t="s">
        <v>12</v>
      </c>
    </row>
    <row r="6398" spans="1:7" x14ac:dyDescent="0.2">
      <c r="A6398" s="2" t="s">
        <v>7947</v>
      </c>
      <c r="B6398" s="2" t="s">
        <v>7958</v>
      </c>
      <c r="C6398" s="2" t="s">
        <v>7952</v>
      </c>
      <c r="D6398" s="2" t="s">
        <v>10</v>
      </c>
      <c r="E6398" s="2" t="s">
        <v>11</v>
      </c>
      <c r="F6398" s="2">
        <v>2</v>
      </c>
      <c r="G6398" s="2" t="s">
        <v>12</v>
      </c>
    </row>
    <row r="6399" spans="1:7" x14ac:dyDescent="0.2">
      <c r="A6399" s="2" t="s">
        <v>7959</v>
      </c>
      <c r="B6399" s="2" t="s">
        <v>7960</v>
      </c>
      <c r="C6399" s="2" t="s">
        <v>7961</v>
      </c>
      <c r="D6399" s="2" t="s">
        <v>10</v>
      </c>
      <c r="E6399" s="2" t="s">
        <v>16</v>
      </c>
      <c r="F6399" s="2">
        <v>2</v>
      </c>
      <c r="G6399" s="2" t="s">
        <v>17</v>
      </c>
    </row>
    <row r="6400" spans="1:7" x14ac:dyDescent="0.2">
      <c r="A6400" s="2" t="s">
        <v>7959</v>
      </c>
      <c r="B6400" s="2" t="s">
        <v>1244</v>
      </c>
      <c r="C6400" s="2" t="s">
        <v>7961</v>
      </c>
      <c r="D6400" s="2" t="s">
        <v>10</v>
      </c>
      <c r="E6400" s="2" t="s">
        <v>16</v>
      </c>
      <c r="F6400" s="2">
        <v>2</v>
      </c>
      <c r="G6400" s="2" t="s">
        <v>17</v>
      </c>
    </row>
    <row r="6401" spans="1:7" x14ac:dyDescent="0.2">
      <c r="A6401" s="2" t="s">
        <v>7962</v>
      </c>
      <c r="B6401" s="2" t="s">
        <v>7963</v>
      </c>
      <c r="C6401" s="2" t="s">
        <v>7964</v>
      </c>
      <c r="D6401" s="2" t="s">
        <v>10</v>
      </c>
      <c r="E6401" s="2" t="s">
        <v>16</v>
      </c>
      <c r="F6401" s="2">
        <v>1</v>
      </c>
      <c r="G6401" s="2" t="s">
        <v>17</v>
      </c>
    </row>
    <row r="6402" spans="1:7" x14ac:dyDescent="0.2">
      <c r="A6402" s="2" t="s">
        <v>7962</v>
      </c>
      <c r="B6402" s="2" t="s">
        <v>7965</v>
      </c>
      <c r="C6402" s="2" t="s">
        <v>7964</v>
      </c>
      <c r="D6402" s="2" t="s">
        <v>10</v>
      </c>
      <c r="E6402" s="2" t="s">
        <v>16</v>
      </c>
      <c r="F6402" s="2">
        <v>1</v>
      </c>
      <c r="G6402" s="2" t="s">
        <v>17</v>
      </c>
    </row>
    <row r="6403" spans="1:7" x14ac:dyDescent="0.2">
      <c r="A6403" s="2" t="s">
        <v>7962</v>
      </c>
      <c r="B6403" s="2" t="s">
        <v>1291</v>
      </c>
      <c r="C6403" s="2" t="s">
        <v>7966</v>
      </c>
      <c r="D6403" s="2" t="s">
        <v>10</v>
      </c>
      <c r="E6403" s="2" t="s">
        <v>16</v>
      </c>
      <c r="F6403" s="2">
        <v>1</v>
      </c>
      <c r="G6403" s="2" t="s">
        <v>17</v>
      </c>
    </row>
    <row r="6404" spans="1:7" x14ac:dyDescent="0.2">
      <c r="A6404" s="2" t="s">
        <v>7962</v>
      </c>
      <c r="B6404" s="2" t="s">
        <v>7967</v>
      </c>
      <c r="C6404" s="2" t="s">
        <v>7964</v>
      </c>
      <c r="D6404" s="2" t="s">
        <v>10</v>
      </c>
      <c r="E6404" s="2" t="s">
        <v>16</v>
      </c>
      <c r="F6404" s="2">
        <v>1</v>
      </c>
      <c r="G6404" s="2" t="s">
        <v>17</v>
      </c>
    </row>
    <row r="6405" spans="1:7" x14ac:dyDescent="0.2">
      <c r="A6405" s="2" t="s">
        <v>7962</v>
      </c>
      <c r="B6405" s="2" t="s">
        <v>7968</v>
      </c>
      <c r="C6405" s="2" t="s">
        <v>7969</v>
      </c>
      <c r="D6405" s="2" t="s">
        <v>10</v>
      </c>
      <c r="E6405" s="2" t="s">
        <v>16</v>
      </c>
      <c r="F6405" s="2">
        <v>1</v>
      </c>
      <c r="G6405" s="2" t="s">
        <v>17</v>
      </c>
    </row>
    <row r="6406" spans="1:7" x14ac:dyDescent="0.2">
      <c r="A6406" s="2" t="s">
        <v>7962</v>
      </c>
      <c r="B6406" s="2" t="s">
        <v>7970</v>
      </c>
      <c r="C6406" s="2" t="s">
        <v>7964</v>
      </c>
      <c r="D6406" s="2" t="s">
        <v>10</v>
      </c>
      <c r="E6406" s="2" t="s">
        <v>16</v>
      </c>
      <c r="F6406" s="2">
        <v>1</v>
      </c>
      <c r="G6406" s="2" t="s">
        <v>17</v>
      </c>
    </row>
    <row r="6407" spans="1:7" x14ac:dyDescent="0.2">
      <c r="A6407" s="2" t="s">
        <v>7962</v>
      </c>
      <c r="B6407" s="2" t="s">
        <v>7971</v>
      </c>
      <c r="C6407" s="2" t="s">
        <v>7964</v>
      </c>
      <c r="D6407" s="2" t="s">
        <v>10</v>
      </c>
      <c r="E6407" s="2" t="s">
        <v>16</v>
      </c>
      <c r="F6407" s="2">
        <v>1</v>
      </c>
      <c r="G6407" s="2" t="s">
        <v>17</v>
      </c>
    </row>
    <row r="6408" spans="1:7" x14ac:dyDescent="0.2">
      <c r="A6408" s="2" t="s">
        <v>7962</v>
      </c>
      <c r="B6408" s="2" t="s">
        <v>7972</v>
      </c>
      <c r="C6408" s="2" t="s">
        <v>7964</v>
      </c>
      <c r="D6408" s="2" t="s">
        <v>10</v>
      </c>
      <c r="E6408" s="2" t="s">
        <v>16</v>
      </c>
      <c r="F6408" s="2">
        <v>1</v>
      </c>
      <c r="G6408" s="2" t="s">
        <v>17</v>
      </c>
    </row>
    <row r="6409" spans="1:7" x14ac:dyDescent="0.2">
      <c r="A6409" s="2" t="s">
        <v>7962</v>
      </c>
      <c r="B6409" s="2" t="s">
        <v>7973</v>
      </c>
      <c r="C6409" s="2" t="s">
        <v>7964</v>
      </c>
      <c r="D6409" s="2" t="s">
        <v>10</v>
      </c>
      <c r="E6409" s="2" t="s">
        <v>16</v>
      </c>
      <c r="F6409" s="2">
        <v>1</v>
      </c>
      <c r="G6409" s="2" t="s">
        <v>17</v>
      </c>
    </row>
    <row r="6410" spans="1:7" x14ac:dyDescent="0.2">
      <c r="A6410" s="2" t="s">
        <v>7962</v>
      </c>
      <c r="B6410" s="2" t="s">
        <v>7974</v>
      </c>
      <c r="C6410" s="2" t="s">
        <v>7964</v>
      </c>
      <c r="D6410" s="2" t="s">
        <v>10</v>
      </c>
      <c r="E6410" s="2" t="s">
        <v>16</v>
      </c>
      <c r="F6410" s="2">
        <v>1</v>
      </c>
      <c r="G6410" s="2" t="s">
        <v>17</v>
      </c>
    </row>
    <row r="6411" spans="1:7" x14ac:dyDescent="0.2">
      <c r="A6411" s="2" t="s">
        <v>7962</v>
      </c>
      <c r="B6411" s="2" t="s">
        <v>7975</v>
      </c>
      <c r="C6411" s="2" t="s">
        <v>7964</v>
      </c>
      <c r="D6411" s="2" t="s">
        <v>10</v>
      </c>
      <c r="E6411" s="2" t="s">
        <v>16</v>
      </c>
      <c r="F6411" s="2">
        <v>1</v>
      </c>
      <c r="G6411" s="2" t="s">
        <v>17</v>
      </c>
    </row>
    <row r="6412" spans="1:7" x14ac:dyDescent="0.2">
      <c r="A6412" s="2" t="s">
        <v>7962</v>
      </c>
      <c r="B6412" s="2" t="s">
        <v>7976</v>
      </c>
      <c r="C6412" s="2" t="s">
        <v>7964</v>
      </c>
      <c r="D6412" s="2" t="s">
        <v>10</v>
      </c>
      <c r="E6412" s="2" t="s">
        <v>16</v>
      </c>
      <c r="F6412" s="2">
        <v>1</v>
      </c>
      <c r="G6412" s="2" t="s">
        <v>17</v>
      </c>
    </row>
    <row r="6413" spans="1:7" x14ac:dyDescent="0.2">
      <c r="A6413" s="2" t="s">
        <v>7962</v>
      </c>
      <c r="B6413" s="2" t="s">
        <v>7977</v>
      </c>
      <c r="C6413" s="2" t="s">
        <v>7969</v>
      </c>
      <c r="D6413" s="2" t="s">
        <v>10</v>
      </c>
      <c r="E6413" s="2" t="s">
        <v>16</v>
      </c>
      <c r="F6413" s="2">
        <v>1</v>
      </c>
      <c r="G6413" s="2" t="s">
        <v>17</v>
      </c>
    </row>
    <row r="6414" spans="1:7" x14ac:dyDescent="0.2">
      <c r="A6414" s="2" t="s">
        <v>7962</v>
      </c>
      <c r="B6414" s="2" t="s">
        <v>7978</v>
      </c>
      <c r="C6414" s="2" t="s">
        <v>7969</v>
      </c>
      <c r="D6414" s="2" t="s">
        <v>10</v>
      </c>
      <c r="E6414" s="2" t="s">
        <v>16</v>
      </c>
      <c r="F6414" s="2">
        <v>1</v>
      </c>
      <c r="G6414" s="2" t="s">
        <v>17</v>
      </c>
    </row>
    <row r="6415" spans="1:7" x14ac:dyDescent="0.2">
      <c r="A6415" s="2" t="s">
        <v>7962</v>
      </c>
      <c r="B6415" s="2" t="s">
        <v>7979</v>
      </c>
      <c r="C6415" s="2" t="s">
        <v>7969</v>
      </c>
      <c r="D6415" s="2" t="s">
        <v>10</v>
      </c>
      <c r="E6415" s="2" t="s">
        <v>16</v>
      </c>
      <c r="F6415" s="2">
        <v>1</v>
      </c>
      <c r="G6415" s="2" t="s">
        <v>17</v>
      </c>
    </row>
    <row r="6416" spans="1:7" x14ac:dyDescent="0.2">
      <c r="A6416" s="2" t="s">
        <v>7962</v>
      </c>
      <c r="B6416" s="2" t="s">
        <v>7980</v>
      </c>
      <c r="C6416" s="2" t="s">
        <v>7969</v>
      </c>
      <c r="D6416" s="2" t="s">
        <v>10</v>
      </c>
      <c r="E6416" s="2" t="s">
        <v>16</v>
      </c>
      <c r="F6416" s="2">
        <v>1</v>
      </c>
      <c r="G6416" s="2" t="s">
        <v>17</v>
      </c>
    </row>
    <row r="6417" spans="1:7" x14ac:dyDescent="0.2">
      <c r="A6417" s="2" t="s">
        <v>7962</v>
      </c>
      <c r="B6417" s="2" t="s">
        <v>7981</v>
      </c>
      <c r="C6417" s="2" t="s">
        <v>7982</v>
      </c>
      <c r="D6417" s="2" t="s">
        <v>10</v>
      </c>
      <c r="E6417" s="2" t="s">
        <v>16</v>
      </c>
      <c r="F6417" s="2">
        <v>1</v>
      </c>
      <c r="G6417" s="2" t="s">
        <v>17</v>
      </c>
    </row>
    <row r="6418" spans="1:7" x14ac:dyDescent="0.2">
      <c r="A6418" s="2" t="s">
        <v>7962</v>
      </c>
      <c r="B6418" s="2" t="s">
        <v>7983</v>
      </c>
      <c r="C6418" s="2" t="s">
        <v>7966</v>
      </c>
      <c r="D6418" s="2" t="s">
        <v>10</v>
      </c>
      <c r="E6418" s="2" t="s">
        <v>16</v>
      </c>
      <c r="F6418" s="2">
        <v>1</v>
      </c>
      <c r="G6418" s="2" t="s">
        <v>17</v>
      </c>
    </row>
    <row r="6419" spans="1:7" x14ac:dyDescent="0.2">
      <c r="A6419" s="2" t="s">
        <v>7962</v>
      </c>
      <c r="B6419" s="2" t="s">
        <v>7984</v>
      </c>
      <c r="C6419" s="2" t="s">
        <v>7966</v>
      </c>
      <c r="D6419" s="2" t="s">
        <v>10</v>
      </c>
      <c r="E6419" s="2" t="s">
        <v>16</v>
      </c>
      <c r="F6419" s="2">
        <v>1</v>
      </c>
      <c r="G6419" s="2" t="s">
        <v>17</v>
      </c>
    </row>
    <row r="6420" spans="1:7" x14ac:dyDescent="0.2">
      <c r="A6420" s="2" t="s">
        <v>7962</v>
      </c>
      <c r="B6420" s="2" t="s">
        <v>7985</v>
      </c>
      <c r="C6420" s="2" t="s">
        <v>7966</v>
      </c>
      <c r="D6420" s="2" t="s">
        <v>10</v>
      </c>
      <c r="E6420" s="2" t="s">
        <v>16</v>
      </c>
      <c r="F6420" s="2">
        <v>1</v>
      </c>
      <c r="G6420" s="2" t="s">
        <v>17</v>
      </c>
    </row>
    <row r="6421" spans="1:7" x14ac:dyDescent="0.2">
      <c r="A6421" s="2" t="s">
        <v>7962</v>
      </c>
      <c r="B6421" s="2" t="s">
        <v>7986</v>
      </c>
      <c r="C6421" s="2" t="s">
        <v>7966</v>
      </c>
      <c r="D6421" s="2" t="s">
        <v>10</v>
      </c>
      <c r="E6421" s="2" t="s">
        <v>16</v>
      </c>
      <c r="F6421" s="2">
        <v>1</v>
      </c>
      <c r="G6421" s="2" t="s">
        <v>17</v>
      </c>
    </row>
    <row r="6422" spans="1:7" x14ac:dyDescent="0.2">
      <c r="A6422" s="2" t="s">
        <v>7962</v>
      </c>
      <c r="B6422" s="2" t="s">
        <v>7987</v>
      </c>
      <c r="C6422" s="2" t="s">
        <v>7988</v>
      </c>
      <c r="D6422" s="2" t="s">
        <v>10</v>
      </c>
      <c r="E6422" s="2" t="s">
        <v>52</v>
      </c>
      <c r="F6422" s="2">
        <v>1</v>
      </c>
      <c r="G6422" s="2" t="s">
        <v>17</v>
      </c>
    </row>
    <row r="6423" spans="1:7" x14ac:dyDescent="0.2">
      <c r="A6423" s="2" t="s">
        <v>7962</v>
      </c>
      <c r="B6423" s="2" t="s">
        <v>7989</v>
      </c>
      <c r="C6423" s="2" t="s">
        <v>7988</v>
      </c>
      <c r="D6423" s="2" t="s">
        <v>10</v>
      </c>
      <c r="E6423" s="2" t="s">
        <v>52</v>
      </c>
      <c r="F6423" s="2">
        <v>1</v>
      </c>
      <c r="G6423" s="2" t="s">
        <v>17</v>
      </c>
    </row>
    <row r="6424" spans="1:7" x14ac:dyDescent="0.2">
      <c r="A6424" s="2" t="s">
        <v>7962</v>
      </c>
      <c r="B6424" s="2" t="s">
        <v>7990</v>
      </c>
      <c r="C6424" s="2" t="s">
        <v>7991</v>
      </c>
      <c r="D6424" s="2" t="s">
        <v>10</v>
      </c>
      <c r="E6424" s="2" t="s">
        <v>16</v>
      </c>
      <c r="F6424" s="2">
        <v>1</v>
      </c>
      <c r="G6424" s="2" t="s">
        <v>17</v>
      </c>
    </row>
    <row r="6425" spans="1:7" x14ac:dyDescent="0.2">
      <c r="A6425" s="2" t="s">
        <v>7962</v>
      </c>
      <c r="B6425" s="2" t="s">
        <v>7992</v>
      </c>
      <c r="C6425" s="2" t="s">
        <v>7993</v>
      </c>
      <c r="D6425" s="2" t="s">
        <v>10</v>
      </c>
      <c r="E6425" s="2" t="s">
        <v>16</v>
      </c>
      <c r="F6425" s="2">
        <v>1</v>
      </c>
      <c r="G6425" s="2" t="s">
        <v>17</v>
      </c>
    </row>
    <row r="6426" spans="1:7" x14ac:dyDescent="0.2">
      <c r="A6426" s="2" t="s">
        <v>7962</v>
      </c>
      <c r="B6426" s="2" t="s">
        <v>7994</v>
      </c>
      <c r="C6426" s="2" t="s">
        <v>7966</v>
      </c>
      <c r="D6426" s="2" t="s">
        <v>10</v>
      </c>
      <c r="E6426" s="2" t="s">
        <v>16</v>
      </c>
      <c r="F6426" s="2">
        <v>1</v>
      </c>
      <c r="G6426" s="2" t="s">
        <v>17</v>
      </c>
    </row>
    <row r="6427" spans="1:7" x14ac:dyDescent="0.2">
      <c r="A6427" s="2" t="s">
        <v>7962</v>
      </c>
      <c r="B6427" s="2" t="s">
        <v>7995</v>
      </c>
      <c r="C6427" s="2" t="s">
        <v>7966</v>
      </c>
      <c r="D6427" s="2" t="s">
        <v>10</v>
      </c>
      <c r="E6427" s="2" t="s">
        <v>16</v>
      </c>
      <c r="F6427" s="2">
        <v>1</v>
      </c>
      <c r="G6427" s="2" t="s">
        <v>17</v>
      </c>
    </row>
    <row r="6428" spans="1:7" x14ac:dyDescent="0.2">
      <c r="A6428" s="2" t="s">
        <v>7962</v>
      </c>
      <c r="B6428" s="2" t="s">
        <v>7996</v>
      </c>
      <c r="C6428" s="2" t="s">
        <v>7966</v>
      </c>
      <c r="D6428" s="2" t="s">
        <v>10</v>
      </c>
      <c r="E6428" s="2" t="s">
        <v>16</v>
      </c>
      <c r="F6428" s="2">
        <v>1</v>
      </c>
      <c r="G6428" s="2" t="s">
        <v>17</v>
      </c>
    </row>
    <row r="6429" spans="1:7" x14ac:dyDescent="0.2">
      <c r="A6429" s="2" t="s">
        <v>7962</v>
      </c>
      <c r="B6429" s="2" t="s">
        <v>7997</v>
      </c>
      <c r="C6429" s="2" t="s">
        <v>7988</v>
      </c>
      <c r="D6429" s="2" t="s">
        <v>10</v>
      </c>
      <c r="E6429" s="2" t="s">
        <v>52</v>
      </c>
      <c r="F6429" s="2">
        <v>1</v>
      </c>
      <c r="G6429" s="2" t="s">
        <v>17</v>
      </c>
    </row>
    <row r="6430" spans="1:7" x14ac:dyDescent="0.2">
      <c r="A6430" s="2" t="s">
        <v>7962</v>
      </c>
      <c r="B6430" s="2" t="s">
        <v>7998</v>
      </c>
      <c r="C6430" s="2" t="s">
        <v>7966</v>
      </c>
      <c r="D6430" s="2" t="s">
        <v>10</v>
      </c>
      <c r="E6430" s="2" t="s">
        <v>16</v>
      </c>
      <c r="F6430" s="2">
        <v>1</v>
      </c>
      <c r="G6430" s="2" t="s">
        <v>17</v>
      </c>
    </row>
    <row r="6431" spans="1:7" x14ac:dyDescent="0.2">
      <c r="A6431" s="2" t="s">
        <v>7962</v>
      </c>
      <c r="B6431" s="2" t="s">
        <v>7999</v>
      </c>
      <c r="C6431" s="2" t="s">
        <v>7966</v>
      </c>
      <c r="D6431" s="2" t="s">
        <v>10</v>
      </c>
      <c r="E6431" s="2" t="s">
        <v>16</v>
      </c>
      <c r="F6431" s="2">
        <v>1</v>
      </c>
      <c r="G6431" s="2" t="s">
        <v>17</v>
      </c>
    </row>
    <row r="6432" spans="1:7" x14ac:dyDescent="0.2">
      <c r="A6432" s="2" t="s">
        <v>7962</v>
      </c>
      <c r="B6432" s="2" t="s">
        <v>8000</v>
      </c>
      <c r="C6432" s="2" t="s">
        <v>7966</v>
      </c>
      <c r="D6432" s="2" t="s">
        <v>10</v>
      </c>
      <c r="E6432" s="2" t="s">
        <v>16</v>
      </c>
      <c r="F6432" s="2">
        <v>1</v>
      </c>
      <c r="G6432" s="2" t="s">
        <v>17</v>
      </c>
    </row>
    <row r="6433" spans="1:7" x14ac:dyDescent="0.2">
      <c r="A6433" s="2" t="s">
        <v>7962</v>
      </c>
      <c r="B6433" s="2" t="s">
        <v>8001</v>
      </c>
      <c r="C6433" s="2" t="s">
        <v>7966</v>
      </c>
      <c r="D6433" s="2" t="s">
        <v>10</v>
      </c>
      <c r="E6433" s="2" t="s">
        <v>16</v>
      </c>
      <c r="F6433" s="2">
        <v>1</v>
      </c>
      <c r="G6433" s="2" t="s">
        <v>17</v>
      </c>
    </row>
    <row r="6434" spans="1:7" x14ac:dyDescent="0.2">
      <c r="A6434" s="2" t="s">
        <v>7962</v>
      </c>
      <c r="B6434" s="2" t="s">
        <v>8002</v>
      </c>
      <c r="C6434" s="2" t="s">
        <v>7966</v>
      </c>
      <c r="D6434" s="2" t="s">
        <v>10</v>
      </c>
      <c r="E6434" s="2" t="s">
        <v>16</v>
      </c>
      <c r="F6434" s="2">
        <v>1</v>
      </c>
      <c r="G6434" s="2" t="s">
        <v>17</v>
      </c>
    </row>
    <row r="6435" spans="1:7" x14ac:dyDescent="0.2">
      <c r="A6435" s="2" t="s">
        <v>7962</v>
      </c>
      <c r="B6435" s="2" t="s">
        <v>8003</v>
      </c>
      <c r="C6435" s="2" t="s">
        <v>7966</v>
      </c>
      <c r="D6435" s="2" t="s">
        <v>10</v>
      </c>
      <c r="E6435" s="2" t="s">
        <v>16</v>
      </c>
      <c r="F6435" s="2">
        <v>1</v>
      </c>
      <c r="G6435" s="2" t="s">
        <v>17</v>
      </c>
    </row>
    <row r="6436" spans="1:7" x14ac:dyDescent="0.2">
      <c r="A6436" s="2" t="s">
        <v>7962</v>
      </c>
      <c r="B6436" s="2" t="s">
        <v>8004</v>
      </c>
      <c r="C6436" s="2" t="s">
        <v>7988</v>
      </c>
      <c r="D6436" s="2" t="s">
        <v>10</v>
      </c>
      <c r="E6436" s="2" t="s">
        <v>52</v>
      </c>
      <c r="F6436" s="2">
        <v>1</v>
      </c>
      <c r="G6436" s="2" t="s">
        <v>17</v>
      </c>
    </row>
    <row r="6437" spans="1:7" x14ac:dyDescent="0.2">
      <c r="A6437" s="2" t="s">
        <v>7962</v>
      </c>
      <c r="B6437" s="2" t="s">
        <v>8005</v>
      </c>
      <c r="C6437" s="2" t="s">
        <v>7966</v>
      </c>
      <c r="D6437" s="2" t="s">
        <v>10</v>
      </c>
      <c r="E6437" s="2" t="s">
        <v>16</v>
      </c>
      <c r="F6437" s="2">
        <v>1</v>
      </c>
      <c r="G6437" s="2" t="s">
        <v>17</v>
      </c>
    </row>
    <row r="6438" spans="1:7" x14ac:dyDescent="0.2">
      <c r="A6438" s="2" t="s">
        <v>7962</v>
      </c>
      <c r="B6438" s="2" t="s">
        <v>8006</v>
      </c>
      <c r="C6438" s="2" t="s">
        <v>7966</v>
      </c>
      <c r="D6438" s="2" t="s">
        <v>10</v>
      </c>
      <c r="E6438" s="2" t="s">
        <v>16</v>
      </c>
      <c r="F6438" s="2">
        <v>1</v>
      </c>
      <c r="G6438" s="2" t="s">
        <v>17</v>
      </c>
    </row>
    <row r="6439" spans="1:7" x14ac:dyDescent="0.2">
      <c r="A6439" s="2" t="s">
        <v>7962</v>
      </c>
      <c r="B6439" s="2" t="s">
        <v>8007</v>
      </c>
      <c r="C6439" s="2" t="s">
        <v>7966</v>
      </c>
      <c r="D6439" s="2" t="s">
        <v>10</v>
      </c>
      <c r="E6439" s="2" t="s">
        <v>16</v>
      </c>
      <c r="F6439" s="2">
        <v>1</v>
      </c>
      <c r="G6439" s="2" t="s">
        <v>17</v>
      </c>
    </row>
    <row r="6440" spans="1:7" x14ac:dyDescent="0.2">
      <c r="A6440" s="2" t="s">
        <v>7962</v>
      </c>
      <c r="B6440" s="2" t="s">
        <v>8008</v>
      </c>
      <c r="C6440" s="2" t="s">
        <v>7966</v>
      </c>
      <c r="D6440" s="2" t="s">
        <v>10</v>
      </c>
      <c r="E6440" s="2" t="s">
        <v>16</v>
      </c>
      <c r="F6440" s="2">
        <v>1</v>
      </c>
      <c r="G6440" s="2" t="s">
        <v>17</v>
      </c>
    </row>
    <row r="6441" spans="1:7" x14ac:dyDescent="0.2">
      <c r="A6441" s="2" t="s">
        <v>7962</v>
      </c>
      <c r="B6441" s="2" t="s">
        <v>8009</v>
      </c>
      <c r="C6441" s="2" t="s">
        <v>7988</v>
      </c>
      <c r="D6441" s="2" t="s">
        <v>10</v>
      </c>
      <c r="E6441" s="2" t="s">
        <v>52</v>
      </c>
      <c r="F6441" s="2">
        <v>1</v>
      </c>
      <c r="G6441" s="2" t="s">
        <v>17</v>
      </c>
    </row>
    <row r="6442" spans="1:7" x14ac:dyDescent="0.2">
      <c r="A6442" s="2" t="s">
        <v>7962</v>
      </c>
      <c r="B6442" s="2" t="s">
        <v>412</v>
      </c>
      <c r="C6442" s="2" t="s">
        <v>7966</v>
      </c>
      <c r="D6442" s="2" t="s">
        <v>10</v>
      </c>
      <c r="E6442" s="2" t="s">
        <v>16</v>
      </c>
      <c r="F6442" s="2">
        <v>1</v>
      </c>
      <c r="G6442" s="2" t="s">
        <v>17</v>
      </c>
    </row>
    <row r="6443" spans="1:7" x14ac:dyDescent="0.2">
      <c r="A6443" s="2" t="s">
        <v>7962</v>
      </c>
      <c r="B6443" s="2" t="s">
        <v>8010</v>
      </c>
      <c r="C6443" s="2" t="s">
        <v>7969</v>
      </c>
      <c r="D6443" s="2" t="s">
        <v>10</v>
      </c>
      <c r="E6443" s="2" t="s">
        <v>16</v>
      </c>
      <c r="F6443" s="2">
        <v>1</v>
      </c>
      <c r="G6443" s="2" t="s">
        <v>17</v>
      </c>
    </row>
    <row r="6444" spans="1:7" x14ac:dyDescent="0.2">
      <c r="A6444" s="2" t="s">
        <v>7962</v>
      </c>
      <c r="B6444" s="2" t="s">
        <v>6357</v>
      </c>
      <c r="C6444" s="2" t="s">
        <v>7964</v>
      </c>
      <c r="D6444" s="2" t="s">
        <v>10</v>
      </c>
      <c r="E6444" s="2" t="s">
        <v>16</v>
      </c>
      <c r="F6444" s="2">
        <v>1</v>
      </c>
      <c r="G6444" s="2" t="s">
        <v>17</v>
      </c>
    </row>
    <row r="6445" spans="1:7" x14ac:dyDescent="0.2">
      <c r="A6445" s="2" t="s">
        <v>7962</v>
      </c>
      <c r="B6445" s="2" t="s">
        <v>8011</v>
      </c>
      <c r="C6445" s="2" t="s">
        <v>7964</v>
      </c>
      <c r="D6445" s="2" t="s">
        <v>10</v>
      </c>
      <c r="E6445" s="2" t="s">
        <v>16</v>
      </c>
      <c r="F6445" s="2">
        <v>1</v>
      </c>
      <c r="G6445" s="2" t="s">
        <v>17</v>
      </c>
    </row>
    <row r="6446" spans="1:7" x14ac:dyDescent="0.2">
      <c r="A6446" s="2" t="s">
        <v>7962</v>
      </c>
      <c r="B6446" s="2" t="s">
        <v>8012</v>
      </c>
      <c r="C6446" s="2" t="s">
        <v>7966</v>
      </c>
      <c r="D6446" s="2" t="s">
        <v>10</v>
      </c>
      <c r="E6446" s="2" t="s">
        <v>16</v>
      </c>
      <c r="F6446" s="2">
        <v>1</v>
      </c>
      <c r="G6446" s="2" t="s">
        <v>17</v>
      </c>
    </row>
    <row r="6447" spans="1:7" x14ac:dyDescent="0.2">
      <c r="A6447" s="2" t="s">
        <v>7962</v>
      </c>
      <c r="B6447" s="2" t="s">
        <v>8013</v>
      </c>
      <c r="C6447" s="2" t="s">
        <v>7966</v>
      </c>
      <c r="D6447" s="2" t="s">
        <v>10</v>
      </c>
      <c r="E6447" s="2" t="s">
        <v>16</v>
      </c>
      <c r="F6447" s="2">
        <v>1</v>
      </c>
      <c r="G6447" s="2" t="s">
        <v>17</v>
      </c>
    </row>
    <row r="6448" spans="1:7" x14ac:dyDescent="0.2">
      <c r="A6448" s="2" t="s">
        <v>7962</v>
      </c>
      <c r="B6448" s="2" t="s">
        <v>8014</v>
      </c>
      <c r="C6448" s="2" t="s">
        <v>7988</v>
      </c>
      <c r="D6448" s="2" t="s">
        <v>10</v>
      </c>
      <c r="E6448" s="2" t="s">
        <v>52</v>
      </c>
      <c r="F6448" s="2">
        <v>1</v>
      </c>
      <c r="G6448" s="2" t="s">
        <v>17</v>
      </c>
    </row>
    <row r="6449" spans="1:7" x14ac:dyDescent="0.2">
      <c r="A6449" s="2" t="s">
        <v>7962</v>
      </c>
      <c r="B6449" s="2" t="s">
        <v>8015</v>
      </c>
      <c r="C6449" s="2" t="s">
        <v>7966</v>
      </c>
      <c r="D6449" s="2" t="s">
        <v>10</v>
      </c>
      <c r="E6449" s="2" t="s">
        <v>16</v>
      </c>
      <c r="F6449" s="2">
        <v>1</v>
      </c>
      <c r="G6449" s="2" t="s">
        <v>17</v>
      </c>
    </row>
    <row r="6450" spans="1:7" x14ac:dyDescent="0.2">
      <c r="A6450" s="2" t="s">
        <v>7962</v>
      </c>
      <c r="B6450" s="2" t="s">
        <v>8016</v>
      </c>
      <c r="C6450" s="2" t="s">
        <v>7964</v>
      </c>
      <c r="D6450" s="2" t="s">
        <v>10</v>
      </c>
      <c r="E6450" s="2" t="s">
        <v>16</v>
      </c>
      <c r="F6450" s="2">
        <v>1</v>
      </c>
      <c r="G6450" s="2" t="s">
        <v>17</v>
      </c>
    </row>
    <row r="6451" spans="1:7" x14ac:dyDescent="0.2">
      <c r="A6451" s="2" t="s">
        <v>7962</v>
      </c>
      <c r="B6451" s="2" t="s">
        <v>8017</v>
      </c>
      <c r="C6451" s="2" t="s">
        <v>7969</v>
      </c>
      <c r="D6451" s="2" t="s">
        <v>10</v>
      </c>
      <c r="E6451" s="2" t="s">
        <v>16</v>
      </c>
      <c r="F6451" s="2">
        <v>1</v>
      </c>
      <c r="G6451" s="2" t="s">
        <v>17</v>
      </c>
    </row>
    <row r="6452" spans="1:7" x14ac:dyDescent="0.2">
      <c r="A6452" s="2" t="s">
        <v>7962</v>
      </c>
      <c r="B6452" s="2" t="s">
        <v>8018</v>
      </c>
      <c r="C6452" s="2" t="s">
        <v>7982</v>
      </c>
      <c r="D6452" s="2" t="s">
        <v>10</v>
      </c>
      <c r="E6452" s="2" t="s">
        <v>16</v>
      </c>
      <c r="F6452" s="2">
        <v>1</v>
      </c>
      <c r="G6452" s="2" t="s">
        <v>17</v>
      </c>
    </row>
    <row r="6453" spans="1:7" x14ac:dyDescent="0.2">
      <c r="A6453" s="2" t="s">
        <v>7962</v>
      </c>
      <c r="B6453" s="2" t="s">
        <v>8019</v>
      </c>
      <c r="C6453" s="2" t="s">
        <v>7966</v>
      </c>
      <c r="D6453" s="2" t="s">
        <v>10</v>
      </c>
      <c r="E6453" s="2" t="s">
        <v>16</v>
      </c>
      <c r="F6453" s="2">
        <v>1</v>
      </c>
      <c r="G6453" s="2" t="s">
        <v>17</v>
      </c>
    </row>
    <row r="6454" spans="1:7" x14ac:dyDescent="0.2">
      <c r="A6454" s="2" t="s">
        <v>8020</v>
      </c>
      <c r="B6454" s="2" t="s">
        <v>8021</v>
      </c>
      <c r="C6454" s="2" t="s">
        <v>8022</v>
      </c>
      <c r="D6454" s="2" t="s">
        <v>10</v>
      </c>
      <c r="E6454" s="2" t="s">
        <v>16</v>
      </c>
      <c r="F6454" s="2">
        <v>1</v>
      </c>
      <c r="G6454" s="2" t="s">
        <v>17</v>
      </c>
    </row>
    <row r="6455" spans="1:7" x14ac:dyDescent="0.2">
      <c r="A6455" s="2" t="s">
        <v>8023</v>
      </c>
      <c r="B6455" s="2" t="s">
        <v>8024</v>
      </c>
      <c r="C6455" s="2" t="s">
        <v>8025</v>
      </c>
      <c r="D6455" s="2" t="s">
        <v>10</v>
      </c>
      <c r="E6455" s="2" t="s">
        <v>11</v>
      </c>
      <c r="F6455" s="2">
        <v>2</v>
      </c>
      <c r="G6455" s="2" t="s">
        <v>17</v>
      </c>
    </row>
    <row r="6456" spans="1:7" x14ac:dyDescent="0.2">
      <c r="A6456" s="2" t="s">
        <v>8023</v>
      </c>
      <c r="B6456" s="2" t="s">
        <v>8026</v>
      </c>
      <c r="C6456" s="2" t="s">
        <v>8025</v>
      </c>
      <c r="D6456" s="2" t="s">
        <v>10</v>
      </c>
      <c r="E6456" s="2" t="s">
        <v>11</v>
      </c>
      <c r="F6456" s="2">
        <v>2</v>
      </c>
      <c r="G6456" s="2" t="s">
        <v>17</v>
      </c>
    </row>
    <row r="6457" spans="1:7" x14ac:dyDescent="0.2">
      <c r="A6457" s="2" t="s">
        <v>8023</v>
      </c>
      <c r="B6457" s="2" t="s">
        <v>8027</v>
      </c>
      <c r="C6457" s="2" t="s">
        <v>8025</v>
      </c>
      <c r="D6457" s="2" t="s">
        <v>10</v>
      </c>
      <c r="E6457" s="2" t="s">
        <v>11</v>
      </c>
      <c r="F6457" s="2">
        <v>2</v>
      </c>
      <c r="G6457" s="2" t="s">
        <v>17</v>
      </c>
    </row>
    <row r="6458" spans="1:7" x14ac:dyDescent="0.2">
      <c r="A6458" s="2" t="s">
        <v>8023</v>
      </c>
      <c r="B6458" s="2" t="s">
        <v>8028</v>
      </c>
      <c r="C6458" s="2" t="s">
        <v>8025</v>
      </c>
      <c r="D6458" s="2" t="s">
        <v>10</v>
      </c>
      <c r="E6458" s="2" t="s">
        <v>11</v>
      </c>
      <c r="F6458" s="2">
        <v>2</v>
      </c>
      <c r="G6458" s="2" t="s">
        <v>17</v>
      </c>
    </row>
    <row r="6459" spans="1:7" x14ac:dyDescent="0.2">
      <c r="A6459" s="2" t="s">
        <v>8029</v>
      </c>
      <c r="B6459" s="2" t="s">
        <v>8030</v>
      </c>
      <c r="C6459" s="2" t="s">
        <v>8031</v>
      </c>
      <c r="D6459" s="2" t="s">
        <v>10</v>
      </c>
      <c r="E6459" s="2" t="s">
        <v>16</v>
      </c>
      <c r="F6459" s="2">
        <v>1</v>
      </c>
      <c r="G6459" s="2" t="s">
        <v>17</v>
      </c>
    </row>
    <row r="6460" spans="1:7" x14ac:dyDescent="0.2">
      <c r="A6460" s="2" t="s">
        <v>8029</v>
      </c>
      <c r="B6460" s="2" t="s">
        <v>8032</v>
      </c>
      <c r="C6460" s="2" t="s">
        <v>8033</v>
      </c>
      <c r="D6460" s="2" t="s">
        <v>10</v>
      </c>
      <c r="E6460" s="2" t="s">
        <v>52</v>
      </c>
      <c r="F6460" s="2">
        <v>2</v>
      </c>
      <c r="G6460" s="2" t="s">
        <v>12</v>
      </c>
    </row>
    <row r="6461" spans="1:7" x14ac:dyDescent="0.2">
      <c r="A6461" s="2" t="s">
        <v>8029</v>
      </c>
      <c r="B6461" s="2" t="s">
        <v>8034</v>
      </c>
      <c r="C6461" s="2" t="s">
        <v>8031</v>
      </c>
      <c r="D6461" s="2" t="s">
        <v>10</v>
      </c>
      <c r="E6461" s="2" t="s">
        <v>16</v>
      </c>
      <c r="F6461" s="2">
        <v>1</v>
      </c>
      <c r="G6461" s="2" t="s">
        <v>17</v>
      </c>
    </row>
    <row r="6462" spans="1:7" x14ac:dyDescent="0.2">
      <c r="A6462" s="2" t="s">
        <v>8029</v>
      </c>
      <c r="B6462" s="2" t="s">
        <v>8035</v>
      </c>
      <c r="C6462" s="2" t="s">
        <v>8033</v>
      </c>
      <c r="D6462" s="2" t="s">
        <v>10</v>
      </c>
      <c r="E6462" s="2" t="s">
        <v>52</v>
      </c>
      <c r="F6462" s="2">
        <v>2</v>
      </c>
      <c r="G6462" s="2" t="s">
        <v>12</v>
      </c>
    </row>
    <row r="6463" spans="1:7" x14ac:dyDescent="0.2">
      <c r="A6463" s="2" t="s">
        <v>8036</v>
      </c>
      <c r="B6463" s="2" t="s">
        <v>3392</v>
      </c>
      <c r="C6463" s="2" t="s">
        <v>3393</v>
      </c>
      <c r="D6463" s="2" t="s">
        <v>10</v>
      </c>
      <c r="E6463" s="2" t="s">
        <v>16</v>
      </c>
      <c r="F6463" s="2">
        <v>1</v>
      </c>
      <c r="G6463" s="2" t="s">
        <v>17</v>
      </c>
    </row>
    <row r="6464" spans="1:7" x14ac:dyDescent="0.2">
      <c r="A6464" s="2" t="s">
        <v>8036</v>
      </c>
      <c r="B6464" s="2" t="s">
        <v>2976</v>
      </c>
      <c r="C6464" s="2" t="s">
        <v>2977</v>
      </c>
      <c r="D6464" s="2" t="s">
        <v>56</v>
      </c>
      <c r="E6464" s="2" t="s">
        <v>52</v>
      </c>
      <c r="F6464" s="2">
        <v>2</v>
      </c>
      <c r="G6464" s="2" t="s">
        <v>17</v>
      </c>
    </row>
    <row r="6465" spans="1:7" x14ac:dyDescent="0.2">
      <c r="A6465" s="2" t="s">
        <v>8036</v>
      </c>
      <c r="B6465" s="2" t="s">
        <v>8037</v>
      </c>
      <c r="C6465" s="2" t="s">
        <v>2977</v>
      </c>
      <c r="D6465" s="2" t="s">
        <v>56</v>
      </c>
      <c r="E6465" s="2" t="s">
        <v>52</v>
      </c>
      <c r="F6465" s="2">
        <v>2</v>
      </c>
      <c r="G6465" s="2" t="s">
        <v>17</v>
      </c>
    </row>
    <row r="6466" spans="1:7" x14ac:dyDescent="0.2">
      <c r="A6466" s="2" t="s">
        <v>8036</v>
      </c>
      <c r="B6466" s="2" t="s">
        <v>2979</v>
      </c>
      <c r="C6466" s="2" t="s">
        <v>2980</v>
      </c>
      <c r="D6466" s="2" t="s">
        <v>10</v>
      </c>
      <c r="E6466" s="2" t="s">
        <v>16</v>
      </c>
      <c r="F6466" s="2">
        <v>1</v>
      </c>
      <c r="G6466" s="2" t="s">
        <v>17</v>
      </c>
    </row>
    <row r="6467" spans="1:7" x14ac:dyDescent="0.2">
      <c r="A6467" s="2" t="s">
        <v>8036</v>
      </c>
      <c r="B6467" s="2" t="s">
        <v>43</v>
      </c>
      <c r="C6467" s="2" t="s">
        <v>3393</v>
      </c>
      <c r="D6467" s="2" t="s">
        <v>10</v>
      </c>
      <c r="E6467" s="2" t="s">
        <v>16</v>
      </c>
      <c r="F6467" s="2">
        <v>1</v>
      </c>
      <c r="G6467" s="2" t="s">
        <v>17</v>
      </c>
    </row>
    <row r="6468" spans="1:7" x14ac:dyDescent="0.2">
      <c r="A6468" s="2" t="s">
        <v>8036</v>
      </c>
      <c r="B6468" s="2" t="s">
        <v>6511</v>
      </c>
      <c r="C6468" s="2" t="s">
        <v>6512</v>
      </c>
      <c r="D6468" s="2" t="s">
        <v>10</v>
      </c>
      <c r="E6468" s="2" t="s">
        <v>11</v>
      </c>
      <c r="F6468" s="2">
        <v>2</v>
      </c>
      <c r="G6468" s="2" t="s">
        <v>12</v>
      </c>
    </row>
    <row r="6469" spans="1:7" x14ac:dyDescent="0.2">
      <c r="A6469" s="2" t="s">
        <v>8036</v>
      </c>
      <c r="B6469" s="2" t="s">
        <v>6513</v>
      </c>
      <c r="C6469" s="2" t="s">
        <v>6512</v>
      </c>
      <c r="D6469" s="2" t="s">
        <v>10</v>
      </c>
      <c r="E6469" s="2" t="s">
        <v>11</v>
      </c>
      <c r="F6469" s="2">
        <v>2</v>
      </c>
      <c r="G6469" s="2" t="s">
        <v>12</v>
      </c>
    </row>
    <row r="6470" spans="1:7" x14ac:dyDescent="0.2">
      <c r="A6470" s="2" t="s">
        <v>8036</v>
      </c>
      <c r="B6470" s="2" t="s">
        <v>8038</v>
      </c>
      <c r="C6470" s="2" t="s">
        <v>2977</v>
      </c>
      <c r="D6470" s="2" t="s">
        <v>56</v>
      </c>
      <c r="E6470" s="2" t="s">
        <v>52</v>
      </c>
      <c r="F6470" s="2">
        <v>2</v>
      </c>
      <c r="G6470" s="2" t="s">
        <v>17</v>
      </c>
    </row>
    <row r="6471" spans="1:7" x14ac:dyDescent="0.2">
      <c r="A6471" s="2" t="s">
        <v>8036</v>
      </c>
      <c r="B6471" s="2" t="s">
        <v>2984</v>
      </c>
      <c r="C6471" s="2" t="s">
        <v>2980</v>
      </c>
      <c r="D6471" s="2" t="s">
        <v>10</v>
      </c>
      <c r="E6471" s="2" t="s">
        <v>16</v>
      </c>
      <c r="F6471" s="2">
        <v>1</v>
      </c>
      <c r="G6471" s="2" t="s">
        <v>17</v>
      </c>
    </row>
    <row r="6472" spans="1:7" x14ac:dyDescent="0.2">
      <c r="A6472" s="2" t="s">
        <v>8036</v>
      </c>
      <c r="B6472" s="2" t="s">
        <v>145</v>
      </c>
      <c r="C6472" s="2" t="s">
        <v>146</v>
      </c>
      <c r="D6472" s="2" t="s">
        <v>10</v>
      </c>
      <c r="E6472" s="2" t="s">
        <v>11</v>
      </c>
      <c r="F6472" s="2">
        <v>2</v>
      </c>
      <c r="G6472" s="2" t="s">
        <v>12</v>
      </c>
    </row>
    <row r="6473" spans="1:7" x14ac:dyDescent="0.2">
      <c r="A6473" s="2" t="s">
        <v>8036</v>
      </c>
      <c r="B6473" s="2" t="s">
        <v>8039</v>
      </c>
      <c r="C6473" s="2" t="s">
        <v>2977</v>
      </c>
      <c r="D6473" s="2" t="s">
        <v>56</v>
      </c>
      <c r="E6473" s="2" t="s">
        <v>52</v>
      </c>
      <c r="F6473" s="2">
        <v>2</v>
      </c>
      <c r="G6473" s="2" t="s">
        <v>17</v>
      </c>
    </row>
    <row r="6474" spans="1:7" x14ac:dyDescent="0.2">
      <c r="A6474" s="2" t="s">
        <v>8040</v>
      </c>
      <c r="B6474" s="2" t="s">
        <v>3403</v>
      </c>
      <c r="C6474" s="2" t="s">
        <v>3404</v>
      </c>
      <c r="D6474" s="2" t="s">
        <v>56</v>
      </c>
      <c r="E6474" s="2" t="s">
        <v>52</v>
      </c>
      <c r="F6474" s="2">
        <v>2</v>
      </c>
      <c r="G6474" s="2" t="s">
        <v>17</v>
      </c>
    </row>
    <row r="6475" spans="1:7" x14ac:dyDescent="0.2">
      <c r="A6475" s="2" t="s">
        <v>8041</v>
      </c>
      <c r="B6475" s="2" t="s">
        <v>8042</v>
      </c>
      <c r="C6475" s="2" t="s">
        <v>8043</v>
      </c>
      <c r="D6475" s="2" t="s">
        <v>10</v>
      </c>
      <c r="E6475" s="2" t="s">
        <v>16</v>
      </c>
      <c r="F6475" s="2">
        <v>1</v>
      </c>
      <c r="G6475" s="2" t="s">
        <v>17</v>
      </c>
    </row>
    <row r="6476" spans="1:7" x14ac:dyDescent="0.2">
      <c r="A6476" s="2" t="s">
        <v>8044</v>
      </c>
      <c r="B6476" s="2" t="s">
        <v>8045</v>
      </c>
      <c r="C6476" s="2" t="s">
        <v>6741</v>
      </c>
      <c r="D6476" s="2" t="s">
        <v>10</v>
      </c>
      <c r="E6476" s="2" t="s">
        <v>11</v>
      </c>
      <c r="F6476" s="2">
        <v>2</v>
      </c>
      <c r="G6476" s="2" t="s">
        <v>12</v>
      </c>
    </row>
    <row r="6477" spans="1:7" x14ac:dyDescent="0.2">
      <c r="A6477" s="2" t="s">
        <v>8044</v>
      </c>
      <c r="B6477" s="2" t="s">
        <v>8046</v>
      </c>
      <c r="C6477" s="2" t="s">
        <v>6741</v>
      </c>
      <c r="D6477" s="2" t="s">
        <v>10</v>
      </c>
      <c r="E6477" s="2" t="s">
        <v>11</v>
      </c>
      <c r="F6477" s="2">
        <v>2</v>
      </c>
      <c r="G6477" s="2" t="s">
        <v>12</v>
      </c>
    </row>
    <row r="6478" spans="1:7" x14ac:dyDescent="0.2">
      <c r="A6478" s="2" t="s">
        <v>8044</v>
      </c>
      <c r="B6478" s="2" t="s">
        <v>8047</v>
      </c>
      <c r="C6478" s="2" t="s">
        <v>6741</v>
      </c>
      <c r="D6478" s="2" t="s">
        <v>10</v>
      </c>
      <c r="E6478" s="2" t="s">
        <v>11</v>
      </c>
      <c r="F6478" s="2">
        <v>2</v>
      </c>
      <c r="G6478" s="2" t="s">
        <v>12</v>
      </c>
    </row>
    <row r="6479" spans="1:7" x14ac:dyDescent="0.2">
      <c r="A6479" s="2" t="s">
        <v>8044</v>
      </c>
      <c r="B6479" s="2" t="s">
        <v>8048</v>
      </c>
      <c r="C6479" s="2" t="s">
        <v>6741</v>
      </c>
      <c r="D6479" s="2" t="s">
        <v>10</v>
      </c>
      <c r="E6479" s="2" t="s">
        <v>11</v>
      </c>
      <c r="F6479" s="2">
        <v>2</v>
      </c>
      <c r="G6479" s="2" t="s">
        <v>12</v>
      </c>
    </row>
    <row r="6480" spans="1:7" x14ac:dyDescent="0.2">
      <c r="A6480" s="2" t="s">
        <v>8044</v>
      </c>
      <c r="B6480" s="2" t="s">
        <v>8049</v>
      </c>
      <c r="C6480" s="2" t="s">
        <v>6741</v>
      </c>
      <c r="D6480" s="2" t="s">
        <v>10</v>
      </c>
      <c r="E6480" s="2" t="s">
        <v>11</v>
      </c>
      <c r="F6480" s="2">
        <v>2</v>
      </c>
      <c r="G6480" s="2" t="s">
        <v>12</v>
      </c>
    </row>
    <row r="6481" spans="1:7" x14ac:dyDescent="0.2">
      <c r="A6481" s="2" t="s">
        <v>8050</v>
      </c>
      <c r="B6481" s="2" t="s">
        <v>4756</v>
      </c>
      <c r="C6481" s="2" t="s">
        <v>4757</v>
      </c>
      <c r="D6481" s="2" t="s">
        <v>10</v>
      </c>
      <c r="E6481" s="2" t="s">
        <v>11</v>
      </c>
      <c r="F6481" s="2">
        <v>1</v>
      </c>
      <c r="G6481" s="2" t="s">
        <v>12</v>
      </c>
    </row>
    <row r="6482" spans="1:7" x14ac:dyDescent="0.2">
      <c r="A6482" s="2" t="s">
        <v>8050</v>
      </c>
      <c r="B6482" s="2" t="s">
        <v>6671</v>
      </c>
      <c r="C6482" s="2" t="s">
        <v>828</v>
      </c>
      <c r="D6482" s="2" t="s">
        <v>56</v>
      </c>
      <c r="E6482" s="2" t="s">
        <v>52</v>
      </c>
      <c r="F6482" s="2">
        <v>1</v>
      </c>
      <c r="G6482" s="2" t="s">
        <v>17</v>
      </c>
    </row>
    <row r="6483" spans="1:7" x14ac:dyDescent="0.2">
      <c r="A6483" s="2" t="s">
        <v>8050</v>
      </c>
      <c r="B6483" s="2" t="s">
        <v>8051</v>
      </c>
      <c r="C6483" s="2" t="s">
        <v>2843</v>
      </c>
      <c r="D6483" s="2" t="s">
        <v>56</v>
      </c>
      <c r="E6483" s="2" t="s">
        <v>52</v>
      </c>
      <c r="F6483" s="2">
        <v>1</v>
      </c>
      <c r="G6483" s="2" t="s">
        <v>17</v>
      </c>
    </row>
    <row r="6484" spans="1:7" x14ac:dyDescent="0.2">
      <c r="A6484" s="2" t="s">
        <v>8050</v>
      </c>
      <c r="B6484" s="2" t="s">
        <v>6672</v>
      </c>
      <c r="C6484" s="2" t="s">
        <v>2752</v>
      </c>
      <c r="D6484" s="2" t="s">
        <v>56</v>
      </c>
      <c r="E6484" s="2" t="s">
        <v>52</v>
      </c>
      <c r="F6484" s="2">
        <v>2</v>
      </c>
      <c r="G6484" s="2" t="s">
        <v>12</v>
      </c>
    </row>
    <row r="6485" spans="1:7" x14ac:dyDescent="0.2">
      <c r="A6485" s="2" t="s">
        <v>8050</v>
      </c>
      <c r="B6485" s="2" t="s">
        <v>2751</v>
      </c>
      <c r="C6485" s="2" t="s">
        <v>2752</v>
      </c>
      <c r="D6485" s="2" t="s">
        <v>56</v>
      </c>
      <c r="E6485" s="2" t="s">
        <v>52</v>
      </c>
      <c r="F6485" s="2">
        <v>2</v>
      </c>
      <c r="G6485" s="2" t="s">
        <v>12</v>
      </c>
    </row>
    <row r="6486" spans="1:7" x14ac:dyDescent="0.2">
      <c r="A6486" s="2" t="s">
        <v>8050</v>
      </c>
      <c r="B6486" s="2" t="s">
        <v>8052</v>
      </c>
      <c r="C6486" s="2" t="s">
        <v>2752</v>
      </c>
      <c r="D6486" s="2" t="s">
        <v>56</v>
      </c>
      <c r="E6486" s="2" t="s">
        <v>52</v>
      </c>
      <c r="F6486" s="2">
        <v>2</v>
      </c>
      <c r="G6486" s="2" t="s">
        <v>12</v>
      </c>
    </row>
    <row r="6487" spans="1:7" x14ac:dyDescent="0.2">
      <c r="A6487" s="2" t="s">
        <v>8050</v>
      </c>
      <c r="B6487" s="2" t="s">
        <v>8053</v>
      </c>
      <c r="C6487" s="2" t="s">
        <v>2799</v>
      </c>
      <c r="D6487" s="2" t="s">
        <v>10</v>
      </c>
      <c r="E6487" s="2" t="s">
        <v>11</v>
      </c>
      <c r="F6487" s="2">
        <v>2</v>
      </c>
      <c r="G6487" s="2" t="s">
        <v>12</v>
      </c>
    </row>
    <row r="6488" spans="1:7" x14ac:dyDescent="0.2">
      <c r="A6488" s="2" t="s">
        <v>8050</v>
      </c>
      <c r="B6488" s="2" t="s">
        <v>6673</v>
      </c>
      <c r="C6488" s="2" t="s">
        <v>2752</v>
      </c>
      <c r="D6488" s="2" t="s">
        <v>56</v>
      </c>
      <c r="E6488" s="2" t="s">
        <v>52</v>
      </c>
      <c r="F6488" s="2">
        <v>2</v>
      </c>
      <c r="G6488" s="2" t="s">
        <v>12</v>
      </c>
    </row>
    <row r="6489" spans="1:7" x14ac:dyDescent="0.2">
      <c r="A6489" s="2" t="s">
        <v>8050</v>
      </c>
      <c r="B6489" s="2" t="s">
        <v>1388</v>
      </c>
      <c r="C6489" s="2" t="s">
        <v>1389</v>
      </c>
      <c r="D6489" s="2" t="s">
        <v>10</v>
      </c>
      <c r="E6489" s="2" t="s">
        <v>11</v>
      </c>
      <c r="F6489" s="2">
        <v>1</v>
      </c>
      <c r="G6489" s="2" t="s">
        <v>12</v>
      </c>
    </row>
    <row r="6490" spans="1:7" x14ac:dyDescent="0.2">
      <c r="A6490" s="2" t="s">
        <v>8050</v>
      </c>
      <c r="B6490" s="2" t="s">
        <v>8054</v>
      </c>
      <c r="C6490" s="2" t="s">
        <v>2799</v>
      </c>
      <c r="D6490" s="2" t="s">
        <v>10</v>
      </c>
      <c r="E6490" s="2" t="s">
        <v>11</v>
      </c>
      <c r="F6490" s="2">
        <v>2</v>
      </c>
      <c r="G6490" s="2" t="s">
        <v>12</v>
      </c>
    </row>
    <row r="6491" spans="1:7" x14ac:dyDescent="0.2">
      <c r="A6491" s="2" t="s">
        <v>8050</v>
      </c>
      <c r="B6491" s="2" t="s">
        <v>8055</v>
      </c>
      <c r="C6491" s="2" t="s">
        <v>4810</v>
      </c>
      <c r="D6491" s="2" t="s">
        <v>10</v>
      </c>
      <c r="E6491" s="2" t="s">
        <v>11</v>
      </c>
      <c r="F6491" s="2">
        <v>2</v>
      </c>
      <c r="G6491" s="2" t="s">
        <v>12</v>
      </c>
    </row>
    <row r="6492" spans="1:7" x14ac:dyDescent="0.2">
      <c r="A6492" s="2" t="s">
        <v>8050</v>
      </c>
      <c r="B6492" s="2" t="s">
        <v>8056</v>
      </c>
      <c r="C6492" s="2" t="s">
        <v>4810</v>
      </c>
      <c r="D6492" s="2" t="s">
        <v>10</v>
      </c>
      <c r="E6492" s="2" t="s">
        <v>11</v>
      </c>
      <c r="F6492" s="2">
        <v>2</v>
      </c>
      <c r="G6492" s="2" t="s">
        <v>12</v>
      </c>
    </row>
    <row r="6493" spans="1:7" x14ac:dyDescent="0.2">
      <c r="A6493" s="2" t="s">
        <v>8050</v>
      </c>
      <c r="B6493" s="2" t="s">
        <v>2762</v>
      </c>
      <c r="C6493" s="2" t="s">
        <v>2763</v>
      </c>
      <c r="D6493" s="2" t="s">
        <v>10</v>
      </c>
      <c r="E6493" s="2" t="s">
        <v>11</v>
      </c>
      <c r="F6493" s="2">
        <v>4</v>
      </c>
      <c r="G6493" s="2" t="s">
        <v>1069</v>
      </c>
    </row>
    <row r="6494" spans="1:7" x14ac:dyDescent="0.2">
      <c r="A6494" s="2" t="s">
        <v>8050</v>
      </c>
      <c r="B6494" s="2" t="s">
        <v>8057</v>
      </c>
      <c r="C6494" s="2" t="s">
        <v>1734</v>
      </c>
      <c r="D6494" s="2" t="s">
        <v>10</v>
      </c>
      <c r="E6494" s="2" t="s">
        <v>11</v>
      </c>
      <c r="F6494" s="2">
        <v>2</v>
      </c>
      <c r="G6494" s="2" t="s">
        <v>12</v>
      </c>
    </row>
    <row r="6495" spans="1:7" x14ac:dyDescent="0.2">
      <c r="A6495" s="2" t="s">
        <v>8050</v>
      </c>
      <c r="B6495" s="2" t="s">
        <v>2896</v>
      </c>
      <c r="C6495" s="2" t="s">
        <v>2890</v>
      </c>
      <c r="D6495" s="2" t="s">
        <v>10</v>
      </c>
      <c r="E6495" s="2" t="s">
        <v>11</v>
      </c>
      <c r="F6495" s="2">
        <v>2</v>
      </c>
      <c r="G6495" s="2" t="s">
        <v>12</v>
      </c>
    </row>
    <row r="6496" spans="1:7" x14ac:dyDescent="0.2">
      <c r="A6496" s="2" t="s">
        <v>8050</v>
      </c>
      <c r="B6496" s="2" t="s">
        <v>2897</v>
      </c>
      <c r="C6496" s="2" t="s">
        <v>2890</v>
      </c>
      <c r="D6496" s="2" t="s">
        <v>10</v>
      </c>
      <c r="E6496" s="2" t="s">
        <v>11</v>
      </c>
      <c r="F6496" s="2">
        <v>2</v>
      </c>
      <c r="G6496" s="2" t="s">
        <v>12</v>
      </c>
    </row>
    <row r="6497" spans="1:7" x14ac:dyDescent="0.2">
      <c r="A6497" s="2" t="s">
        <v>8050</v>
      </c>
      <c r="B6497" s="2" t="s">
        <v>2898</v>
      </c>
      <c r="C6497" s="2" t="s">
        <v>2890</v>
      </c>
      <c r="D6497" s="2" t="s">
        <v>10</v>
      </c>
      <c r="E6497" s="2" t="s">
        <v>11</v>
      </c>
      <c r="F6497" s="2">
        <v>2</v>
      </c>
      <c r="G6497" s="2" t="s">
        <v>12</v>
      </c>
    </row>
    <row r="6498" spans="1:7" x14ac:dyDescent="0.2">
      <c r="A6498" s="2" t="s">
        <v>8050</v>
      </c>
      <c r="B6498" s="2" t="s">
        <v>8058</v>
      </c>
      <c r="C6498" s="2" t="s">
        <v>1734</v>
      </c>
      <c r="D6498" s="2" t="s">
        <v>10</v>
      </c>
      <c r="E6498" s="2" t="s">
        <v>11</v>
      </c>
      <c r="F6498" s="2">
        <v>2</v>
      </c>
      <c r="G6498" s="2" t="s">
        <v>12</v>
      </c>
    </row>
    <row r="6499" spans="1:7" x14ac:dyDescent="0.2">
      <c r="A6499" s="2" t="s">
        <v>8050</v>
      </c>
      <c r="B6499" s="2" t="s">
        <v>8059</v>
      </c>
      <c r="C6499" s="2" t="s">
        <v>1734</v>
      </c>
      <c r="D6499" s="2" t="s">
        <v>10</v>
      </c>
      <c r="E6499" s="2" t="s">
        <v>11</v>
      </c>
      <c r="F6499" s="2">
        <v>2</v>
      </c>
      <c r="G6499" s="2" t="s">
        <v>12</v>
      </c>
    </row>
    <row r="6500" spans="1:7" x14ac:dyDescent="0.2">
      <c r="A6500" s="2" t="s">
        <v>8050</v>
      </c>
      <c r="B6500" s="2" t="s">
        <v>8060</v>
      </c>
      <c r="C6500" s="2" t="s">
        <v>1734</v>
      </c>
      <c r="D6500" s="2" t="s">
        <v>10</v>
      </c>
      <c r="E6500" s="2" t="s">
        <v>11</v>
      </c>
      <c r="F6500" s="2">
        <v>2</v>
      </c>
      <c r="G6500" s="2" t="s">
        <v>12</v>
      </c>
    </row>
    <row r="6501" spans="1:7" x14ac:dyDescent="0.2">
      <c r="A6501" s="2" t="s">
        <v>8050</v>
      </c>
      <c r="B6501" s="2" t="s">
        <v>8061</v>
      </c>
      <c r="C6501" s="2" t="s">
        <v>2803</v>
      </c>
      <c r="D6501" s="2" t="s">
        <v>56</v>
      </c>
      <c r="E6501" s="2" t="s">
        <v>52</v>
      </c>
      <c r="F6501" s="2">
        <v>2</v>
      </c>
      <c r="G6501" s="2" t="s">
        <v>17</v>
      </c>
    </row>
    <row r="6502" spans="1:7" x14ac:dyDescent="0.2">
      <c r="A6502" s="2" t="s">
        <v>8050</v>
      </c>
      <c r="B6502" s="2" t="s">
        <v>4798</v>
      </c>
      <c r="C6502" s="2" t="s">
        <v>4799</v>
      </c>
      <c r="D6502" s="2" t="s">
        <v>10</v>
      </c>
      <c r="E6502" s="2" t="s">
        <v>11</v>
      </c>
      <c r="F6502" s="2">
        <v>4</v>
      </c>
      <c r="G6502" s="2" t="s">
        <v>1069</v>
      </c>
    </row>
    <row r="6503" spans="1:7" x14ac:dyDescent="0.2">
      <c r="A6503" s="2" t="s">
        <v>8050</v>
      </c>
      <c r="B6503" s="2" t="s">
        <v>4800</v>
      </c>
      <c r="C6503" s="2" t="s">
        <v>4799</v>
      </c>
      <c r="D6503" s="2" t="s">
        <v>10</v>
      </c>
      <c r="E6503" s="2" t="s">
        <v>11</v>
      </c>
      <c r="F6503" s="2">
        <v>4</v>
      </c>
      <c r="G6503" s="2" t="s">
        <v>1069</v>
      </c>
    </row>
    <row r="6504" spans="1:7" x14ac:dyDescent="0.2">
      <c r="A6504" s="2" t="s">
        <v>8050</v>
      </c>
      <c r="B6504" s="2" t="s">
        <v>4801</v>
      </c>
      <c r="C6504" s="2" t="s">
        <v>4802</v>
      </c>
      <c r="D6504" s="2" t="s">
        <v>10</v>
      </c>
      <c r="E6504" s="2" t="s">
        <v>11</v>
      </c>
      <c r="F6504" s="2">
        <v>4</v>
      </c>
      <c r="G6504" s="2" t="s">
        <v>1069</v>
      </c>
    </row>
    <row r="6505" spans="1:7" x14ac:dyDescent="0.2">
      <c r="A6505" s="2" t="s">
        <v>8050</v>
      </c>
      <c r="B6505" s="2" t="s">
        <v>4803</v>
      </c>
      <c r="C6505" s="2" t="s">
        <v>4804</v>
      </c>
      <c r="D6505" s="2" t="s">
        <v>10</v>
      </c>
      <c r="E6505" s="2" t="s">
        <v>11</v>
      </c>
      <c r="F6505" s="2">
        <v>4</v>
      </c>
      <c r="G6505" s="2" t="s">
        <v>1069</v>
      </c>
    </row>
    <row r="6506" spans="1:7" x14ac:dyDescent="0.2">
      <c r="A6506" s="2" t="s">
        <v>8050</v>
      </c>
      <c r="B6506" s="2" t="s">
        <v>4805</v>
      </c>
      <c r="C6506" s="2" t="s">
        <v>4806</v>
      </c>
      <c r="D6506" s="2" t="s">
        <v>10</v>
      </c>
      <c r="E6506" s="2" t="s">
        <v>11</v>
      </c>
      <c r="F6506" s="2">
        <v>2</v>
      </c>
      <c r="G6506" s="2" t="s">
        <v>12</v>
      </c>
    </row>
    <row r="6507" spans="1:7" x14ac:dyDescent="0.2">
      <c r="A6507" s="2" t="s">
        <v>8050</v>
      </c>
      <c r="B6507" s="2" t="s">
        <v>4807</v>
      </c>
      <c r="C6507" s="2" t="s">
        <v>4808</v>
      </c>
      <c r="D6507" s="2" t="s">
        <v>10</v>
      </c>
      <c r="E6507" s="2" t="s">
        <v>11</v>
      </c>
      <c r="F6507" s="2">
        <v>2</v>
      </c>
      <c r="G6507" s="2" t="s">
        <v>12</v>
      </c>
    </row>
    <row r="6508" spans="1:7" x14ac:dyDescent="0.2">
      <c r="A6508" s="2" t="s">
        <v>8050</v>
      </c>
      <c r="B6508" s="2" t="s">
        <v>4809</v>
      </c>
      <c r="C6508" s="2" t="s">
        <v>4810</v>
      </c>
      <c r="D6508" s="2" t="s">
        <v>10</v>
      </c>
      <c r="E6508" s="2" t="s">
        <v>11</v>
      </c>
      <c r="F6508" s="2">
        <v>2</v>
      </c>
      <c r="G6508" s="2" t="s">
        <v>12</v>
      </c>
    </row>
    <row r="6509" spans="1:7" x14ac:dyDescent="0.2">
      <c r="A6509" s="2" t="s">
        <v>8050</v>
      </c>
      <c r="B6509" s="2" t="s">
        <v>4811</v>
      </c>
      <c r="C6509" s="2" t="s">
        <v>4812</v>
      </c>
      <c r="D6509" s="2" t="s">
        <v>10</v>
      </c>
      <c r="E6509" s="2" t="s">
        <v>11</v>
      </c>
      <c r="F6509" s="2">
        <v>2</v>
      </c>
      <c r="G6509" s="2" t="s">
        <v>12</v>
      </c>
    </row>
    <row r="6510" spans="1:7" x14ac:dyDescent="0.2">
      <c r="A6510" s="2" t="s">
        <v>8050</v>
      </c>
      <c r="B6510" s="2" t="s">
        <v>4813</v>
      </c>
      <c r="C6510" s="2" t="s">
        <v>4814</v>
      </c>
      <c r="D6510" s="2" t="s">
        <v>10</v>
      </c>
      <c r="E6510" s="2" t="s">
        <v>11</v>
      </c>
      <c r="F6510" s="2">
        <v>2</v>
      </c>
      <c r="G6510" s="2" t="s">
        <v>12</v>
      </c>
    </row>
    <row r="6511" spans="1:7" x14ac:dyDescent="0.2">
      <c r="A6511" s="2" t="s">
        <v>8050</v>
      </c>
      <c r="B6511" s="2" t="s">
        <v>8062</v>
      </c>
      <c r="C6511" s="2" t="s">
        <v>2824</v>
      </c>
      <c r="D6511" s="2" t="s">
        <v>10</v>
      </c>
      <c r="E6511" s="2" t="s">
        <v>11</v>
      </c>
      <c r="F6511" s="2">
        <v>3</v>
      </c>
      <c r="G6511" s="2" t="s">
        <v>1069</v>
      </c>
    </row>
    <row r="6512" spans="1:7" x14ac:dyDescent="0.2">
      <c r="A6512" s="2" t="s">
        <v>8050</v>
      </c>
      <c r="B6512" s="2" t="s">
        <v>488</v>
      </c>
      <c r="C6512" s="2" t="s">
        <v>828</v>
      </c>
      <c r="D6512" s="2" t="s">
        <v>56</v>
      </c>
      <c r="E6512" s="2" t="s">
        <v>52</v>
      </c>
      <c r="F6512" s="2">
        <v>1</v>
      </c>
      <c r="G6512" s="2" t="s">
        <v>17</v>
      </c>
    </row>
    <row r="6513" spans="1:7" x14ac:dyDescent="0.2">
      <c r="A6513" s="2" t="s">
        <v>8050</v>
      </c>
      <c r="B6513" s="2" t="s">
        <v>1925</v>
      </c>
      <c r="C6513" s="2" t="s">
        <v>2799</v>
      </c>
      <c r="D6513" s="2" t="s">
        <v>10</v>
      </c>
      <c r="E6513" s="2" t="s">
        <v>11</v>
      </c>
      <c r="F6513" s="2">
        <v>2</v>
      </c>
      <c r="G6513" s="2" t="s">
        <v>12</v>
      </c>
    </row>
    <row r="6514" spans="1:7" x14ac:dyDescent="0.2">
      <c r="A6514" s="2" t="s">
        <v>8050</v>
      </c>
      <c r="B6514" s="2" t="s">
        <v>3411</v>
      </c>
      <c r="C6514" s="2" t="s">
        <v>1389</v>
      </c>
      <c r="D6514" s="2" t="s">
        <v>10</v>
      </c>
      <c r="E6514" s="2" t="s">
        <v>11</v>
      </c>
      <c r="F6514" s="2">
        <v>1</v>
      </c>
      <c r="G6514" s="2" t="s">
        <v>12</v>
      </c>
    </row>
    <row r="6515" spans="1:7" x14ac:dyDescent="0.2">
      <c r="A6515" s="2" t="s">
        <v>8050</v>
      </c>
      <c r="B6515" s="2" t="s">
        <v>8063</v>
      </c>
      <c r="C6515" s="2" t="s">
        <v>2803</v>
      </c>
      <c r="D6515" s="2" t="s">
        <v>56</v>
      </c>
      <c r="E6515" s="2" t="s">
        <v>52</v>
      </c>
      <c r="F6515" s="2">
        <v>2</v>
      </c>
      <c r="G6515" s="2" t="s">
        <v>17</v>
      </c>
    </row>
    <row r="6516" spans="1:7" x14ac:dyDescent="0.2">
      <c r="A6516" s="2" t="s">
        <v>8050</v>
      </c>
      <c r="B6516" s="2" t="s">
        <v>2802</v>
      </c>
      <c r="C6516" s="2" t="s">
        <v>2803</v>
      </c>
      <c r="D6516" s="2" t="s">
        <v>56</v>
      </c>
      <c r="E6516" s="2" t="s">
        <v>52</v>
      </c>
      <c r="F6516" s="2">
        <v>2</v>
      </c>
      <c r="G6516" s="2" t="s">
        <v>17</v>
      </c>
    </row>
    <row r="6517" spans="1:7" x14ac:dyDescent="0.2">
      <c r="A6517" s="2" t="s">
        <v>8050</v>
      </c>
      <c r="B6517" s="2" t="s">
        <v>8064</v>
      </c>
      <c r="C6517" s="2" t="s">
        <v>2824</v>
      </c>
      <c r="D6517" s="2" t="s">
        <v>10</v>
      </c>
      <c r="E6517" s="2" t="s">
        <v>11</v>
      </c>
      <c r="F6517" s="2">
        <v>3</v>
      </c>
      <c r="G6517" s="2" t="s">
        <v>1069</v>
      </c>
    </row>
    <row r="6518" spans="1:7" x14ac:dyDescent="0.2">
      <c r="A6518" s="2" t="s">
        <v>8050</v>
      </c>
      <c r="B6518" s="2" t="s">
        <v>8065</v>
      </c>
      <c r="C6518" s="2" t="s">
        <v>6741</v>
      </c>
      <c r="D6518" s="2" t="s">
        <v>10</v>
      </c>
      <c r="E6518" s="2" t="s">
        <v>11</v>
      </c>
      <c r="F6518" s="2">
        <v>2</v>
      </c>
      <c r="G6518" s="2" t="s">
        <v>12</v>
      </c>
    </row>
    <row r="6519" spans="1:7" x14ac:dyDescent="0.2">
      <c r="A6519" s="2" t="s">
        <v>8050</v>
      </c>
      <c r="B6519" s="2" t="s">
        <v>8047</v>
      </c>
      <c r="C6519" s="2" t="s">
        <v>6741</v>
      </c>
      <c r="D6519" s="2" t="s">
        <v>10</v>
      </c>
      <c r="E6519" s="2" t="s">
        <v>11</v>
      </c>
      <c r="F6519" s="2">
        <v>2</v>
      </c>
      <c r="G6519" s="2" t="s">
        <v>12</v>
      </c>
    </row>
    <row r="6520" spans="1:7" x14ac:dyDescent="0.2">
      <c r="A6520" s="2" t="s">
        <v>8050</v>
      </c>
      <c r="B6520" s="2" t="s">
        <v>8066</v>
      </c>
      <c r="C6520" s="2" t="s">
        <v>2799</v>
      </c>
      <c r="D6520" s="2" t="s">
        <v>10</v>
      </c>
      <c r="E6520" s="2" t="s">
        <v>11</v>
      </c>
      <c r="F6520" s="2">
        <v>2</v>
      </c>
      <c r="G6520" s="2" t="s">
        <v>12</v>
      </c>
    </row>
    <row r="6521" spans="1:7" x14ac:dyDescent="0.2">
      <c r="A6521" s="2" t="s">
        <v>8050</v>
      </c>
      <c r="B6521" s="2" t="s">
        <v>8067</v>
      </c>
      <c r="C6521" s="2" t="s">
        <v>1734</v>
      </c>
      <c r="D6521" s="2" t="s">
        <v>10</v>
      </c>
      <c r="E6521" s="2" t="s">
        <v>11</v>
      </c>
      <c r="F6521" s="2">
        <v>2</v>
      </c>
      <c r="G6521" s="2" t="s">
        <v>12</v>
      </c>
    </row>
    <row r="6522" spans="1:7" x14ac:dyDescent="0.2">
      <c r="A6522" s="2" t="s">
        <v>8050</v>
      </c>
      <c r="B6522" s="2" t="s">
        <v>8068</v>
      </c>
      <c r="C6522" s="2" t="s">
        <v>1734</v>
      </c>
      <c r="D6522" s="2" t="s">
        <v>10</v>
      </c>
      <c r="E6522" s="2" t="s">
        <v>11</v>
      </c>
      <c r="F6522" s="2">
        <v>2</v>
      </c>
      <c r="G6522" s="2" t="s">
        <v>12</v>
      </c>
    </row>
    <row r="6523" spans="1:7" x14ac:dyDescent="0.2">
      <c r="A6523" s="2" t="s">
        <v>8050</v>
      </c>
      <c r="B6523" s="2" t="s">
        <v>8069</v>
      </c>
      <c r="C6523" s="2" t="s">
        <v>2799</v>
      </c>
      <c r="D6523" s="2" t="s">
        <v>10</v>
      </c>
      <c r="E6523" s="2" t="s">
        <v>11</v>
      </c>
      <c r="F6523" s="2">
        <v>2</v>
      </c>
      <c r="G6523" s="2" t="s">
        <v>12</v>
      </c>
    </row>
    <row r="6524" spans="1:7" x14ac:dyDescent="0.2">
      <c r="A6524" s="2" t="s">
        <v>8050</v>
      </c>
      <c r="B6524" s="2" t="s">
        <v>2804</v>
      </c>
      <c r="C6524" s="2" t="s">
        <v>2799</v>
      </c>
      <c r="D6524" s="2" t="s">
        <v>10</v>
      </c>
      <c r="E6524" s="2" t="s">
        <v>11</v>
      </c>
      <c r="F6524" s="2">
        <v>2</v>
      </c>
      <c r="G6524" s="2" t="s">
        <v>12</v>
      </c>
    </row>
    <row r="6525" spans="1:7" x14ac:dyDescent="0.2">
      <c r="A6525" s="2" t="s">
        <v>8050</v>
      </c>
      <c r="B6525" s="2" t="s">
        <v>2805</v>
      </c>
      <c r="C6525" s="2" t="s">
        <v>2799</v>
      </c>
      <c r="D6525" s="2" t="s">
        <v>10</v>
      </c>
      <c r="E6525" s="2" t="s">
        <v>11</v>
      </c>
      <c r="F6525" s="2">
        <v>2</v>
      </c>
      <c r="G6525" s="2" t="s">
        <v>12</v>
      </c>
    </row>
    <row r="6526" spans="1:7" x14ac:dyDescent="0.2">
      <c r="A6526" s="2" t="s">
        <v>8050</v>
      </c>
      <c r="B6526" s="2" t="s">
        <v>2807</v>
      </c>
      <c r="C6526" s="2" t="s">
        <v>2763</v>
      </c>
      <c r="D6526" s="2" t="s">
        <v>10</v>
      </c>
      <c r="E6526" s="2" t="s">
        <v>11</v>
      </c>
      <c r="F6526" s="2">
        <v>4</v>
      </c>
      <c r="G6526" s="2" t="s">
        <v>1069</v>
      </c>
    </row>
    <row r="6527" spans="1:7" x14ac:dyDescent="0.2">
      <c r="A6527" s="2" t="s">
        <v>8050</v>
      </c>
      <c r="B6527" s="2" t="s">
        <v>2117</v>
      </c>
      <c r="C6527" s="2" t="s">
        <v>2116</v>
      </c>
      <c r="D6527" s="2" t="s">
        <v>10</v>
      </c>
      <c r="E6527" s="2" t="s">
        <v>11</v>
      </c>
      <c r="F6527" s="2">
        <v>1</v>
      </c>
      <c r="G6527" s="2" t="s">
        <v>12</v>
      </c>
    </row>
    <row r="6528" spans="1:7" x14ac:dyDescent="0.2">
      <c r="A6528" s="2" t="s">
        <v>8050</v>
      </c>
      <c r="B6528" s="2" t="s">
        <v>1395</v>
      </c>
      <c r="C6528" s="2" t="s">
        <v>1389</v>
      </c>
      <c r="D6528" s="2" t="s">
        <v>10</v>
      </c>
      <c r="E6528" s="2" t="s">
        <v>11</v>
      </c>
      <c r="F6528" s="2">
        <v>1</v>
      </c>
      <c r="G6528" s="2" t="s">
        <v>12</v>
      </c>
    </row>
    <row r="6529" spans="1:7" x14ac:dyDescent="0.2">
      <c r="A6529" s="2" t="s">
        <v>8050</v>
      </c>
      <c r="B6529" s="2" t="s">
        <v>6676</v>
      </c>
      <c r="C6529" s="2" t="s">
        <v>2752</v>
      </c>
      <c r="D6529" s="2" t="s">
        <v>56</v>
      </c>
      <c r="E6529" s="2" t="s">
        <v>52</v>
      </c>
      <c r="F6529" s="2">
        <v>2</v>
      </c>
      <c r="G6529" s="2" t="s">
        <v>12</v>
      </c>
    </row>
    <row r="6530" spans="1:7" x14ac:dyDescent="0.2">
      <c r="A6530" s="2" t="s">
        <v>8050</v>
      </c>
      <c r="B6530" s="2" t="s">
        <v>4824</v>
      </c>
      <c r="C6530" s="2" t="s">
        <v>4799</v>
      </c>
      <c r="D6530" s="2" t="s">
        <v>10</v>
      </c>
      <c r="E6530" s="2" t="s">
        <v>11</v>
      </c>
      <c r="F6530" s="2">
        <v>4</v>
      </c>
      <c r="G6530" s="2" t="s">
        <v>1069</v>
      </c>
    </row>
    <row r="6531" spans="1:7" x14ac:dyDescent="0.2">
      <c r="A6531" s="2" t="s">
        <v>8050</v>
      </c>
      <c r="B6531" s="2" t="s">
        <v>8070</v>
      </c>
      <c r="C6531" s="2" t="s">
        <v>2824</v>
      </c>
      <c r="D6531" s="2" t="s">
        <v>10</v>
      </c>
      <c r="E6531" s="2" t="s">
        <v>11</v>
      </c>
      <c r="F6531" s="2">
        <v>3</v>
      </c>
      <c r="G6531" s="2" t="s">
        <v>1069</v>
      </c>
    </row>
    <row r="6532" spans="1:7" x14ac:dyDescent="0.2">
      <c r="A6532" s="2" t="s">
        <v>8050</v>
      </c>
      <c r="B6532" s="2" t="s">
        <v>8071</v>
      </c>
      <c r="C6532" s="2" t="s">
        <v>2824</v>
      </c>
      <c r="D6532" s="2" t="s">
        <v>10</v>
      </c>
      <c r="E6532" s="2" t="s">
        <v>11</v>
      </c>
      <c r="F6532" s="2">
        <v>3</v>
      </c>
      <c r="G6532" s="2" t="s">
        <v>1069</v>
      </c>
    </row>
    <row r="6533" spans="1:7" x14ac:dyDescent="0.2">
      <c r="A6533" s="2" t="s">
        <v>8050</v>
      </c>
      <c r="B6533" s="2" t="s">
        <v>8072</v>
      </c>
      <c r="C6533" s="2" t="s">
        <v>6741</v>
      </c>
      <c r="D6533" s="2" t="s">
        <v>10</v>
      </c>
      <c r="E6533" s="2" t="s">
        <v>11</v>
      </c>
      <c r="F6533" s="2">
        <v>2</v>
      </c>
      <c r="G6533" s="2" t="s">
        <v>12</v>
      </c>
    </row>
    <row r="6534" spans="1:7" x14ac:dyDescent="0.2">
      <c r="A6534" s="2" t="s">
        <v>8050</v>
      </c>
      <c r="B6534" s="2" t="s">
        <v>2821</v>
      </c>
      <c r="C6534" s="2" t="s">
        <v>828</v>
      </c>
      <c r="D6534" s="2" t="s">
        <v>56</v>
      </c>
      <c r="E6534" s="2" t="s">
        <v>52</v>
      </c>
      <c r="F6534" s="2">
        <v>1</v>
      </c>
      <c r="G6534" s="2" t="s">
        <v>17</v>
      </c>
    </row>
    <row r="6535" spans="1:7" x14ac:dyDescent="0.2">
      <c r="A6535" s="2" t="s">
        <v>8050</v>
      </c>
      <c r="B6535" s="2" t="s">
        <v>2822</v>
      </c>
      <c r="C6535" s="2" t="s">
        <v>2752</v>
      </c>
      <c r="D6535" s="2" t="s">
        <v>56</v>
      </c>
      <c r="E6535" s="2" t="s">
        <v>52</v>
      </c>
      <c r="F6535" s="2">
        <v>2</v>
      </c>
      <c r="G6535" s="2" t="s">
        <v>12</v>
      </c>
    </row>
    <row r="6536" spans="1:7" x14ac:dyDescent="0.2">
      <c r="A6536" s="2" t="s">
        <v>8050</v>
      </c>
      <c r="B6536" s="2" t="s">
        <v>3416</v>
      </c>
      <c r="C6536" s="2" t="s">
        <v>1389</v>
      </c>
      <c r="D6536" s="2" t="s">
        <v>10</v>
      </c>
      <c r="E6536" s="2" t="s">
        <v>11</v>
      </c>
      <c r="F6536" s="2">
        <v>1</v>
      </c>
      <c r="G6536" s="2" t="s">
        <v>12</v>
      </c>
    </row>
    <row r="6537" spans="1:7" x14ac:dyDescent="0.2">
      <c r="A6537" s="2" t="s">
        <v>8050</v>
      </c>
      <c r="B6537" s="2" t="s">
        <v>2823</v>
      </c>
      <c r="C6537" s="2" t="s">
        <v>2824</v>
      </c>
      <c r="D6537" s="2" t="s">
        <v>10</v>
      </c>
      <c r="E6537" s="2" t="s">
        <v>11</v>
      </c>
      <c r="F6537" s="2">
        <v>3</v>
      </c>
      <c r="G6537" s="2" t="s">
        <v>1069</v>
      </c>
    </row>
    <row r="6538" spans="1:7" x14ac:dyDescent="0.2">
      <c r="A6538" s="2" t="s">
        <v>8050</v>
      </c>
      <c r="B6538" s="2" t="s">
        <v>2825</v>
      </c>
      <c r="C6538" s="2" t="s">
        <v>2826</v>
      </c>
      <c r="D6538" s="2" t="s">
        <v>10</v>
      </c>
      <c r="E6538" s="2" t="s">
        <v>11</v>
      </c>
      <c r="F6538" s="2">
        <v>3</v>
      </c>
      <c r="G6538" s="2" t="s">
        <v>1069</v>
      </c>
    </row>
    <row r="6539" spans="1:7" x14ac:dyDescent="0.2">
      <c r="A6539" s="2" t="s">
        <v>8050</v>
      </c>
      <c r="B6539" s="2" t="s">
        <v>2827</v>
      </c>
      <c r="C6539" s="2" t="s">
        <v>2828</v>
      </c>
      <c r="D6539" s="2" t="s">
        <v>10</v>
      </c>
      <c r="E6539" s="2" t="s">
        <v>11</v>
      </c>
      <c r="F6539" s="2">
        <v>2</v>
      </c>
      <c r="G6539" s="2" t="s">
        <v>12</v>
      </c>
    </row>
    <row r="6540" spans="1:7" x14ac:dyDescent="0.2">
      <c r="A6540" s="2" t="s">
        <v>8050</v>
      </c>
      <c r="B6540" s="2" t="s">
        <v>2829</v>
      </c>
      <c r="C6540" s="2" t="s">
        <v>2830</v>
      </c>
      <c r="D6540" s="2" t="s">
        <v>10</v>
      </c>
      <c r="E6540" s="2" t="s">
        <v>11</v>
      </c>
      <c r="F6540" s="2">
        <v>2</v>
      </c>
      <c r="G6540" s="2" t="s">
        <v>12</v>
      </c>
    </row>
    <row r="6541" spans="1:7" x14ac:dyDescent="0.2">
      <c r="A6541" s="2" t="s">
        <v>8050</v>
      </c>
      <c r="B6541" s="2" t="s">
        <v>2831</v>
      </c>
      <c r="C6541" s="2" t="s">
        <v>2832</v>
      </c>
      <c r="D6541" s="2" t="s">
        <v>10</v>
      </c>
      <c r="E6541" s="2" t="s">
        <v>11</v>
      </c>
      <c r="F6541" s="2">
        <v>2</v>
      </c>
      <c r="G6541" s="2" t="s">
        <v>12</v>
      </c>
    </row>
    <row r="6542" spans="1:7" x14ac:dyDescent="0.2">
      <c r="A6542" s="2" t="s">
        <v>8050</v>
      </c>
      <c r="B6542" s="2" t="s">
        <v>2808</v>
      </c>
      <c r="C6542" s="2" t="s">
        <v>1734</v>
      </c>
      <c r="D6542" s="2" t="s">
        <v>10</v>
      </c>
      <c r="E6542" s="2" t="s">
        <v>11</v>
      </c>
      <c r="F6542" s="2">
        <v>2</v>
      </c>
      <c r="G6542" s="2" t="s">
        <v>12</v>
      </c>
    </row>
    <row r="6543" spans="1:7" x14ac:dyDescent="0.2">
      <c r="A6543" s="2" t="s">
        <v>8050</v>
      </c>
      <c r="B6543" s="2" t="s">
        <v>2875</v>
      </c>
      <c r="C6543" s="2" t="s">
        <v>1734</v>
      </c>
      <c r="D6543" s="2" t="s">
        <v>10</v>
      </c>
      <c r="E6543" s="2" t="s">
        <v>11</v>
      </c>
      <c r="F6543" s="2">
        <v>2</v>
      </c>
      <c r="G6543" s="2" t="s">
        <v>12</v>
      </c>
    </row>
    <row r="6544" spans="1:7" x14ac:dyDescent="0.2">
      <c r="A6544" s="2" t="s">
        <v>8050</v>
      </c>
      <c r="B6544" s="2" t="s">
        <v>2833</v>
      </c>
      <c r="C6544" s="2" t="s">
        <v>2834</v>
      </c>
      <c r="D6544" s="2" t="s">
        <v>10</v>
      </c>
      <c r="E6544" s="2" t="s">
        <v>11</v>
      </c>
      <c r="F6544" s="2">
        <v>2</v>
      </c>
      <c r="G6544" s="2" t="s">
        <v>12</v>
      </c>
    </row>
    <row r="6545" spans="1:7" x14ac:dyDescent="0.2">
      <c r="A6545" s="2" t="s">
        <v>8050</v>
      </c>
      <c r="B6545" s="2" t="s">
        <v>2835</v>
      </c>
      <c r="C6545" s="2" t="s">
        <v>2836</v>
      </c>
      <c r="D6545" s="2" t="s">
        <v>10</v>
      </c>
      <c r="E6545" s="2" t="s">
        <v>11</v>
      </c>
      <c r="F6545" s="2">
        <v>2</v>
      </c>
      <c r="G6545" s="2" t="s">
        <v>12</v>
      </c>
    </row>
    <row r="6546" spans="1:7" x14ac:dyDescent="0.2">
      <c r="A6546" s="2" t="s">
        <v>8050</v>
      </c>
      <c r="B6546" s="2" t="s">
        <v>2837</v>
      </c>
      <c r="C6546" s="2" t="s">
        <v>2838</v>
      </c>
      <c r="D6546" s="2" t="s">
        <v>10</v>
      </c>
      <c r="E6546" s="2" t="s">
        <v>11</v>
      </c>
      <c r="F6546" s="2">
        <v>2</v>
      </c>
      <c r="G6546" s="2" t="s">
        <v>12</v>
      </c>
    </row>
    <row r="6547" spans="1:7" x14ac:dyDescent="0.2">
      <c r="A6547" s="2" t="s">
        <v>8050</v>
      </c>
      <c r="B6547" s="2" t="s">
        <v>2839</v>
      </c>
      <c r="C6547" s="2" t="s">
        <v>828</v>
      </c>
      <c r="D6547" s="2" t="s">
        <v>56</v>
      </c>
      <c r="E6547" s="2" t="s">
        <v>52</v>
      </c>
      <c r="F6547" s="2">
        <v>1</v>
      </c>
      <c r="G6547" s="2" t="s">
        <v>17</v>
      </c>
    </row>
    <row r="6548" spans="1:7" x14ac:dyDescent="0.2">
      <c r="A6548" s="2" t="s">
        <v>8050</v>
      </c>
      <c r="B6548" s="2" t="s">
        <v>2840</v>
      </c>
      <c r="C6548" s="2" t="s">
        <v>828</v>
      </c>
      <c r="D6548" s="2" t="s">
        <v>56</v>
      </c>
      <c r="E6548" s="2" t="s">
        <v>52</v>
      </c>
      <c r="F6548" s="2">
        <v>1</v>
      </c>
      <c r="G6548" s="2" t="s">
        <v>17</v>
      </c>
    </row>
    <row r="6549" spans="1:7" x14ac:dyDescent="0.2">
      <c r="A6549" s="2" t="s">
        <v>8050</v>
      </c>
      <c r="B6549" s="2" t="s">
        <v>2841</v>
      </c>
      <c r="C6549" s="2" t="s">
        <v>828</v>
      </c>
      <c r="D6549" s="2" t="s">
        <v>56</v>
      </c>
      <c r="E6549" s="2" t="s">
        <v>52</v>
      </c>
      <c r="F6549" s="2">
        <v>1</v>
      </c>
      <c r="G6549" s="2" t="s">
        <v>17</v>
      </c>
    </row>
    <row r="6550" spans="1:7" x14ac:dyDescent="0.2">
      <c r="A6550" s="2" t="s">
        <v>8050</v>
      </c>
      <c r="B6550" s="2" t="s">
        <v>2842</v>
      </c>
      <c r="C6550" s="2" t="s">
        <v>2843</v>
      </c>
      <c r="D6550" s="2" t="s">
        <v>56</v>
      </c>
      <c r="E6550" s="2" t="s">
        <v>52</v>
      </c>
      <c r="F6550" s="2">
        <v>1</v>
      </c>
      <c r="G6550" s="2" t="s">
        <v>17</v>
      </c>
    </row>
    <row r="6551" spans="1:7" x14ac:dyDescent="0.2">
      <c r="A6551" s="2" t="s">
        <v>8050</v>
      </c>
      <c r="B6551" s="2" t="s">
        <v>2844</v>
      </c>
      <c r="C6551" s="2" t="s">
        <v>828</v>
      </c>
      <c r="D6551" s="2" t="s">
        <v>56</v>
      </c>
      <c r="E6551" s="2" t="s">
        <v>52</v>
      </c>
      <c r="F6551" s="2">
        <v>1</v>
      </c>
      <c r="G6551" s="2" t="s">
        <v>17</v>
      </c>
    </row>
    <row r="6552" spans="1:7" x14ac:dyDescent="0.2">
      <c r="A6552" s="2" t="s">
        <v>8050</v>
      </c>
      <c r="B6552" s="2" t="s">
        <v>2845</v>
      </c>
      <c r="C6552" s="2" t="s">
        <v>828</v>
      </c>
      <c r="D6552" s="2" t="s">
        <v>56</v>
      </c>
      <c r="E6552" s="2" t="s">
        <v>52</v>
      </c>
      <c r="F6552" s="2">
        <v>1</v>
      </c>
      <c r="G6552" s="2" t="s">
        <v>17</v>
      </c>
    </row>
    <row r="6553" spans="1:7" x14ac:dyDescent="0.2">
      <c r="A6553" s="2" t="s">
        <v>8050</v>
      </c>
      <c r="B6553" s="2" t="s">
        <v>2846</v>
      </c>
      <c r="C6553" s="2" t="s">
        <v>828</v>
      </c>
      <c r="D6553" s="2" t="s">
        <v>56</v>
      </c>
      <c r="E6553" s="2" t="s">
        <v>52</v>
      </c>
      <c r="F6553" s="2">
        <v>1</v>
      </c>
      <c r="G6553" s="2" t="s">
        <v>17</v>
      </c>
    </row>
    <row r="6554" spans="1:7" x14ac:dyDescent="0.2">
      <c r="A6554" s="2" t="s">
        <v>8050</v>
      </c>
      <c r="B6554" s="2" t="s">
        <v>8073</v>
      </c>
      <c r="C6554" s="2" t="s">
        <v>2843</v>
      </c>
      <c r="D6554" s="2" t="s">
        <v>56</v>
      </c>
      <c r="E6554" s="2" t="s">
        <v>52</v>
      </c>
      <c r="F6554" s="2">
        <v>1</v>
      </c>
      <c r="G6554" s="2" t="s">
        <v>17</v>
      </c>
    </row>
    <row r="6555" spans="1:7" x14ac:dyDescent="0.2">
      <c r="A6555" s="2" t="s">
        <v>8050</v>
      </c>
      <c r="B6555" s="2" t="s">
        <v>2847</v>
      </c>
      <c r="C6555" s="2" t="s">
        <v>2848</v>
      </c>
      <c r="D6555" s="2" t="s">
        <v>56</v>
      </c>
      <c r="E6555" s="2" t="s">
        <v>52</v>
      </c>
      <c r="F6555" s="2">
        <v>1</v>
      </c>
      <c r="G6555" s="2" t="s">
        <v>17</v>
      </c>
    </row>
    <row r="6556" spans="1:7" x14ac:dyDescent="0.2">
      <c r="A6556" s="2" t="s">
        <v>8050</v>
      </c>
      <c r="B6556" s="2" t="s">
        <v>8074</v>
      </c>
      <c r="C6556" s="2" t="s">
        <v>2803</v>
      </c>
      <c r="D6556" s="2" t="s">
        <v>56</v>
      </c>
      <c r="E6556" s="2" t="s">
        <v>52</v>
      </c>
      <c r="F6556" s="2">
        <v>2</v>
      </c>
      <c r="G6556" s="2" t="s">
        <v>17</v>
      </c>
    </row>
    <row r="6557" spans="1:7" x14ac:dyDescent="0.2">
      <c r="A6557" s="2" t="s">
        <v>8050</v>
      </c>
      <c r="B6557" s="2" t="s">
        <v>8075</v>
      </c>
      <c r="C6557" s="2" t="s">
        <v>2803</v>
      </c>
      <c r="D6557" s="2" t="s">
        <v>56</v>
      </c>
      <c r="E6557" s="2" t="s">
        <v>52</v>
      </c>
      <c r="F6557" s="2">
        <v>2</v>
      </c>
      <c r="G6557" s="2" t="s">
        <v>17</v>
      </c>
    </row>
    <row r="6558" spans="1:7" x14ac:dyDescent="0.2">
      <c r="A6558" s="2" t="s">
        <v>8050</v>
      </c>
      <c r="B6558" s="2" t="s">
        <v>2849</v>
      </c>
      <c r="C6558" s="2" t="s">
        <v>2803</v>
      </c>
      <c r="D6558" s="2" t="s">
        <v>56</v>
      </c>
      <c r="E6558" s="2" t="s">
        <v>52</v>
      </c>
      <c r="F6558" s="2">
        <v>2</v>
      </c>
      <c r="G6558" s="2" t="s">
        <v>17</v>
      </c>
    </row>
    <row r="6559" spans="1:7" x14ac:dyDescent="0.2">
      <c r="A6559" s="2" t="s">
        <v>8050</v>
      </c>
      <c r="B6559" s="2" t="s">
        <v>6680</v>
      </c>
      <c r="C6559" s="2" t="s">
        <v>828</v>
      </c>
      <c r="D6559" s="2" t="s">
        <v>56</v>
      </c>
      <c r="E6559" s="2" t="s">
        <v>52</v>
      </c>
      <c r="F6559" s="2">
        <v>1</v>
      </c>
      <c r="G6559" s="2" t="s">
        <v>17</v>
      </c>
    </row>
    <row r="6560" spans="1:7" x14ac:dyDescent="0.2">
      <c r="A6560" s="2" t="s">
        <v>8050</v>
      </c>
      <c r="B6560" s="2" t="s">
        <v>8076</v>
      </c>
      <c r="C6560" s="2" t="s">
        <v>2843</v>
      </c>
      <c r="D6560" s="2" t="s">
        <v>56</v>
      </c>
      <c r="E6560" s="2" t="s">
        <v>52</v>
      </c>
      <c r="F6560" s="2">
        <v>1</v>
      </c>
      <c r="G6560" s="2" t="s">
        <v>17</v>
      </c>
    </row>
    <row r="6561" spans="1:7" x14ac:dyDescent="0.2">
      <c r="A6561" s="2" t="s">
        <v>8050</v>
      </c>
      <c r="B6561" s="2" t="s">
        <v>8077</v>
      </c>
      <c r="C6561" s="2" t="s">
        <v>2803</v>
      </c>
      <c r="D6561" s="2" t="s">
        <v>56</v>
      </c>
      <c r="E6561" s="2" t="s">
        <v>52</v>
      </c>
      <c r="F6561" s="2">
        <v>2</v>
      </c>
      <c r="G6561" s="2" t="s">
        <v>17</v>
      </c>
    </row>
    <row r="6562" spans="1:7" x14ac:dyDescent="0.2">
      <c r="A6562" s="2" t="s">
        <v>8050</v>
      </c>
      <c r="B6562" s="2" t="s">
        <v>2853</v>
      </c>
      <c r="C6562" s="2" t="s">
        <v>828</v>
      </c>
      <c r="D6562" s="2" t="s">
        <v>56</v>
      </c>
      <c r="E6562" s="2" t="s">
        <v>52</v>
      </c>
      <c r="F6562" s="2">
        <v>1</v>
      </c>
      <c r="G6562" s="2" t="s">
        <v>17</v>
      </c>
    </row>
    <row r="6563" spans="1:7" x14ac:dyDescent="0.2">
      <c r="A6563" s="2" t="s">
        <v>8050</v>
      </c>
      <c r="B6563" s="2" t="s">
        <v>6644</v>
      </c>
      <c r="C6563" s="2" t="s">
        <v>4810</v>
      </c>
      <c r="D6563" s="2" t="s">
        <v>10</v>
      </c>
      <c r="E6563" s="2" t="s">
        <v>11</v>
      </c>
      <c r="F6563" s="2">
        <v>2</v>
      </c>
      <c r="G6563" s="2" t="s">
        <v>12</v>
      </c>
    </row>
    <row r="6564" spans="1:7" x14ac:dyDescent="0.2">
      <c r="A6564" s="2" t="s">
        <v>8050</v>
      </c>
      <c r="B6564" s="2" t="s">
        <v>8078</v>
      </c>
      <c r="C6564" s="2" t="s">
        <v>4757</v>
      </c>
      <c r="D6564" s="2" t="s">
        <v>10</v>
      </c>
      <c r="E6564" s="2" t="s">
        <v>11</v>
      </c>
      <c r="F6564" s="2">
        <v>1</v>
      </c>
      <c r="G6564" s="2" t="s">
        <v>12</v>
      </c>
    </row>
    <row r="6565" spans="1:7" x14ac:dyDescent="0.2">
      <c r="A6565" s="2" t="s">
        <v>8050</v>
      </c>
      <c r="B6565" s="2" t="s">
        <v>8079</v>
      </c>
      <c r="C6565" s="2" t="s">
        <v>2752</v>
      </c>
      <c r="D6565" s="2" t="s">
        <v>56</v>
      </c>
      <c r="E6565" s="2" t="s">
        <v>52</v>
      </c>
      <c r="F6565" s="2">
        <v>2</v>
      </c>
      <c r="G6565" s="2" t="s">
        <v>12</v>
      </c>
    </row>
    <row r="6566" spans="1:7" x14ac:dyDescent="0.2">
      <c r="A6566" s="2" t="s">
        <v>8050</v>
      </c>
      <c r="B6566" s="2" t="s">
        <v>8048</v>
      </c>
      <c r="C6566" s="2" t="s">
        <v>6741</v>
      </c>
      <c r="D6566" s="2" t="s">
        <v>10</v>
      </c>
      <c r="E6566" s="2" t="s">
        <v>11</v>
      </c>
      <c r="F6566" s="2">
        <v>2</v>
      </c>
      <c r="G6566" s="2" t="s">
        <v>12</v>
      </c>
    </row>
    <row r="6567" spans="1:7" x14ac:dyDescent="0.2">
      <c r="A6567" s="2" t="s">
        <v>8050</v>
      </c>
      <c r="B6567" s="2" t="s">
        <v>8080</v>
      </c>
      <c r="C6567" s="2" t="s">
        <v>6741</v>
      </c>
      <c r="D6567" s="2" t="s">
        <v>10</v>
      </c>
      <c r="E6567" s="2" t="s">
        <v>11</v>
      </c>
      <c r="F6567" s="2">
        <v>2</v>
      </c>
      <c r="G6567" s="2" t="s">
        <v>12</v>
      </c>
    </row>
    <row r="6568" spans="1:7" x14ac:dyDescent="0.2">
      <c r="A6568" s="2" t="s">
        <v>8050</v>
      </c>
      <c r="B6568" s="2" t="s">
        <v>2859</v>
      </c>
      <c r="C6568" s="2" t="s">
        <v>2799</v>
      </c>
      <c r="D6568" s="2" t="s">
        <v>10</v>
      </c>
      <c r="E6568" s="2" t="s">
        <v>11</v>
      </c>
      <c r="F6568" s="2">
        <v>2</v>
      </c>
      <c r="G6568" s="2" t="s">
        <v>12</v>
      </c>
    </row>
    <row r="6569" spans="1:7" x14ac:dyDescent="0.2">
      <c r="A6569" s="2" t="s">
        <v>8050</v>
      </c>
      <c r="B6569" s="2" t="s">
        <v>8081</v>
      </c>
      <c r="C6569" s="2" t="s">
        <v>6741</v>
      </c>
      <c r="D6569" s="2" t="s">
        <v>10</v>
      </c>
      <c r="E6569" s="2" t="s">
        <v>11</v>
      </c>
      <c r="F6569" s="2">
        <v>2</v>
      </c>
      <c r="G6569" s="2" t="s">
        <v>12</v>
      </c>
    </row>
    <row r="6570" spans="1:7" x14ac:dyDescent="0.2">
      <c r="A6570" s="2" t="s">
        <v>8050</v>
      </c>
      <c r="B6570" s="2" t="s">
        <v>8049</v>
      </c>
      <c r="C6570" s="2" t="s">
        <v>6741</v>
      </c>
      <c r="D6570" s="2" t="s">
        <v>10</v>
      </c>
      <c r="E6570" s="2" t="s">
        <v>11</v>
      </c>
      <c r="F6570" s="2">
        <v>2</v>
      </c>
      <c r="G6570" s="2" t="s">
        <v>12</v>
      </c>
    </row>
    <row r="6571" spans="1:7" x14ac:dyDescent="0.2">
      <c r="A6571" s="2" t="s">
        <v>8050</v>
      </c>
      <c r="B6571" s="2" t="s">
        <v>3779</v>
      </c>
      <c r="C6571" s="2" t="s">
        <v>4757</v>
      </c>
      <c r="D6571" s="2" t="s">
        <v>10</v>
      </c>
      <c r="E6571" s="2" t="s">
        <v>11</v>
      </c>
      <c r="F6571" s="2">
        <v>1</v>
      </c>
      <c r="G6571" s="2" t="s">
        <v>12</v>
      </c>
    </row>
    <row r="6572" spans="1:7" x14ac:dyDescent="0.2">
      <c r="A6572" s="2" t="s">
        <v>8050</v>
      </c>
      <c r="B6572" s="2" t="s">
        <v>8082</v>
      </c>
      <c r="C6572" s="2" t="s">
        <v>4810</v>
      </c>
      <c r="D6572" s="2" t="s">
        <v>10</v>
      </c>
      <c r="E6572" s="2" t="s">
        <v>11</v>
      </c>
      <c r="F6572" s="2">
        <v>2</v>
      </c>
      <c r="G6572" s="2" t="s">
        <v>12</v>
      </c>
    </row>
    <row r="6573" spans="1:7" x14ac:dyDescent="0.2">
      <c r="A6573" s="2" t="s">
        <v>8050</v>
      </c>
      <c r="B6573" s="2" t="s">
        <v>2119</v>
      </c>
      <c r="C6573" s="2" t="s">
        <v>2116</v>
      </c>
      <c r="D6573" s="2" t="s">
        <v>10</v>
      </c>
      <c r="E6573" s="2" t="s">
        <v>11</v>
      </c>
      <c r="F6573" s="2">
        <v>1</v>
      </c>
      <c r="G6573" s="2" t="s">
        <v>12</v>
      </c>
    </row>
    <row r="6574" spans="1:7" x14ac:dyDescent="0.2">
      <c r="A6574" s="2" t="s">
        <v>8050</v>
      </c>
      <c r="B6574" s="2" t="s">
        <v>4847</v>
      </c>
      <c r="C6574" s="2" t="s">
        <v>4757</v>
      </c>
      <c r="D6574" s="2" t="s">
        <v>10</v>
      </c>
      <c r="E6574" s="2" t="s">
        <v>11</v>
      </c>
      <c r="F6574" s="2">
        <v>1</v>
      </c>
      <c r="G6574" s="2" t="s">
        <v>12</v>
      </c>
    </row>
    <row r="6575" spans="1:7" x14ac:dyDescent="0.2">
      <c r="A6575" s="2" t="s">
        <v>8050</v>
      </c>
      <c r="B6575" s="2" t="s">
        <v>6423</v>
      </c>
      <c r="C6575" s="2" t="s">
        <v>1389</v>
      </c>
      <c r="D6575" s="2" t="s">
        <v>10</v>
      </c>
      <c r="E6575" s="2" t="s">
        <v>11</v>
      </c>
      <c r="F6575" s="2">
        <v>1</v>
      </c>
      <c r="G6575" s="2" t="s">
        <v>12</v>
      </c>
    </row>
    <row r="6576" spans="1:7" x14ac:dyDescent="0.2">
      <c r="A6576" s="2" t="s">
        <v>8050</v>
      </c>
      <c r="B6576" s="2" t="s">
        <v>8083</v>
      </c>
      <c r="C6576" s="2" t="s">
        <v>4810</v>
      </c>
      <c r="D6576" s="2" t="s">
        <v>10</v>
      </c>
      <c r="E6576" s="2" t="s">
        <v>11</v>
      </c>
      <c r="F6576" s="2">
        <v>2</v>
      </c>
      <c r="G6576" s="2" t="s">
        <v>12</v>
      </c>
    </row>
    <row r="6577" spans="1:7" x14ac:dyDescent="0.2">
      <c r="A6577" s="2" t="s">
        <v>8050</v>
      </c>
      <c r="B6577" s="2" t="s">
        <v>8084</v>
      </c>
      <c r="C6577" s="2" t="s">
        <v>8085</v>
      </c>
      <c r="D6577" s="2" t="s">
        <v>10</v>
      </c>
      <c r="E6577" s="2" t="s">
        <v>11</v>
      </c>
      <c r="F6577" s="2">
        <v>4</v>
      </c>
      <c r="G6577" s="2" t="s">
        <v>12</v>
      </c>
    </row>
    <row r="6578" spans="1:7" x14ac:dyDescent="0.2">
      <c r="A6578" s="2" t="s">
        <v>8050</v>
      </c>
      <c r="B6578" s="2" t="s">
        <v>39</v>
      </c>
      <c r="C6578" s="2" t="s">
        <v>1734</v>
      </c>
      <c r="D6578" s="2" t="s">
        <v>10</v>
      </c>
      <c r="E6578" s="2" t="s">
        <v>11</v>
      </c>
      <c r="F6578" s="2">
        <v>2</v>
      </c>
      <c r="G6578" s="2" t="s">
        <v>12</v>
      </c>
    </row>
    <row r="6579" spans="1:7" x14ac:dyDescent="0.2">
      <c r="A6579" s="2" t="s">
        <v>8050</v>
      </c>
      <c r="B6579" s="2" t="s">
        <v>1736</v>
      </c>
      <c r="C6579" s="2" t="s">
        <v>1734</v>
      </c>
      <c r="D6579" s="2" t="s">
        <v>10</v>
      </c>
      <c r="E6579" s="2" t="s">
        <v>11</v>
      </c>
      <c r="F6579" s="2">
        <v>2</v>
      </c>
      <c r="G6579" s="2" t="s">
        <v>12</v>
      </c>
    </row>
    <row r="6580" spans="1:7" x14ac:dyDescent="0.2">
      <c r="A6580" s="2" t="s">
        <v>8050</v>
      </c>
      <c r="B6580" s="2" t="s">
        <v>8086</v>
      </c>
      <c r="C6580" s="2" t="s">
        <v>1389</v>
      </c>
      <c r="D6580" s="2" t="s">
        <v>10</v>
      </c>
      <c r="E6580" s="2" t="s">
        <v>11</v>
      </c>
      <c r="F6580" s="2">
        <v>1</v>
      </c>
      <c r="G6580" s="2" t="s">
        <v>12</v>
      </c>
    </row>
    <row r="6581" spans="1:7" x14ac:dyDescent="0.2">
      <c r="A6581" s="2" t="s">
        <v>8087</v>
      </c>
      <c r="B6581" s="2" t="s">
        <v>8088</v>
      </c>
      <c r="C6581" s="2" t="s">
        <v>8089</v>
      </c>
      <c r="D6581" s="2" t="s">
        <v>29</v>
      </c>
      <c r="E6581" s="2" t="s">
        <v>16</v>
      </c>
      <c r="F6581" s="2">
        <v>4</v>
      </c>
      <c r="G6581" s="2" t="s">
        <v>17</v>
      </c>
    </row>
    <row r="6582" spans="1:7" x14ac:dyDescent="0.2">
      <c r="A6582" s="2" t="s">
        <v>8087</v>
      </c>
      <c r="B6582" s="2" t="s">
        <v>8090</v>
      </c>
      <c r="C6582" s="2" t="s">
        <v>8089</v>
      </c>
      <c r="D6582" s="2" t="s">
        <v>29</v>
      </c>
      <c r="E6582" s="2" t="s">
        <v>16</v>
      </c>
      <c r="F6582" s="2">
        <v>4</v>
      </c>
      <c r="G6582" s="2" t="s">
        <v>17</v>
      </c>
    </row>
    <row r="6583" spans="1:7" x14ac:dyDescent="0.2">
      <c r="A6583" s="2" t="s">
        <v>8087</v>
      </c>
      <c r="B6583" s="2" t="s">
        <v>8091</v>
      </c>
      <c r="C6583" s="2" t="s">
        <v>8092</v>
      </c>
      <c r="D6583" s="2" t="s">
        <v>29</v>
      </c>
      <c r="E6583" s="2" t="s">
        <v>52</v>
      </c>
      <c r="F6583" s="2">
        <v>2</v>
      </c>
      <c r="G6583" s="2" t="s">
        <v>17</v>
      </c>
    </row>
    <row r="6584" spans="1:7" x14ac:dyDescent="0.2">
      <c r="A6584" s="2" t="s">
        <v>8087</v>
      </c>
      <c r="B6584" s="2" t="s">
        <v>8093</v>
      </c>
      <c r="C6584" s="2" t="s">
        <v>8092</v>
      </c>
      <c r="D6584" s="2" t="s">
        <v>29</v>
      </c>
      <c r="E6584" s="2" t="s">
        <v>52</v>
      </c>
      <c r="F6584" s="2">
        <v>2</v>
      </c>
      <c r="G6584" s="2" t="s">
        <v>17</v>
      </c>
    </row>
    <row r="6585" spans="1:7" x14ac:dyDescent="0.2">
      <c r="A6585" s="2" t="s">
        <v>8087</v>
      </c>
      <c r="B6585" s="2" t="s">
        <v>5812</v>
      </c>
      <c r="C6585" s="2" t="s">
        <v>5813</v>
      </c>
      <c r="D6585" s="2" t="s">
        <v>29</v>
      </c>
      <c r="E6585" s="2" t="s">
        <v>16</v>
      </c>
      <c r="F6585" s="2">
        <v>2</v>
      </c>
      <c r="G6585" s="2" t="s">
        <v>17</v>
      </c>
    </row>
    <row r="6586" spans="1:7" x14ac:dyDescent="0.2">
      <c r="A6586" s="2" t="s">
        <v>8087</v>
      </c>
      <c r="B6586" s="2" t="s">
        <v>6135</v>
      </c>
      <c r="C6586" s="2" t="s">
        <v>8089</v>
      </c>
      <c r="D6586" s="2" t="s">
        <v>29</v>
      </c>
      <c r="E6586" s="2" t="s">
        <v>16</v>
      </c>
      <c r="F6586" s="2">
        <v>4</v>
      </c>
      <c r="G6586" s="2" t="s">
        <v>17</v>
      </c>
    </row>
    <row r="6587" spans="1:7" x14ac:dyDescent="0.2">
      <c r="A6587" s="2" t="s">
        <v>8087</v>
      </c>
      <c r="B6587" s="2" t="s">
        <v>5814</v>
      </c>
      <c r="C6587" s="2" t="s">
        <v>5813</v>
      </c>
      <c r="D6587" s="2" t="s">
        <v>29</v>
      </c>
      <c r="E6587" s="2" t="s">
        <v>16</v>
      </c>
      <c r="F6587" s="2">
        <v>2</v>
      </c>
      <c r="G6587" s="2" t="s">
        <v>17</v>
      </c>
    </row>
    <row r="6588" spans="1:7" x14ac:dyDescent="0.2">
      <c r="A6588" s="2" t="s">
        <v>8087</v>
      </c>
      <c r="B6588" s="2" t="s">
        <v>8094</v>
      </c>
      <c r="C6588" s="2" t="s">
        <v>8092</v>
      </c>
      <c r="D6588" s="2" t="s">
        <v>29</v>
      </c>
      <c r="E6588" s="2" t="s">
        <v>52</v>
      </c>
      <c r="F6588" s="2">
        <v>2</v>
      </c>
      <c r="G6588" s="2" t="s">
        <v>17</v>
      </c>
    </row>
    <row r="6589" spans="1:7" x14ac:dyDescent="0.2">
      <c r="A6589" s="2" t="s">
        <v>8095</v>
      </c>
      <c r="B6589" s="2" t="s">
        <v>488</v>
      </c>
      <c r="C6589" s="2" t="s">
        <v>828</v>
      </c>
      <c r="D6589" s="2" t="s">
        <v>56</v>
      </c>
      <c r="E6589" s="2" t="s">
        <v>52</v>
      </c>
      <c r="F6589" s="2">
        <v>1</v>
      </c>
      <c r="G6589" s="2" t="s">
        <v>17</v>
      </c>
    </row>
    <row r="6590" spans="1:7" x14ac:dyDescent="0.2">
      <c r="A6590" s="2" t="s">
        <v>8095</v>
      </c>
      <c r="B6590" s="2" t="s">
        <v>2802</v>
      </c>
      <c r="C6590" s="2" t="s">
        <v>2803</v>
      </c>
      <c r="D6590" s="2" t="s">
        <v>56</v>
      </c>
      <c r="E6590" s="2" t="s">
        <v>52</v>
      </c>
      <c r="F6590" s="2">
        <v>2</v>
      </c>
      <c r="G6590" s="2" t="s">
        <v>17</v>
      </c>
    </row>
    <row r="6591" spans="1:7" x14ac:dyDescent="0.2">
      <c r="A6591" s="2" t="s">
        <v>8095</v>
      </c>
      <c r="B6591" s="2" t="s">
        <v>2821</v>
      </c>
      <c r="C6591" s="2" t="s">
        <v>828</v>
      </c>
      <c r="D6591" s="2" t="s">
        <v>56</v>
      </c>
      <c r="E6591" s="2" t="s">
        <v>52</v>
      </c>
      <c r="F6591" s="2">
        <v>1</v>
      </c>
      <c r="G6591" s="2" t="s">
        <v>17</v>
      </c>
    </row>
    <row r="6592" spans="1:7" x14ac:dyDescent="0.2">
      <c r="A6592" s="2" t="s">
        <v>8095</v>
      </c>
      <c r="B6592" s="2" t="s">
        <v>2839</v>
      </c>
      <c r="C6592" s="2" t="s">
        <v>828</v>
      </c>
      <c r="D6592" s="2" t="s">
        <v>56</v>
      </c>
      <c r="E6592" s="2" t="s">
        <v>52</v>
      </c>
      <c r="F6592" s="2">
        <v>1</v>
      </c>
      <c r="G6592" s="2" t="s">
        <v>17</v>
      </c>
    </row>
    <row r="6593" spans="1:7" x14ac:dyDescent="0.2">
      <c r="A6593" s="2" t="s">
        <v>8095</v>
      </c>
      <c r="B6593" s="2" t="s">
        <v>8096</v>
      </c>
      <c r="C6593" s="2" t="s">
        <v>828</v>
      </c>
      <c r="D6593" s="2" t="s">
        <v>56</v>
      </c>
      <c r="E6593" s="2" t="s">
        <v>52</v>
      </c>
      <c r="F6593" s="2">
        <v>1</v>
      </c>
      <c r="G6593" s="2" t="s">
        <v>17</v>
      </c>
    </row>
    <row r="6594" spans="1:7" x14ac:dyDescent="0.2">
      <c r="A6594" s="2" t="s">
        <v>8095</v>
      </c>
      <c r="B6594" s="2" t="s">
        <v>2840</v>
      </c>
      <c r="C6594" s="2" t="s">
        <v>828</v>
      </c>
      <c r="D6594" s="2" t="s">
        <v>56</v>
      </c>
      <c r="E6594" s="2" t="s">
        <v>52</v>
      </c>
      <c r="F6594" s="2">
        <v>1</v>
      </c>
      <c r="G6594" s="2" t="s">
        <v>17</v>
      </c>
    </row>
    <row r="6595" spans="1:7" x14ac:dyDescent="0.2">
      <c r="A6595" s="2" t="s">
        <v>8095</v>
      </c>
      <c r="B6595" s="2" t="s">
        <v>2841</v>
      </c>
      <c r="C6595" s="2" t="s">
        <v>828</v>
      </c>
      <c r="D6595" s="2" t="s">
        <v>56</v>
      </c>
      <c r="E6595" s="2" t="s">
        <v>52</v>
      </c>
      <c r="F6595" s="2">
        <v>1</v>
      </c>
      <c r="G6595" s="2" t="s">
        <v>17</v>
      </c>
    </row>
    <row r="6596" spans="1:7" x14ac:dyDescent="0.2">
      <c r="A6596" s="2" t="s">
        <v>8095</v>
      </c>
      <c r="B6596" s="2" t="s">
        <v>2842</v>
      </c>
      <c r="C6596" s="2" t="s">
        <v>2843</v>
      </c>
      <c r="D6596" s="2" t="s">
        <v>56</v>
      </c>
      <c r="E6596" s="2" t="s">
        <v>52</v>
      </c>
      <c r="F6596" s="2">
        <v>1</v>
      </c>
      <c r="G6596" s="2" t="s">
        <v>17</v>
      </c>
    </row>
    <row r="6597" spans="1:7" x14ac:dyDescent="0.2">
      <c r="A6597" s="2" t="s">
        <v>8095</v>
      </c>
      <c r="B6597" s="2" t="s">
        <v>2844</v>
      </c>
      <c r="C6597" s="2" t="s">
        <v>828</v>
      </c>
      <c r="D6597" s="2" t="s">
        <v>56</v>
      </c>
      <c r="E6597" s="2" t="s">
        <v>52</v>
      </c>
      <c r="F6597" s="2">
        <v>1</v>
      </c>
      <c r="G6597" s="2" t="s">
        <v>17</v>
      </c>
    </row>
    <row r="6598" spans="1:7" x14ac:dyDescent="0.2">
      <c r="A6598" s="2" t="s">
        <v>8095</v>
      </c>
      <c r="B6598" s="2" t="s">
        <v>2845</v>
      </c>
      <c r="C6598" s="2" t="s">
        <v>828</v>
      </c>
      <c r="D6598" s="2" t="s">
        <v>56</v>
      </c>
      <c r="E6598" s="2" t="s">
        <v>52</v>
      </c>
      <c r="F6598" s="2">
        <v>1</v>
      </c>
      <c r="G6598" s="2" t="s">
        <v>17</v>
      </c>
    </row>
    <row r="6599" spans="1:7" x14ac:dyDescent="0.2">
      <c r="A6599" s="2" t="s">
        <v>8095</v>
      </c>
      <c r="B6599" s="2" t="s">
        <v>2846</v>
      </c>
      <c r="C6599" s="2" t="s">
        <v>828</v>
      </c>
      <c r="D6599" s="2" t="s">
        <v>56</v>
      </c>
      <c r="E6599" s="2" t="s">
        <v>52</v>
      </c>
      <c r="F6599" s="2">
        <v>1</v>
      </c>
      <c r="G6599" s="2" t="s">
        <v>17</v>
      </c>
    </row>
    <row r="6600" spans="1:7" x14ac:dyDescent="0.2">
      <c r="A6600" s="2" t="s">
        <v>8095</v>
      </c>
      <c r="B6600" s="2" t="s">
        <v>2847</v>
      </c>
      <c r="C6600" s="2" t="s">
        <v>2848</v>
      </c>
      <c r="D6600" s="2" t="s">
        <v>56</v>
      </c>
      <c r="E6600" s="2" t="s">
        <v>52</v>
      </c>
      <c r="F6600" s="2">
        <v>1</v>
      </c>
      <c r="G6600" s="2" t="s">
        <v>17</v>
      </c>
    </row>
    <row r="6601" spans="1:7" x14ac:dyDescent="0.2">
      <c r="A6601" s="2" t="s">
        <v>8095</v>
      </c>
      <c r="B6601" s="2" t="s">
        <v>2849</v>
      </c>
      <c r="C6601" s="2" t="s">
        <v>2803</v>
      </c>
      <c r="D6601" s="2" t="s">
        <v>56</v>
      </c>
      <c r="E6601" s="2" t="s">
        <v>52</v>
      </c>
      <c r="F6601" s="2">
        <v>2</v>
      </c>
      <c r="G6601" s="2" t="s">
        <v>17</v>
      </c>
    </row>
    <row r="6602" spans="1:7" x14ac:dyDescent="0.2">
      <c r="A6602" s="2" t="s">
        <v>8095</v>
      </c>
      <c r="B6602" s="2" t="s">
        <v>2853</v>
      </c>
      <c r="C6602" s="2" t="s">
        <v>828</v>
      </c>
      <c r="D6602" s="2" t="s">
        <v>56</v>
      </c>
      <c r="E6602" s="2" t="s">
        <v>52</v>
      </c>
      <c r="F6602" s="2">
        <v>1</v>
      </c>
      <c r="G6602" s="2" t="s">
        <v>17</v>
      </c>
    </row>
    <row r="6603" spans="1:7" x14ac:dyDescent="0.2">
      <c r="A6603" s="2" t="s">
        <v>8097</v>
      </c>
      <c r="B6603" s="2" t="s">
        <v>4443</v>
      </c>
      <c r="C6603" s="2" t="s">
        <v>4444</v>
      </c>
      <c r="D6603" s="2" t="s">
        <v>10</v>
      </c>
      <c r="E6603" s="2" t="s">
        <v>16</v>
      </c>
      <c r="F6603" s="2">
        <v>1</v>
      </c>
      <c r="G6603" s="2" t="s">
        <v>17</v>
      </c>
    </row>
    <row r="6604" spans="1:7" x14ac:dyDescent="0.2">
      <c r="A6604" s="2" t="s">
        <v>8097</v>
      </c>
      <c r="B6604" s="2" t="s">
        <v>4445</v>
      </c>
      <c r="C6604" s="2" t="s">
        <v>4444</v>
      </c>
      <c r="D6604" s="2" t="s">
        <v>10</v>
      </c>
      <c r="E6604" s="2" t="s">
        <v>16</v>
      </c>
      <c r="F6604" s="2">
        <v>1</v>
      </c>
      <c r="G6604" s="2" t="s">
        <v>17</v>
      </c>
    </row>
    <row r="6605" spans="1:7" x14ac:dyDescent="0.2">
      <c r="A6605" s="2" t="s">
        <v>8098</v>
      </c>
      <c r="B6605" s="2" t="s">
        <v>8099</v>
      </c>
      <c r="C6605" s="2" t="s">
        <v>8098</v>
      </c>
      <c r="D6605" s="2" t="s">
        <v>10</v>
      </c>
      <c r="E6605" s="2" t="s">
        <v>16</v>
      </c>
      <c r="F6605" s="2">
        <v>1</v>
      </c>
      <c r="G6605" s="2" t="s">
        <v>17</v>
      </c>
    </row>
    <row r="6606" spans="1:7" x14ac:dyDescent="0.2">
      <c r="A6606" s="2" t="s">
        <v>8100</v>
      </c>
      <c r="B6606" s="2" t="s">
        <v>8101</v>
      </c>
      <c r="C6606" s="2" t="s">
        <v>8102</v>
      </c>
      <c r="D6606" s="2" t="s">
        <v>10</v>
      </c>
      <c r="E6606" s="2" t="s">
        <v>16</v>
      </c>
      <c r="F6606" s="2">
        <v>1</v>
      </c>
      <c r="G6606" s="2" t="s">
        <v>17</v>
      </c>
    </row>
    <row r="6607" spans="1:7" x14ac:dyDescent="0.2">
      <c r="A6607" s="2" t="s">
        <v>8100</v>
      </c>
      <c r="B6607" s="2" t="s">
        <v>8103</v>
      </c>
      <c r="C6607" s="2" t="s">
        <v>8102</v>
      </c>
      <c r="D6607" s="2" t="s">
        <v>10</v>
      </c>
      <c r="E6607" s="2" t="s">
        <v>16</v>
      </c>
      <c r="F6607" s="2">
        <v>1</v>
      </c>
      <c r="G6607" s="2" t="s">
        <v>17</v>
      </c>
    </row>
    <row r="6608" spans="1:7" x14ac:dyDescent="0.2">
      <c r="A6608" s="2" t="s">
        <v>8104</v>
      </c>
      <c r="B6608" s="2" t="s">
        <v>8105</v>
      </c>
      <c r="C6608" s="2" t="s">
        <v>8106</v>
      </c>
      <c r="D6608" s="2" t="s">
        <v>10</v>
      </c>
      <c r="E6608" s="2" t="s">
        <v>52</v>
      </c>
      <c r="F6608" s="2">
        <v>1</v>
      </c>
      <c r="G6608" s="2" t="s">
        <v>17</v>
      </c>
    </row>
    <row r="6609" spans="1:7" x14ac:dyDescent="0.2">
      <c r="A6609" s="2" t="s">
        <v>8104</v>
      </c>
      <c r="B6609" s="2" t="s">
        <v>8107</v>
      </c>
      <c r="C6609" s="2" t="s">
        <v>8106</v>
      </c>
      <c r="D6609" s="2" t="s">
        <v>10</v>
      </c>
      <c r="E6609" s="2" t="s">
        <v>52</v>
      </c>
      <c r="F6609" s="2">
        <v>1</v>
      </c>
      <c r="G6609" s="2" t="s">
        <v>17</v>
      </c>
    </row>
    <row r="6610" spans="1:7" x14ac:dyDescent="0.2">
      <c r="A6610" s="2" t="s">
        <v>8108</v>
      </c>
      <c r="B6610" s="2" t="s">
        <v>8109</v>
      </c>
      <c r="C6610" s="2" t="s">
        <v>8110</v>
      </c>
      <c r="D6610" s="2" t="s">
        <v>10</v>
      </c>
      <c r="E6610" s="2" t="s">
        <v>16</v>
      </c>
      <c r="F6610" s="2">
        <v>1</v>
      </c>
      <c r="G6610" s="2" t="s">
        <v>17</v>
      </c>
    </row>
    <row r="6611" spans="1:7" x14ac:dyDescent="0.2">
      <c r="A6611" s="2" t="s">
        <v>8111</v>
      </c>
      <c r="B6611" s="2" t="s">
        <v>2774</v>
      </c>
      <c r="C6611" s="2" t="s">
        <v>875</v>
      </c>
      <c r="D6611" s="2" t="s">
        <v>56</v>
      </c>
      <c r="E6611" s="2" t="s">
        <v>52</v>
      </c>
      <c r="F6611" s="2">
        <v>2</v>
      </c>
      <c r="G6611" s="2" t="s">
        <v>12</v>
      </c>
    </row>
    <row r="6612" spans="1:7" x14ac:dyDescent="0.2">
      <c r="A6612" s="2" t="s">
        <v>8111</v>
      </c>
      <c r="B6612" s="2" t="s">
        <v>876</v>
      </c>
      <c r="C6612" s="2" t="s">
        <v>875</v>
      </c>
      <c r="D6612" s="2" t="s">
        <v>56</v>
      </c>
      <c r="E6612" s="2" t="s">
        <v>52</v>
      </c>
      <c r="F6612" s="2">
        <v>2</v>
      </c>
      <c r="G6612" s="2" t="s">
        <v>12</v>
      </c>
    </row>
    <row r="6613" spans="1:7" x14ac:dyDescent="0.2">
      <c r="A6613" s="2" t="s">
        <v>8112</v>
      </c>
      <c r="B6613" s="2" t="s">
        <v>2802</v>
      </c>
      <c r="C6613" s="2" t="s">
        <v>8113</v>
      </c>
      <c r="D6613" s="2" t="s">
        <v>10</v>
      </c>
      <c r="E6613" s="2" t="s">
        <v>16</v>
      </c>
      <c r="F6613" s="2">
        <v>1</v>
      </c>
      <c r="G6613" s="2" t="s">
        <v>17</v>
      </c>
    </row>
    <row r="6614" spans="1:7" x14ac:dyDescent="0.2">
      <c r="A6614" s="2" t="s">
        <v>8112</v>
      </c>
      <c r="B6614" s="2" t="s">
        <v>405</v>
      </c>
      <c r="C6614" s="2" t="s">
        <v>406</v>
      </c>
      <c r="D6614" s="2" t="s">
        <v>10</v>
      </c>
      <c r="E6614" s="2" t="s">
        <v>16</v>
      </c>
      <c r="F6614" s="2">
        <v>1</v>
      </c>
      <c r="G6614" s="2" t="s">
        <v>17</v>
      </c>
    </row>
    <row r="6615" spans="1:7" x14ac:dyDescent="0.2">
      <c r="A6615" s="2" t="s">
        <v>8112</v>
      </c>
      <c r="B6615" s="2" t="s">
        <v>407</v>
      </c>
      <c r="C6615" s="2" t="s">
        <v>408</v>
      </c>
      <c r="D6615" s="2" t="s">
        <v>10</v>
      </c>
      <c r="E6615" s="2" t="s">
        <v>16</v>
      </c>
      <c r="F6615" s="2">
        <v>1</v>
      </c>
      <c r="G6615" s="2" t="s">
        <v>17</v>
      </c>
    </row>
    <row r="6616" spans="1:7" x14ac:dyDescent="0.2">
      <c r="A6616" s="2" t="s">
        <v>8114</v>
      </c>
      <c r="B6616" s="2" t="s">
        <v>8115</v>
      </c>
      <c r="C6616" s="2" t="s">
        <v>8116</v>
      </c>
      <c r="D6616" s="2" t="s">
        <v>10</v>
      </c>
      <c r="E6616" s="2" t="s">
        <v>16</v>
      </c>
      <c r="F6616" s="2">
        <v>1</v>
      </c>
      <c r="G6616" s="2" t="s">
        <v>17</v>
      </c>
    </row>
    <row r="6617" spans="1:7" x14ac:dyDescent="0.2">
      <c r="A6617" s="2" t="s">
        <v>8114</v>
      </c>
      <c r="B6617" s="2" t="s">
        <v>8117</v>
      </c>
      <c r="C6617" s="2" t="s">
        <v>6587</v>
      </c>
      <c r="D6617" s="2" t="s">
        <v>10</v>
      </c>
      <c r="E6617" s="2" t="s">
        <v>16</v>
      </c>
      <c r="F6617" s="2">
        <v>1</v>
      </c>
      <c r="G6617" s="2" t="s">
        <v>17</v>
      </c>
    </row>
    <row r="6618" spans="1:7" x14ac:dyDescent="0.2">
      <c r="A6618" s="2" t="s">
        <v>8114</v>
      </c>
      <c r="B6618" s="2" t="s">
        <v>8118</v>
      </c>
      <c r="C6618" s="2" t="s">
        <v>7516</v>
      </c>
      <c r="D6618" s="2" t="s">
        <v>10</v>
      </c>
      <c r="E6618" s="2" t="s">
        <v>11</v>
      </c>
      <c r="F6618" s="2">
        <v>2</v>
      </c>
      <c r="G6618" s="2" t="s">
        <v>17</v>
      </c>
    </row>
    <row r="6619" spans="1:7" x14ac:dyDescent="0.2">
      <c r="A6619" s="2" t="s">
        <v>8114</v>
      </c>
      <c r="B6619" s="2" t="s">
        <v>8119</v>
      </c>
      <c r="C6619" s="2" t="s">
        <v>8116</v>
      </c>
      <c r="D6619" s="2" t="s">
        <v>10</v>
      </c>
      <c r="E6619" s="2" t="s">
        <v>16</v>
      </c>
      <c r="F6619" s="2">
        <v>1</v>
      </c>
      <c r="G6619" s="2" t="s">
        <v>17</v>
      </c>
    </row>
    <row r="6620" spans="1:7" x14ac:dyDescent="0.2">
      <c r="A6620" s="2" t="s">
        <v>8120</v>
      </c>
      <c r="B6620" s="2" t="s">
        <v>3392</v>
      </c>
      <c r="C6620" s="2" t="s">
        <v>3393</v>
      </c>
      <c r="D6620" s="2" t="s">
        <v>10</v>
      </c>
      <c r="E6620" s="2" t="s">
        <v>16</v>
      </c>
      <c r="F6620" s="2">
        <v>1</v>
      </c>
      <c r="G6620" s="2" t="s">
        <v>17</v>
      </c>
    </row>
    <row r="6621" spans="1:7" x14ac:dyDescent="0.2">
      <c r="A6621" s="2" t="s">
        <v>8120</v>
      </c>
      <c r="B6621" s="2" t="s">
        <v>2976</v>
      </c>
      <c r="C6621" s="2" t="s">
        <v>2977</v>
      </c>
      <c r="D6621" s="2" t="s">
        <v>56</v>
      </c>
      <c r="E6621" s="2" t="s">
        <v>52</v>
      </c>
      <c r="F6621" s="2">
        <v>2</v>
      </c>
      <c r="G6621" s="2" t="s">
        <v>17</v>
      </c>
    </row>
    <row r="6622" spans="1:7" x14ac:dyDescent="0.2">
      <c r="A6622" s="2" t="s">
        <v>8120</v>
      </c>
      <c r="B6622" s="2" t="s">
        <v>2979</v>
      </c>
      <c r="C6622" s="2" t="s">
        <v>2980</v>
      </c>
      <c r="D6622" s="2" t="s">
        <v>10</v>
      </c>
      <c r="E6622" s="2" t="s">
        <v>16</v>
      </c>
      <c r="F6622" s="2">
        <v>1</v>
      </c>
      <c r="G6622" s="2" t="s">
        <v>17</v>
      </c>
    </row>
    <row r="6623" spans="1:7" x14ac:dyDescent="0.2">
      <c r="A6623" s="2" t="s">
        <v>8120</v>
      </c>
      <c r="B6623" s="2" t="s">
        <v>43</v>
      </c>
      <c r="C6623" s="2" t="s">
        <v>3393</v>
      </c>
      <c r="D6623" s="2" t="s">
        <v>10</v>
      </c>
      <c r="E6623" s="2" t="s">
        <v>16</v>
      </c>
      <c r="F6623" s="2">
        <v>1</v>
      </c>
      <c r="G6623" s="2" t="s">
        <v>17</v>
      </c>
    </row>
    <row r="6624" spans="1:7" x14ac:dyDescent="0.2">
      <c r="A6624" s="2" t="s">
        <v>8120</v>
      </c>
      <c r="B6624" s="2" t="s">
        <v>2984</v>
      </c>
      <c r="C6624" s="2" t="s">
        <v>2980</v>
      </c>
      <c r="D6624" s="2" t="s">
        <v>10</v>
      </c>
      <c r="E6624" s="2" t="s">
        <v>16</v>
      </c>
      <c r="F6624" s="2">
        <v>1</v>
      </c>
      <c r="G6624" s="2" t="s">
        <v>17</v>
      </c>
    </row>
    <row r="6625" spans="1:7" x14ac:dyDescent="0.2">
      <c r="A6625" s="2" t="s">
        <v>8121</v>
      </c>
      <c r="B6625" s="2" t="s">
        <v>8122</v>
      </c>
      <c r="C6625" s="2" t="s">
        <v>8123</v>
      </c>
      <c r="D6625" s="2" t="s">
        <v>10</v>
      </c>
      <c r="E6625" s="2" t="s">
        <v>16</v>
      </c>
      <c r="F6625" s="2">
        <v>1</v>
      </c>
      <c r="G6625" s="2" t="s">
        <v>17</v>
      </c>
    </row>
    <row r="6626" spans="1:7" x14ac:dyDescent="0.2">
      <c r="A6626" s="2" t="s">
        <v>8121</v>
      </c>
      <c r="B6626" s="2" t="s">
        <v>8124</v>
      </c>
      <c r="C6626" s="2" t="s">
        <v>8125</v>
      </c>
      <c r="D6626" s="2" t="s">
        <v>10</v>
      </c>
      <c r="E6626" s="2" t="s">
        <v>16</v>
      </c>
      <c r="F6626" s="2">
        <v>1</v>
      </c>
      <c r="G6626" s="2" t="s">
        <v>17</v>
      </c>
    </row>
    <row r="6627" spans="1:7" x14ac:dyDescent="0.2">
      <c r="A6627" s="2" t="s">
        <v>8121</v>
      </c>
      <c r="B6627" s="2" t="s">
        <v>8126</v>
      </c>
      <c r="C6627" s="2" t="s">
        <v>8127</v>
      </c>
      <c r="D6627" s="2" t="s">
        <v>10</v>
      </c>
      <c r="E6627" s="2" t="s">
        <v>16</v>
      </c>
      <c r="F6627" s="2">
        <v>1</v>
      </c>
      <c r="G6627" s="2" t="s">
        <v>17</v>
      </c>
    </row>
    <row r="6628" spans="1:7" x14ac:dyDescent="0.2">
      <c r="A6628" s="2" t="s">
        <v>8128</v>
      </c>
      <c r="B6628" s="2" t="s">
        <v>8129</v>
      </c>
      <c r="C6628" s="2" t="s">
        <v>8130</v>
      </c>
      <c r="D6628" s="2" t="s">
        <v>10</v>
      </c>
      <c r="E6628" s="2" t="s">
        <v>16</v>
      </c>
      <c r="F6628" s="2">
        <v>1</v>
      </c>
      <c r="G6628" s="2" t="s">
        <v>17</v>
      </c>
    </row>
    <row r="6629" spans="1:7" x14ac:dyDescent="0.2">
      <c r="A6629" s="2" t="s">
        <v>8131</v>
      </c>
      <c r="B6629" s="2">
        <v>200</v>
      </c>
      <c r="C6629" s="2" t="s">
        <v>252</v>
      </c>
      <c r="D6629" s="2" t="s">
        <v>10</v>
      </c>
      <c r="E6629" s="2" t="s">
        <v>16</v>
      </c>
      <c r="F6629" s="2">
        <v>1</v>
      </c>
      <c r="G6629" s="2" t="s">
        <v>17</v>
      </c>
    </row>
    <row r="6630" spans="1:7" x14ac:dyDescent="0.2">
      <c r="A6630" s="2" t="s">
        <v>8131</v>
      </c>
      <c r="B6630" s="2" t="s">
        <v>8132</v>
      </c>
      <c r="C6630" s="2" t="s">
        <v>8133</v>
      </c>
      <c r="D6630" s="2" t="s">
        <v>10</v>
      </c>
      <c r="E6630" s="2" t="s">
        <v>16</v>
      </c>
      <c r="F6630" s="2">
        <v>1</v>
      </c>
      <c r="G6630" s="2" t="s">
        <v>17</v>
      </c>
    </row>
    <row r="6631" spans="1:7" x14ac:dyDescent="0.2">
      <c r="A6631" s="2" t="s">
        <v>8134</v>
      </c>
      <c r="B6631" s="2" t="s">
        <v>8135</v>
      </c>
      <c r="C6631" s="2" t="s">
        <v>7476</v>
      </c>
      <c r="D6631" s="2" t="s">
        <v>10</v>
      </c>
      <c r="E6631" s="2" t="s">
        <v>16</v>
      </c>
      <c r="F6631" s="2">
        <v>1</v>
      </c>
      <c r="G6631" s="2" t="s">
        <v>17</v>
      </c>
    </row>
    <row r="6632" spans="1:7" x14ac:dyDescent="0.2">
      <c r="A6632" s="2" t="s">
        <v>8134</v>
      </c>
      <c r="B6632" s="2" t="s">
        <v>7475</v>
      </c>
      <c r="C6632" s="2" t="s">
        <v>7476</v>
      </c>
      <c r="D6632" s="2" t="s">
        <v>10</v>
      </c>
      <c r="E6632" s="2" t="s">
        <v>16</v>
      </c>
      <c r="F6632" s="2">
        <v>1</v>
      </c>
      <c r="G6632" s="2" t="s">
        <v>17</v>
      </c>
    </row>
    <row r="6633" spans="1:7" x14ac:dyDescent="0.2">
      <c r="A6633" s="2" t="s">
        <v>8136</v>
      </c>
      <c r="B6633" s="2" t="s">
        <v>8137</v>
      </c>
      <c r="C6633" s="2" t="s">
        <v>8138</v>
      </c>
      <c r="D6633" s="2" t="s">
        <v>29</v>
      </c>
      <c r="E6633" s="2" t="s">
        <v>16</v>
      </c>
      <c r="F6633" s="2">
        <v>1</v>
      </c>
      <c r="G6633" s="2" t="s">
        <v>17</v>
      </c>
    </row>
    <row r="6634" spans="1:7" x14ac:dyDescent="0.2">
      <c r="A6634" s="2" t="s">
        <v>8139</v>
      </c>
      <c r="B6634" s="2" t="s">
        <v>8140</v>
      </c>
      <c r="C6634" s="2" t="s">
        <v>306</v>
      </c>
      <c r="D6634" s="2" t="s">
        <v>10</v>
      </c>
      <c r="E6634" s="2" t="s">
        <v>16</v>
      </c>
      <c r="F6634" s="2">
        <v>1</v>
      </c>
      <c r="G6634" s="2" t="s">
        <v>17</v>
      </c>
    </row>
    <row r="6635" spans="1:7" x14ac:dyDescent="0.2">
      <c r="A6635" s="2" t="s">
        <v>8139</v>
      </c>
      <c r="B6635" s="2" t="s">
        <v>8141</v>
      </c>
      <c r="C6635" s="2" t="s">
        <v>306</v>
      </c>
      <c r="D6635" s="2" t="s">
        <v>10</v>
      </c>
      <c r="E6635" s="2" t="s">
        <v>16</v>
      </c>
      <c r="F6635" s="2">
        <v>1</v>
      </c>
      <c r="G6635" s="2" t="s">
        <v>17</v>
      </c>
    </row>
    <row r="6636" spans="1:7" x14ac:dyDescent="0.2">
      <c r="A6636" s="2" t="s">
        <v>8142</v>
      </c>
      <c r="B6636" s="2" t="s">
        <v>8143</v>
      </c>
      <c r="C6636" s="2" t="s">
        <v>8144</v>
      </c>
      <c r="D6636" s="2" t="s">
        <v>10</v>
      </c>
      <c r="E6636" s="2" t="s">
        <v>16</v>
      </c>
      <c r="F6636" s="2">
        <v>1</v>
      </c>
      <c r="G6636" s="2" t="s">
        <v>17</v>
      </c>
    </row>
    <row r="6637" spans="1:7" x14ac:dyDescent="0.2">
      <c r="A6637" s="2" t="s">
        <v>8145</v>
      </c>
      <c r="B6637" s="2" t="s">
        <v>8146</v>
      </c>
      <c r="C6637" s="2" t="s">
        <v>5461</v>
      </c>
      <c r="D6637" s="2" t="s">
        <v>10</v>
      </c>
      <c r="E6637" s="2" t="s">
        <v>16</v>
      </c>
      <c r="F6637" s="2">
        <v>1</v>
      </c>
      <c r="G6637" s="2" t="s">
        <v>17</v>
      </c>
    </row>
    <row r="6638" spans="1:7" x14ac:dyDescent="0.2">
      <c r="A6638" s="2" t="s">
        <v>8147</v>
      </c>
      <c r="B6638" s="2" t="s">
        <v>8148</v>
      </c>
      <c r="C6638" s="2" t="s">
        <v>7904</v>
      </c>
      <c r="D6638" s="2" t="s">
        <v>10</v>
      </c>
      <c r="E6638" s="2" t="s">
        <v>11</v>
      </c>
      <c r="F6638" s="2">
        <v>2</v>
      </c>
      <c r="G6638" s="2" t="s">
        <v>12</v>
      </c>
    </row>
    <row r="6639" spans="1:7" x14ac:dyDescent="0.2">
      <c r="A6639" s="2" t="s">
        <v>8147</v>
      </c>
      <c r="B6639" s="2" t="s">
        <v>6541</v>
      </c>
      <c r="C6639" s="2" t="s">
        <v>6542</v>
      </c>
      <c r="D6639" s="2" t="s">
        <v>10</v>
      </c>
      <c r="E6639" s="2" t="s">
        <v>11</v>
      </c>
      <c r="F6639" s="2">
        <v>1</v>
      </c>
      <c r="G6639" s="2" t="s">
        <v>12</v>
      </c>
    </row>
    <row r="6640" spans="1:7" x14ac:dyDescent="0.2">
      <c r="A6640" s="2" t="s">
        <v>8147</v>
      </c>
      <c r="B6640" s="2" t="s">
        <v>8149</v>
      </c>
      <c r="C6640" s="2" t="s">
        <v>8150</v>
      </c>
      <c r="D6640" s="2" t="s">
        <v>10</v>
      </c>
      <c r="E6640" s="2" t="s">
        <v>11</v>
      </c>
      <c r="F6640" s="2">
        <v>2</v>
      </c>
      <c r="G6640" s="2" t="s">
        <v>12</v>
      </c>
    </row>
    <row r="6641" spans="1:7" x14ac:dyDescent="0.2">
      <c r="A6641" s="2" t="s">
        <v>8147</v>
      </c>
      <c r="B6641" s="2" t="s">
        <v>8151</v>
      </c>
      <c r="C6641" s="2" t="s">
        <v>209</v>
      </c>
      <c r="D6641" s="2" t="s">
        <v>10</v>
      </c>
      <c r="E6641" s="2" t="s">
        <v>11</v>
      </c>
      <c r="F6641" s="2">
        <v>1</v>
      </c>
      <c r="G6641" s="2" t="s">
        <v>17</v>
      </c>
    </row>
    <row r="6642" spans="1:7" x14ac:dyDescent="0.2">
      <c r="A6642" s="2" t="s">
        <v>8147</v>
      </c>
      <c r="B6642" s="2" t="s">
        <v>8152</v>
      </c>
      <c r="C6642" s="2" t="s">
        <v>3914</v>
      </c>
      <c r="D6642" s="2" t="s">
        <v>10</v>
      </c>
      <c r="E6642" s="2" t="s">
        <v>11</v>
      </c>
      <c r="F6642" s="2">
        <v>1</v>
      </c>
      <c r="G6642" s="2" t="s">
        <v>17</v>
      </c>
    </row>
    <row r="6643" spans="1:7" x14ac:dyDescent="0.2">
      <c r="A6643" s="2" t="s">
        <v>8147</v>
      </c>
      <c r="B6643" s="2" t="s">
        <v>8153</v>
      </c>
      <c r="C6643" s="2" t="s">
        <v>6194</v>
      </c>
      <c r="D6643" s="2" t="s">
        <v>10</v>
      </c>
      <c r="E6643" s="2" t="s">
        <v>11</v>
      </c>
      <c r="F6643" s="2">
        <v>2</v>
      </c>
      <c r="G6643" s="2" t="s">
        <v>12</v>
      </c>
    </row>
    <row r="6644" spans="1:7" x14ac:dyDescent="0.2">
      <c r="A6644" s="2" t="s">
        <v>8147</v>
      </c>
      <c r="B6644" s="2" t="s">
        <v>6565</v>
      </c>
      <c r="C6644" s="2" t="s">
        <v>703</v>
      </c>
      <c r="D6644" s="2" t="s">
        <v>10</v>
      </c>
      <c r="E6644" s="2" t="s">
        <v>11</v>
      </c>
      <c r="F6644" s="2">
        <v>1</v>
      </c>
      <c r="G6644" s="2" t="s">
        <v>12</v>
      </c>
    </row>
    <row r="6645" spans="1:7" x14ac:dyDescent="0.2">
      <c r="A6645" s="2" t="s">
        <v>8147</v>
      </c>
      <c r="B6645" s="2" t="s">
        <v>8154</v>
      </c>
      <c r="C6645" s="2" t="s">
        <v>6542</v>
      </c>
      <c r="D6645" s="2" t="s">
        <v>10</v>
      </c>
      <c r="E6645" s="2" t="s">
        <v>11</v>
      </c>
      <c r="F6645" s="2">
        <v>1</v>
      </c>
      <c r="G6645" s="2" t="s">
        <v>12</v>
      </c>
    </row>
    <row r="6646" spans="1:7" x14ac:dyDescent="0.2">
      <c r="A6646" s="2" t="s">
        <v>8147</v>
      </c>
      <c r="B6646" s="2" t="s">
        <v>8155</v>
      </c>
      <c r="C6646" s="2" t="s">
        <v>8156</v>
      </c>
      <c r="D6646" s="2" t="s">
        <v>10</v>
      </c>
      <c r="E6646" s="2" t="s">
        <v>11</v>
      </c>
      <c r="F6646" s="2">
        <v>2</v>
      </c>
      <c r="G6646" s="2" t="s">
        <v>12</v>
      </c>
    </row>
    <row r="6647" spans="1:7" x14ac:dyDescent="0.2">
      <c r="A6647" s="2" t="s">
        <v>8147</v>
      </c>
      <c r="B6647" s="2" t="s">
        <v>8157</v>
      </c>
      <c r="C6647" s="2" t="s">
        <v>6542</v>
      </c>
      <c r="D6647" s="2" t="s">
        <v>10</v>
      </c>
      <c r="E6647" s="2" t="s">
        <v>11</v>
      </c>
      <c r="F6647" s="2">
        <v>1</v>
      </c>
      <c r="G6647" s="2" t="s">
        <v>12</v>
      </c>
    </row>
    <row r="6648" spans="1:7" x14ac:dyDescent="0.2">
      <c r="A6648" s="2" t="s">
        <v>8147</v>
      </c>
      <c r="B6648" s="2" t="s">
        <v>6566</v>
      </c>
      <c r="C6648" s="2" t="s">
        <v>6542</v>
      </c>
      <c r="D6648" s="2" t="s">
        <v>10</v>
      </c>
      <c r="E6648" s="2" t="s">
        <v>11</v>
      </c>
      <c r="F6648" s="2">
        <v>1</v>
      </c>
      <c r="G6648" s="2" t="s">
        <v>12</v>
      </c>
    </row>
    <row r="6649" spans="1:7" x14ac:dyDescent="0.2">
      <c r="A6649" s="2" t="s">
        <v>8147</v>
      </c>
      <c r="B6649" s="2" t="s">
        <v>7903</v>
      </c>
      <c r="C6649" s="2" t="s">
        <v>7904</v>
      </c>
      <c r="D6649" s="2" t="s">
        <v>10</v>
      </c>
      <c r="E6649" s="2" t="s">
        <v>11</v>
      </c>
      <c r="F6649" s="2">
        <v>2</v>
      </c>
      <c r="G6649" s="2" t="s">
        <v>12</v>
      </c>
    </row>
    <row r="6650" spans="1:7" x14ac:dyDescent="0.2">
      <c r="A6650" s="2" t="s">
        <v>8147</v>
      </c>
      <c r="B6650" s="2" t="s">
        <v>8158</v>
      </c>
      <c r="C6650" s="2" t="s">
        <v>7904</v>
      </c>
      <c r="D6650" s="2" t="s">
        <v>10</v>
      </c>
      <c r="E6650" s="2" t="s">
        <v>11</v>
      </c>
      <c r="F6650" s="2">
        <v>2</v>
      </c>
      <c r="G6650" s="2" t="s">
        <v>12</v>
      </c>
    </row>
    <row r="6651" spans="1:7" x14ac:dyDescent="0.2">
      <c r="A6651" s="2" t="s">
        <v>8147</v>
      </c>
      <c r="B6651" s="2" t="s">
        <v>7905</v>
      </c>
      <c r="C6651" s="2" t="s">
        <v>7906</v>
      </c>
      <c r="D6651" s="2" t="s">
        <v>10</v>
      </c>
      <c r="E6651" s="2" t="s">
        <v>11</v>
      </c>
      <c r="F6651" s="2">
        <v>2</v>
      </c>
      <c r="G6651" s="2" t="s">
        <v>12</v>
      </c>
    </row>
    <row r="6652" spans="1:7" x14ac:dyDescent="0.2">
      <c r="A6652" s="2" t="s">
        <v>8147</v>
      </c>
      <c r="B6652" s="2" t="s">
        <v>7907</v>
      </c>
      <c r="C6652" s="2" t="s">
        <v>7904</v>
      </c>
      <c r="D6652" s="2" t="s">
        <v>10</v>
      </c>
      <c r="E6652" s="2" t="s">
        <v>11</v>
      </c>
      <c r="F6652" s="2">
        <v>2</v>
      </c>
      <c r="G6652" s="2" t="s">
        <v>12</v>
      </c>
    </row>
    <row r="6653" spans="1:7" x14ac:dyDescent="0.2">
      <c r="A6653" s="2" t="s">
        <v>8147</v>
      </c>
      <c r="B6653" s="2" t="s">
        <v>7908</v>
      </c>
      <c r="C6653" s="2" t="s">
        <v>7909</v>
      </c>
      <c r="D6653" s="2" t="s">
        <v>10</v>
      </c>
      <c r="E6653" s="2" t="s">
        <v>11</v>
      </c>
      <c r="F6653" s="2">
        <v>1</v>
      </c>
      <c r="G6653" s="2" t="s">
        <v>17</v>
      </c>
    </row>
    <row r="6654" spans="1:7" x14ac:dyDescent="0.2">
      <c r="A6654" s="2" t="s">
        <v>8147</v>
      </c>
      <c r="B6654" s="2" t="s">
        <v>8159</v>
      </c>
      <c r="C6654" s="2" t="s">
        <v>7904</v>
      </c>
      <c r="D6654" s="2" t="s">
        <v>10</v>
      </c>
      <c r="E6654" s="2" t="s">
        <v>11</v>
      </c>
      <c r="F6654" s="2">
        <v>2</v>
      </c>
      <c r="G6654" s="2" t="s">
        <v>12</v>
      </c>
    </row>
    <row r="6655" spans="1:7" x14ac:dyDescent="0.2">
      <c r="A6655" s="2" t="s">
        <v>8160</v>
      </c>
      <c r="B6655" s="2" t="s">
        <v>8161</v>
      </c>
      <c r="C6655" s="2" t="s">
        <v>8162</v>
      </c>
      <c r="D6655" s="2" t="s">
        <v>56</v>
      </c>
      <c r="E6655" s="2" t="s">
        <v>52</v>
      </c>
      <c r="F6655" s="2">
        <v>2</v>
      </c>
      <c r="G6655" s="2" t="s">
        <v>12</v>
      </c>
    </row>
    <row r="6656" spans="1:7" x14ac:dyDescent="0.2">
      <c r="A6656" s="2" t="s">
        <v>8160</v>
      </c>
      <c r="B6656" s="2" t="s">
        <v>3352</v>
      </c>
      <c r="C6656" s="2" t="s">
        <v>8162</v>
      </c>
      <c r="D6656" s="2" t="s">
        <v>56</v>
      </c>
      <c r="E6656" s="2" t="s">
        <v>52</v>
      </c>
      <c r="F6656" s="2">
        <v>2</v>
      </c>
      <c r="G6656" s="2" t="s">
        <v>12</v>
      </c>
    </row>
    <row r="6657" spans="1:7" x14ac:dyDescent="0.2">
      <c r="A6657" s="2" t="s">
        <v>8160</v>
      </c>
      <c r="B6657" s="2" t="s">
        <v>8163</v>
      </c>
      <c r="C6657" s="2" t="s">
        <v>8162</v>
      </c>
      <c r="D6657" s="2" t="s">
        <v>56</v>
      </c>
      <c r="E6657" s="2" t="s">
        <v>52</v>
      </c>
      <c r="F6657" s="2">
        <v>2</v>
      </c>
      <c r="G6657" s="2" t="s">
        <v>12</v>
      </c>
    </row>
    <row r="6658" spans="1:7" x14ac:dyDescent="0.2">
      <c r="A6658" s="2" t="s">
        <v>8160</v>
      </c>
      <c r="B6658" s="2" t="s">
        <v>8164</v>
      </c>
      <c r="C6658" s="2" t="s">
        <v>8162</v>
      </c>
      <c r="D6658" s="2" t="s">
        <v>56</v>
      </c>
      <c r="E6658" s="2" t="s">
        <v>52</v>
      </c>
      <c r="F6658" s="2">
        <v>2</v>
      </c>
      <c r="G6658" s="2" t="s">
        <v>12</v>
      </c>
    </row>
    <row r="6659" spans="1:7" x14ac:dyDescent="0.2">
      <c r="A6659" s="2" t="s">
        <v>8160</v>
      </c>
      <c r="B6659" s="2" t="s">
        <v>8165</v>
      </c>
      <c r="C6659" s="2" t="s">
        <v>8166</v>
      </c>
      <c r="D6659" s="2" t="s">
        <v>56</v>
      </c>
      <c r="E6659" s="2" t="s">
        <v>52</v>
      </c>
      <c r="F6659" s="2">
        <v>2</v>
      </c>
      <c r="G6659" s="2" t="s">
        <v>17</v>
      </c>
    </row>
    <row r="6660" spans="1:7" x14ac:dyDescent="0.2">
      <c r="A6660" s="2" t="s">
        <v>8160</v>
      </c>
      <c r="B6660" s="2" t="s">
        <v>8167</v>
      </c>
      <c r="C6660" s="2" t="s">
        <v>6337</v>
      </c>
      <c r="D6660" s="2" t="s">
        <v>56</v>
      </c>
      <c r="E6660" s="2" t="s">
        <v>16</v>
      </c>
      <c r="F6660" s="2">
        <v>1</v>
      </c>
      <c r="G6660" s="2" t="s">
        <v>17</v>
      </c>
    </row>
    <row r="6661" spans="1:7" x14ac:dyDescent="0.2">
      <c r="A6661" s="2" t="s">
        <v>8160</v>
      </c>
      <c r="B6661" s="2" t="s">
        <v>8168</v>
      </c>
      <c r="C6661" s="2" t="s">
        <v>8169</v>
      </c>
      <c r="D6661" s="2" t="s">
        <v>56</v>
      </c>
      <c r="E6661" s="2" t="s">
        <v>52</v>
      </c>
      <c r="F6661" s="2">
        <v>2</v>
      </c>
      <c r="G6661" s="2" t="s">
        <v>12</v>
      </c>
    </row>
    <row r="6662" spans="1:7" x14ac:dyDescent="0.2">
      <c r="A6662" s="2" t="s">
        <v>8160</v>
      </c>
      <c r="B6662" s="2" t="s">
        <v>8170</v>
      </c>
      <c r="C6662" s="2" t="s">
        <v>8171</v>
      </c>
      <c r="D6662" s="2" t="s">
        <v>56</v>
      </c>
      <c r="E6662" s="2" t="s">
        <v>52</v>
      </c>
      <c r="F6662" s="2">
        <v>2</v>
      </c>
      <c r="G6662" s="2" t="s">
        <v>12</v>
      </c>
    </row>
    <row r="6663" spans="1:7" x14ac:dyDescent="0.2">
      <c r="A6663" s="2" t="s">
        <v>8160</v>
      </c>
      <c r="B6663" s="2" t="s">
        <v>8172</v>
      </c>
      <c r="C6663" s="2" t="s">
        <v>8171</v>
      </c>
      <c r="D6663" s="2" t="s">
        <v>56</v>
      </c>
      <c r="E6663" s="2" t="s">
        <v>52</v>
      </c>
      <c r="F6663" s="2">
        <v>2</v>
      </c>
      <c r="G6663" s="2" t="s">
        <v>12</v>
      </c>
    </row>
    <row r="6664" spans="1:7" x14ac:dyDescent="0.2">
      <c r="A6664" s="2" t="s">
        <v>8160</v>
      </c>
      <c r="B6664" s="2" t="s">
        <v>8173</v>
      </c>
      <c r="C6664" s="2" t="s">
        <v>8174</v>
      </c>
      <c r="D6664" s="2" t="s">
        <v>56</v>
      </c>
      <c r="E6664" s="2" t="s">
        <v>52</v>
      </c>
      <c r="F6664" s="2">
        <v>2</v>
      </c>
      <c r="G6664" s="2" t="s">
        <v>12</v>
      </c>
    </row>
    <row r="6665" spans="1:7" x14ac:dyDescent="0.2">
      <c r="A6665" s="2" t="s">
        <v>8160</v>
      </c>
      <c r="B6665" s="2" t="s">
        <v>8175</v>
      </c>
      <c r="C6665" s="2" t="s">
        <v>8176</v>
      </c>
      <c r="D6665" s="2" t="s">
        <v>56</v>
      </c>
      <c r="E6665" s="2" t="s">
        <v>52</v>
      </c>
      <c r="F6665" s="2">
        <v>2</v>
      </c>
      <c r="G6665" s="2" t="s">
        <v>12</v>
      </c>
    </row>
    <row r="6666" spans="1:7" x14ac:dyDescent="0.2">
      <c r="A6666" s="2" t="s">
        <v>8160</v>
      </c>
      <c r="B6666" s="2" t="s">
        <v>8177</v>
      </c>
      <c r="C6666" s="2" t="s">
        <v>8171</v>
      </c>
      <c r="D6666" s="2" t="s">
        <v>56</v>
      </c>
      <c r="E6666" s="2" t="s">
        <v>52</v>
      </c>
      <c r="F6666" s="2">
        <v>2</v>
      </c>
      <c r="G6666" s="2" t="s">
        <v>12</v>
      </c>
    </row>
    <row r="6667" spans="1:7" x14ac:dyDescent="0.2">
      <c r="A6667" s="2" t="s">
        <v>8160</v>
      </c>
      <c r="B6667" s="2" t="s">
        <v>8178</v>
      </c>
      <c r="C6667" s="2" t="s">
        <v>8171</v>
      </c>
      <c r="D6667" s="2" t="s">
        <v>56</v>
      </c>
      <c r="E6667" s="2" t="s">
        <v>52</v>
      </c>
      <c r="F6667" s="2">
        <v>2</v>
      </c>
      <c r="G6667" s="2" t="s">
        <v>12</v>
      </c>
    </row>
    <row r="6668" spans="1:7" x14ac:dyDescent="0.2">
      <c r="A6668" s="2" t="s">
        <v>8160</v>
      </c>
      <c r="B6668" s="2" t="s">
        <v>8179</v>
      </c>
      <c r="C6668" s="2" t="s">
        <v>8169</v>
      </c>
      <c r="D6668" s="2" t="s">
        <v>56</v>
      </c>
      <c r="E6668" s="2" t="s">
        <v>52</v>
      </c>
      <c r="F6668" s="2">
        <v>2</v>
      </c>
      <c r="G6668" s="2" t="s">
        <v>12</v>
      </c>
    </row>
    <row r="6669" spans="1:7" x14ac:dyDescent="0.2">
      <c r="A6669" s="2" t="s">
        <v>8160</v>
      </c>
      <c r="B6669" s="2" t="s">
        <v>8180</v>
      </c>
      <c r="C6669" s="2" t="s">
        <v>8162</v>
      </c>
      <c r="D6669" s="2" t="s">
        <v>56</v>
      </c>
      <c r="E6669" s="2" t="s">
        <v>52</v>
      </c>
      <c r="F6669" s="2">
        <v>2</v>
      </c>
      <c r="G6669" s="2" t="s">
        <v>12</v>
      </c>
    </row>
    <row r="6670" spans="1:7" x14ac:dyDescent="0.2">
      <c r="A6670" s="2" t="s">
        <v>8160</v>
      </c>
      <c r="B6670" s="2" t="s">
        <v>8181</v>
      </c>
      <c r="C6670" s="2" t="s">
        <v>8162</v>
      </c>
      <c r="D6670" s="2" t="s">
        <v>56</v>
      </c>
      <c r="E6670" s="2" t="s">
        <v>52</v>
      </c>
      <c r="F6670" s="2">
        <v>2</v>
      </c>
      <c r="G6670" s="2" t="s">
        <v>12</v>
      </c>
    </row>
    <row r="6671" spans="1:7" x14ac:dyDescent="0.2">
      <c r="A6671" s="2" t="s">
        <v>8160</v>
      </c>
      <c r="B6671" s="2" t="s">
        <v>8182</v>
      </c>
      <c r="C6671" s="2" t="s">
        <v>8183</v>
      </c>
      <c r="D6671" s="2" t="s">
        <v>56</v>
      </c>
      <c r="E6671" s="2" t="s">
        <v>52</v>
      </c>
      <c r="F6671" s="2">
        <v>2</v>
      </c>
      <c r="G6671" s="2" t="s">
        <v>12</v>
      </c>
    </row>
    <row r="6672" spans="1:7" x14ac:dyDescent="0.2">
      <c r="A6672" s="2" t="s">
        <v>8160</v>
      </c>
      <c r="B6672" s="2" t="s">
        <v>8184</v>
      </c>
      <c r="C6672" s="2" t="s">
        <v>8185</v>
      </c>
      <c r="D6672" s="2" t="s">
        <v>56</v>
      </c>
      <c r="E6672" s="2" t="s">
        <v>52</v>
      </c>
      <c r="F6672" s="2">
        <v>2</v>
      </c>
      <c r="G6672" s="2" t="s">
        <v>12</v>
      </c>
    </row>
    <row r="6673" spans="1:7" x14ac:dyDescent="0.2">
      <c r="A6673" s="2" t="s">
        <v>8160</v>
      </c>
      <c r="B6673" s="2" t="s">
        <v>8186</v>
      </c>
      <c r="C6673" s="2" t="s">
        <v>8187</v>
      </c>
      <c r="D6673" s="2" t="s">
        <v>56</v>
      </c>
      <c r="E6673" s="2" t="s">
        <v>16</v>
      </c>
      <c r="F6673" s="2">
        <v>1</v>
      </c>
      <c r="G6673" s="2" t="s">
        <v>17</v>
      </c>
    </row>
    <row r="6674" spans="1:7" x14ac:dyDescent="0.2">
      <c r="A6674" s="2" t="s">
        <v>8160</v>
      </c>
      <c r="B6674" s="2" t="s">
        <v>8188</v>
      </c>
      <c r="C6674" s="2" t="s">
        <v>8162</v>
      </c>
      <c r="D6674" s="2" t="s">
        <v>56</v>
      </c>
      <c r="E6674" s="2" t="s">
        <v>52</v>
      </c>
      <c r="F6674" s="2">
        <v>2</v>
      </c>
      <c r="G6674" s="2" t="s">
        <v>12</v>
      </c>
    </row>
    <row r="6675" spans="1:7" x14ac:dyDescent="0.2">
      <c r="A6675" s="2" t="s">
        <v>8160</v>
      </c>
      <c r="B6675" s="2" t="s">
        <v>8189</v>
      </c>
      <c r="C6675" s="2" t="s">
        <v>8190</v>
      </c>
      <c r="D6675" s="2" t="s">
        <v>56</v>
      </c>
      <c r="E6675" s="2" t="s">
        <v>52</v>
      </c>
      <c r="F6675" s="2">
        <v>2</v>
      </c>
      <c r="G6675" s="2" t="s">
        <v>12</v>
      </c>
    </row>
    <row r="6676" spans="1:7" x14ac:dyDescent="0.2">
      <c r="A6676" s="2" t="s">
        <v>8160</v>
      </c>
      <c r="B6676" s="2" t="s">
        <v>8191</v>
      </c>
      <c r="C6676" s="2" t="s">
        <v>8171</v>
      </c>
      <c r="D6676" s="2" t="s">
        <v>56</v>
      </c>
      <c r="E6676" s="2" t="s">
        <v>52</v>
      </c>
      <c r="F6676" s="2">
        <v>2</v>
      </c>
      <c r="G6676" s="2" t="s">
        <v>12</v>
      </c>
    </row>
    <row r="6677" spans="1:7" x14ac:dyDescent="0.2">
      <c r="A6677" s="2" t="s">
        <v>8160</v>
      </c>
      <c r="B6677" s="2" t="s">
        <v>8192</v>
      </c>
      <c r="C6677" s="2" t="s">
        <v>8171</v>
      </c>
      <c r="D6677" s="2" t="s">
        <v>56</v>
      </c>
      <c r="E6677" s="2" t="s">
        <v>52</v>
      </c>
      <c r="F6677" s="2">
        <v>2</v>
      </c>
      <c r="G6677" s="2" t="s">
        <v>12</v>
      </c>
    </row>
    <row r="6678" spans="1:7" x14ac:dyDescent="0.2">
      <c r="A6678" s="2" t="s">
        <v>8193</v>
      </c>
      <c r="B6678" s="2" t="s">
        <v>8194</v>
      </c>
      <c r="C6678" s="2" t="s">
        <v>8195</v>
      </c>
      <c r="D6678" s="2" t="s">
        <v>10</v>
      </c>
      <c r="E6678" s="2" t="s">
        <v>16</v>
      </c>
      <c r="F6678" s="2">
        <v>1</v>
      </c>
      <c r="G6678" s="2" t="s">
        <v>17</v>
      </c>
    </row>
    <row r="6679" spans="1:7" x14ac:dyDescent="0.2">
      <c r="A6679" s="2" t="s">
        <v>8193</v>
      </c>
      <c r="B6679" s="2" t="s">
        <v>8196</v>
      </c>
      <c r="C6679" s="2" t="s">
        <v>8197</v>
      </c>
      <c r="D6679" s="2" t="s">
        <v>10</v>
      </c>
      <c r="E6679" s="2" t="s">
        <v>16</v>
      </c>
      <c r="F6679" s="2">
        <v>2</v>
      </c>
      <c r="G6679" s="2" t="s">
        <v>17</v>
      </c>
    </row>
    <row r="6680" spans="1:7" x14ac:dyDescent="0.2">
      <c r="A6680" s="2" t="s">
        <v>8193</v>
      </c>
      <c r="B6680" s="2" t="s">
        <v>8198</v>
      </c>
      <c r="C6680" s="2" t="s">
        <v>8199</v>
      </c>
      <c r="D6680" s="2" t="s">
        <v>10</v>
      </c>
      <c r="E6680" s="2" t="s">
        <v>16</v>
      </c>
      <c r="F6680" s="2">
        <v>1</v>
      </c>
      <c r="G6680" s="2" t="s">
        <v>17</v>
      </c>
    </row>
    <row r="6681" spans="1:7" x14ac:dyDescent="0.2">
      <c r="A6681" s="2" t="s">
        <v>8193</v>
      </c>
      <c r="B6681" s="2" t="s">
        <v>8200</v>
      </c>
      <c r="C6681" s="2" t="s">
        <v>8199</v>
      </c>
      <c r="D6681" s="2" t="s">
        <v>10</v>
      </c>
      <c r="E6681" s="2" t="s">
        <v>16</v>
      </c>
      <c r="F6681" s="2">
        <v>1</v>
      </c>
      <c r="G6681" s="2" t="s">
        <v>17</v>
      </c>
    </row>
    <row r="6682" spans="1:7" x14ac:dyDescent="0.2">
      <c r="A6682" s="2" t="s">
        <v>8193</v>
      </c>
      <c r="B6682" s="2" t="s">
        <v>8201</v>
      </c>
      <c r="C6682" s="2" t="s">
        <v>8199</v>
      </c>
      <c r="D6682" s="2" t="s">
        <v>10</v>
      </c>
      <c r="E6682" s="2" t="s">
        <v>16</v>
      </c>
      <c r="F6682" s="2">
        <v>1</v>
      </c>
      <c r="G6682" s="2" t="s">
        <v>17</v>
      </c>
    </row>
    <row r="6683" spans="1:7" x14ac:dyDescent="0.2">
      <c r="A6683" s="2" t="s">
        <v>8193</v>
      </c>
      <c r="B6683" s="2" t="s">
        <v>8202</v>
      </c>
      <c r="C6683" s="2" t="s">
        <v>8199</v>
      </c>
      <c r="D6683" s="2" t="s">
        <v>10</v>
      </c>
      <c r="E6683" s="2" t="s">
        <v>16</v>
      </c>
      <c r="F6683" s="2">
        <v>1</v>
      </c>
      <c r="G6683" s="2" t="s">
        <v>17</v>
      </c>
    </row>
    <row r="6684" spans="1:7" x14ac:dyDescent="0.2">
      <c r="A6684" s="2" t="s">
        <v>8193</v>
      </c>
      <c r="B6684" s="2" t="s">
        <v>8203</v>
      </c>
      <c r="C6684" s="2" t="s">
        <v>8195</v>
      </c>
      <c r="D6684" s="2" t="s">
        <v>10</v>
      </c>
      <c r="E6684" s="2" t="s">
        <v>16</v>
      </c>
      <c r="F6684" s="2">
        <v>1</v>
      </c>
      <c r="G6684" s="2" t="s">
        <v>17</v>
      </c>
    </row>
    <row r="6685" spans="1:7" x14ac:dyDescent="0.2">
      <c r="A6685" s="2" t="s">
        <v>8193</v>
      </c>
      <c r="B6685" s="2" t="s">
        <v>8204</v>
      </c>
      <c r="C6685" s="2" t="s">
        <v>8205</v>
      </c>
      <c r="D6685" s="2" t="s">
        <v>10</v>
      </c>
      <c r="E6685" s="2" t="s">
        <v>16</v>
      </c>
      <c r="F6685" s="2">
        <v>1</v>
      </c>
      <c r="G6685" s="2" t="s">
        <v>17</v>
      </c>
    </row>
    <row r="6686" spans="1:7" x14ac:dyDescent="0.2">
      <c r="A6686" s="2" t="s">
        <v>8193</v>
      </c>
      <c r="B6686" s="2" t="s">
        <v>8206</v>
      </c>
      <c r="C6686" s="2" t="s">
        <v>8207</v>
      </c>
      <c r="D6686" s="2" t="s">
        <v>10</v>
      </c>
      <c r="E6686" s="2" t="s">
        <v>16</v>
      </c>
      <c r="F6686" s="2">
        <v>1</v>
      </c>
      <c r="G6686" s="2" t="s">
        <v>17</v>
      </c>
    </row>
    <row r="6687" spans="1:7" x14ac:dyDescent="0.2">
      <c r="A6687" s="2" t="s">
        <v>8193</v>
      </c>
      <c r="B6687" s="2" t="s">
        <v>8208</v>
      </c>
      <c r="C6687" s="2" t="s">
        <v>8209</v>
      </c>
      <c r="D6687" s="2" t="s">
        <v>10</v>
      </c>
      <c r="E6687" s="2" t="s">
        <v>16</v>
      </c>
      <c r="F6687" s="2">
        <v>1</v>
      </c>
      <c r="G6687" s="2" t="s">
        <v>17</v>
      </c>
    </row>
    <row r="6688" spans="1:7" x14ac:dyDescent="0.2">
      <c r="A6688" s="2" t="s">
        <v>8193</v>
      </c>
      <c r="B6688" s="2" t="s">
        <v>8210</v>
      </c>
      <c r="C6688" s="2" t="s">
        <v>8211</v>
      </c>
      <c r="D6688" s="2" t="s">
        <v>10</v>
      </c>
      <c r="E6688" s="2" t="s">
        <v>16</v>
      </c>
      <c r="F6688" s="2">
        <v>1</v>
      </c>
      <c r="G6688" s="2" t="s">
        <v>17</v>
      </c>
    </row>
    <row r="6689" spans="1:7" x14ac:dyDescent="0.2">
      <c r="A6689" s="2" t="s">
        <v>8193</v>
      </c>
      <c r="B6689" s="2" t="s">
        <v>8212</v>
      </c>
      <c r="C6689" s="2" t="s">
        <v>8197</v>
      </c>
      <c r="D6689" s="2" t="s">
        <v>10</v>
      </c>
      <c r="E6689" s="2" t="s">
        <v>16</v>
      </c>
      <c r="F6689" s="2">
        <v>2</v>
      </c>
      <c r="G6689" s="2" t="s">
        <v>17</v>
      </c>
    </row>
    <row r="6690" spans="1:7" x14ac:dyDescent="0.2">
      <c r="A6690" s="2" t="s">
        <v>8193</v>
      </c>
      <c r="B6690" s="2" t="s">
        <v>648</v>
      </c>
      <c r="C6690" s="2" t="s">
        <v>8207</v>
      </c>
      <c r="D6690" s="2" t="s">
        <v>10</v>
      </c>
      <c r="E6690" s="2" t="s">
        <v>16</v>
      </c>
      <c r="F6690" s="2">
        <v>1</v>
      </c>
      <c r="G6690" s="2" t="s">
        <v>17</v>
      </c>
    </row>
    <row r="6691" spans="1:7" x14ac:dyDescent="0.2">
      <c r="A6691" s="2" t="s">
        <v>8193</v>
      </c>
      <c r="B6691" s="2" t="s">
        <v>8213</v>
      </c>
      <c r="C6691" s="2" t="s">
        <v>8211</v>
      </c>
      <c r="D6691" s="2" t="s">
        <v>10</v>
      </c>
      <c r="E6691" s="2" t="s">
        <v>16</v>
      </c>
      <c r="F6691" s="2">
        <v>1</v>
      </c>
      <c r="G6691" s="2" t="s">
        <v>17</v>
      </c>
    </row>
    <row r="6692" spans="1:7" x14ac:dyDescent="0.2">
      <c r="A6692" s="2" t="s">
        <v>8193</v>
      </c>
      <c r="B6692" s="2" t="s">
        <v>8214</v>
      </c>
      <c r="C6692" s="2" t="s">
        <v>8209</v>
      </c>
      <c r="D6692" s="2" t="s">
        <v>10</v>
      </c>
      <c r="E6692" s="2" t="s">
        <v>16</v>
      </c>
      <c r="F6692" s="2">
        <v>1</v>
      </c>
      <c r="G6692" s="2" t="s">
        <v>17</v>
      </c>
    </row>
    <row r="6693" spans="1:7" x14ac:dyDescent="0.2">
      <c r="A6693" s="2" t="s">
        <v>8193</v>
      </c>
      <c r="B6693" s="2" t="s">
        <v>8215</v>
      </c>
      <c r="C6693" s="2" t="s">
        <v>8205</v>
      </c>
      <c r="D6693" s="2" t="s">
        <v>10</v>
      </c>
      <c r="E6693" s="2" t="s">
        <v>16</v>
      </c>
      <c r="F6693" s="2">
        <v>1</v>
      </c>
      <c r="G6693" s="2" t="s">
        <v>17</v>
      </c>
    </row>
    <row r="6694" spans="1:7" x14ac:dyDescent="0.2">
      <c r="A6694" s="2" t="s">
        <v>8216</v>
      </c>
      <c r="B6694" s="2" t="s">
        <v>8217</v>
      </c>
      <c r="C6694" s="2" t="s">
        <v>8218</v>
      </c>
      <c r="D6694" s="2" t="s">
        <v>10</v>
      </c>
      <c r="E6694" s="2" t="s">
        <v>16</v>
      </c>
      <c r="F6694" s="2">
        <v>2</v>
      </c>
      <c r="G6694" s="2" t="s">
        <v>17</v>
      </c>
    </row>
    <row r="6695" spans="1:7" x14ac:dyDescent="0.2">
      <c r="A6695" s="2" t="s">
        <v>8216</v>
      </c>
      <c r="B6695" s="2" t="s">
        <v>8219</v>
      </c>
      <c r="C6695" s="2" t="s">
        <v>944</v>
      </c>
      <c r="D6695" s="2" t="s">
        <v>10</v>
      </c>
      <c r="E6695" s="2" t="s">
        <v>16</v>
      </c>
      <c r="F6695" s="2">
        <v>2</v>
      </c>
      <c r="G6695" s="2" t="s">
        <v>17</v>
      </c>
    </row>
    <row r="6696" spans="1:7" x14ac:dyDescent="0.2">
      <c r="A6696" s="2" t="s">
        <v>8220</v>
      </c>
      <c r="B6696" s="2" t="s">
        <v>8221</v>
      </c>
      <c r="C6696" s="2" t="s">
        <v>8222</v>
      </c>
      <c r="D6696" s="2" t="s">
        <v>10</v>
      </c>
      <c r="E6696" s="2" t="s">
        <v>16</v>
      </c>
      <c r="F6696" s="2">
        <v>1</v>
      </c>
      <c r="G6696" s="2" t="s">
        <v>17</v>
      </c>
    </row>
    <row r="6697" spans="1:7" x14ac:dyDescent="0.2">
      <c r="A6697" s="2" t="s">
        <v>8223</v>
      </c>
      <c r="B6697" s="2" t="s">
        <v>8224</v>
      </c>
      <c r="C6697" s="2" t="s">
        <v>763</v>
      </c>
      <c r="D6697" s="2" t="s">
        <v>10</v>
      </c>
      <c r="E6697" s="2" t="s">
        <v>16</v>
      </c>
      <c r="F6697" s="2">
        <v>1</v>
      </c>
      <c r="G6697" s="2" t="s">
        <v>17</v>
      </c>
    </row>
    <row r="6698" spans="1:7" x14ac:dyDescent="0.2">
      <c r="A6698" s="2" t="s">
        <v>8223</v>
      </c>
      <c r="B6698" s="2" t="s">
        <v>8225</v>
      </c>
      <c r="C6698" s="2" t="s">
        <v>763</v>
      </c>
      <c r="D6698" s="2" t="s">
        <v>10</v>
      </c>
      <c r="E6698" s="2" t="s">
        <v>16</v>
      </c>
      <c r="F6698" s="2">
        <v>1</v>
      </c>
      <c r="G6698" s="2" t="s">
        <v>17</v>
      </c>
    </row>
    <row r="6699" spans="1:7" x14ac:dyDescent="0.2">
      <c r="A6699" s="2" t="s">
        <v>8226</v>
      </c>
      <c r="B6699" s="2" t="s">
        <v>367</v>
      </c>
      <c r="C6699" s="2" t="s">
        <v>368</v>
      </c>
      <c r="D6699" s="2" t="s">
        <v>10</v>
      </c>
      <c r="E6699" s="2" t="s">
        <v>16</v>
      </c>
      <c r="F6699" s="2">
        <v>1</v>
      </c>
      <c r="G6699" s="2" t="s">
        <v>17</v>
      </c>
    </row>
    <row r="6700" spans="1:7" x14ac:dyDescent="0.2">
      <c r="A6700" s="2" t="s">
        <v>8227</v>
      </c>
      <c r="B6700" s="2" t="s">
        <v>8228</v>
      </c>
      <c r="C6700" s="2" t="s">
        <v>8229</v>
      </c>
      <c r="D6700" s="2" t="s">
        <v>10</v>
      </c>
      <c r="E6700" s="2" t="s">
        <v>16</v>
      </c>
      <c r="F6700" s="2">
        <v>1</v>
      </c>
      <c r="G6700" s="2" t="s">
        <v>17</v>
      </c>
    </row>
    <row r="6701" spans="1:7" x14ac:dyDescent="0.2">
      <c r="A6701" s="2" t="s">
        <v>8227</v>
      </c>
      <c r="B6701" s="2" t="s">
        <v>8230</v>
      </c>
      <c r="C6701" s="2" t="s">
        <v>8231</v>
      </c>
      <c r="D6701" s="2" t="s">
        <v>10</v>
      </c>
      <c r="E6701" s="2" t="s">
        <v>16</v>
      </c>
      <c r="F6701" s="2">
        <v>1</v>
      </c>
      <c r="G6701" s="2" t="s">
        <v>17</v>
      </c>
    </row>
    <row r="6702" spans="1:7" x14ac:dyDescent="0.2">
      <c r="A6702" s="2" t="s">
        <v>8232</v>
      </c>
      <c r="B6702" s="2" t="s">
        <v>8233</v>
      </c>
      <c r="C6702" s="2" t="s">
        <v>8234</v>
      </c>
      <c r="D6702" s="2" t="s">
        <v>10</v>
      </c>
      <c r="E6702" s="2" t="s">
        <v>16</v>
      </c>
      <c r="F6702" s="2">
        <v>1</v>
      </c>
      <c r="G6702" s="2" t="s">
        <v>17</v>
      </c>
    </row>
    <row r="6703" spans="1:7" x14ac:dyDescent="0.2">
      <c r="A6703" s="2" t="s">
        <v>8235</v>
      </c>
      <c r="B6703" s="2" t="s">
        <v>8236</v>
      </c>
      <c r="C6703" s="2" t="s">
        <v>8237</v>
      </c>
      <c r="D6703" s="2" t="s">
        <v>10</v>
      </c>
      <c r="E6703" s="2" t="s">
        <v>16</v>
      </c>
      <c r="F6703" s="2">
        <v>1</v>
      </c>
      <c r="G6703" s="2" t="s">
        <v>17</v>
      </c>
    </row>
    <row r="6704" spans="1:7" x14ac:dyDescent="0.2">
      <c r="A6704" s="2" t="s">
        <v>8235</v>
      </c>
      <c r="B6704" s="2" t="s">
        <v>8238</v>
      </c>
      <c r="C6704" s="2" t="s">
        <v>8239</v>
      </c>
      <c r="D6704" s="2" t="s">
        <v>10</v>
      </c>
      <c r="E6704" s="2" t="s">
        <v>11</v>
      </c>
      <c r="F6704" s="2">
        <v>2</v>
      </c>
      <c r="G6704" s="2" t="s">
        <v>12</v>
      </c>
    </row>
    <row r="6705" spans="1:7" x14ac:dyDescent="0.2">
      <c r="A6705" s="2" t="s">
        <v>8235</v>
      </c>
      <c r="B6705" s="2" t="s">
        <v>1925</v>
      </c>
      <c r="C6705" s="2" t="s">
        <v>2799</v>
      </c>
      <c r="D6705" s="2" t="s">
        <v>10</v>
      </c>
      <c r="E6705" s="2" t="s">
        <v>11</v>
      </c>
      <c r="F6705" s="2">
        <v>2</v>
      </c>
      <c r="G6705" s="2" t="s">
        <v>12</v>
      </c>
    </row>
    <row r="6706" spans="1:7" x14ac:dyDescent="0.2">
      <c r="A6706" s="2" t="s">
        <v>8235</v>
      </c>
      <c r="B6706" s="2" t="s">
        <v>8240</v>
      </c>
      <c r="C6706" s="2" t="s">
        <v>8241</v>
      </c>
      <c r="D6706" s="2" t="s">
        <v>10</v>
      </c>
      <c r="E6706" s="2" t="s">
        <v>11</v>
      </c>
      <c r="F6706" s="2">
        <v>2</v>
      </c>
      <c r="G6706" s="2" t="s">
        <v>12</v>
      </c>
    </row>
    <row r="6707" spans="1:7" x14ac:dyDescent="0.2">
      <c r="A6707" s="2" t="s">
        <v>8235</v>
      </c>
      <c r="B6707" s="2" t="s">
        <v>5571</v>
      </c>
      <c r="C6707" s="2" t="s">
        <v>8242</v>
      </c>
      <c r="D6707" s="2" t="s">
        <v>10</v>
      </c>
      <c r="E6707" s="2" t="s">
        <v>11</v>
      </c>
      <c r="F6707" s="2">
        <v>1</v>
      </c>
      <c r="G6707" s="2" t="s">
        <v>12</v>
      </c>
    </row>
    <row r="6708" spans="1:7" x14ac:dyDescent="0.2">
      <c r="A6708" s="2" t="s">
        <v>8235</v>
      </c>
      <c r="B6708" s="2" t="s">
        <v>8047</v>
      </c>
      <c r="C6708" s="2" t="s">
        <v>6741</v>
      </c>
      <c r="D6708" s="2" t="s">
        <v>10</v>
      </c>
      <c r="E6708" s="2" t="s">
        <v>11</v>
      </c>
      <c r="F6708" s="2">
        <v>2</v>
      </c>
      <c r="G6708" s="2" t="s">
        <v>12</v>
      </c>
    </row>
    <row r="6709" spans="1:7" x14ac:dyDescent="0.2">
      <c r="A6709" s="2" t="s">
        <v>8235</v>
      </c>
      <c r="B6709" s="2" t="s">
        <v>2804</v>
      </c>
      <c r="C6709" s="2" t="s">
        <v>2799</v>
      </c>
      <c r="D6709" s="2" t="s">
        <v>10</v>
      </c>
      <c r="E6709" s="2" t="s">
        <v>11</v>
      </c>
      <c r="F6709" s="2">
        <v>2</v>
      </c>
      <c r="G6709" s="2" t="s">
        <v>12</v>
      </c>
    </row>
    <row r="6710" spans="1:7" x14ac:dyDescent="0.2">
      <c r="A6710" s="2" t="s">
        <v>8235</v>
      </c>
      <c r="B6710" s="2" t="s">
        <v>8243</v>
      </c>
      <c r="C6710" s="2" t="s">
        <v>3296</v>
      </c>
      <c r="D6710" s="2" t="s">
        <v>10</v>
      </c>
      <c r="E6710" s="2" t="s">
        <v>11</v>
      </c>
      <c r="F6710" s="2">
        <v>1</v>
      </c>
      <c r="G6710" s="2" t="s">
        <v>12</v>
      </c>
    </row>
    <row r="6711" spans="1:7" x14ac:dyDescent="0.2">
      <c r="A6711" s="2" t="s">
        <v>8235</v>
      </c>
      <c r="B6711" s="2" t="s">
        <v>8244</v>
      </c>
      <c r="C6711" s="2" t="s">
        <v>805</v>
      </c>
      <c r="D6711" s="2" t="s">
        <v>56</v>
      </c>
      <c r="E6711" s="2" t="s">
        <v>52</v>
      </c>
      <c r="F6711" s="2">
        <v>2</v>
      </c>
      <c r="G6711" s="2" t="s">
        <v>12</v>
      </c>
    </row>
    <row r="6712" spans="1:7" x14ac:dyDescent="0.2">
      <c r="A6712" s="2" t="s">
        <v>8235</v>
      </c>
      <c r="B6712" s="2" t="s">
        <v>8245</v>
      </c>
      <c r="C6712" s="2" t="s">
        <v>8246</v>
      </c>
      <c r="D6712" s="2" t="s">
        <v>10</v>
      </c>
      <c r="E6712" s="2" t="s">
        <v>52</v>
      </c>
      <c r="F6712" s="2">
        <v>2</v>
      </c>
      <c r="G6712" s="2" t="s">
        <v>17</v>
      </c>
    </row>
    <row r="6713" spans="1:7" x14ac:dyDescent="0.2">
      <c r="A6713" s="2" t="s">
        <v>8235</v>
      </c>
      <c r="B6713" s="2" t="s">
        <v>8247</v>
      </c>
      <c r="C6713" s="2" t="s">
        <v>8246</v>
      </c>
      <c r="D6713" s="2" t="s">
        <v>10</v>
      </c>
      <c r="E6713" s="2" t="s">
        <v>52</v>
      </c>
      <c r="F6713" s="2">
        <v>2</v>
      </c>
      <c r="G6713" s="2" t="s">
        <v>17</v>
      </c>
    </row>
    <row r="6714" spans="1:7" x14ac:dyDescent="0.2">
      <c r="A6714" s="2" t="s">
        <v>8235</v>
      </c>
      <c r="B6714" s="2" t="s">
        <v>8248</v>
      </c>
      <c r="C6714" s="2" t="s">
        <v>8249</v>
      </c>
      <c r="D6714" s="2" t="s">
        <v>56</v>
      </c>
      <c r="E6714" s="2" t="s">
        <v>52</v>
      </c>
      <c r="F6714" s="2">
        <v>2</v>
      </c>
      <c r="G6714" s="2" t="s">
        <v>17</v>
      </c>
    </row>
    <row r="6715" spans="1:7" x14ac:dyDescent="0.2">
      <c r="A6715" s="2" t="s">
        <v>8235</v>
      </c>
      <c r="B6715" s="2" t="s">
        <v>8250</v>
      </c>
      <c r="C6715" s="2" t="s">
        <v>8246</v>
      </c>
      <c r="D6715" s="2" t="s">
        <v>10</v>
      </c>
      <c r="E6715" s="2" t="s">
        <v>52</v>
      </c>
      <c r="F6715" s="2">
        <v>2</v>
      </c>
      <c r="G6715" s="2" t="s">
        <v>17</v>
      </c>
    </row>
    <row r="6716" spans="1:7" x14ac:dyDescent="0.2">
      <c r="A6716" s="2" t="s">
        <v>8235</v>
      </c>
      <c r="B6716" s="2" t="s">
        <v>8251</v>
      </c>
      <c r="C6716" s="2" t="s">
        <v>8246</v>
      </c>
      <c r="D6716" s="2" t="s">
        <v>10</v>
      </c>
      <c r="E6716" s="2" t="s">
        <v>52</v>
      </c>
      <c r="F6716" s="2">
        <v>2</v>
      </c>
      <c r="G6716" s="2" t="s">
        <v>17</v>
      </c>
    </row>
    <row r="6717" spans="1:7" x14ac:dyDescent="0.2">
      <c r="A6717" s="2" t="s">
        <v>8235</v>
      </c>
      <c r="B6717" s="2" t="s">
        <v>8252</v>
      </c>
      <c r="C6717" s="2" t="s">
        <v>8246</v>
      </c>
      <c r="D6717" s="2" t="s">
        <v>10</v>
      </c>
      <c r="E6717" s="2" t="s">
        <v>52</v>
      </c>
      <c r="F6717" s="2">
        <v>2</v>
      </c>
      <c r="G6717" s="2" t="s">
        <v>17</v>
      </c>
    </row>
    <row r="6718" spans="1:7" x14ac:dyDescent="0.2">
      <c r="A6718" s="2" t="s">
        <v>8235</v>
      </c>
      <c r="B6718" s="2" t="s">
        <v>8253</v>
      </c>
      <c r="C6718" s="2" t="s">
        <v>8239</v>
      </c>
      <c r="D6718" s="2" t="s">
        <v>10</v>
      </c>
      <c r="E6718" s="2" t="s">
        <v>11</v>
      </c>
      <c r="F6718" s="2">
        <v>2</v>
      </c>
      <c r="G6718" s="2" t="s">
        <v>12</v>
      </c>
    </row>
    <row r="6719" spans="1:7" x14ac:dyDescent="0.2">
      <c r="A6719" s="2" t="s">
        <v>8235</v>
      </c>
      <c r="B6719" s="2" t="s">
        <v>8048</v>
      </c>
      <c r="C6719" s="2" t="s">
        <v>6741</v>
      </c>
      <c r="D6719" s="2" t="s">
        <v>10</v>
      </c>
      <c r="E6719" s="2" t="s">
        <v>11</v>
      </c>
      <c r="F6719" s="2">
        <v>2</v>
      </c>
      <c r="G6719" s="2" t="s">
        <v>12</v>
      </c>
    </row>
    <row r="6720" spans="1:7" x14ac:dyDescent="0.2">
      <c r="A6720" s="2" t="s">
        <v>8235</v>
      </c>
      <c r="B6720" s="2" t="s">
        <v>8049</v>
      </c>
      <c r="C6720" s="2" t="s">
        <v>6741</v>
      </c>
      <c r="D6720" s="2" t="s">
        <v>10</v>
      </c>
      <c r="E6720" s="2" t="s">
        <v>11</v>
      </c>
      <c r="F6720" s="2">
        <v>2</v>
      </c>
      <c r="G6720" s="2" t="s">
        <v>12</v>
      </c>
    </row>
    <row r="6721" spans="1:7" x14ac:dyDescent="0.2">
      <c r="A6721" s="2" t="s">
        <v>8235</v>
      </c>
      <c r="B6721" s="2" t="s">
        <v>8254</v>
      </c>
      <c r="C6721" s="2" t="s">
        <v>8255</v>
      </c>
      <c r="D6721" s="2" t="s">
        <v>56</v>
      </c>
      <c r="E6721" s="2" t="s">
        <v>52</v>
      </c>
      <c r="F6721" s="2">
        <v>2</v>
      </c>
      <c r="G6721" s="2" t="s">
        <v>17</v>
      </c>
    </row>
    <row r="6722" spans="1:7" x14ac:dyDescent="0.2">
      <c r="A6722" s="2" t="s">
        <v>8235</v>
      </c>
      <c r="B6722" s="2" t="s">
        <v>8256</v>
      </c>
      <c r="C6722" s="2" t="s">
        <v>805</v>
      </c>
      <c r="D6722" s="2" t="s">
        <v>56</v>
      </c>
      <c r="E6722" s="2" t="s">
        <v>52</v>
      </c>
      <c r="F6722" s="2">
        <v>2</v>
      </c>
      <c r="G6722" s="2" t="s">
        <v>12</v>
      </c>
    </row>
    <row r="6723" spans="1:7" x14ac:dyDescent="0.2">
      <c r="A6723" s="2" t="s">
        <v>8235</v>
      </c>
      <c r="B6723" s="2" t="s">
        <v>8257</v>
      </c>
      <c r="C6723" s="2" t="s">
        <v>805</v>
      </c>
      <c r="D6723" s="2" t="s">
        <v>56</v>
      </c>
      <c r="E6723" s="2" t="s">
        <v>52</v>
      </c>
      <c r="F6723" s="2">
        <v>2</v>
      </c>
      <c r="G6723" s="2" t="s">
        <v>12</v>
      </c>
    </row>
    <row r="6724" spans="1:7" x14ac:dyDescent="0.2">
      <c r="A6724" s="2" t="s">
        <v>8235</v>
      </c>
      <c r="B6724" s="2" t="s">
        <v>1731</v>
      </c>
      <c r="C6724" s="2" t="s">
        <v>1732</v>
      </c>
      <c r="D6724" s="2" t="s">
        <v>56</v>
      </c>
      <c r="E6724" s="2" t="s">
        <v>52</v>
      </c>
      <c r="F6724" s="2">
        <v>2</v>
      </c>
      <c r="G6724" s="2" t="s">
        <v>12</v>
      </c>
    </row>
    <row r="6725" spans="1:7" x14ac:dyDescent="0.2">
      <c r="A6725" s="2" t="s">
        <v>8235</v>
      </c>
      <c r="B6725" s="2" t="s">
        <v>3352</v>
      </c>
      <c r="C6725" s="2" t="s">
        <v>3296</v>
      </c>
      <c r="D6725" s="2" t="s">
        <v>10</v>
      </c>
      <c r="E6725" s="2" t="s">
        <v>11</v>
      </c>
      <c r="F6725" s="2">
        <v>1</v>
      </c>
      <c r="G6725" s="2" t="s">
        <v>12</v>
      </c>
    </row>
    <row r="6726" spans="1:7" x14ac:dyDescent="0.2">
      <c r="A6726" s="2" t="s">
        <v>8235</v>
      </c>
      <c r="B6726" s="2" t="s">
        <v>1733</v>
      </c>
      <c r="C6726" s="2" t="s">
        <v>1732</v>
      </c>
      <c r="D6726" s="2" t="s">
        <v>56</v>
      </c>
      <c r="E6726" s="2" t="s">
        <v>52</v>
      </c>
      <c r="F6726" s="2">
        <v>2</v>
      </c>
      <c r="G6726" s="2" t="s">
        <v>12</v>
      </c>
    </row>
    <row r="6727" spans="1:7" x14ac:dyDescent="0.2">
      <c r="A6727" s="2" t="s">
        <v>8235</v>
      </c>
      <c r="B6727" s="2" t="s">
        <v>8258</v>
      </c>
      <c r="C6727" s="2" t="s">
        <v>1732</v>
      </c>
      <c r="D6727" s="2" t="s">
        <v>56</v>
      </c>
      <c r="E6727" s="2" t="s">
        <v>52</v>
      </c>
      <c r="F6727" s="2">
        <v>2</v>
      </c>
      <c r="G6727" s="2" t="s">
        <v>12</v>
      </c>
    </row>
    <row r="6728" spans="1:7" x14ac:dyDescent="0.2">
      <c r="A6728" s="2" t="s">
        <v>8235</v>
      </c>
      <c r="B6728" s="2" t="s">
        <v>8259</v>
      </c>
      <c r="C6728" s="2" t="s">
        <v>8246</v>
      </c>
      <c r="D6728" s="2" t="s">
        <v>10</v>
      </c>
      <c r="E6728" s="2" t="s">
        <v>52</v>
      </c>
      <c r="F6728" s="2">
        <v>2</v>
      </c>
      <c r="G6728" s="2" t="s">
        <v>17</v>
      </c>
    </row>
    <row r="6729" spans="1:7" x14ac:dyDescent="0.2">
      <c r="A6729" s="2" t="s">
        <v>8235</v>
      </c>
      <c r="B6729" s="2" t="s">
        <v>8260</v>
      </c>
      <c r="C6729" s="2" t="s">
        <v>8261</v>
      </c>
      <c r="D6729" s="2" t="s">
        <v>10</v>
      </c>
      <c r="E6729" s="2" t="s">
        <v>11</v>
      </c>
      <c r="F6729" s="2">
        <v>2</v>
      </c>
      <c r="G6729" s="2" t="s">
        <v>12</v>
      </c>
    </row>
    <row r="6730" spans="1:7" x14ac:dyDescent="0.2">
      <c r="A6730" s="2" t="s">
        <v>8235</v>
      </c>
      <c r="B6730" s="2" t="s">
        <v>8262</v>
      </c>
      <c r="C6730" s="2" t="s">
        <v>1732</v>
      </c>
      <c r="D6730" s="2" t="s">
        <v>56</v>
      </c>
      <c r="E6730" s="2" t="s">
        <v>52</v>
      </c>
      <c r="F6730" s="2">
        <v>2</v>
      </c>
      <c r="G6730" s="2" t="s">
        <v>12</v>
      </c>
    </row>
    <row r="6731" spans="1:7" x14ac:dyDescent="0.2">
      <c r="A6731" s="2" t="s">
        <v>8235</v>
      </c>
      <c r="B6731" s="2" t="s">
        <v>8263</v>
      </c>
      <c r="C6731" s="2" t="s">
        <v>8264</v>
      </c>
      <c r="D6731" s="2" t="s">
        <v>10</v>
      </c>
      <c r="E6731" s="2" t="s">
        <v>52</v>
      </c>
      <c r="F6731" s="2">
        <v>2</v>
      </c>
      <c r="G6731" s="2" t="s">
        <v>12</v>
      </c>
    </row>
    <row r="6732" spans="1:7" x14ac:dyDescent="0.2">
      <c r="A6732" s="2" t="s">
        <v>8235</v>
      </c>
      <c r="B6732" s="2" t="s">
        <v>8265</v>
      </c>
      <c r="C6732" s="2" t="s">
        <v>8237</v>
      </c>
      <c r="D6732" s="2" t="s">
        <v>10</v>
      </c>
      <c r="E6732" s="2" t="s">
        <v>16</v>
      </c>
      <c r="F6732" s="2">
        <v>1</v>
      </c>
      <c r="G6732" s="2" t="s">
        <v>17</v>
      </c>
    </row>
    <row r="6733" spans="1:7" x14ac:dyDescent="0.2">
      <c r="A6733" s="2" t="s">
        <v>8235</v>
      </c>
      <c r="B6733" s="2" t="s">
        <v>8266</v>
      </c>
      <c r="C6733" s="2" t="s">
        <v>8267</v>
      </c>
      <c r="D6733" s="2" t="s">
        <v>10</v>
      </c>
      <c r="E6733" s="2" t="s">
        <v>11</v>
      </c>
      <c r="F6733" s="2">
        <v>2</v>
      </c>
      <c r="G6733" s="2" t="s">
        <v>12</v>
      </c>
    </row>
    <row r="6734" spans="1:7" x14ac:dyDescent="0.2">
      <c r="A6734" s="2" t="s">
        <v>8235</v>
      </c>
      <c r="B6734" s="2" t="s">
        <v>8268</v>
      </c>
      <c r="C6734" s="2" t="s">
        <v>8269</v>
      </c>
      <c r="D6734" s="2" t="s">
        <v>10</v>
      </c>
      <c r="E6734" s="2" t="s">
        <v>11</v>
      </c>
      <c r="F6734" s="2">
        <v>2</v>
      </c>
      <c r="G6734" s="2" t="s">
        <v>12</v>
      </c>
    </row>
    <row r="6735" spans="1:7" x14ac:dyDescent="0.2">
      <c r="A6735" s="2" t="s">
        <v>8235</v>
      </c>
      <c r="B6735" s="2" t="s">
        <v>8270</v>
      </c>
      <c r="C6735" s="2" t="s">
        <v>1732</v>
      </c>
      <c r="D6735" s="2" t="s">
        <v>56</v>
      </c>
      <c r="E6735" s="2" t="s">
        <v>52</v>
      </c>
      <c r="F6735" s="2">
        <v>2</v>
      </c>
      <c r="G6735" s="2" t="s">
        <v>12</v>
      </c>
    </row>
    <row r="6736" spans="1:7" x14ac:dyDescent="0.2">
      <c r="A6736" s="2" t="s">
        <v>8271</v>
      </c>
      <c r="B6736" s="2">
        <v>1</v>
      </c>
      <c r="C6736" s="2" t="s">
        <v>8272</v>
      </c>
      <c r="D6736" s="2" t="s">
        <v>10</v>
      </c>
      <c r="E6736" s="2" t="s">
        <v>16</v>
      </c>
      <c r="F6736" s="2">
        <v>1</v>
      </c>
      <c r="G6736" s="2" t="s">
        <v>17</v>
      </c>
    </row>
    <row r="6737" spans="1:7" x14ac:dyDescent="0.2">
      <c r="A6737" s="2" t="s">
        <v>8273</v>
      </c>
      <c r="B6737" s="2" t="s">
        <v>1710</v>
      </c>
      <c r="C6737" s="2" t="s">
        <v>8274</v>
      </c>
      <c r="D6737" s="2" t="s">
        <v>10</v>
      </c>
      <c r="E6737" s="2" t="s">
        <v>16</v>
      </c>
      <c r="F6737" s="2">
        <v>1</v>
      </c>
      <c r="G6737" s="2" t="s">
        <v>17</v>
      </c>
    </row>
    <row r="6738" spans="1:7" x14ac:dyDescent="0.2">
      <c r="A6738" s="2" t="s">
        <v>8275</v>
      </c>
      <c r="B6738" s="2" t="s">
        <v>6966</v>
      </c>
      <c r="C6738" s="2" t="s">
        <v>6967</v>
      </c>
      <c r="D6738" s="2" t="s">
        <v>10</v>
      </c>
      <c r="E6738" s="2" t="s">
        <v>16</v>
      </c>
      <c r="F6738" s="2">
        <v>1</v>
      </c>
      <c r="G6738" s="2" t="s">
        <v>17</v>
      </c>
    </row>
    <row r="6739" spans="1:7" x14ac:dyDescent="0.2">
      <c r="A6739" s="2" t="s">
        <v>8275</v>
      </c>
      <c r="B6739" s="2" t="s">
        <v>6968</v>
      </c>
      <c r="C6739" s="2" t="s">
        <v>6967</v>
      </c>
      <c r="D6739" s="2" t="s">
        <v>10</v>
      </c>
      <c r="E6739" s="2" t="s">
        <v>16</v>
      </c>
      <c r="F6739" s="2">
        <v>1</v>
      </c>
      <c r="G6739" s="2" t="s">
        <v>17</v>
      </c>
    </row>
    <row r="6740" spans="1:7" x14ac:dyDescent="0.2">
      <c r="A6740" s="2" t="s">
        <v>8275</v>
      </c>
      <c r="B6740" s="2" t="s">
        <v>8276</v>
      </c>
      <c r="C6740" s="2" t="s">
        <v>6967</v>
      </c>
      <c r="D6740" s="2" t="s">
        <v>10</v>
      </c>
      <c r="E6740" s="2" t="s">
        <v>16</v>
      </c>
      <c r="F6740" s="2">
        <v>1</v>
      </c>
      <c r="G6740" s="2" t="s">
        <v>17</v>
      </c>
    </row>
    <row r="6741" spans="1:7" x14ac:dyDescent="0.2">
      <c r="A6741" s="2" t="s">
        <v>8275</v>
      </c>
      <c r="B6741" s="2" t="s">
        <v>6973</v>
      </c>
      <c r="C6741" s="2" t="s">
        <v>6967</v>
      </c>
      <c r="D6741" s="2" t="s">
        <v>10</v>
      </c>
      <c r="E6741" s="2" t="s">
        <v>16</v>
      </c>
      <c r="F6741" s="2">
        <v>1</v>
      </c>
      <c r="G6741" s="2" t="s">
        <v>17</v>
      </c>
    </row>
    <row r="6742" spans="1:7" x14ac:dyDescent="0.2">
      <c r="A6742" s="2" t="s">
        <v>8277</v>
      </c>
      <c r="B6742" s="2" t="s">
        <v>8278</v>
      </c>
      <c r="C6742" s="2" t="s">
        <v>8279</v>
      </c>
      <c r="D6742" s="2" t="s">
        <v>10</v>
      </c>
      <c r="E6742" s="2" t="s">
        <v>16</v>
      </c>
      <c r="F6742" s="2">
        <v>1</v>
      </c>
      <c r="G6742" s="2" t="s">
        <v>17</v>
      </c>
    </row>
    <row r="6743" spans="1:7" x14ac:dyDescent="0.2">
      <c r="A6743" s="2" t="s">
        <v>8277</v>
      </c>
      <c r="B6743" s="2" t="s">
        <v>8280</v>
      </c>
      <c r="C6743" s="2" t="s">
        <v>8281</v>
      </c>
      <c r="D6743" s="2" t="s">
        <v>10</v>
      </c>
      <c r="E6743" s="2" t="s">
        <v>16</v>
      </c>
      <c r="F6743" s="2">
        <v>1</v>
      </c>
      <c r="G6743" s="2" t="s">
        <v>17</v>
      </c>
    </row>
    <row r="6744" spans="1:7" x14ac:dyDescent="0.2">
      <c r="A6744" s="2" t="s">
        <v>8277</v>
      </c>
      <c r="B6744" s="2" t="s">
        <v>5990</v>
      </c>
      <c r="C6744" s="2" t="s">
        <v>5991</v>
      </c>
      <c r="D6744" s="2" t="s">
        <v>10</v>
      </c>
      <c r="E6744" s="2" t="s">
        <v>16</v>
      </c>
      <c r="F6744" s="2">
        <v>1</v>
      </c>
      <c r="G6744" s="2" t="s">
        <v>17</v>
      </c>
    </row>
    <row r="6745" spans="1:7" x14ac:dyDescent="0.2">
      <c r="A6745" s="2" t="s">
        <v>8282</v>
      </c>
      <c r="B6745" s="2">
        <v>90</v>
      </c>
      <c r="C6745" s="2" t="s">
        <v>8283</v>
      </c>
      <c r="D6745" s="2" t="s">
        <v>10</v>
      </c>
      <c r="E6745" s="2" t="s">
        <v>16</v>
      </c>
      <c r="F6745" s="2">
        <v>1</v>
      </c>
      <c r="G6745" s="2" t="s">
        <v>17</v>
      </c>
    </row>
    <row r="6746" spans="1:7" x14ac:dyDescent="0.2">
      <c r="A6746" s="2" t="s">
        <v>8282</v>
      </c>
      <c r="B6746" s="2" t="s">
        <v>1920</v>
      </c>
      <c r="C6746" s="2" t="s">
        <v>1921</v>
      </c>
      <c r="D6746" s="2" t="s">
        <v>10</v>
      </c>
      <c r="E6746" s="2" t="s">
        <v>16</v>
      </c>
      <c r="F6746" s="2">
        <v>1</v>
      </c>
      <c r="G6746" s="2" t="s">
        <v>17</v>
      </c>
    </row>
    <row r="6747" spans="1:7" x14ac:dyDescent="0.2">
      <c r="A6747" s="2" t="s">
        <v>8282</v>
      </c>
      <c r="B6747" s="2" t="s">
        <v>1931</v>
      </c>
      <c r="C6747" s="2" t="s">
        <v>1921</v>
      </c>
      <c r="D6747" s="2" t="s">
        <v>10</v>
      </c>
      <c r="E6747" s="2" t="s">
        <v>16</v>
      </c>
      <c r="F6747" s="2">
        <v>1</v>
      </c>
      <c r="G6747" s="2" t="s">
        <v>17</v>
      </c>
    </row>
    <row r="6748" spans="1:7" x14ac:dyDescent="0.2">
      <c r="A6748" s="2" t="s">
        <v>8284</v>
      </c>
      <c r="B6748" s="2" t="s">
        <v>8285</v>
      </c>
      <c r="C6748" s="2" t="s">
        <v>8286</v>
      </c>
      <c r="D6748" s="2" t="s">
        <v>10</v>
      </c>
      <c r="E6748" s="2" t="s">
        <v>16</v>
      </c>
      <c r="F6748" s="2">
        <v>1</v>
      </c>
      <c r="G6748" s="2" t="s">
        <v>17</v>
      </c>
    </row>
    <row r="6749" spans="1:7" x14ac:dyDescent="0.2">
      <c r="A6749" s="2" t="s">
        <v>8287</v>
      </c>
      <c r="B6749" s="2" t="s">
        <v>7322</v>
      </c>
      <c r="C6749" s="2" t="s">
        <v>7323</v>
      </c>
      <c r="D6749" s="2" t="s">
        <v>10</v>
      </c>
      <c r="E6749" s="2" t="s">
        <v>16</v>
      </c>
      <c r="F6749" s="2">
        <v>1</v>
      </c>
      <c r="G6749" s="2" t="s">
        <v>17</v>
      </c>
    </row>
    <row r="6750" spans="1:7" x14ac:dyDescent="0.2">
      <c r="A6750" s="2" t="s">
        <v>8288</v>
      </c>
      <c r="B6750" s="2" t="s">
        <v>8289</v>
      </c>
      <c r="C6750" s="2" t="s">
        <v>8290</v>
      </c>
      <c r="D6750" s="2" t="s">
        <v>10</v>
      </c>
      <c r="E6750" s="2" t="s">
        <v>16</v>
      </c>
      <c r="F6750" s="2">
        <v>1</v>
      </c>
      <c r="G6750" s="2" t="s">
        <v>17</v>
      </c>
    </row>
    <row r="6751" spans="1:7" x14ac:dyDescent="0.2">
      <c r="A6751" s="2" t="s">
        <v>8291</v>
      </c>
      <c r="B6751" s="2">
        <v>201</v>
      </c>
      <c r="C6751" s="2" t="s">
        <v>692</v>
      </c>
      <c r="D6751" s="2" t="s">
        <v>10</v>
      </c>
      <c r="E6751" s="2" t="s">
        <v>16</v>
      </c>
      <c r="F6751" s="2">
        <v>1</v>
      </c>
      <c r="G6751" s="2" t="s">
        <v>17</v>
      </c>
    </row>
    <row r="6752" spans="1:7" x14ac:dyDescent="0.2">
      <c r="A6752" s="2" t="s">
        <v>8291</v>
      </c>
      <c r="B6752" s="2">
        <v>205</v>
      </c>
      <c r="C6752" s="2" t="s">
        <v>692</v>
      </c>
      <c r="D6752" s="2" t="s">
        <v>10</v>
      </c>
      <c r="E6752" s="2" t="s">
        <v>16</v>
      </c>
      <c r="F6752" s="2">
        <v>1</v>
      </c>
      <c r="G6752" s="2" t="s">
        <v>17</v>
      </c>
    </row>
    <row r="6753" spans="1:7" x14ac:dyDescent="0.2">
      <c r="A6753" s="2" t="s">
        <v>8291</v>
      </c>
      <c r="B6753" s="2">
        <v>231</v>
      </c>
      <c r="C6753" s="2" t="s">
        <v>8292</v>
      </c>
      <c r="D6753" s="2" t="s">
        <v>10</v>
      </c>
      <c r="E6753" s="2" t="s">
        <v>16</v>
      </c>
      <c r="F6753" s="2">
        <v>1</v>
      </c>
      <c r="G6753" s="2" t="s">
        <v>17</v>
      </c>
    </row>
    <row r="6754" spans="1:7" x14ac:dyDescent="0.2">
      <c r="A6754" s="2" t="s">
        <v>8291</v>
      </c>
      <c r="B6754" s="2" t="s">
        <v>8293</v>
      </c>
      <c r="C6754" s="2" t="s">
        <v>8292</v>
      </c>
      <c r="D6754" s="2" t="s">
        <v>10</v>
      </c>
      <c r="E6754" s="2" t="s">
        <v>16</v>
      </c>
      <c r="F6754" s="2">
        <v>1</v>
      </c>
      <c r="G6754" s="2" t="s">
        <v>17</v>
      </c>
    </row>
    <row r="6755" spans="1:7" x14ac:dyDescent="0.2">
      <c r="A6755" s="2" t="s">
        <v>8291</v>
      </c>
      <c r="B6755" s="2" t="s">
        <v>1425</v>
      </c>
      <c r="C6755" s="2" t="s">
        <v>1038</v>
      </c>
      <c r="D6755" s="2" t="s">
        <v>10</v>
      </c>
      <c r="E6755" s="2" t="s">
        <v>16</v>
      </c>
      <c r="F6755" s="2">
        <v>1</v>
      </c>
      <c r="G6755" s="2" t="s">
        <v>17</v>
      </c>
    </row>
    <row r="6756" spans="1:7" x14ac:dyDescent="0.2">
      <c r="A6756" s="2" t="s">
        <v>8291</v>
      </c>
      <c r="B6756" s="2" t="s">
        <v>1037</v>
      </c>
      <c r="C6756" s="2" t="s">
        <v>1038</v>
      </c>
      <c r="D6756" s="2" t="s">
        <v>10</v>
      </c>
      <c r="E6756" s="2" t="s">
        <v>16</v>
      </c>
      <c r="F6756" s="2">
        <v>1</v>
      </c>
      <c r="G6756" s="2" t="s">
        <v>17</v>
      </c>
    </row>
    <row r="6757" spans="1:7" x14ac:dyDescent="0.2">
      <c r="A6757" s="2" t="s">
        <v>8291</v>
      </c>
      <c r="B6757" s="2" t="s">
        <v>5472</v>
      </c>
      <c r="C6757" s="2" t="s">
        <v>692</v>
      </c>
      <c r="D6757" s="2" t="s">
        <v>10</v>
      </c>
      <c r="E6757" s="2" t="s">
        <v>16</v>
      </c>
      <c r="F6757" s="2">
        <v>1</v>
      </c>
      <c r="G6757" s="2" t="s">
        <v>17</v>
      </c>
    </row>
    <row r="6758" spans="1:7" x14ac:dyDescent="0.2">
      <c r="A6758" s="2" t="s">
        <v>8291</v>
      </c>
      <c r="B6758" s="2" t="s">
        <v>8294</v>
      </c>
      <c r="C6758" s="2" t="s">
        <v>692</v>
      </c>
      <c r="D6758" s="2" t="s">
        <v>10</v>
      </c>
      <c r="E6758" s="2" t="s">
        <v>16</v>
      </c>
      <c r="F6758" s="2">
        <v>1</v>
      </c>
      <c r="G6758" s="2" t="s">
        <v>17</v>
      </c>
    </row>
    <row r="6759" spans="1:7" x14ac:dyDescent="0.2">
      <c r="A6759" s="2" t="s">
        <v>8291</v>
      </c>
      <c r="B6759" s="2" t="s">
        <v>357</v>
      </c>
      <c r="C6759" s="2" t="s">
        <v>8292</v>
      </c>
      <c r="D6759" s="2" t="s">
        <v>10</v>
      </c>
      <c r="E6759" s="2" t="s">
        <v>16</v>
      </c>
      <c r="F6759" s="2">
        <v>1</v>
      </c>
      <c r="G6759" s="2" t="s">
        <v>17</v>
      </c>
    </row>
    <row r="6760" spans="1:7" x14ac:dyDescent="0.2">
      <c r="A6760" s="2" t="s">
        <v>8291</v>
      </c>
      <c r="B6760" s="2" t="s">
        <v>4292</v>
      </c>
      <c r="C6760" s="2" t="s">
        <v>691</v>
      </c>
      <c r="D6760" s="2" t="s">
        <v>10</v>
      </c>
      <c r="E6760" s="2" t="s">
        <v>16</v>
      </c>
      <c r="F6760" s="2">
        <v>1</v>
      </c>
      <c r="G6760" s="2" t="s">
        <v>17</v>
      </c>
    </row>
    <row r="6761" spans="1:7" x14ac:dyDescent="0.2">
      <c r="A6761" s="2" t="s">
        <v>8291</v>
      </c>
      <c r="B6761" s="2" t="s">
        <v>8295</v>
      </c>
      <c r="C6761" s="2" t="s">
        <v>692</v>
      </c>
      <c r="D6761" s="2" t="s">
        <v>10</v>
      </c>
      <c r="E6761" s="2" t="s">
        <v>16</v>
      </c>
      <c r="F6761" s="2">
        <v>1</v>
      </c>
      <c r="G6761" s="2" t="s">
        <v>17</v>
      </c>
    </row>
    <row r="6762" spans="1:7" x14ac:dyDescent="0.2">
      <c r="A6762" s="2" t="s">
        <v>8291</v>
      </c>
      <c r="B6762" s="2" t="s">
        <v>1925</v>
      </c>
      <c r="C6762" s="2" t="s">
        <v>692</v>
      </c>
      <c r="D6762" s="2" t="s">
        <v>10</v>
      </c>
      <c r="E6762" s="2" t="s">
        <v>16</v>
      </c>
      <c r="F6762" s="2">
        <v>1</v>
      </c>
      <c r="G6762" s="2" t="s">
        <v>17</v>
      </c>
    </row>
    <row r="6763" spans="1:7" x14ac:dyDescent="0.2">
      <c r="A6763" s="2" t="s">
        <v>8291</v>
      </c>
      <c r="B6763" s="2" t="s">
        <v>8296</v>
      </c>
      <c r="C6763" s="2" t="s">
        <v>8292</v>
      </c>
      <c r="D6763" s="2" t="s">
        <v>10</v>
      </c>
      <c r="E6763" s="2" t="s">
        <v>16</v>
      </c>
      <c r="F6763" s="2">
        <v>1</v>
      </c>
      <c r="G6763" s="2" t="s">
        <v>17</v>
      </c>
    </row>
    <row r="6764" spans="1:7" x14ac:dyDescent="0.2">
      <c r="A6764" s="2" t="s">
        <v>8291</v>
      </c>
      <c r="B6764" s="2" t="s">
        <v>8297</v>
      </c>
      <c r="C6764" s="2" t="s">
        <v>692</v>
      </c>
      <c r="D6764" s="2" t="s">
        <v>10</v>
      </c>
      <c r="E6764" s="2" t="s">
        <v>16</v>
      </c>
      <c r="F6764" s="2">
        <v>1</v>
      </c>
      <c r="G6764" s="2" t="s">
        <v>17</v>
      </c>
    </row>
    <row r="6765" spans="1:7" x14ac:dyDescent="0.2">
      <c r="A6765" s="2" t="s">
        <v>8291</v>
      </c>
      <c r="B6765" s="2" t="s">
        <v>8298</v>
      </c>
      <c r="C6765" s="2" t="s">
        <v>691</v>
      </c>
      <c r="D6765" s="2" t="s">
        <v>10</v>
      </c>
      <c r="E6765" s="2" t="s">
        <v>16</v>
      </c>
      <c r="F6765" s="2">
        <v>1</v>
      </c>
      <c r="G6765" s="2" t="s">
        <v>17</v>
      </c>
    </row>
    <row r="6766" spans="1:7" x14ac:dyDescent="0.2">
      <c r="A6766" s="2" t="s">
        <v>8291</v>
      </c>
      <c r="B6766" s="2" t="s">
        <v>8299</v>
      </c>
      <c r="C6766" s="2" t="s">
        <v>8300</v>
      </c>
      <c r="D6766" s="2" t="s">
        <v>10</v>
      </c>
      <c r="E6766" s="2" t="s">
        <v>16</v>
      </c>
      <c r="F6766" s="2">
        <v>1</v>
      </c>
      <c r="G6766" s="2" t="s">
        <v>17</v>
      </c>
    </row>
    <row r="6767" spans="1:7" x14ac:dyDescent="0.2">
      <c r="A6767" s="2" t="s">
        <v>8291</v>
      </c>
      <c r="B6767" s="2" t="s">
        <v>8301</v>
      </c>
      <c r="C6767" s="2" t="s">
        <v>8300</v>
      </c>
      <c r="D6767" s="2" t="s">
        <v>10</v>
      </c>
      <c r="E6767" s="2" t="s">
        <v>16</v>
      </c>
      <c r="F6767" s="2">
        <v>1</v>
      </c>
      <c r="G6767" s="2" t="s">
        <v>17</v>
      </c>
    </row>
    <row r="6768" spans="1:7" x14ac:dyDescent="0.2">
      <c r="A6768" s="2" t="s">
        <v>8291</v>
      </c>
      <c r="B6768" s="2" t="s">
        <v>8302</v>
      </c>
      <c r="C6768" s="2" t="s">
        <v>692</v>
      </c>
      <c r="D6768" s="2" t="s">
        <v>10</v>
      </c>
      <c r="E6768" s="2" t="s">
        <v>16</v>
      </c>
      <c r="F6768" s="2">
        <v>1</v>
      </c>
      <c r="G6768" s="2" t="s">
        <v>17</v>
      </c>
    </row>
    <row r="6769" spans="1:7" x14ac:dyDescent="0.2">
      <c r="A6769" s="2" t="s">
        <v>8291</v>
      </c>
      <c r="B6769" s="2" t="s">
        <v>8303</v>
      </c>
      <c r="C6769" s="2" t="s">
        <v>692</v>
      </c>
      <c r="D6769" s="2" t="s">
        <v>10</v>
      </c>
      <c r="E6769" s="2" t="s">
        <v>16</v>
      </c>
      <c r="F6769" s="2">
        <v>1</v>
      </c>
      <c r="G6769" s="2" t="s">
        <v>17</v>
      </c>
    </row>
    <row r="6770" spans="1:7" x14ac:dyDescent="0.2">
      <c r="A6770" s="2" t="s">
        <v>8291</v>
      </c>
      <c r="B6770" s="2" t="s">
        <v>8304</v>
      </c>
      <c r="C6770" s="2" t="s">
        <v>692</v>
      </c>
      <c r="D6770" s="2" t="s">
        <v>10</v>
      </c>
      <c r="E6770" s="2" t="s">
        <v>16</v>
      </c>
      <c r="F6770" s="2">
        <v>1</v>
      </c>
      <c r="G6770" s="2" t="s">
        <v>17</v>
      </c>
    </row>
    <row r="6771" spans="1:7" x14ac:dyDescent="0.2">
      <c r="A6771" s="2" t="s">
        <v>8291</v>
      </c>
      <c r="B6771" s="2" t="s">
        <v>8305</v>
      </c>
      <c r="C6771" s="2" t="s">
        <v>692</v>
      </c>
      <c r="D6771" s="2" t="s">
        <v>10</v>
      </c>
      <c r="E6771" s="2" t="s">
        <v>16</v>
      </c>
      <c r="F6771" s="2">
        <v>1</v>
      </c>
      <c r="G6771" s="2" t="s">
        <v>17</v>
      </c>
    </row>
    <row r="6772" spans="1:7" x14ac:dyDescent="0.2">
      <c r="A6772" s="2" t="s">
        <v>8291</v>
      </c>
      <c r="B6772" s="2" t="s">
        <v>8306</v>
      </c>
      <c r="C6772" s="2" t="s">
        <v>692</v>
      </c>
      <c r="D6772" s="2" t="s">
        <v>10</v>
      </c>
      <c r="E6772" s="2" t="s">
        <v>16</v>
      </c>
      <c r="F6772" s="2">
        <v>1</v>
      </c>
      <c r="G6772" s="2" t="s">
        <v>17</v>
      </c>
    </row>
    <row r="6773" spans="1:7" x14ac:dyDescent="0.2">
      <c r="A6773" s="2" t="s">
        <v>8291</v>
      </c>
      <c r="B6773" s="2" t="s">
        <v>8307</v>
      </c>
      <c r="C6773" s="2" t="s">
        <v>692</v>
      </c>
      <c r="D6773" s="2" t="s">
        <v>10</v>
      </c>
      <c r="E6773" s="2" t="s">
        <v>16</v>
      </c>
      <c r="F6773" s="2">
        <v>1</v>
      </c>
      <c r="G6773" s="2" t="s">
        <v>17</v>
      </c>
    </row>
    <row r="6774" spans="1:7" x14ac:dyDescent="0.2">
      <c r="A6774" s="2" t="s">
        <v>8291</v>
      </c>
      <c r="B6774" s="2" t="s">
        <v>8308</v>
      </c>
      <c r="C6774" s="2" t="s">
        <v>692</v>
      </c>
      <c r="D6774" s="2" t="s">
        <v>10</v>
      </c>
      <c r="E6774" s="2" t="s">
        <v>16</v>
      </c>
      <c r="F6774" s="2">
        <v>1</v>
      </c>
      <c r="G6774" s="2" t="s">
        <v>17</v>
      </c>
    </row>
    <row r="6775" spans="1:7" x14ac:dyDescent="0.2">
      <c r="A6775" s="2" t="s">
        <v>8291</v>
      </c>
      <c r="B6775" s="2" t="s">
        <v>8309</v>
      </c>
      <c r="C6775" s="2" t="s">
        <v>692</v>
      </c>
      <c r="D6775" s="2" t="s">
        <v>10</v>
      </c>
      <c r="E6775" s="2" t="s">
        <v>16</v>
      </c>
      <c r="F6775" s="2">
        <v>1</v>
      </c>
      <c r="G6775" s="2" t="s">
        <v>17</v>
      </c>
    </row>
    <row r="6776" spans="1:7" x14ac:dyDescent="0.2">
      <c r="A6776" s="2" t="s">
        <v>8291</v>
      </c>
      <c r="B6776" s="2" t="s">
        <v>8310</v>
      </c>
      <c r="C6776" s="2" t="s">
        <v>692</v>
      </c>
      <c r="D6776" s="2" t="s">
        <v>10</v>
      </c>
      <c r="E6776" s="2" t="s">
        <v>16</v>
      </c>
      <c r="F6776" s="2">
        <v>1</v>
      </c>
      <c r="G6776" s="2" t="s">
        <v>17</v>
      </c>
    </row>
    <row r="6777" spans="1:7" x14ac:dyDescent="0.2">
      <c r="A6777" s="2" t="s">
        <v>8291</v>
      </c>
      <c r="B6777" s="2" t="s">
        <v>8311</v>
      </c>
      <c r="C6777" s="2" t="s">
        <v>692</v>
      </c>
      <c r="D6777" s="2" t="s">
        <v>10</v>
      </c>
      <c r="E6777" s="2" t="s">
        <v>16</v>
      </c>
      <c r="F6777" s="2">
        <v>1</v>
      </c>
      <c r="G6777" s="2" t="s">
        <v>17</v>
      </c>
    </row>
    <row r="6778" spans="1:7" x14ac:dyDescent="0.2">
      <c r="A6778" s="2" t="s">
        <v>8291</v>
      </c>
      <c r="B6778" s="2" t="s">
        <v>8312</v>
      </c>
      <c r="C6778" s="2" t="s">
        <v>692</v>
      </c>
      <c r="D6778" s="2" t="s">
        <v>10</v>
      </c>
      <c r="E6778" s="2" t="s">
        <v>16</v>
      </c>
      <c r="F6778" s="2">
        <v>1</v>
      </c>
      <c r="G6778" s="2" t="s">
        <v>17</v>
      </c>
    </row>
    <row r="6779" spans="1:7" x14ac:dyDescent="0.2">
      <c r="A6779" s="2" t="s">
        <v>8291</v>
      </c>
      <c r="B6779" s="2" t="s">
        <v>8313</v>
      </c>
      <c r="C6779" s="2" t="s">
        <v>692</v>
      </c>
      <c r="D6779" s="2" t="s">
        <v>10</v>
      </c>
      <c r="E6779" s="2" t="s">
        <v>16</v>
      </c>
      <c r="F6779" s="2">
        <v>1</v>
      </c>
      <c r="G6779" s="2" t="s">
        <v>17</v>
      </c>
    </row>
    <row r="6780" spans="1:7" x14ac:dyDescent="0.2">
      <c r="A6780" s="2" t="s">
        <v>8291</v>
      </c>
      <c r="B6780" s="2" t="s">
        <v>8314</v>
      </c>
      <c r="C6780" s="2" t="s">
        <v>692</v>
      </c>
      <c r="D6780" s="2" t="s">
        <v>10</v>
      </c>
      <c r="E6780" s="2" t="s">
        <v>16</v>
      </c>
      <c r="F6780" s="2">
        <v>1</v>
      </c>
      <c r="G6780" s="2" t="s">
        <v>17</v>
      </c>
    </row>
    <row r="6781" spans="1:7" x14ac:dyDescent="0.2">
      <c r="A6781" s="2" t="s">
        <v>8291</v>
      </c>
      <c r="B6781" s="2" t="s">
        <v>8315</v>
      </c>
      <c r="C6781" s="2" t="s">
        <v>692</v>
      </c>
      <c r="D6781" s="2" t="s">
        <v>10</v>
      </c>
      <c r="E6781" s="2" t="s">
        <v>16</v>
      </c>
      <c r="F6781" s="2">
        <v>1</v>
      </c>
      <c r="G6781" s="2" t="s">
        <v>17</v>
      </c>
    </row>
    <row r="6782" spans="1:7" x14ac:dyDescent="0.2">
      <c r="A6782" s="2" t="s">
        <v>8291</v>
      </c>
      <c r="B6782" s="2" t="s">
        <v>8316</v>
      </c>
      <c r="C6782" s="2" t="s">
        <v>692</v>
      </c>
      <c r="D6782" s="2" t="s">
        <v>10</v>
      </c>
      <c r="E6782" s="2" t="s">
        <v>16</v>
      </c>
      <c r="F6782" s="2">
        <v>1</v>
      </c>
      <c r="G6782" s="2" t="s">
        <v>17</v>
      </c>
    </row>
    <row r="6783" spans="1:7" x14ac:dyDescent="0.2">
      <c r="A6783" s="2" t="s">
        <v>8291</v>
      </c>
      <c r="B6783" s="2" t="s">
        <v>8317</v>
      </c>
      <c r="C6783" s="2" t="s">
        <v>8292</v>
      </c>
      <c r="D6783" s="2" t="s">
        <v>10</v>
      </c>
      <c r="E6783" s="2" t="s">
        <v>16</v>
      </c>
      <c r="F6783" s="2">
        <v>1</v>
      </c>
      <c r="G6783" s="2" t="s">
        <v>17</v>
      </c>
    </row>
    <row r="6784" spans="1:7" x14ac:dyDescent="0.2">
      <c r="A6784" s="2" t="s">
        <v>8291</v>
      </c>
      <c r="B6784" s="2" t="s">
        <v>8318</v>
      </c>
      <c r="C6784" s="2" t="s">
        <v>8292</v>
      </c>
      <c r="D6784" s="2" t="s">
        <v>10</v>
      </c>
      <c r="E6784" s="2" t="s">
        <v>16</v>
      </c>
      <c r="F6784" s="2">
        <v>1</v>
      </c>
      <c r="G6784" s="2" t="s">
        <v>17</v>
      </c>
    </row>
    <row r="6785" spans="1:7" x14ac:dyDescent="0.2">
      <c r="A6785" s="2" t="s">
        <v>8291</v>
      </c>
      <c r="B6785" s="2" t="s">
        <v>8319</v>
      </c>
      <c r="C6785" s="2" t="s">
        <v>8292</v>
      </c>
      <c r="D6785" s="2" t="s">
        <v>10</v>
      </c>
      <c r="E6785" s="2" t="s">
        <v>16</v>
      </c>
      <c r="F6785" s="2">
        <v>1</v>
      </c>
      <c r="G6785" s="2" t="s">
        <v>17</v>
      </c>
    </row>
    <row r="6786" spans="1:7" x14ac:dyDescent="0.2">
      <c r="A6786" s="2" t="s">
        <v>8291</v>
      </c>
      <c r="B6786" s="2" t="s">
        <v>8320</v>
      </c>
      <c r="C6786" s="2" t="s">
        <v>692</v>
      </c>
      <c r="D6786" s="2" t="s">
        <v>10</v>
      </c>
      <c r="E6786" s="2" t="s">
        <v>16</v>
      </c>
      <c r="F6786" s="2">
        <v>1</v>
      </c>
      <c r="G6786" s="2" t="s">
        <v>17</v>
      </c>
    </row>
    <row r="6787" spans="1:7" x14ac:dyDescent="0.2">
      <c r="A6787" s="2" t="s">
        <v>8291</v>
      </c>
      <c r="B6787" s="2" t="s">
        <v>8321</v>
      </c>
      <c r="C6787" s="2" t="s">
        <v>8292</v>
      </c>
      <c r="D6787" s="2" t="s">
        <v>10</v>
      </c>
      <c r="E6787" s="2" t="s">
        <v>16</v>
      </c>
      <c r="F6787" s="2">
        <v>1</v>
      </c>
      <c r="G6787" s="2" t="s">
        <v>17</v>
      </c>
    </row>
    <row r="6788" spans="1:7" x14ac:dyDescent="0.2">
      <c r="A6788" s="2" t="s">
        <v>8291</v>
      </c>
      <c r="B6788" s="2" t="s">
        <v>8322</v>
      </c>
      <c r="C6788" s="2" t="s">
        <v>8292</v>
      </c>
      <c r="D6788" s="2" t="s">
        <v>10</v>
      </c>
      <c r="E6788" s="2" t="s">
        <v>16</v>
      </c>
      <c r="F6788" s="2">
        <v>1</v>
      </c>
      <c r="G6788" s="2" t="s">
        <v>17</v>
      </c>
    </row>
    <row r="6789" spans="1:7" x14ac:dyDescent="0.2">
      <c r="A6789" s="2" t="s">
        <v>8291</v>
      </c>
      <c r="B6789" s="2" t="s">
        <v>8323</v>
      </c>
      <c r="C6789" s="2" t="s">
        <v>692</v>
      </c>
      <c r="D6789" s="2" t="s">
        <v>10</v>
      </c>
      <c r="E6789" s="2" t="s">
        <v>16</v>
      </c>
      <c r="F6789" s="2">
        <v>1</v>
      </c>
      <c r="G6789" s="2" t="s">
        <v>17</v>
      </c>
    </row>
    <row r="6790" spans="1:7" x14ac:dyDescent="0.2">
      <c r="A6790" s="2" t="s">
        <v>8291</v>
      </c>
      <c r="B6790" s="2" t="s">
        <v>8324</v>
      </c>
      <c r="C6790" s="2" t="s">
        <v>692</v>
      </c>
      <c r="D6790" s="2" t="s">
        <v>10</v>
      </c>
      <c r="E6790" s="2" t="s">
        <v>16</v>
      </c>
      <c r="F6790" s="2">
        <v>1</v>
      </c>
      <c r="G6790" s="2" t="s">
        <v>17</v>
      </c>
    </row>
    <row r="6791" spans="1:7" x14ac:dyDescent="0.2">
      <c r="A6791" s="2" t="s">
        <v>8291</v>
      </c>
      <c r="B6791" s="2" t="s">
        <v>8325</v>
      </c>
      <c r="C6791" s="2" t="s">
        <v>8326</v>
      </c>
      <c r="D6791" s="2" t="s">
        <v>10</v>
      </c>
      <c r="E6791" s="2" t="s">
        <v>16</v>
      </c>
      <c r="F6791" s="2">
        <v>1</v>
      </c>
      <c r="G6791" s="2" t="s">
        <v>17</v>
      </c>
    </row>
    <row r="6792" spans="1:7" x14ac:dyDescent="0.2">
      <c r="A6792" s="2" t="s">
        <v>8291</v>
      </c>
      <c r="B6792" s="2" t="s">
        <v>8327</v>
      </c>
      <c r="C6792" s="2" t="s">
        <v>8326</v>
      </c>
      <c r="D6792" s="2" t="s">
        <v>10</v>
      </c>
      <c r="E6792" s="2" t="s">
        <v>16</v>
      </c>
      <c r="F6792" s="2">
        <v>1</v>
      </c>
      <c r="G6792" s="2" t="s">
        <v>17</v>
      </c>
    </row>
    <row r="6793" spans="1:7" x14ac:dyDescent="0.2">
      <c r="A6793" s="2" t="s">
        <v>8291</v>
      </c>
      <c r="B6793" s="2" t="s">
        <v>8328</v>
      </c>
      <c r="C6793" s="2" t="s">
        <v>692</v>
      </c>
      <c r="D6793" s="2" t="s">
        <v>10</v>
      </c>
      <c r="E6793" s="2" t="s">
        <v>16</v>
      </c>
      <c r="F6793" s="2">
        <v>1</v>
      </c>
      <c r="G6793" s="2" t="s">
        <v>17</v>
      </c>
    </row>
    <row r="6794" spans="1:7" x14ac:dyDescent="0.2">
      <c r="A6794" s="2" t="s">
        <v>8291</v>
      </c>
      <c r="B6794" s="2" t="s">
        <v>173</v>
      </c>
      <c r="C6794" s="2" t="s">
        <v>692</v>
      </c>
      <c r="D6794" s="2" t="s">
        <v>10</v>
      </c>
      <c r="E6794" s="2" t="s">
        <v>16</v>
      </c>
      <c r="F6794" s="2">
        <v>1</v>
      </c>
      <c r="G6794" s="2" t="s">
        <v>17</v>
      </c>
    </row>
    <row r="6795" spans="1:7" x14ac:dyDescent="0.2">
      <c r="A6795" s="2" t="s">
        <v>8291</v>
      </c>
      <c r="B6795" s="2" t="s">
        <v>8329</v>
      </c>
      <c r="C6795" s="2" t="s">
        <v>8300</v>
      </c>
      <c r="D6795" s="2" t="s">
        <v>10</v>
      </c>
      <c r="E6795" s="2" t="s">
        <v>16</v>
      </c>
      <c r="F6795" s="2">
        <v>1</v>
      </c>
      <c r="G6795" s="2" t="s">
        <v>17</v>
      </c>
    </row>
    <row r="6796" spans="1:7" x14ac:dyDescent="0.2">
      <c r="A6796" s="2" t="s">
        <v>8291</v>
      </c>
      <c r="B6796" s="2" t="s">
        <v>8330</v>
      </c>
      <c r="C6796" s="2" t="s">
        <v>692</v>
      </c>
      <c r="D6796" s="2" t="s">
        <v>10</v>
      </c>
      <c r="E6796" s="2" t="s">
        <v>16</v>
      </c>
      <c r="F6796" s="2">
        <v>1</v>
      </c>
      <c r="G6796" s="2" t="s">
        <v>17</v>
      </c>
    </row>
    <row r="6797" spans="1:7" x14ac:dyDescent="0.2">
      <c r="A6797" s="2" t="s">
        <v>8291</v>
      </c>
      <c r="B6797" s="2" t="s">
        <v>4139</v>
      </c>
      <c r="C6797" s="2" t="s">
        <v>8326</v>
      </c>
      <c r="D6797" s="2" t="s">
        <v>10</v>
      </c>
      <c r="E6797" s="2" t="s">
        <v>16</v>
      </c>
      <c r="F6797" s="2">
        <v>1</v>
      </c>
      <c r="G6797" s="2" t="s">
        <v>17</v>
      </c>
    </row>
    <row r="6798" spans="1:7" x14ac:dyDescent="0.2">
      <c r="A6798" s="2" t="s">
        <v>8291</v>
      </c>
      <c r="B6798" s="2" t="s">
        <v>8331</v>
      </c>
      <c r="C6798" s="2" t="s">
        <v>692</v>
      </c>
      <c r="D6798" s="2" t="s">
        <v>10</v>
      </c>
      <c r="E6798" s="2" t="s">
        <v>16</v>
      </c>
      <c r="F6798" s="2">
        <v>1</v>
      </c>
      <c r="G6798" s="2" t="s">
        <v>17</v>
      </c>
    </row>
    <row r="6799" spans="1:7" x14ac:dyDescent="0.2">
      <c r="A6799" s="2" t="s">
        <v>8291</v>
      </c>
      <c r="B6799" s="2" t="s">
        <v>8332</v>
      </c>
      <c r="C6799" s="2" t="s">
        <v>692</v>
      </c>
      <c r="D6799" s="2" t="s">
        <v>10</v>
      </c>
      <c r="E6799" s="2" t="s">
        <v>16</v>
      </c>
      <c r="F6799" s="2">
        <v>1</v>
      </c>
      <c r="G6799" s="2" t="s">
        <v>17</v>
      </c>
    </row>
    <row r="6800" spans="1:7" x14ac:dyDescent="0.2">
      <c r="A6800" s="2" t="s">
        <v>8291</v>
      </c>
      <c r="B6800" s="2" t="s">
        <v>2483</v>
      </c>
      <c r="C6800" s="2" t="s">
        <v>692</v>
      </c>
      <c r="D6800" s="2" t="s">
        <v>10</v>
      </c>
      <c r="E6800" s="2" t="s">
        <v>16</v>
      </c>
      <c r="F6800" s="2">
        <v>1</v>
      </c>
      <c r="G6800" s="2" t="s">
        <v>17</v>
      </c>
    </row>
    <row r="6801" spans="1:7" x14ac:dyDescent="0.2">
      <c r="A6801" s="2" t="s">
        <v>8291</v>
      </c>
      <c r="B6801" s="2" t="s">
        <v>8333</v>
      </c>
      <c r="C6801" s="2" t="s">
        <v>692</v>
      </c>
      <c r="D6801" s="2" t="s">
        <v>10</v>
      </c>
      <c r="E6801" s="2" t="s">
        <v>16</v>
      </c>
      <c r="F6801" s="2">
        <v>1</v>
      </c>
      <c r="G6801" s="2" t="s">
        <v>17</v>
      </c>
    </row>
    <row r="6802" spans="1:7" x14ac:dyDescent="0.2">
      <c r="A6802" s="2" t="s">
        <v>8291</v>
      </c>
      <c r="B6802" s="2" t="s">
        <v>8334</v>
      </c>
      <c r="C6802" s="2" t="s">
        <v>692</v>
      </c>
      <c r="D6802" s="2" t="s">
        <v>10</v>
      </c>
      <c r="E6802" s="2" t="s">
        <v>16</v>
      </c>
      <c r="F6802" s="2">
        <v>1</v>
      </c>
      <c r="G6802" s="2" t="s">
        <v>17</v>
      </c>
    </row>
    <row r="6803" spans="1:7" x14ac:dyDescent="0.2">
      <c r="A6803" s="2" t="s">
        <v>8291</v>
      </c>
      <c r="B6803" s="2" t="s">
        <v>8335</v>
      </c>
      <c r="C6803" s="2" t="s">
        <v>8292</v>
      </c>
      <c r="D6803" s="2" t="s">
        <v>10</v>
      </c>
      <c r="E6803" s="2" t="s">
        <v>16</v>
      </c>
      <c r="F6803" s="2">
        <v>1</v>
      </c>
      <c r="G6803" s="2" t="s">
        <v>17</v>
      </c>
    </row>
    <row r="6804" spans="1:7" x14ac:dyDescent="0.2">
      <c r="A6804" s="2" t="s">
        <v>8291</v>
      </c>
      <c r="B6804" s="2" t="s">
        <v>8336</v>
      </c>
      <c r="C6804" s="2" t="s">
        <v>8300</v>
      </c>
      <c r="D6804" s="2" t="s">
        <v>10</v>
      </c>
      <c r="E6804" s="2" t="s">
        <v>16</v>
      </c>
      <c r="F6804" s="2">
        <v>1</v>
      </c>
      <c r="G6804" s="2" t="s">
        <v>17</v>
      </c>
    </row>
    <row r="6805" spans="1:7" x14ac:dyDescent="0.2">
      <c r="A6805" s="2" t="s">
        <v>8291</v>
      </c>
      <c r="B6805" s="2" t="s">
        <v>8337</v>
      </c>
      <c r="C6805" s="2" t="s">
        <v>8292</v>
      </c>
      <c r="D6805" s="2" t="s">
        <v>10</v>
      </c>
      <c r="E6805" s="2" t="s">
        <v>16</v>
      </c>
      <c r="F6805" s="2">
        <v>1</v>
      </c>
      <c r="G6805" s="2" t="s">
        <v>17</v>
      </c>
    </row>
    <row r="6806" spans="1:7" x14ac:dyDescent="0.2">
      <c r="A6806" s="2" t="s">
        <v>8291</v>
      </c>
      <c r="B6806" s="2" t="s">
        <v>8338</v>
      </c>
      <c r="C6806" s="2" t="s">
        <v>8292</v>
      </c>
      <c r="D6806" s="2" t="s">
        <v>10</v>
      </c>
      <c r="E6806" s="2" t="s">
        <v>16</v>
      </c>
      <c r="F6806" s="2">
        <v>1</v>
      </c>
      <c r="G6806" s="2" t="s">
        <v>17</v>
      </c>
    </row>
    <row r="6807" spans="1:7" x14ac:dyDescent="0.2">
      <c r="A6807" s="2" t="s">
        <v>8291</v>
      </c>
      <c r="B6807" s="2" t="s">
        <v>8339</v>
      </c>
      <c r="C6807" s="2" t="s">
        <v>692</v>
      </c>
      <c r="D6807" s="2" t="s">
        <v>10</v>
      </c>
      <c r="E6807" s="2" t="s">
        <v>16</v>
      </c>
      <c r="F6807" s="2">
        <v>1</v>
      </c>
      <c r="G6807" s="2" t="s">
        <v>17</v>
      </c>
    </row>
    <row r="6808" spans="1:7" x14ac:dyDescent="0.2">
      <c r="A6808" s="2" t="s">
        <v>8291</v>
      </c>
      <c r="B6808" s="2" t="s">
        <v>8340</v>
      </c>
      <c r="C6808" s="2" t="s">
        <v>692</v>
      </c>
      <c r="D6808" s="2" t="s">
        <v>10</v>
      </c>
      <c r="E6808" s="2" t="s">
        <v>16</v>
      </c>
      <c r="F6808" s="2">
        <v>1</v>
      </c>
      <c r="G6808" s="2" t="s">
        <v>17</v>
      </c>
    </row>
    <row r="6809" spans="1:7" x14ac:dyDescent="0.2">
      <c r="A6809" s="2" t="s">
        <v>8291</v>
      </c>
      <c r="B6809" s="2" t="s">
        <v>8341</v>
      </c>
      <c r="C6809" s="2" t="s">
        <v>692</v>
      </c>
      <c r="D6809" s="2" t="s">
        <v>10</v>
      </c>
      <c r="E6809" s="2" t="s">
        <v>16</v>
      </c>
      <c r="F6809" s="2">
        <v>1</v>
      </c>
      <c r="G6809" s="2" t="s">
        <v>17</v>
      </c>
    </row>
    <row r="6810" spans="1:7" x14ac:dyDescent="0.2">
      <c r="A6810" s="2" t="s">
        <v>8291</v>
      </c>
      <c r="B6810" s="2" t="s">
        <v>8342</v>
      </c>
      <c r="C6810" s="2" t="s">
        <v>692</v>
      </c>
      <c r="D6810" s="2" t="s">
        <v>10</v>
      </c>
      <c r="E6810" s="2" t="s">
        <v>16</v>
      </c>
      <c r="F6810" s="2">
        <v>1</v>
      </c>
      <c r="G6810" s="2" t="s">
        <v>17</v>
      </c>
    </row>
    <row r="6811" spans="1:7" x14ac:dyDescent="0.2">
      <c r="A6811" s="2" t="s">
        <v>8291</v>
      </c>
      <c r="B6811" s="2" t="s">
        <v>8343</v>
      </c>
      <c r="C6811" s="2" t="s">
        <v>692</v>
      </c>
      <c r="D6811" s="2" t="s">
        <v>10</v>
      </c>
      <c r="E6811" s="2" t="s">
        <v>16</v>
      </c>
      <c r="F6811" s="2">
        <v>1</v>
      </c>
      <c r="G6811" s="2" t="s">
        <v>17</v>
      </c>
    </row>
    <row r="6812" spans="1:7" x14ac:dyDescent="0.2">
      <c r="A6812" s="2" t="s">
        <v>8291</v>
      </c>
      <c r="B6812" s="2" t="s">
        <v>8344</v>
      </c>
      <c r="C6812" s="2" t="s">
        <v>692</v>
      </c>
      <c r="D6812" s="2" t="s">
        <v>10</v>
      </c>
      <c r="E6812" s="2" t="s">
        <v>16</v>
      </c>
      <c r="F6812" s="2">
        <v>1</v>
      </c>
      <c r="G6812" s="2" t="s">
        <v>17</v>
      </c>
    </row>
    <row r="6813" spans="1:7" x14ac:dyDescent="0.2">
      <c r="A6813" s="2" t="s">
        <v>8291</v>
      </c>
      <c r="B6813" s="2" t="s">
        <v>8345</v>
      </c>
      <c r="C6813" s="2" t="s">
        <v>8292</v>
      </c>
      <c r="D6813" s="2" t="s">
        <v>10</v>
      </c>
      <c r="E6813" s="2" t="s">
        <v>16</v>
      </c>
      <c r="F6813" s="2">
        <v>1</v>
      </c>
      <c r="G6813" s="2" t="s">
        <v>17</v>
      </c>
    </row>
    <row r="6814" spans="1:7" x14ac:dyDescent="0.2">
      <c r="A6814" s="2" t="s">
        <v>8291</v>
      </c>
      <c r="B6814" s="2" t="s">
        <v>8346</v>
      </c>
      <c r="C6814" s="2" t="s">
        <v>8292</v>
      </c>
      <c r="D6814" s="2" t="s">
        <v>10</v>
      </c>
      <c r="E6814" s="2" t="s">
        <v>16</v>
      </c>
      <c r="F6814" s="2">
        <v>1</v>
      </c>
      <c r="G6814" s="2" t="s">
        <v>17</v>
      </c>
    </row>
    <row r="6815" spans="1:7" x14ac:dyDescent="0.2">
      <c r="A6815" s="2" t="s">
        <v>8291</v>
      </c>
      <c r="B6815" s="2" t="s">
        <v>8347</v>
      </c>
      <c r="C6815" s="2" t="s">
        <v>8292</v>
      </c>
      <c r="D6815" s="2" t="s">
        <v>10</v>
      </c>
      <c r="E6815" s="2" t="s">
        <v>16</v>
      </c>
      <c r="F6815" s="2">
        <v>1</v>
      </c>
      <c r="G6815" s="2" t="s">
        <v>17</v>
      </c>
    </row>
    <row r="6816" spans="1:7" x14ac:dyDescent="0.2">
      <c r="A6816" s="2" t="s">
        <v>8291</v>
      </c>
      <c r="B6816" s="2" t="s">
        <v>8348</v>
      </c>
      <c r="C6816" s="2" t="s">
        <v>8292</v>
      </c>
      <c r="D6816" s="2" t="s">
        <v>10</v>
      </c>
      <c r="E6816" s="2" t="s">
        <v>16</v>
      </c>
      <c r="F6816" s="2">
        <v>1</v>
      </c>
      <c r="G6816" s="2" t="s">
        <v>17</v>
      </c>
    </row>
    <row r="6817" spans="1:7" x14ac:dyDescent="0.2">
      <c r="A6817" s="2" t="s">
        <v>8291</v>
      </c>
      <c r="B6817" s="2" t="s">
        <v>8349</v>
      </c>
      <c r="C6817" s="2" t="s">
        <v>8350</v>
      </c>
      <c r="D6817" s="2" t="s">
        <v>10</v>
      </c>
      <c r="E6817" s="2" t="s">
        <v>16</v>
      </c>
      <c r="F6817" s="2">
        <v>1</v>
      </c>
      <c r="G6817" s="2" t="s">
        <v>17</v>
      </c>
    </row>
    <row r="6818" spans="1:7" x14ac:dyDescent="0.2">
      <c r="A6818" s="2" t="s">
        <v>8291</v>
      </c>
      <c r="B6818" s="2" t="s">
        <v>8351</v>
      </c>
      <c r="C6818" s="2" t="s">
        <v>8352</v>
      </c>
      <c r="D6818" s="2" t="s">
        <v>10</v>
      </c>
      <c r="E6818" s="2" t="s">
        <v>16</v>
      </c>
      <c r="F6818" s="2">
        <v>1</v>
      </c>
      <c r="G6818" s="2" t="s">
        <v>17</v>
      </c>
    </row>
    <row r="6819" spans="1:7" x14ac:dyDescent="0.2">
      <c r="A6819" s="2" t="s">
        <v>8353</v>
      </c>
      <c r="B6819" s="2" t="s">
        <v>8354</v>
      </c>
      <c r="C6819" s="2" t="s">
        <v>8355</v>
      </c>
      <c r="D6819" s="2" t="s">
        <v>10</v>
      </c>
      <c r="E6819" s="2" t="s">
        <v>16</v>
      </c>
      <c r="F6819" s="2">
        <v>1</v>
      </c>
      <c r="G6819" s="2" t="s">
        <v>17</v>
      </c>
    </row>
    <row r="6820" spans="1:7" x14ac:dyDescent="0.2">
      <c r="A6820" s="2" t="s">
        <v>8353</v>
      </c>
      <c r="B6820" s="2" t="s">
        <v>8356</v>
      </c>
      <c r="C6820" s="2" t="s">
        <v>8357</v>
      </c>
      <c r="D6820" s="2" t="s">
        <v>10</v>
      </c>
      <c r="E6820" s="2" t="s">
        <v>16</v>
      </c>
      <c r="F6820" s="2">
        <v>1</v>
      </c>
      <c r="G6820" s="2" t="s">
        <v>17</v>
      </c>
    </row>
    <row r="6821" spans="1:7" x14ac:dyDescent="0.2">
      <c r="A6821" s="2" t="s">
        <v>8353</v>
      </c>
      <c r="B6821" s="2" t="s">
        <v>4250</v>
      </c>
      <c r="C6821" s="2" t="s">
        <v>5515</v>
      </c>
      <c r="D6821" s="2" t="s">
        <v>10</v>
      </c>
      <c r="E6821" s="2" t="s">
        <v>16</v>
      </c>
      <c r="F6821" s="2">
        <v>1</v>
      </c>
      <c r="G6821" s="2" t="s">
        <v>17</v>
      </c>
    </row>
    <row r="6822" spans="1:7" x14ac:dyDescent="0.2">
      <c r="A6822" s="2" t="s">
        <v>8353</v>
      </c>
      <c r="B6822" s="2" t="s">
        <v>8358</v>
      </c>
      <c r="C6822" s="2" t="s">
        <v>8355</v>
      </c>
      <c r="D6822" s="2" t="s">
        <v>10</v>
      </c>
      <c r="E6822" s="2" t="s">
        <v>16</v>
      </c>
      <c r="F6822" s="2">
        <v>1</v>
      </c>
      <c r="G6822" s="2" t="s">
        <v>17</v>
      </c>
    </row>
    <row r="6823" spans="1:7" x14ac:dyDescent="0.2">
      <c r="A6823" s="2" t="s">
        <v>8353</v>
      </c>
      <c r="B6823" s="2" t="s">
        <v>8359</v>
      </c>
      <c r="C6823" s="2" t="s">
        <v>8355</v>
      </c>
      <c r="D6823" s="2" t="s">
        <v>10</v>
      </c>
      <c r="E6823" s="2" t="s">
        <v>16</v>
      </c>
      <c r="F6823" s="2">
        <v>1</v>
      </c>
      <c r="G6823" s="2" t="s">
        <v>17</v>
      </c>
    </row>
    <row r="6824" spans="1:7" x14ac:dyDescent="0.2">
      <c r="A6824" s="2" t="s">
        <v>8353</v>
      </c>
      <c r="B6824" s="2" t="s">
        <v>8360</v>
      </c>
      <c r="C6824" s="2" t="s">
        <v>8355</v>
      </c>
      <c r="D6824" s="2" t="s">
        <v>10</v>
      </c>
      <c r="E6824" s="2" t="s">
        <v>16</v>
      </c>
      <c r="F6824" s="2">
        <v>1</v>
      </c>
      <c r="G6824" s="2" t="s">
        <v>17</v>
      </c>
    </row>
    <row r="6825" spans="1:7" x14ac:dyDescent="0.2">
      <c r="A6825" s="2" t="s">
        <v>8353</v>
      </c>
      <c r="B6825" s="2" t="s">
        <v>8361</v>
      </c>
      <c r="C6825" s="2" t="s">
        <v>8362</v>
      </c>
      <c r="D6825" s="2" t="s">
        <v>10</v>
      </c>
      <c r="E6825" s="2" t="s">
        <v>16</v>
      </c>
      <c r="F6825" s="2">
        <v>1</v>
      </c>
      <c r="G6825" s="2" t="s">
        <v>17</v>
      </c>
    </row>
    <row r="6826" spans="1:7" x14ac:dyDescent="0.2">
      <c r="A6826" s="2" t="s">
        <v>8353</v>
      </c>
      <c r="B6826" s="2" t="s">
        <v>8363</v>
      </c>
      <c r="C6826" s="2" t="s">
        <v>8364</v>
      </c>
      <c r="D6826" s="2" t="s">
        <v>10</v>
      </c>
      <c r="E6826" s="2" t="s">
        <v>16</v>
      </c>
      <c r="F6826" s="2">
        <v>1</v>
      </c>
      <c r="G6826" s="2" t="s">
        <v>17</v>
      </c>
    </row>
    <row r="6827" spans="1:7" x14ac:dyDescent="0.2">
      <c r="A6827" s="2" t="s">
        <v>8353</v>
      </c>
      <c r="B6827" s="2" t="s">
        <v>8365</v>
      </c>
      <c r="C6827" s="2" t="s">
        <v>8364</v>
      </c>
      <c r="D6827" s="2" t="s">
        <v>10</v>
      </c>
      <c r="E6827" s="2" t="s">
        <v>16</v>
      </c>
      <c r="F6827" s="2">
        <v>1</v>
      </c>
      <c r="G6827" s="2" t="s">
        <v>17</v>
      </c>
    </row>
    <row r="6828" spans="1:7" x14ac:dyDescent="0.2">
      <c r="A6828" s="2" t="s">
        <v>8353</v>
      </c>
      <c r="B6828" s="2" t="s">
        <v>8366</v>
      </c>
      <c r="C6828" s="2" t="s">
        <v>5515</v>
      </c>
      <c r="D6828" s="2" t="s">
        <v>10</v>
      </c>
      <c r="E6828" s="2" t="s">
        <v>16</v>
      </c>
      <c r="F6828" s="2">
        <v>1</v>
      </c>
      <c r="G6828" s="2" t="s">
        <v>17</v>
      </c>
    </row>
    <row r="6829" spans="1:7" x14ac:dyDescent="0.2">
      <c r="A6829" s="2" t="s">
        <v>8353</v>
      </c>
      <c r="B6829" s="2" t="s">
        <v>8367</v>
      </c>
      <c r="C6829" s="2" t="s">
        <v>5515</v>
      </c>
      <c r="D6829" s="2" t="s">
        <v>10</v>
      </c>
      <c r="E6829" s="2" t="s">
        <v>16</v>
      </c>
      <c r="F6829" s="2">
        <v>1</v>
      </c>
      <c r="G6829" s="2" t="s">
        <v>17</v>
      </c>
    </row>
    <row r="6830" spans="1:7" x14ac:dyDescent="0.2">
      <c r="A6830" s="2" t="s">
        <v>8353</v>
      </c>
      <c r="B6830" s="2" t="s">
        <v>8368</v>
      </c>
      <c r="C6830" s="2" t="s">
        <v>5515</v>
      </c>
      <c r="D6830" s="2" t="s">
        <v>10</v>
      </c>
      <c r="E6830" s="2" t="s">
        <v>16</v>
      </c>
      <c r="F6830" s="2">
        <v>1</v>
      </c>
      <c r="G6830" s="2" t="s">
        <v>17</v>
      </c>
    </row>
    <row r="6831" spans="1:7" x14ac:dyDescent="0.2">
      <c r="A6831" s="2" t="s">
        <v>8353</v>
      </c>
      <c r="B6831" s="2" t="s">
        <v>8369</v>
      </c>
      <c r="C6831" s="2" t="s">
        <v>5515</v>
      </c>
      <c r="D6831" s="2" t="s">
        <v>10</v>
      </c>
      <c r="E6831" s="2" t="s">
        <v>16</v>
      </c>
      <c r="F6831" s="2">
        <v>1</v>
      </c>
      <c r="G6831" s="2" t="s">
        <v>17</v>
      </c>
    </row>
    <row r="6832" spans="1:7" x14ac:dyDescent="0.2">
      <c r="A6832" s="2" t="s">
        <v>8353</v>
      </c>
      <c r="B6832" s="2" t="s">
        <v>8370</v>
      </c>
      <c r="C6832" s="2" t="s">
        <v>5515</v>
      </c>
      <c r="D6832" s="2" t="s">
        <v>10</v>
      </c>
      <c r="E6832" s="2" t="s">
        <v>16</v>
      </c>
      <c r="F6832" s="2">
        <v>1</v>
      </c>
      <c r="G6832" s="2" t="s">
        <v>17</v>
      </c>
    </row>
    <row r="6833" spans="1:7" x14ac:dyDescent="0.2">
      <c r="A6833" s="2" t="s">
        <v>8353</v>
      </c>
      <c r="B6833" s="2" t="s">
        <v>8371</v>
      </c>
      <c r="C6833" s="2" t="s">
        <v>5515</v>
      </c>
      <c r="D6833" s="2" t="s">
        <v>10</v>
      </c>
      <c r="E6833" s="2" t="s">
        <v>16</v>
      </c>
      <c r="F6833" s="2">
        <v>1</v>
      </c>
      <c r="G6833" s="2" t="s">
        <v>17</v>
      </c>
    </row>
    <row r="6834" spans="1:7" x14ac:dyDescent="0.2">
      <c r="A6834" s="2" t="s">
        <v>8353</v>
      </c>
      <c r="B6834" s="2" t="s">
        <v>8372</v>
      </c>
      <c r="C6834" s="2" t="s">
        <v>8357</v>
      </c>
      <c r="D6834" s="2" t="s">
        <v>10</v>
      </c>
      <c r="E6834" s="2" t="s">
        <v>16</v>
      </c>
      <c r="F6834" s="2">
        <v>1</v>
      </c>
      <c r="G6834" s="2" t="s">
        <v>17</v>
      </c>
    </row>
    <row r="6835" spans="1:7" x14ac:dyDescent="0.2">
      <c r="A6835" s="2" t="s">
        <v>8353</v>
      </c>
      <c r="B6835" s="2" t="s">
        <v>4689</v>
      </c>
      <c r="C6835" s="2" t="s">
        <v>4690</v>
      </c>
      <c r="D6835" s="2" t="s">
        <v>10</v>
      </c>
      <c r="E6835" s="2" t="s">
        <v>11</v>
      </c>
      <c r="F6835" s="2">
        <v>2</v>
      </c>
      <c r="G6835" s="2" t="s">
        <v>17</v>
      </c>
    </row>
    <row r="6836" spans="1:7" x14ac:dyDescent="0.2">
      <c r="A6836" s="2" t="s">
        <v>8353</v>
      </c>
      <c r="B6836" s="2" t="s">
        <v>8373</v>
      </c>
      <c r="C6836" s="2" t="s">
        <v>8374</v>
      </c>
      <c r="D6836" s="2" t="s">
        <v>10</v>
      </c>
      <c r="E6836" s="2" t="s">
        <v>16</v>
      </c>
      <c r="F6836" s="2">
        <v>1</v>
      </c>
      <c r="G6836" s="2" t="s">
        <v>17</v>
      </c>
    </row>
    <row r="6837" spans="1:7" x14ac:dyDescent="0.2">
      <c r="A6837" s="2" t="s">
        <v>8353</v>
      </c>
      <c r="B6837" s="2" t="s">
        <v>8375</v>
      </c>
      <c r="C6837" s="2" t="s">
        <v>8374</v>
      </c>
      <c r="D6837" s="2" t="s">
        <v>10</v>
      </c>
      <c r="E6837" s="2" t="s">
        <v>16</v>
      </c>
      <c r="F6837" s="2">
        <v>1</v>
      </c>
      <c r="G6837" s="2" t="s">
        <v>17</v>
      </c>
    </row>
    <row r="6838" spans="1:7" x14ac:dyDescent="0.2">
      <c r="A6838" s="2" t="s">
        <v>8353</v>
      </c>
      <c r="B6838" s="2" t="s">
        <v>8376</v>
      </c>
      <c r="C6838" s="2" t="s">
        <v>8374</v>
      </c>
      <c r="D6838" s="2" t="s">
        <v>10</v>
      </c>
      <c r="E6838" s="2" t="s">
        <v>16</v>
      </c>
      <c r="F6838" s="2">
        <v>1</v>
      </c>
      <c r="G6838" s="2" t="s">
        <v>17</v>
      </c>
    </row>
    <row r="6839" spans="1:7" x14ac:dyDescent="0.2">
      <c r="A6839" s="2" t="s">
        <v>8353</v>
      </c>
      <c r="B6839" s="2" t="s">
        <v>8377</v>
      </c>
      <c r="C6839" s="2" t="s">
        <v>8374</v>
      </c>
      <c r="D6839" s="2" t="s">
        <v>10</v>
      </c>
      <c r="E6839" s="2" t="s">
        <v>16</v>
      </c>
      <c r="F6839" s="2">
        <v>1</v>
      </c>
      <c r="G6839" s="2" t="s">
        <v>17</v>
      </c>
    </row>
    <row r="6840" spans="1:7" x14ac:dyDescent="0.2">
      <c r="A6840" s="2" t="s">
        <v>8353</v>
      </c>
      <c r="B6840" s="2" t="s">
        <v>8378</v>
      </c>
      <c r="C6840" s="2" t="s">
        <v>8374</v>
      </c>
      <c r="D6840" s="2" t="s">
        <v>10</v>
      </c>
      <c r="E6840" s="2" t="s">
        <v>16</v>
      </c>
      <c r="F6840" s="2">
        <v>1</v>
      </c>
      <c r="G6840" s="2" t="s">
        <v>17</v>
      </c>
    </row>
    <row r="6841" spans="1:7" x14ac:dyDescent="0.2">
      <c r="A6841" s="2" t="s">
        <v>8353</v>
      </c>
      <c r="B6841" s="2" t="s">
        <v>8379</v>
      </c>
      <c r="C6841" s="2" t="s">
        <v>8374</v>
      </c>
      <c r="D6841" s="2" t="s">
        <v>10</v>
      </c>
      <c r="E6841" s="2" t="s">
        <v>16</v>
      </c>
      <c r="F6841" s="2">
        <v>1</v>
      </c>
      <c r="G6841" s="2" t="s">
        <v>17</v>
      </c>
    </row>
    <row r="6842" spans="1:7" x14ac:dyDescent="0.2">
      <c r="A6842" s="2" t="s">
        <v>8353</v>
      </c>
      <c r="B6842" s="2" t="s">
        <v>8380</v>
      </c>
      <c r="C6842" s="2" t="s">
        <v>8374</v>
      </c>
      <c r="D6842" s="2" t="s">
        <v>10</v>
      </c>
      <c r="E6842" s="2" t="s">
        <v>16</v>
      </c>
      <c r="F6842" s="2">
        <v>1</v>
      </c>
      <c r="G6842" s="2" t="s">
        <v>17</v>
      </c>
    </row>
    <row r="6843" spans="1:7" x14ac:dyDescent="0.2">
      <c r="A6843" s="2" t="s">
        <v>8353</v>
      </c>
      <c r="B6843" s="2" t="s">
        <v>8381</v>
      </c>
      <c r="C6843" s="2" t="s">
        <v>8374</v>
      </c>
      <c r="D6843" s="2" t="s">
        <v>10</v>
      </c>
      <c r="E6843" s="2" t="s">
        <v>16</v>
      </c>
      <c r="F6843" s="2">
        <v>1</v>
      </c>
      <c r="G6843" s="2" t="s">
        <v>17</v>
      </c>
    </row>
    <row r="6844" spans="1:7" x14ac:dyDescent="0.2">
      <c r="A6844" s="2" t="s">
        <v>8353</v>
      </c>
      <c r="B6844" s="2" t="s">
        <v>4691</v>
      </c>
      <c r="C6844" s="2" t="s">
        <v>4690</v>
      </c>
      <c r="D6844" s="2" t="s">
        <v>10</v>
      </c>
      <c r="E6844" s="2" t="s">
        <v>11</v>
      </c>
      <c r="F6844" s="2">
        <v>2</v>
      </c>
      <c r="G6844" s="2" t="s">
        <v>17</v>
      </c>
    </row>
    <row r="6845" spans="1:7" x14ac:dyDescent="0.2">
      <c r="A6845" s="2" t="s">
        <v>8353</v>
      </c>
      <c r="B6845" s="2" t="s">
        <v>8382</v>
      </c>
      <c r="C6845" s="2" t="s">
        <v>8374</v>
      </c>
      <c r="D6845" s="2" t="s">
        <v>10</v>
      </c>
      <c r="E6845" s="2" t="s">
        <v>16</v>
      </c>
      <c r="F6845" s="2">
        <v>1</v>
      </c>
      <c r="G6845" s="2" t="s">
        <v>17</v>
      </c>
    </row>
    <row r="6846" spans="1:7" x14ac:dyDescent="0.2">
      <c r="A6846" s="2" t="s">
        <v>8353</v>
      </c>
      <c r="B6846" s="2" t="s">
        <v>8383</v>
      </c>
      <c r="C6846" s="2" t="s">
        <v>8374</v>
      </c>
      <c r="D6846" s="2" t="s">
        <v>10</v>
      </c>
      <c r="E6846" s="2" t="s">
        <v>16</v>
      </c>
      <c r="F6846" s="2">
        <v>1</v>
      </c>
      <c r="G6846" s="2" t="s">
        <v>17</v>
      </c>
    </row>
    <row r="6847" spans="1:7" x14ac:dyDescent="0.2">
      <c r="A6847" s="2" t="s">
        <v>8353</v>
      </c>
      <c r="B6847" s="2" t="s">
        <v>8384</v>
      </c>
      <c r="C6847" s="2" t="s">
        <v>8374</v>
      </c>
      <c r="D6847" s="2" t="s">
        <v>10</v>
      </c>
      <c r="E6847" s="2" t="s">
        <v>16</v>
      </c>
      <c r="F6847" s="2">
        <v>1</v>
      </c>
      <c r="G6847" s="2" t="s">
        <v>17</v>
      </c>
    </row>
    <row r="6848" spans="1:7" x14ac:dyDescent="0.2">
      <c r="A6848" s="2" t="s">
        <v>8353</v>
      </c>
      <c r="B6848" s="2" t="s">
        <v>8385</v>
      </c>
      <c r="C6848" s="2" t="s">
        <v>8374</v>
      </c>
      <c r="D6848" s="2" t="s">
        <v>10</v>
      </c>
      <c r="E6848" s="2" t="s">
        <v>16</v>
      </c>
      <c r="F6848" s="2">
        <v>1</v>
      </c>
      <c r="G6848" s="2" t="s">
        <v>17</v>
      </c>
    </row>
    <row r="6849" spans="1:7" x14ac:dyDescent="0.2">
      <c r="A6849" s="2" t="s">
        <v>8386</v>
      </c>
      <c r="B6849" s="2" t="s">
        <v>8387</v>
      </c>
      <c r="C6849" s="2" t="s">
        <v>8388</v>
      </c>
      <c r="D6849" s="2" t="s">
        <v>10</v>
      </c>
      <c r="E6849" s="2" t="s">
        <v>52</v>
      </c>
      <c r="F6849" s="2">
        <v>1</v>
      </c>
      <c r="G6849" s="2" t="s">
        <v>17</v>
      </c>
    </row>
    <row r="6850" spans="1:7" x14ac:dyDescent="0.2">
      <c r="A6850" s="2" t="s">
        <v>8386</v>
      </c>
      <c r="B6850" s="2" t="s">
        <v>8389</v>
      </c>
      <c r="C6850" s="2" t="s">
        <v>8390</v>
      </c>
      <c r="D6850" s="2" t="s">
        <v>10</v>
      </c>
      <c r="E6850" s="2" t="s">
        <v>16</v>
      </c>
      <c r="F6850" s="2">
        <v>1</v>
      </c>
      <c r="G6850" s="2" t="s">
        <v>17</v>
      </c>
    </row>
    <row r="6851" spans="1:7" x14ac:dyDescent="0.2">
      <c r="A6851" s="2" t="s">
        <v>8386</v>
      </c>
      <c r="B6851" s="2" t="s">
        <v>8391</v>
      </c>
      <c r="C6851" s="2" t="s">
        <v>8390</v>
      </c>
      <c r="D6851" s="2" t="s">
        <v>10</v>
      </c>
      <c r="E6851" s="2" t="s">
        <v>16</v>
      </c>
      <c r="F6851" s="2">
        <v>1</v>
      </c>
      <c r="G6851" s="2" t="s">
        <v>17</v>
      </c>
    </row>
    <row r="6852" spans="1:7" x14ac:dyDescent="0.2">
      <c r="A6852" s="2" t="s">
        <v>8386</v>
      </c>
      <c r="B6852" s="2" t="s">
        <v>7531</v>
      </c>
      <c r="C6852" s="2" t="s">
        <v>7532</v>
      </c>
      <c r="D6852" s="2" t="s">
        <v>10</v>
      </c>
      <c r="E6852" s="2" t="s">
        <v>16</v>
      </c>
      <c r="F6852" s="2">
        <v>1</v>
      </c>
      <c r="G6852" s="2" t="s">
        <v>17</v>
      </c>
    </row>
    <row r="6853" spans="1:7" x14ac:dyDescent="0.2">
      <c r="A6853" s="2" t="s">
        <v>8386</v>
      </c>
      <c r="B6853" s="2" t="s">
        <v>4877</v>
      </c>
      <c r="C6853" s="2" t="s">
        <v>8390</v>
      </c>
      <c r="D6853" s="2" t="s">
        <v>10</v>
      </c>
      <c r="E6853" s="2" t="s">
        <v>16</v>
      </c>
      <c r="F6853" s="2">
        <v>1</v>
      </c>
      <c r="G6853" s="2" t="s">
        <v>17</v>
      </c>
    </row>
    <row r="6854" spans="1:7" x14ac:dyDescent="0.2">
      <c r="A6854" s="2" t="s">
        <v>8386</v>
      </c>
      <c r="B6854" s="2" t="s">
        <v>8392</v>
      </c>
      <c r="C6854" s="2" t="s">
        <v>8393</v>
      </c>
      <c r="D6854" s="2" t="s">
        <v>10</v>
      </c>
      <c r="E6854" s="2" t="s">
        <v>16</v>
      </c>
      <c r="F6854" s="2">
        <v>1</v>
      </c>
      <c r="G6854" s="2" t="s">
        <v>17</v>
      </c>
    </row>
    <row r="6855" spans="1:7" x14ac:dyDescent="0.2">
      <c r="A6855" s="2" t="s">
        <v>8386</v>
      </c>
      <c r="B6855" s="2" t="s">
        <v>1274</v>
      </c>
      <c r="C6855" s="2" t="s">
        <v>8394</v>
      </c>
      <c r="D6855" s="2" t="s">
        <v>10</v>
      </c>
      <c r="E6855" s="2" t="s">
        <v>16</v>
      </c>
      <c r="F6855" s="2">
        <v>1</v>
      </c>
      <c r="G6855" s="2" t="s">
        <v>17</v>
      </c>
    </row>
    <row r="6856" spans="1:7" x14ac:dyDescent="0.2">
      <c r="A6856" s="2" t="s">
        <v>8386</v>
      </c>
      <c r="B6856" s="2" t="s">
        <v>8395</v>
      </c>
      <c r="C6856" s="2" t="s">
        <v>8396</v>
      </c>
      <c r="D6856" s="2" t="s">
        <v>10</v>
      </c>
      <c r="E6856" s="2" t="s">
        <v>16</v>
      </c>
      <c r="F6856" s="2">
        <v>1</v>
      </c>
      <c r="G6856" s="2" t="s">
        <v>17</v>
      </c>
    </row>
    <row r="6857" spans="1:7" x14ac:dyDescent="0.2">
      <c r="A6857" s="2" t="s">
        <v>8386</v>
      </c>
      <c r="B6857" s="2" t="s">
        <v>8397</v>
      </c>
      <c r="C6857" s="2" t="s">
        <v>8390</v>
      </c>
      <c r="D6857" s="2" t="s">
        <v>10</v>
      </c>
      <c r="E6857" s="2" t="s">
        <v>16</v>
      </c>
      <c r="F6857" s="2">
        <v>1</v>
      </c>
      <c r="G6857" s="2" t="s">
        <v>17</v>
      </c>
    </row>
    <row r="6858" spans="1:7" x14ac:dyDescent="0.2">
      <c r="A6858" s="2" t="s">
        <v>8386</v>
      </c>
      <c r="B6858" s="2" t="s">
        <v>7540</v>
      </c>
      <c r="C6858" s="2" t="s">
        <v>7532</v>
      </c>
      <c r="D6858" s="2" t="s">
        <v>10</v>
      </c>
      <c r="E6858" s="2" t="s">
        <v>16</v>
      </c>
      <c r="F6858" s="2">
        <v>1</v>
      </c>
      <c r="G6858" s="2" t="s">
        <v>17</v>
      </c>
    </row>
    <row r="6859" spans="1:7" x14ac:dyDescent="0.2">
      <c r="A6859" s="2" t="s">
        <v>8386</v>
      </c>
      <c r="B6859" s="2" t="s">
        <v>21</v>
      </c>
      <c r="C6859" s="2" t="s">
        <v>8390</v>
      </c>
      <c r="D6859" s="2" t="s">
        <v>10</v>
      </c>
      <c r="E6859" s="2" t="s">
        <v>16</v>
      </c>
      <c r="F6859" s="2">
        <v>1</v>
      </c>
      <c r="G6859" s="2" t="s">
        <v>17</v>
      </c>
    </row>
    <row r="6860" spans="1:7" x14ac:dyDescent="0.2">
      <c r="A6860" s="2" t="s">
        <v>8386</v>
      </c>
      <c r="B6860" s="2" t="s">
        <v>8398</v>
      </c>
      <c r="C6860" s="2" t="s">
        <v>8390</v>
      </c>
      <c r="D6860" s="2" t="s">
        <v>10</v>
      </c>
      <c r="E6860" s="2" t="s">
        <v>16</v>
      </c>
      <c r="F6860" s="2">
        <v>1</v>
      </c>
      <c r="G6860" s="2" t="s">
        <v>17</v>
      </c>
    </row>
    <row r="6861" spans="1:7" x14ac:dyDescent="0.2">
      <c r="A6861" s="2" t="s">
        <v>8386</v>
      </c>
      <c r="B6861" s="2" t="s">
        <v>8399</v>
      </c>
      <c r="C6861" s="2" t="s">
        <v>8390</v>
      </c>
      <c r="D6861" s="2" t="s">
        <v>10</v>
      </c>
      <c r="E6861" s="2" t="s">
        <v>16</v>
      </c>
      <c r="F6861" s="2">
        <v>1</v>
      </c>
      <c r="G6861" s="2" t="s">
        <v>17</v>
      </c>
    </row>
    <row r="6862" spans="1:7" x14ac:dyDescent="0.2">
      <c r="A6862" s="2" t="s">
        <v>8386</v>
      </c>
      <c r="B6862" s="2" t="s">
        <v>8400</v>
      </c>
      <c r="C6862" s="2" t="s">
        <v>8390</v>
      </c>
      <c r="D6862" s="2" t="s">
        <v>10</v>
      </c>
      <c r="E6862" s="2" t="s">
        <v>16</v>
      </c>
      <c r="F6862" s="2">
        <v>1</v>
      </c>
      <c r="G6862" s="2" t="s">
        <v>17</v>
      </c>
    </row>
    <row r="6863" spans="1:7" x14ac:dyDescent="0.2">
      <c r="A6863" s="2" t="s">
        <v>8386</v>
      </c>
      <c r="B6863" s="2" t="s">
        <v>8401</v>
      </c>
      <c r="C6863" s="2" t="s">
        <v>8390</v>
      </c>
      <c r="D6863" s="2" t="s">
        <v>10</v>
      </c>
      <c r="E6863" s="2" t="s">
        <v>16</v>
      </c>
      <c r="F6863" s="2">
        <v>1</v>
      </c>
      <c r="G6863" s="2" t="s">
        <v>17</v>
      </c>
    </row>
    <row r="6864" spans="1:7" x14ac:dyDescent="0.2">
      <c r="A6864" s="2" t="s">
        <v>8386</v>
      </c>
      <c r="B6864" s="2" t="s">
        <v>7542</v>
      </c>
      <c r="C6864" s="2" t="s">
        <v>7532</v>
      </c>
      <c r="D6864" s="2" t="s">
        <v>10</v>
      </c>
      <c r="E6864" s="2" t="s">
        <v>16</v>
      </c>
      <c r="F6864" s="2">
        <v>1</v>
      </c>
      <c r="G6864" s="2" t="s">
        <v>17</v>
      </c>
    </row>
    <row r="6865" spans="1:7" x14ac:dyDescent="0.2">
      <c r="A6865" s="2" t="s">
        <v>8386</v>
      </c>
      <c r="B6865" s="2" t="s">
        <v>7543</v>
      </c>
      <c r="C6865" s="2" t="s">
        <v>7532</v>
      </c>
      <c r="D6865" s="2" t="s">
        <v>10</v>
      </c>
      <c r="E6865" s="2" t="s">
        <v>16</v>
      </c>
      <c r="F6865" s="2">
        <v>1</v>
      </c>
      <c r="G6865" s="2" t="s">
        <v>17</v>
      </c>
    </row>
    <row r="6866" spans="1:7" x14ac:dyDescent="0.2">
      <c r="A6866" s="2" t="s">
        <v>8386</v>
      </c>
      <c r="B6866" s="2" t="s">
        <v>7544</v>
      </c>
      <c r="C6866" s="2" t="s">
        <v>7532</v>
      </c>
      <c r="D6866" s="2" t="s">
        <v>10</v>
      </c>
      <c r="E6866" s="2" t="s">
        <v>16</v>
      </c>
      <c r="F6866" s="2">
        <v>1</v>
      </c>
      <c r="G6866" s="2" t="s">
        <v>17</v>
      </c>
    </row>
    <row r="6867" spans="1:7" x14ac:dyDescent="0.2">
      <c r="A6867" s="2" t="s">
        <v>8386</v>
      </c>
      <c r="B6867" s="2" t="s">
        <v>7545</v>
      </c>
      <c r="C6867" s="2" t="s">
        <v>7532</v>
      </c>
      <c r="D6867" s="2" t="s">
        <v>10</v>
      </c>
      <c r="E6867" s="2" t="s">
        <v>16</v>
      </c>
      <c r="F6867" s="2">
        <v>1</v>
      </c>
      <c r="G6867" s="2" t="s">
        <v>17</v>
      </c>
    </row>
    <row r="6868" spans="1:7" x14ac:dyDescent="0.2">
      <c r="A6868" s="2" t="s">
        <v>8386</v>
      </c>
      <c r="B6868" s="2" t="s">
        <v>8402</v>
      </c>
      <c r="C6868" s="2" t="s">
        <v>8388</v>
      </c>
      <c r="D6868" s="2" t="s">
        <v>10</v>
      </c>
      <c r="E6868" s="2" t="s">
        <v>52</v>
      </c>
      <c r="F6868" s="2">
        <v>1</v>
      </c>
      <c r="G6868" s="2" t="s">
        <v>17</v>
      </c>
    </row>
    <row r="6869" spans="1:7" x14ac:dyDescent="0.2">
      <c r="A6869" s="2" t="s">
        <v>8386</v>
      </c>
      <c r="B6869" s="2" t="s">
        <v>8403</v>
      </c>
      <c r="C6869" s="2" t="s">
        <v>8388</v>
      </c>
      <c r="D6869" s="2" t="s">
        <v>10</v>
      </c>
      <c r="E6869" s="2" t="s">
        <v>52</v>
      </c>
      <c r="F6869" s="2">
        <v>1</v>
      </c>
      <c r="G6869" s="2" t="s">
        <v>17</v>
      </c>
    </row>
    <row r="6870" spans="1:7" x14ac:dyDescent="0.2">
      <c r="A6870" s="2" t="s">
        <v>8386</v>
      </c>
      <c r="B6870" s="2" t="s">
        <v>7546</v>
      </c>
      <c r="C6870" s="2" t="s">
        <v>7532</v>
      </c>
      <c r="D6870" s="2" t="s">
        <v>10</v>
      </c>
      <c r="E6870" s="2" t="s">
        <v>16</v>
      </c>
      <c r="F6870" s="2">
        <v>1</v>
      </c>
      <c r="G6870" s="2" t="s">
        <v>17</v>
      </c>
    </row>
    <row r="6871" spans="1:7" x14ac:dyDescent="0.2">
      <c r="A6871" s="2" t="s">
        <v>8386</v>
      </c>
      <c r="B6871" s="2" t="s">
        <v>8404</v>
      </c>
      <c r="C6871" s="2" t="s">
        <v>8390</v>
      </c>
      <c r="D6871" s="2" t="s">
        <v>10</v>
      </c>
      <c r="E6871" s="2" t="s">
        <v>16</v>
      </c>
      <c r="F6871" s="2">
        <v>1</v>
      </c>
      <c r="G6871" s="2" t="s">
        <v>17</v>
      </c>
    </row>
    <row r="6872" spans="1:7" x14ac:dyDescent="0.2">
      <c r="A6872" s="2" t="s">
        <v>8386</v>
      </c>
      <c r="B6872" s="2" t="s">
        <v>8405</v>
      </c>
      <c r="C6872" s="2" t="s">
        <v>8406</v>
      </c>
      <c r="D6872" s="2" t="s">
        <v>10</v>
      </c>
      <c r="E6872" s="2" t="s">
        <v>16</v>
      </c>
      <c r="F6872" s="2">
        <v>1</v>
      </c>
      <c r="G6872" s="2" t="s">
        <v>17</v>
      </c>
    </row>
    <row r="6873" spans="1:7" x14ac:dyDescent="0.2">
      <c r="A6873" s="2" t="s">
        <v>8386</v>
      </c>
      <c r="B6873" s="2" t="s">
        <v>8407</v>
      </c>
      <c r="C6873" s="2" t="s">
        <v>8390</v>
      </c>
      <c r="D6873" s="2" t="s">
        <v>10</v>
      </c>
      <c r="E6873" s="2" t="s">
        <v>16</v>
      </c>
      <c r="F6873" s="2">
        <v>1</v>
      </c>
      <c r="G6873" s="2" t="s">
        <v>17</v>
      </c>
    </row>
    <row r="6874" spans="1:7" x14ac:dyDescent="0.2">
      <c r="A6874" s="2" t="s">
        <v>8386</v>
      </c>
      <c r="B6874" s="2" t="s">
        <v>8408</v>
      </c>
      <c r="C6874" s="2" t="s">
        <v>8393</v>
      </c>
      <c r="D6874" s="2" t="s">
        <v>10</v>
      </c>
      <c r="E6874" s="2" t="s">
        <v>16</v>
      </c>
      <c r="F6874" s="2">
        <v>1</v>
      </c>
      <c r="G6874" s="2" t="s">
        <v>17</v>
      </c>
    </row>
    <row r="6875" spans="1:7" x14ac:dyDescent="0.2">
      <c r="A6875" s="2" t="s">
        <v>8386</v>
      </c>
      <c r="B6875" s="2" t="s">
        <v>8409</v>
      </c>
      <c r="C6875" s="2" t="s">
        <v>8396</v>
      </c>
      <c r="D6875" s="2" t="s">
        <v>10</v>
      </c>
      <c r="E6875" s="2" t="s">
        <v>16</v>
      </c>
      <c r="F6875" s="2">
        <v>1</v>
      </c>
      <c r="G6875" s="2" t="s">
        <v>17</v>
      </c>
    </row>
    <row r="6876" spans="1:7" x14ac:dyDescent="0.2">
      <c r="A6876" s="2" t="s">
        <v>8386</v>
      </c>
      <c r="B6876" s="2" t="s">
        <v>8410</v>
      </c>
      <c r="C6876" s="2" t="s">
        <v>8411</v>
      </c>
      <c r="D6876" s="2" t="s">
        <v>10</v>
      </c>
      <c r="E6876" s="2" t="s">
        <v>16</v>
      </c>
      <c r="F6876" s="2">
        <v>1</v>
      </c>
      <c r="G6876" s="2" t="s">
        <v>17</v>
      </c>
    </row>
    <row r="6877" spans="1:7" x14ac:dyDescent="0.2">
      <c r="A6877" s="2" t="s">
        <v>8386</v>
      </c>
      <c r="B6877" s="2" t="s">
        <v>8412</v>
      </c>
      <c r="C6877" s="2" t="s">
        <v>8390</v>
      </c>
      <c r="D6877" s="2" t="s">
        <v>10</v>
      </c>
      <c r="E6877" s="2" t="s">
        <v>16</v>
      </c>
      <c r="F6877" s="2">
        <v>1</v>
      </c>
      <c r="G6877" s="2" t="s">
        <v>17</v>
      </c>
    </row>
    <row r="6878" spans="1:7" x14ac:dyDescent="0.2">
      <c r="A6878" s="2" t="s">
        <v>8386</v>
      </c>
      <c r="B6878" s="2" t="s">
        <v>8413</v>
      </c>
      <c r="C6878" s="2" t="s">
        <v>8393</v>
      </c>
      <c r="D6878" s="2" t="s">
        <v>10</v>
      </c>
      <c r="E6878" s="2" t="s">
        <v>16</v>
      </c>
      <c r="F6878" s="2">
        <v>1</v>
      </c>
      <c r="G6878" s="2" t="s">
        <v>17</v>
      </c>
    </row>
    <row r="6879" spans="1:7" x14ac:dyDescent="0.2">
      <c r="A6879" s="2" t="s">
        <v>8386</v>
      </c>
      <c r="B6879" s="2" t="s">
        <v>8414</v>
      </c>
      <c r="C6879" s="2" t="s">
        <v>8396</v>
      </c>
      <c r="D6879" s="2" t="s">
        <v>10</v>
      </c>
      <c r="E6879" s="2" t="s">
        <v>16</v>
      </c>
      <c r="F6879" s="2">
        <v>1</v>
      </c>
      <c r="G6879" s="2" t="s">
        <v>17</v>
      </c>
    </row>
    <row r="6880" spans="1:7" x14ac:dyDescent="0.2">
      <c r="A6880" s="2" t="s">
        <v>8386</v>
      </c>
      <c r="B6880" s="2" t="s">
        <v>8415</v>
      </c>
      <c r="C6880" s="2" t="s">
        <v>8390</v>
      </c>
      <c r="D6880" s="2" t="s">
        <v>10</v>
      </c>
      <c r="E6880" s="2" t="s">
        <v>16</v>
      </c>
      <c r="F6880" s="2">
        <v>1</v>
      </c>
      <c r="G6880" s="2" t="s">
        <v>17</v>
      </c>
    </row>
    <row r="6881" spans="1:7" x14ac:dyDescent="0.2">
      <c r="A6881" s="2" t="s">
        <v>8386</v>
      </c>
      <c r="B6881" s="2" t="s">
        <v>8416</v>
      </c>
      <c r="C6881" s="2" t="s">
        <v>8390</v>
      </c>
      <c r="D6881" s="2" t="s">
        <v>10</v>
      </c>
      <c r="E6881" s="2" t="s">
        <v>16</v>
      </c>
      <c r="F6881" s="2">
        <v>1</v>
      </c>
      <c r="G6881" s="2" t="s">
        <v>17</v>
      </c>
    </row>
    <row r="6882" spans="1:7" x14ac:dyDescent="0.2">
      <c r="A6882" s="2" t="s">
        <v>8386</v>
      </c>
      <c r="B6882" s="2" t="s">
        <v>8417</v>
      </c>
      <c r="C6882" s="2" t="s">
        <v>8390</v>
      </c>
      <c r="D6882" s="2" t="s">
        <v>10</v>
      </c>
      <c r="E6882" s="2" t="s">
        <v>16</v>
      </c>
      <c r="F6882" s="2">
        <v>1</v>
      </c>
      <c r="G6882" s="2" t="s">
        <v>17</v>
      </c>
    </row>
    <row r="6883" spans="1:7" x14ac:dyDescent="0.2">
      <c r="A6883" s="2" t="s">
        <v>8386</v>
      </c>
      <c r="B6883" s="2" t="s">
        <v>8418</v>
      </c>
      <c r="C6883" s="2" t="s">
        <v>8393</v>
      </c>
      <c r="D6883" s="2" t="s">
        <v>10</v>
      </c>
      <c r="E6883" s="2" t="s">
        <v>16</v>
      </c>
      <c r="F6883" s="2">
        <v>1</v>
      </c>
      <c r="G6883" s="2" t="s">
        <v>17</v>
      </c>
    </row>
    <row r="6884" spans="1:7" x14ac:dyDescent="0.2">
      <c r="A6884" s="2" t="s">
        <v>8386</v>
      </c>
      <c r="B6884" s="2" t="s">
        <v>8419</v>
      </c>
      <c r="C6884" s="2" t="s">
        <v>8390</v>
      </c>
      <c r="D6884" s="2" t="s">
        <v>10</v>
      </c>
      <c r="E6884" s="2" t="s">
        <v>16</v>
      </c>
      <c r="F6884" s="2">
        <v>1</v>
      </c>
      <c r="G6884" s="2" t="s">
        <v>17</v>
      </c>
    </row>
    <row r="6885" spans="1:7" x14ac:dyDescent="0.2">
      <c r="A6885" s="2" t="s">
        <v>8386</v>
      </c>
      <c r="B6885" s="2" t="s">
        <v>8420</v>
      </c>
      <c r="C6885" s="2" t="s">
        <v>8390</v>
      </c>
      <c r="D6885" s="2" t="s">
        <v>10</v>
      </c>
      <c r="E6885" s="2" t="s">
        <v>16</v>
      </c>
      <c r="F6885" s="2">
        <v>1</v>
      </c>
      <c r="G6885" s="2" t="s">
        <v>17</v>
      </c>
    </row>
    <row r="6886" spans="1:7" x14ac:dyDescent="0.2">
      <c r="A6886" s="2" t="s">
        <v>8386</v>
      </c>
      <c r="B6886" s="2" t="s">
        <v>8421</v>
      </c>
      <c r="C6886" s="2" t="s">
        <v>8394</v>
      </c>
      <c r="D6886" s="2" t="s">
        <v>10</v>
      </c>
      <c r="E6886" s="2" t="s">
        <v>16</v>
      </c>
      <c r="F6886" s="2">
        <v>1</v>
      </c>
      <c r="G6886" s="2" t="s">
        <v>17</v>
      </c>
    </row>
    <row r="6887" spans="1:7" x14ac:dyDescent="0.2">
      <c r="A6887" s="2" t="s">
        <v>8386</v>
      </c>
      <c r="B6887" s="2" t="s">
        <v>8422</v>
      </c>
      <c r="C6887" s="2" t="s">
        <v>8390</v>
      </c>
      <c r="D6887" s="2" t="s">
        <v>10</v>
      </c>
      <c r="E6887" s="2" t="s">
        <v>16</v>
      </c>
      <c r="F6887" s="2">
        <v>1</v>
      </c>
      <c r="G6887" s="2" t="s">
        <v>17</v>
      </c>
    </row>
    <row r="6888" spans="1:7" x14ac:dyDescent="0.2">
      <c r="A6888" s="2" t="s">
        <v>8386</v>
      </c>
      <c r="B6888" s="2" t="s">
        <v>8423</v>
      </c>
      <c r="C6888" s="2" t="s">
        <v>8390</v>
      </c>
      <c r="D6888" s="2" t="s">
        <v>10</v>
      </c>
      <c r="E6888" s="2" t="s">
        <v>16</v>
      </c>
      <c r="F6888" s="2">
        <v>1</v>
      </c>
      <c r="G6888" s="2" t="s">
        <v>17</v>
      </c>
    </row>
    <row r="6889" spans="1:7" x14ac:dyDescent="0.2">
      <c r="A6889" s="2" t="s">
        <v>8386</v>
      </c>
      <c r="B6889" s="2" t="s">
        <v>8424</v>
      </c>
      <c r="C6889" s="2" t="s">
        <v>8390</v>
      </c>
      <c r="D6889" s="2" t="s">
        <v>10</v>
      </c>
      <c r="E6889" s="2" t="s">
        <v>16</v>
      </c>
      <c r="F6889" s="2">
        <v>1</v>
      </c>
      <c r="G6889" s="2" t="s">
        <v>17</v>
      </c>
    </row>
    <row r="6890" spans="1:7" x14ac:dyDescent="0.2">
      <c r="A6890" s="2" t="s">
        <v>8386</v>
      </c>
      <c r="B6890" s="2" t="s">
        <v>8425</v>
      </c>
      <c r="C6890" s="2" t="s">
        <v>8390</v>
      </c>
      <c r="D6890" s="2" t="s">
        <v>10</v>
      </c>
      <c r="E6890" s="2" t="s">
        <v>16</v>
      </c>
      <c r="F6890" s="2">
        <v>1</v>
      </c>
      <c r="G6890" s="2" t="s">
        <v>17</v>
      </c>
    </row>
    <row r="6891" spans="1:7" x14ac:dyDescent="0.2">
      <c r="A6891" s="2" t="s">
        <v>8386</v>
      </c>
      <c r="B6891" s="2" t="s">
        <v>8426</v>
      </c>
      <c r="C6891" s="2" t="s">
        <v>8390</v>
      </c>
      <c r="D6891" s="2" t="s">
        <v>10</v>
      </c>
      <c r="E6891" s="2" t="s">
        <v>16</v>
      </c>
      <c r="F6891" s="2">
        <v>1</v>
      </c>
      <c r="G6891" s="2" t="s">
        <v>17</v>
      </c>
    </row>
    <row r="6892" spans="1:7" x14ac:dyDescent="0.2">
      <c r="A6892" s="2" t="s">
        <v>8386</v>
      </c>
      <c r="B6892" s="2" t="s">
        <v>8427</v>
      </c>
      <c r="C6892" s="2" t="s">
        <v>8390</v>
      </c>
      <c r="D6892" s="2" t="s">
        <v>10</v>
      </c>
      <c r="E6892" s="2" t="s">
        <v>16</v>
      </c>
      <c r="F6892" s="2">
        <v>1</v>
      </c>
      <c r="G6892" s="2" t="s">
        <v>17</v>
      </c>
    </row>
    <row r="6893" spans="1:7" x14ac:dyDescent="0.2">
      <c r="A6893" s="2" t="s">
        <v>8428</v>
      </c>
      <c r="B6893" s="2" t="s">
        <v>8429</v>
      </c>
      <c r="C6893" s="2" t="s">
        <v>8430</v>
      </c>
      <c r="D6893" s="2" t="s">
        <v>10</v>
      </c>
      <c r="E6893" s="2" t="s">
        <v>16</v>
      </c>
      <c r="F6893" s="2">
        <v>1</v>
      </c>
      <c r="G6893" s="2" t="s">
        <v>17</v>
      </c>
    </row>
    <row r="6894" spans="1:7" x14ac:dyDescent="0.2">
      <c r="A6894" s="2" t="s">
        <v>8428</v>
      </c>
      <c r="B6894" s="2">
        <v>2150</v>
      </c>
      <c r="C6894" s="2" t="s">
        <v>8430</v>
      </c>
      <c r="D6894" s="2" t="s">
        <v>10</v>
      </c>
      <c r="E6894" s="2" t="s">
        <v>16</v>
      </c>
      <c r="F6894" s="2">
        <v>1</v>
      </c>
      <c r="G6894" s="2" t="s">
        <v>17</v>
      </c>
    </row>
    <row r="6895" spans="1:7" x14ac:dyDescent="0.2">
      <c r="A6895" s="2" t="s">
        <v>8428</v>
      </c>
      <c r="B6895" s="2" t="s">
        <v>357</v>
      </c>
      <c r="C6895" s="2" t="s">
        <v>8431</v>
      </c>
      <c r="D6895" s="2" t="s">
        <v>10</v>
      </c>
      <c r="E6895" s="2" t="s">
        <v>16</v>
      </c>
      <c r="F6895" s="2">
        <v>1</v>
      </c>
      <c r="G6895" s="2" t="s">
        <v>17</v>
      </c>
    </row>
    <row r="6896" spans="1:7" x14ac:dyDescent="0.2">
      <c r="A6896" s="2" t="s">
        <v>8428</v>
      </c>
      <c r="B6896" s="2" t="s">
        <v>8432</v>
      </c>
      <c r="C6896" s="2" t="s">
        <v>8430</v>
      </c>
      <c r="D6896" s="2" t="s">
        <v>10</v>
      </c>
      <c r="E6896" s="2" t="s">
        <v>16</v>
      </c>
      <c r="F6896" s="2">
        <v>1</v>
      </c>
      <c r="G6896" s="2" t="s">
        <v>17</v>
      </c>
    </row>
    <row r="6897" spans="1:7" x14ac:dyDescent="0.2">
      <c r="A6897" s="2" t="s">
        <v>8428</v>
      </c>
      <c r="B6897" s="2" t="s">
        <v>8433</v>
      </c>
      <c r="C6897" s="2" t="s">
        <v>8431</v>
      </c>
      <c r="D6897" s="2" t="s">
        <v>10</v>
      </c>
      <c r="E6897" s="2" t="s">
        <v>16</v>
      </c>
      <c r="F6897" s="2">
        <v>1</v>
      </c>
      <c r="G6897" s="2" t="s">
        <v>17</v>
      </c>
    </row>
    <row r="6898" spans="1:7" x14ac:dyDescent="0.2">
      <c r="A6898" s="2" t="s">
        <v>8434</v>
      </c>
      <c r="B6898" s="2" t="s">
        <v>8435</v>
      </c>
      <c r="C6898" s="2" t="s">
        <v>8436</v>
      </c>
      <c r="D6898" s="2" t="s">
        <v>10</v>
      </c>
      <c r="E6898" s="2" t="s">
        <v>16</v>
      </c>
      <c r="F6898" s="2">
        <v>1</v>
      </c>
      <c r="G6898" s="2" t="s">
        <v>17</v>
      </c>
    </row>
    <row r="6899" spans="1:7" x14ac:dyDescent="0.2">
      <c r="A6899" s="2" t="s">
        <v>8434</v>
      </c>
      <c r="B6899" s="2" t="s">
        <v>6151</v>
      </c>
      <c r="C6899" s="2" t="s">
        <v>8436</v>
      </c>
      <c r="D6899" s="2" t="s">
        <v>10</v>
      </c>
      <c r="E6899" s="2" t="s">
        <v>16</v>
      </c>
      <c r="F6899" s="2">
        <v>1</v>
      </c>
      <c r="G6899" s="2" t="s">
        <v>17</v>
      </c>
    </row>
    <row r="6900" spans="1:7" x14ac:dyDescent="0.2">
      <c r="A6900" s="2" t="s">
        <v>8437</v>
      </c>
      <c r="B6900" s="2" t="s">
        <v>8438</v>
      </c>
      <c r="C6900" s="2" t="s">
        <v>8439</v>
      </c>
      <c r="D6900" s="2" t="s">
        <v>10</v>
      </c>
      <c r="E6900" s="2" t="s">
        <v>16</v>
      </c>
      <c r="F6900" s="2">
        <v>1</v>
      </c>
      <c r="G6900" s="2" t="s">
        <v>17</v>
      </c>
    </row>
    <row r="6901" spans="1:7" x14ac:dyDescent="0.2">
      <c r="A6901" s="2" t="s">
        <v>8440</v>
      </c>
      <c r="B6901" s="2" t="s">
        <v>8441</v>
      </c>
      <c r="C6901" s="2" t="s">
        <v>5515</v>
      </c>
      <c r="D6901" s="2" t="s">
        <v>10</v>
      </c>
      <c r="E6901" s="2" t="s">
        <v>16</v>
      </c>
      <c r="F6901" s="2">
        <v>1</v>
      </c>
      <c r="G6901" s="2" t="s">
        <v>17</v>
      </c>
    </row>
    <row r="6902" spans="1:7" x14ac:dyDescent="0.2">
      <c r="A6902" s="2" t="s">
        <v>8440</v>
      </c>
      <c r="B6902" s="2" t="s">
        <v>8442</v>
      </c>
      <c r="C6902" s="2" t="s">
        <v>5515</v>
      </c>
      <c r="D6902" s="2" t="s">
        <v>10</v>
      </c>
      <c r="E6902" s="2" t="s">
        <v>16</v>
      </c>
      <c r="F6902" s="2">
        <v>1</v>
      </c>
      <c r="G6902" s="2" t="s">
        <v>17</v>
      </c>
    </row>
    <row r="6903" spans="1:7" x14ac:dyDescent="0.2">
      <c r="A6903" s="2" t="s">
        <v>8440</v>
      </c>
      <c r="B6903" s="2" t="s">
        <v>8443</v>
      </c>
      <c r="C6903" s="2" t="s">
        <v>8444</v>
      </c>
      <c r="D6903" s="2" t="s">
        <v>10</v>
      </c>
      <c r="E6903" s="2" t="s">
        <v>16</v>
      </c>
      <c r="F6903" s="2">
        <v>1</v>
      </c>
      <c r="G6903" s="2" t="s">
        <v>17</v>
      </c>
    </row>
    <row r="6904" spans="1:7" x14ac:dyDescent="0.2">
      <c r="A6904" s="2" t="s">
        <v>8440</v>
      </c>
      <c r="B6904" s="2" t="s">
        <v>8445</v>
      </c>
      <c r="C6904" s="2" t="s">
        <v>8444</v>
      </c>
      <c r="D6904" s="2" t="s">
        <v>10</v>
      </c>
      <c r="E6904" s="2" t="s">
        <v>16</v>
      </c>
      <c r="F6904" s="2">
        <v>1</v>
      </c>
      <c r="G6904" s="2" t="s">
        <v>17</v>
      </c>
    </row>
    <row r="6905" spans="1:7" x14ac:dyDescent="0.2">
      <c r="A6905" s="2" t="s">
        <v>8446</v>
      </c>
      <c r="B6905" s="2" t="s">
        <v>8447</v>
      </c>
      <c r="C6905" s="2" t="s">
        <v>8448</v>
      </c>
      <c r="D6905" s="2" t="s">
        <v>10</v>
      </c>
      <c r="E6905" s="2" t="s">
        <v>16</v>
      </c>
      <c r="F6905" s="2">
        <v>1</v>
      </c>
      <c r="G6905" s="2" t="s">
        <v>17</v>
      </c>
    </row>
    <row r="6906" spans="1:7" x14ac:dyDescent="0.2">
      <c r="A6906" s="2" t="s">
        <v>8446</v>
      </c>
      <c r="B6906" s="2" t="s">
        <v>8449</v>
      </c>
      <c r="C6906" s="2" t="s">
        <v>8450</v>
      </c>
      <c r="D6906" s="2" t="s">
        <v>10</v>
      </c>
      <c r="E6906" s="2" t="s">
        <v>16</v>
      </c>
      <c r="F6906" s="2">
        <v>1</v>
      </c>
      <c r="G6906" s="2" t="s">
        <v>17</v>
      </c>
    </row>
    <row r="6907" spans="1:7" x14ac:dyDescent="0.2">
      <c r="A6907" s="2" t="s">
        <v>8446</v>
      </c>
      <c r="B6907" s="2" t="s">
        <v>8451</v>
      </c>
      <c r="C6907" s="2" t="s">
        <v>8452</v>
      </c>
      <c r="D6907" s="2" t="s">
        <v>10</v>
      </c>
      <c r="E6907" s="2" t="s">
        <v>16</v>
      </c>
      <c r="F6907" s="2">
        <v>1</v>
      </c>
      <c r="G6907" s="2" t="s">
        <v>17</v>
      </c>
    </row>
    <row r="6908" spans="1:7" x14ac:dyDescent="0.2">
      <c r="A6908" s="2" t="s">
        <v>8446</v>
      </c>
      <c r="B6908" s="2" t="s">
        <v>8453</v>
      </c>
      <c r="C6908" s="2" t="s">
        <v>8454</v>
      </c>
      <c r="D6908" s="2" t="s">
        <v>10</v>
      </c>
      <c r="E6908" s="2" t="s">
        <v>52</v>
      </c>
      <c r="F6908" s="2">
        <v>1</v>
      </c>
      <c r="G6908" s="2" t="s">
        <v>17</v>
      </c>
    </row>
    <row r="6909" spans="1:7" x14ac:dyDescent="0.2">
      <c r="A6909" s="2" t="s">
        <v>8446</v>
      </c>
      <c r="B6909" s="2" t="s">
        <v>8455</v>
      </c>
      <c r="C6909" s="2" t="s">
        <v>8456</v>
      </c>
      <c r="D6909" s="2" t="s">
        <v>10</v>
      </c>
      <c r="E6909" s="2" t="s">
        <v>16</v>
      </c>
      <c r="F6909" s="2">
        <v>1</v>
      </c>
      <c r="G6909" s="2" t="s">
        <v>17</v>
      </c>
    </row>
    <row r="6910" spans="1:7" x14ac:dyDescent="0.2">
      <c r="A6910" s="2" t="s">
        <v>8457</v>
      </c>
      <c r="B6910" s="2" t="s">
        <v>1378</v>
      </c>
      <c r="C6910" s="2" t="s">
        <v>1379</v>
      </c>
      <c r="D6910" s="2" t="s">
        <v>10</v>
      </c>
      <c r="E6910" s="2" t="s">
        <v>16</v>
      </c>
      <c r="F6910" s="2">
        <v>1</v>
      </c>
      <c r="G6910" s="2" t="s">
        <v>17</v>
      </c>
    </row>
    <row r="6911" spans="1:7" x14ac:dyDescent="0.2">
      <c r="A6911" s="2" t="s">
        <v>8457</v>
      </c>
      <c r="B6911" s="2" t="s">
        <v>3215</v>
      </c>
      <c r="C6911" s="2" t="s">
        <v>3216</v>
      </c>
      <c r="D6911" s="2" t="s">
        <v>10</v>
      </c>
      <c r="E6911" s="2" t="s">
        <v>16</v>
      </c>
      <c r="F6911" s="2">
        <v>1</v>
      </c>
      <c r="G6911" s="2" t="s">
        <v>17</v>
      </c>
    </row>
    <row r="6912" spans="1:7" x14ac:dyDescent="0.2">
      <c r="A6912" s="2" t="s">
        <v>8457</v>
      </c>
      <c r="B6912" s="2" t="s">
        <v>8458</v>
      </c>
      <c r="C6912" s="2" t="s">
        <v>8459</v>
      </c>
      <c r="D6912" s="2" t="s">
        <v>10</v>
      </c>
      <c r="E6912" s="2" t="s">
        <v>16</v>
      </c>
      <c r="F6912" s="2">
        <v>1</v>
      </c>
      <c r="G6912" s="2" t="s">
        <v>17</v>
      </c>
    </row>
    <row r="6913" spans="1:7" x14ac:dyDescent="0.2">
      <c r="A6913" s="2" t="s">
        <v>8457</v>
      </c>
      <c r="B6913" s="2" t="s">
        <v>8460</v>
      </c>
      <c r="C6913" s="2" t="s">
        <v>1383</v>
      </c>
      <c r="D6913" s="2" t="s">
        <v>10</v>
      </c>
      <c r="E6913" s="2" t="s">
        <v>16</v>
      </c>
      <c r="F6913" s="2">
        <v>1</v>
      </c>
      <c r="G6913" s="2" t="s">
        <v>17</v>
      </c>
    </row>
    <row r="6914" spans="1:7" x14ac:dyDescent="0.2">
      <c r="A6914" s="2" t="s">
        <v>8457</v>
      </c>
      <c r="B6914" s="2" t="s">
        <v>8461</v>
      </c>
      <c r="C6914" s="2" t="s">
        <v>1383</v>
      </c>
      <c r="D6914" s="2" t="s">
        <v>10</v>
      </c>
      <c r="E6914" s="2" t="s">
        <v>16</v>
      </c>
      <c r="F6914" s="2">
        <v>1</v>
      </c>
      <c r="G6914" s="2" t="s">
        <v>17</v>
      </c>
    </row>
    <row r="6915" spans="1:7" x14ac:dyDescent="0.2">
      <c r="A6915" s="2" t="s">
        <v>8457</v>
      </c>
      <c r="B6915" s="2" t="s">
        <v>1382</v>
      </c>
      <c r="C6915" s="2" t="s">
        <v>1383</v>
      </c>
      <c r="D6915" s="2" t="s">
        <v>10</v>
      </c>
      <c r="E6915" s="2" t="s">
        <v>16</v>
      </c>
      <c r="F6915" s="2">
        <v>1</v>
      </c>
      <c r="G6915" s="2" t="s">
        <v>17</v>
      </c>
    </row>
    <row r="6916" spans="1:7" x14ac:dyDescent="0.2">
      <c r="A6916" s="2" t="s">
        <v>8457</v>
      </c>
      <c r="B6916" s="2" t="s">
        <v>7067</v>
      </c>
      <c r="C6916" s="2" t="s">
        <v>7047</v>
      </c>
      <c r="D6916" s="2" t="s">
        <v>10</v>
      </c>
      <c r="E6916" s="2" t="s">
        <v>16</v>
      </c>
      <c r="F6916" s="2">
        <v>1</v>
      </c>
      <c r="G6916" s="2" t="s">
        <v>17</v>
      </c>
    </row>
    <row r="6917" spans="1:7" x14ac:dyDescent="0.2">
      <c r="A6917" s="2" t="s">
        <v>8457</v>
      </c>
      <c r="B6917" s="2" t="s">
        <v>7071</v>
      </c>
      <c r="C6917" s="2" t="s">
        <v>7047</v>
      </c>
      <c r="D6917" s="2" t="s">
        <v>10</v>
      </c>
      <c r="E6917" s="2" t="s">
        <v>16</v>
      </c>
      <c r="F6917" s="2">
        <v>1</v>
      </c>
      <c r="G6917" s="2" t="s">
        <v>17</v>
      </c>
    </row>
    <row r="6918" spans="1:7" x14ac:dyDescent="0.2">
      <c r="A6918" s="2" t="s">
        <v>8462</v>
      </c>
      <c r="B6918" s="2" t="s">
        <v>8463</v>
      </c>
      <c r="C6918" s="2" t="s">
        <v>8464</v>
      </c>
      <c r="D6918" s="2" t="s">
        <v>10</v>
      </c>
      <c r="E6918" s="2" t="s">
        <v>16</v>
      </c>
      <c r="F6918" s="2">
        <v>1</v>
      </c>
      <c r="G6918" s="2" t="s">
        <v>17</v>
      </c>
    </row>
    <row r="6919" spans="1:7" x14ac:dyDescent="0.2">
      <c r="A6919" s="2" t="s">
        <v>8462</v>
      </c>
      <c r="B6919" s="2" t="s">
        <v>8465</v>
      </c>
      <c r="C6919" s="2" t="s">
        <v>8466</v>
      </c>
      <c r="D6919" s="2" t="s">
        <v>10</v>
      </c>
      <c r="E6919" s="2" t="s">
        <v>16</v>
      </c>
      <c r="F6919" s="2">
        <v>1</v>
      </c>
      <c r="G6919" s="2" t="s">
        <v>17</v>
      </c>
    </row>
    <row r="6920" spans="1:7" x14ac:dyDescent="0.2">
      <c r="A6920" s="2" t="s">
        <v>8462</v>
      </c>
      <c r="B6920" s="2" t="s">
        <v>8467</v>
      </c>
      <c r="C6920" s="2" t="s">
        <v>8466</v>
      </c>
      <c r="D6920" s="2" t="s">
        <v>10</v>
      </c>
      <c r="E6920" s="2" t="s">
        <v>16</v>
      </c>
      <c r="F6920" s="2">
        <v>1</v>
      </c>
      <c r="G6920" s="2" t="s">
        <v>17</v>
      </c>
    </row>
    <row r="6921" spans="1:7" x14ac:dyDescent="0.2">
      <c r="A6921" s="2" t="s">
        <v>8462</v>
      </c>
      <c r="B6921" s="2" t="s">
        <v>7414</v>
      </c>
      <c r="C6921" s="2" t="s">
        <v>8468</v>
      </c>
      <c r="D6921" s="2" t="s">
        <v>10</v>
      </c>
      <c r="E6921" s="2" t="s">
        <v>16</v>
      </c>
      <c r="F6921" s="2">
        <v>1</v>
      </c>
      <c r="G6921" s="2" t="s">
        <v>17</v>
      </c>
    </row>
    <row r="6922" spans="1:7" x14ac:dyDescent="0.2">
      <c r="A6922" s="2" t="s">
        <v>8462</v>
      </c>
      <c r="B6922" s="2" t="s">
        <v>8469</v>
      </c>
      <c r="C6922" s="2" t="s">
        <v>8470</v>
      </c>
      <c r="D6922" s="2" t="s">
        <v>10</v>
      </c>
      <c r="E6922" s="2" t="s">
        <v>16</v>
      </c>
      <c r="F6922" s="2">
        <v>1</v>
      </c>
      <c r="G6922" s="2" t="s">
        <v>17</v>
      </c>
    </row>
    <row r="6923" spans="1:7" x14ac:dyDescent="0.2">
      <c r="A6923" s="2" t="s">
        <v>8462</v>
      </c>
      <c r="B6923" s="2" t="s">
        <v>8471</v>
      </c>
      <c r="C6923" s="2" t="s">
        <v>8464</v>
      </c>
      <c r="D6923" s="2" t="s">
        <v>10</v>
      </c>
      <c r="E6923" s="2" t="s">
        <v>16</v>
      </c>
      <c r="F6923" s="2">
        <v>1</v>
      </c>
      <c r="G6923" s="2" t="s">
        <v>17</v>
      </c>
    </row>
    <row r="6924" spans="1:7" x14ac:dyDescent="0.2">
      <c r="A6924" s="2" t="s">
        <v>8462</v>
      </c>
      <c r="B6924" s="2" t="s">
        <v>8472</v>
      </c>
      <c r="C6924" s="2" t="s">
        <v>8464</v>
      </c>
      <c r="D6924" s="2" t="s">
        <v>10</v>
      </c>
      <c r="E6924" s="2" t="s">
        <v>16</v>
      </c>
      <c r="F6924" s="2">
        <v>1</v>
      </c>
      <c r="G6924" s="2" t="s">
        <v>17</v>
      </c>
    </row>
    <row r="6925" spans="1:7" x14ac:dyDescent="0.2">
      <c r="A6925" s="2" t="s">
        <v>8462</v>
      </c>
      <c r="B6925" s="2" t="s">
        <v>8473</v>
      </c>
      <c r="C6925" s="2" t="s">
        <v>8474</v>
      </c>
      <c r="D6925" s="2" t="s">
        <v>10</v>
      </c>
      <c r="E6925" s="2" t="s">
        <v>52</v>
      </c>
      <c r="F6925" s="2">
        <v>1</v>
      </c>
      <c r="G6925" s="2" t="s">
        <v>17</v>
      </c>
    </row>
    <row r="6926" spans="1:7" x14ac:dyDescent="0.2">
      <c r="A6926" s="2" t="s">
        <v>8462</v>
      </c>
      <c r="B6926" s="2" t="s">
        <v>8475</v>
      </c>
      <c r="C6926" s="2" t="s">
        <v>8470</v>
      </c>
      <c r="D6926" s="2" t="s">
        <v>10</v>
      </c>
      <c r="E6926" s="2" t="s">
        <v>16</v>
      </c>
      <c r="F6926" s="2">
        <v>1</v>
      </c>
      <c r="G6926" s="2" t="s">
        <v>17</v>
      </c>
    </row>
    <row r="6927" spans="1:7" x14ac:dyDescent="0.2">
      <c r="A6927" s="2" t="s">
        <v>8462</v>
      </c>
      <c r="B6927" s="2" t="s">
        <v>8476</v>
      </c>
      <c r="C6927" s="2" t="s">
        <v>8464</v>
      </c>
      <c r="D6927" s="2" t="s">
        <v>10</v>
      </c>
      <c r="E6927" s="2" t="s">
        <v>16</v>
      </c>
      <c r="F6927" s="2">
        <v>1</v>
      </c>
      <c r="G6927" s="2" t="s">
        <v>17</v>
      </c>
    </row>
    <row r="6928" spans="1:7" x14ac:dyDescent="0.2">
      <c r="A6928" s="2" t="s">
        <v>8462</v>
      </c>
      <c r="B6928" s="2" t="s">
        <v>8477</v>
      </c>
      <c r="C6928" s="2" t="s">
        <v>8474</v>
      </c>
      <c r="D6928" s="2" t="s">
        <v>10</v>
      </c>
      <c r="E6928" s="2" t="s">
        <v>52</v>
      </c>
      <c r="F6928" s="2">
        <v>1</v>
      </c>
      <c r="G6928" s="2" t="s">
        <v>17</v>
      </c>
    </row>
    <row r="6929" spans="1:7" x14ac:dyDescent="0.2">
      <c r="A6929" s="2" t="s">
        <v>8462</v>
      </c>
      <c r="B6929" s="2" t="s">
        <v>1129</v>
      </c>
      <c r="C6929" s="2" t="s">
        <v>8466</v>
      </c>
      <c r="D6929" s="2" t="s">
        <v>10</v>
      </c>
      <c r="E6929" s="2" t="s">
        <v>16</v>
      </c>
      <c r="F6929" s="2">
        <v>1</v>
      </c>
      <c r="G6929" s="2" t="s">
        <v>17</v>
      </c>
    </row>
    <row r="6930" spans="1:7" x14ac:dyDescent="0.2">
      <c r="A6930" s="2" t="s">
        <v>8462</v>
      </c>
      <c r="B6930" s="2" t="s">
        <v>8478</v>
      </c>
      <c r="C6930" s="2" t="s">
        <v>8479</v>
      </c>
      <c r="D6930" s="2" t="s">
        <v>10</v>
      </c>
      <c r="E6930" s="2" t="s">
        <v>16</v>
      </c>
      <c r="F6930" s="2">
        <v>1</v>
      </c>
      <c r="G6930" s="2" t="s">
        <v>17</v>
      </c>
    </row>
    <row r="6931" spans="1:7" x14ac:dyDescent="0.2">
      <c r="A6931" s="2" t="s">
        <v>8462</v>
      </c>
      <c r="B6931" s="2" t="s">
        <v>8480</v>
      </c>
      <c r="C6931" s="2" t="s">
        <v>8481</v>
      </c>
      <c r="D6931" s="2" t="s">
        <v>10</v>
      </c>
      <c r="E6931" s="2" t="s">
        <v>16</v>
      </c>
      <c r="F6931" s="2">
        <v>1</v>
      </c>
      <c r="G6931" s="2" t="s">
        <v>17</v>
      </c>
    </row>
    <row r="6932" spans="1:7" x14ac:dyDescent="0.2">
      <c r="A6932" s="2" t="s">
        <v>8482</v>
      </c>
      <c r="B6932" s="2" t="s">
        <v>5032</v>
      </c>
      <c r="C6932" s="2" t="s">
        <v>5033</v>
      </c>
      <c r="D6932" s="2" t="s">
        <v>10</v>
      </c>
      <c r="E6932" s="2" t="s">
        <v>16</v>
      </c>
      <c r="F6932" s="2">
        <v>1</v>
      </c>
      <c r="G6932" s="2" t="s">
        <v>17</v>
      </c>
    </row>
    <row r="6933" spans="1:7" x14ac:dyDescent="0.2">
      <c r="A6933" s="2" t="s">
        <v>8482</v>
      </c>
      <c r="B6933" s="2" t="s">
        <v>5034</v>
      </c>
      <c r="C6933" s="2" t="s">
        <v>5033</v>
      </c>
      <c r="D6933" s="2" t="s">
        <v>10</v>
      </c>
      <c r="E6933" s="2" t="s">
        <v>16</v>
      </c>
      <c r="F6933" s="2">
        <v>1</v>
      </c>
      <c r="G6933" s="2" t="s">
        <v>17</v>
      </c>
    </row>
    <row r="6934" spans="1:7" x14ac:dyDescent="0.2">
      <c r="A6934" s="2" t="s">
        <v>8483</v>
      </c>
      <c r="B6934" s="2" t="s">
        <v>3199</v>
      </c>
      <c r="C6934" s="2" t="s">
        <v>3200</v>
      </c>
      <c r="D6934" s="2" t="s">
        <v>10</v>
      </c>
      <c r="E6934" s="2" t="s">
        <v>16</v>
      </c>
      <c r="F6934" s="2">
        <v>1</v>
      </c>
      <c r="G6934" s="2" t="s">
        <v>17</v>
      </c>
    </row>
    <row r="6935" spans="1:7" x14ac:dyDescent="0.2">
      <c r="A6935" s="2" t="s">
        <v>8483</v>
      </c>
      <c r="B6935" s="2" t="s">
        <v>3201</v>
      </c>
      <c r="C6935" s="2" t="s">
        <v>3202</v>
      </c>
      <c r="D6935" s="2" t="s">
        <v>10</v>
      </c>
      <c r="E6935" s="2" t="s">
        <v>16</v>
      </c>
      <c r="F6935" s="2">
        <v>1</v>
      </c>
      <c r="G6935" s="2" t="s">
        <v>17</v>
      </c>
    </row>
    <row r="6936" spans="1:7" x14ac:dyDescent="0.2">
      <c r="A6936" s="2" t="s">
        <v>8483</v>
      </c>
      <c r="B6936" s="2" t="s">
        <v>3203</v>
      </c>
      <c r="C6936" s="2" t="s">
        <v>3202</v>
      </c>
      <c r="D6936" s="2" t="s">
        <v>10</v>
      </c>
      <c r="E6936" s="2" t="s">
        <v>16</v>
      </c>
      <c r="F6936" s="2">
        <v>1</v>
      </c>
      <c r="G6936" s="2" t="s">
        <v>17</v>
      </c>
    </row>
    <row r="6937" spans="1:7" x14ac:dyDescent="0.2">
      <c r="A6937" s="2" t="s">
        <v>8483</v>
      </c>
      <c r="B6937" s="2" t="s">
        <v>3204</v>
      </c>
      <c r="C6937" s="2" t="s">
        <v>3200</v>
      </c>
      <c r="D6937" s="2" t="s">
        <v>10</v>
      </c>
      <c r="E6937" s="2" t="s">
        <v>16</v>
      </c>
      <c r="F6937" s="2">
        <v>1</v>
      </c>
      <c r="G6937" s="2" t="s">
        <v>17</v>
      </c>
    </row>
    <row r="6938" spans="1:7" x14ac:dyDescent="0.2">
      <c r="A6938" s="2" t="s">
        <v>8484</v>
      </c>
      <c r="B6938" s="2" t="s">
        <v>8485</v>
      </c>
      <c r="C6938" s="2" t="s">
        <v>8486</v>
      </c>
      <c r="D6938" s="2" t="s">
        <v>10</v>
      </c>
      <c r="E6938" s="2" t="s">
        <v>16</v>
      </c>
      <c r="F6938" s="2">
        <v>1</v>
      </c>
      <c r="G6938" s="2" t="s">
        <v>17</v>
      </c>
    </row>
    <row r="6939" spans="1:7" x14ac:dyDescent="0.2">
      <c r="A6939" s="2" t="s">
        <v>8484</v>
      </c>
      <c r="B6939" s="2" t="s">
        <v>8487</v>
      </c>
      <c r="C6939" s="2" t="s">
        <v>8486</v>
      </c>
      <c r="D6939" s="2" t="s">
        <v>10</v>
      </c>
      <c r="E6939" s="2" t="s">
        <v>16</v>
      </c>
      <c r="F6939" s="2">
        <v>1</v>
      </c>
      <c r="G6939" s="2" t="s">
        <v>17</v>
      </c>
    </row>
    <row r="6940" spans="1:7" x14ac:dyDescent="0.2">
      <c r="A6940" s="2" t="s">
        <v>8484</v>
      </c>
      <c r="B6940" s="2" t="s">
        <v>8488</v>
      </c>
      <c r="C6940" s="2" t="s">
        <v>8486</v>
      </c>
      <c r="D6940" s="2" t="s">
        <v>10</v>
      </c>
      <c r="E6940" s="2" t="s">
        <v>16</v>
      </c>
      <c r="F6940" s="2">
        <v>1</v>
      </c>
      <c r="G6940" s="2" t="s">
        <v>17</v>
      </c>
    </row>
    <row r="6941" spans="1:7" x14ac:dyDescent="0.2">
      <c r="A6941" s="2" t="s">
        <v>8484</v>
      </c>
      <c r="B6941" s="2" t="s">
        <v>8489</v>
      </c>
      <c r="C6941" s="2" t="s">
        <v>8486</v>
      </c>
      <c r="D6941" s="2" t="s">
        <v>10</v>
      </c>
      <c r="E6941" s="2" t="s">
        <v>16</v>
      </c>
      <c r="F6941" s="2">
        <v>1</v>
      </c>
      <c r="G6941" s="2" t="s">
        <v>17</v>
      </c>
    </row>
    <row r="6942" spans="1:7" x14ac:dyDescent="0.2">
      <c r="A6942" s="2" t="s">
        <v>8484</v>
      </c>
      <c r="B6942" s="2" t="s">
        <v>8490</v>
      </c>
      <c r="C6942" s="2" t="s">
        <v>8486</v>
      </c>
      <c r="D6942" s="2" t="s">
        <v>10</v>
      </c>
      <c r="E6942" s="2" t="s">
        <v>16</v>
      </c>
      <c r="F6942" s="2">
        <v>1</v>
      </c>
      <c r="G6942" s="2" t="s">
        <v>17</v>
      </c>
    </row>
    <row r="6943" spans="1:7" x14ac:dyDescent="0.2">
      <c r="A6943" s="2" t="s">
        <v>8491</v>
      </c>
      <c r="B6943" s="2" t="s">
        <v>8492</v>
      </c>
      <c r="C6943" s="2" t="s">
        <v>8493</v>
      </c>
      <c r="D6943" s="2" t="s">
        <v>10</v>
      </c>
      <c r="E6943" s="2" t="s">
        <v>16</v>
      </c>
      <c r="F6943" s="2">
        <v>1</v>
      </c>
      <c r="G6943" s="2" t="s">
        <v>17</v>
      </c>
    </row>
    <row r="6944" spans="1:7" x14ac:dyDescent="0.2">
      <c r="A6944" s="2" t="s">
        <v>8491</v>
      </c>
      <c r="B6944" s="2" t="s">
        <v>8494</v>
      </c>
      <c r="C6944" s="2" t="s">
        <v>8494</v>
      </c>
      <c r="D6944" s="2" t="s">
        <v>10</v>
      </c>
      <c r="E6944" s="2" t="s">
        <v>16</v>
      </c>
      <c r="F6944" s="2">
        <v>1</v>
      </c>
      <c r="G6944" s="2" t="s">
        <v>17</v>
      </c>
    </row>
    <row r="6945" spans="1:7" x14ac:dyDescent="0.2">
      <c r="A6945" s="2" t="s">
        <v>8495</v>
      </c>
      <c r="B6945" s="2" t="s">
        <v>8496</v>
      </c>
      <c r="C6945" s="2" t="s">
        <v>8497</v>
      </c>
      <c r="D6945" s="2" t="s">
        <v>10</v>
      </c>
      <c r="E6945" s="2" t="s">
        <v>11</v>
      </c>
      <c r="F6945" s="2">
        <v>4</v>
      </c>
      <c r="G6945" s="2" t="s">
        <v>1069</v>
      </c>
    </row>
    <row r="6946" spans="1:7" x14ac:dyDescent="0.2">
      <c r="A6946" s="2" t="s">
        <v>8495</v>
      </c>
      <c r="B6946" s="2" t="s">
        <v>8498</v>
      </c>
      <c r="C6946" s="2" t="s">
        <v>8499</v>
      </c>
      <c r="D6946" s="2" t="s">
        <v>10</v>
      </c>
      <c r="E6946" s="2" t="s">
        <v>16</v>
      </c>
      <c r="F6946" s="2">
        <v>1</v>
      </c>
      <c r="G6946" s="2" t="s">
        <v>17</v>
      </c>
    </row>
    <row r="6947" spans="1:7" x14ac:dyDescent="0.2">
      <c r="A6947" s="2" t="s">
        <v>8495</v>
      </c>
      <c r="B6947" s="2" t="s">
        <v>8500</v>
      </c>
      <c r="C6947" s="2" t="s">
        <v>8501</v>
      </c>
      <c r="D6947" s="2" t="s">
        <v>10</v>
      </c>
      <c r="E6947" s="2" t="s">
        <v>52</v>
      </c>
      <c r="F6947" s="2">
        <v>1</v>
      </c>
      <c r="G6947" s="2" t="s">
        <v>17</v>
      </c>
    </row>
    <row r="6948" spans="1:7" x14ac:dyDescent="0.2">
      <c r="A6948" s="2" t="s">
        <v>8495</v>
      </c>
      <c r="B6948" s="2" t="s">
        <v>8502</v>
      </c>
      <c r="C6948" s="2" t="s">
        <v>8503</v>
      </c>
      <c r="D6948" s="2" t="s">
        <v>10</v>
      </c>
      <c r="E6948" s="2" t="s">
        <v>11</v>
      </c>
      <c r="F6948" s="2">
        <v>2</v>
      </c>
      <c r="G6948" s="2" t="s">
        <v>12</v>
      </c>
    </row>
    <row r="6949" spans="1:7" x14ac:dyDescent="0.2">
      <c r="A6949" s="2" t="s">
        <v>8495</v>
      </c>
      <c r="B6949" s="2" t="s">
        <v>8504</v>
      </c>
      <c r="C6949" s="2" t="s">
        <v>8501</v>
      </c>
      <c r="D6949" s="2" t="s">
        <v>10</v>
      </c>
      <c r="E6949" s="2" t="s">
        <v>52</v>
      </c>
      <c r="F6949" s="2">
        <v>1</v>
      </c>
      <c r="G6949" s="2" t="s">
        <v>17</v>
      </c>
    </row>
    <row r="6950" spans="1:7" x14ac:dyDescent="0.2">
      <c r="A6950" s="2" t="s">
        <v>8495</v>
      </c>
      <c r="B6950" s="2" t="s">
        <v>7970</v>
      </c>
      <c r="C6950" s="2" t="s">
        <v>8497</v>
      </c>
      <c r="D6950" s="2" t="s">
        <v>10</v>
      </c>
      <c r="E6950" s="2" t="s">
        <v>11</v>
      </c>
      <c r="F6950" s="2">
        <v>4</v>
      </c>
      <c r="G6950" s="2" t="s">
        <v>1069</v>
      </c>
    </row>
    <row r="6951" spans="1:7" x14ac:dyDescent="0.2">
      <c r="A6951" s="2" t="s">
        <v>8495</v>
      </c>
      <c r="B6951" s="2" t="s">
        <v>8505</v>
      </c>
      <c r="C6951" s="2" t="s">
        <v>8506</v>
      </c>
      <c r="D6951" s="2" t="s">
        <v>10</v>
      </c>
      <c r="E6951" s="2" t="s">
        <v>11</v>
      </c>
      <c r="F6951" s="2">
        <v>1</v>
      </c>
      <c r="G6951" s="2" t="s">
        <v>12</v>
      </c>
    </row>
    <row r="6952" spans="1:7" x14ac:dyDescent="0.2">
      <c r="A6952" s="2" t="s">
        <v>8495</v>
      </c>
      <c r="B6952" s="2" t="s">
        <v>8507</v>
      </c>
      <c r="C6952" s="2" t="s">
        <v>8503</v>
      </c>
      <c r="D6952" s="2" t="s">
        <v>10</v>
      </c>
      <c r="E6952" s="2" t="s">
        <v>11</v>
      </c>
      <c r="F6952" s="2">
        <v>2</v>
      </c>
      <c r="G6952" s="2" t="s">
        <v>12</v>
      </c>
    </row>
    <row r="6953" spans="1:7" x14ac:dyDescent="0.2">
      <c r="A6953" s="2" t="s">
        <v>8495</v>
      </c>
      <c r="B6953" s="2" t="s">
        <v>8508</v>
      </c>
      <c r="C6953" s="2" t="s">
        <v>8501</v>
      </c>
      <c r="D6953" s="2" t="s">
        <v>10</v>
      </c>
      <c r="E6953" s="2" t="s">
        <v>52</v>
      </c>
      <c r="F6953" s="2">
        <v>1</v>
      </c>
      <c r="G6953" s="2" t="s">
        <v>17</v>
      </c>
    </row>
    <row r="6954" spans="1:7" x14ac:dyDescent="0.2">
      <c r="A6954" s="2" t="s">
        <v>8495</v>
      </c>
      <c r="B6954" s="2" t="s">
        <v>8509</v>
      </c>
      <c r="C6954" s="2" t="s">
        <v>8501</v>
      </c>
      <c r="D6954" s="2" t="s">
        <v>10</v>
      </c>
      <c r="E6954" s="2" t="s">
        <v>52</v>
      </c>
      <c r="F6954" s="2">
        <v>1</v>
      </c>
      <c r="G6954" s="2" t="s">
        <v>17</v>
      </c>
    </row>
    <row r="6955" spans="1:7" x14ac:dyDescent="0.2">
      <c r="A6955" s="2" t="s">
        <v>8495</v>
      </c>
      <c r="B6955" s="2" t="s">
        <v>8510</v>
      </c>
      <c r="C6955" s="2" t="s">
        <v>8499</v>
      </c>
      <c r="D6955" s="2" t="s">
        <v>10</v>
      </c>
      <c r="E6955" s="2" t="s">
        <v>16</v>
      </c>
      <c r="F6955" s="2">
        <v>1</v>
      </c>
      <c r="G6955" s="2" t="s">
        <v>17</v>
      </c>
    </row>
    <row r="6956" spans="1:7" x14ac:dyDescent="0.2">
      <c r="A6956" s="2" t="s">
        <v>8495</v>
      </c>
      <c r="B6956" s="2" t="s">
        <v>8511</v>
      </c>
      <c r="C6956" s="2" t="s">
        <v>8506</v>
      </c>
      <c r="D6956" s="2" t="s">
        <v>10</v>
      </c>
      <c r="E6956" s="2" t="s">
        <v>11</v>
      </c>
      <c r="F6956" s="2">
        <v>1</v>
      </c>
      <c r="G6956" s="2" t="s">
        <v>12</v>
      </c>
    </row>
    <row r="6957" spans="1:7" x14ac:dyDescent="0.2">
      <c r="A6957" s="2" t="s">
        <v>8495</v>
      </c>
      <c r="B6957" s="2" t="s">
        <v>8512</v>
      </c>
      <c r="C6957" s="2" t="s">
        <v>8501</v>
      </c>
      <c r="D6957" s="2" t="s">
        <v>10</v>
      </c>
      <c r="E6957" s="2" t="s">
        <v>52</v>
      </c>
      <c r="F6957" s="2">
        <v>1</v>
      </c>
      <c r="G6957" s="2" t="s">
        <v>17</v>
      </c>
    </row>
    <row r="6958" spans="1:7" x14ac:dyDescent="0.2">
      <c r="A6958" s="2" t="s">
        <v>8495</v>
      </c>
      <c r="B6958" s="2" t="s">
        <v>8445</v>
      </c>
      <c r="C6958" s="2" t="s">
        <v>8501</v>
      </c>
      <c r="D6958" s="2" t="s">
        <v>10</v>
      </c>
      <c r="E6958" s="2" t="s">
        <v>52</v>
      </c>
      <c r="F6958" s="2">
        <v>1</v>
      </c>
      <c r="G6958" s="2" t="s">
        <v>17</v>
      </c>
    </row>
    <row r="6959" spans="1:7" x14ac:dyDescent="0.2">
      <c r="A6959" s="2" t="s">
        <v>8513</v>
      </c>
      <c r="B6959" s="2" t="s">
        <v>8514</v>
      </c>
      <c r="C6959" s="2" t="s">
        <v>8515</v>
      </c>
      <c r="D6959" s="2" t="s">
        <v>10</v>
      </c>
      <c r="E6959" s="2" t="s">
        <v>16</v>
      </c>
      <c r="F6959" s="2">
        <v>1</v>
      </c>
      <c r="G6959" s="2" t="s">
        <v>17</v>
      </c>
    </row>
    <row r="6960" spans="1:7" x14ac:dyDescent="0.2">
      <c r="A6960" s="2" t="s">
        <v>8513</v>
      </c>
      <c r="B6960" s="2" t="s">
        <v>8516</v>
      </c>
      <c r="C6960" s="2" t="s">
        <v>8517</v>
      </c>
      <c r="D6960" s="2" t="s">
        <v>10</v>
      </c>
      <c r="E6960" s="2" t="s">
        <v>16</v>
      </c>
      <c r="F6960" s="2">
        <v>1</v>
      </c>
      <c r="G6960" s="2" t="s">
        <v>17</v>
      </c>
    </row>
    <row r="6961" spans="1:7" x14ac:dyDescent="0.2">
      <c r="A6961" s="2" t="s">
        <v>8513</v>
      </c>
      <c r="B6961" s="2" t="s">
        <v>8518</v>
      </c>
      <c r="C6961" s="2" t="s">
        <v>8515</v>
      </c>
      <c r="D6961" s="2" t="s">
        <v>10</v>
      </c>
      <c r="E6961" s="2" t="s">
        <v>16</v>
      </c>
      <c r="F6961" s="2">
        <v>1</v>
      </c>
      <c r="G6961" s="2" t="s">
        <v>17</v>
      </c>
    </row>
    <row r="6962" spans="1:7" x14ac:dyDescent="0.2">
      <c r="A6962" s="2" t="s">
        <v>8513</v>
      </c>
      <c r="B6962" s="2" t="s">
        <v>145</v>
      </c>
      <c r="C6962" s="2" t="s">
        <v>8517</v>
      </c>
      <c r="D6962" s="2" t="s">
        <v>10</v>
      </c>
      <c r="E6962" s="2" t="s">
        <v>16</v>
      </c>
      <c r="F6962" s="2">
        <v>1</v>
      </c>
      <c r="G6962" s="2" t="s">
        <v>17</v>
      </c>
    </row>
    <row r="6963" spans="1:7" x14ac:dyDescent="0.2">
      <c r="A6963" s="2" t="s">
        <v>8519</v>
      </c>
      <c r="B6963" s="2" t="s">
        <v>8520</v>
      </c>
      <c r="C6963" s="2" t="s">
        <v>8521</v>
      </c>
      <c r="D6963" s="2" t="s">
        <v>10</v>
      </c>
      <c r="E6963" s="2" t="s">
        <v>16</v>
      </c>
      <c r="F6963" s="2">
        <v>1</v>
      </c>
      <c r="G6963" s="2" t="s">
        <v>17</v>
      </c>
    </row>
    <row r="6964" spans="1:7" x14ac:dyDescent="0.2">
      <c r="A6964" s="2" t="s">
        <v>8522</v>
      </c>
      <c r="B6964" s="2" t="s">
        <v>2983</v>
      </c>
      <c r="C6964" s="2" t="s">
        <v>2982</v>
      </c>
      <c r="D6964" s="2" t="s">
        <v>10</v>
      </c>
      <c r="E6964" s="2" t="s">
        <v>16</v>
      </c>
      <c r="F6964" s="2">
        <v>1</v>
      </c>
      <c r="G6964" s="2" t="s">
        <v>17</v>
      </c>
    </row>
    <row r="6965" spans="1:7" x14ac:dyDescent="0.2">
      <c r="A6965" s="2" t="s">
        <v>8523</v>
      </c>
      <c r="B6965" s="2" t="s">
        <v>8524</v>
      </c>
      <c r="C6965" s="2" t="s">
        <v>8525</v>
      </c>
      <c r="D6965" s="2" t="s">
        <v>10</v>
      </c>
      <c r="E6965" s="2" t="s">
        <v>16</v>
      </c>
      <c r="F6965" s="2">
        <v>1</v>
      </c>
      <c r="G6965" s="2" t="s">
        <v>17</v>
      </c>
    </row>
    <row r="6966" spans="1:7" x14ac:dyDescent="0.2">
      <c r="A6966" s="2" t="s">
        <v>8526</v>
      </c>
      <c r="B6966" s="2" t="s">
        <v>6511</v>
      </c>
      <c r="C6966" s="2" t="s">
        <v>8527</v>
      </c>
      <c r="D6966" s="2" t="s">
        <v>10</v>
      </c>
      <c r="E6966" s="2" t="s">
        <v>16</v>
      </c>
      <c r="F6966" s="2">
        <v>1</v>
      </c>
      <c r="G6966" s="2" t="s">
        <v>17</v>
      </c>
    </row>
    <row r="6967" spans="1:7" x14ac:dyDescent="0.2">
      <c r="A6967" s="2" t="s">
        <v>8526</v>
      </c>
      <c r="B6967" s="2" t="s">
        <v>8528</v>
      </c>
      <c r="C6967" s="2" t="s">
        <v>8527</v>
      </c>
      <c r="D6967" s="2" t="s">
        <v>10</v>
      </c>
      <c r="E6967" s="2" t="s">
        <v>16</v>
      </c>
      <c r="F6967" s="2">
        <v>1</v>
      </c>
      <c r="G6967" s="2" t="s">
        <v>17</v>
      </c>
    </row>
    <row r="6968" spans="1:7" x14ac:dyDescent="0.2">
      <c r="A6968" s="2" t="s">
        <v>8526</v>
      </c>
      <c r="B6968" s="2" t="s">
        <v>8529</v>
      </c>
      <c r="C6968" s="2" t="s">
        <v>8530</v>
      </c>
      <c r="D6968" s="2" t="s">
        <v>10</v>
      </c>
      <c r="E6968" s="2" t="s">
        <v>16</v>
      </c>
      <c r="F6968" s="2">
        <v>1</v>
      </c>
      <c r="G6968" s="2" t="s">
        <v>17</v>
      </c>
    </row>
    <row r="6969" spans="1:7" x14ac:dyDescent="0.2">
      <c r="A6969" s="2" t="s">
        <v>8531</v>
      </c>
      <c r="B6969" s="2" t="s">
        <v>8263</v>
      </c>
      <c r="C6969" s="2" t="s">
        <v>8264</v>
      </c>
      <c r="D6969" s="2" t="s">
        <v>10</v>
      </c>
      <c r="E6969" s="2" t="s">
        <v>52</v>
      </c>
      <c r="F6969" s="2">
        <v>2</v>
      </c>
      <c r="G6969" s="2" t="s">
        <v>12</v>
      </c>
    </row>
    <row r="6970" spans="1:7" x14ac:dyDescent="0.2">
      <c r="A6970" s="2" t="s">
        <v>8532</v>
      </c>
      <c r="B6970" s="2" t="s">
        <v>6620</v>
      </c>
      <c r="C6970" s="2" t="s">
        <v>6621</v>
      </c>
      <c r="D6970" s="2" t="s">
        <v>10</v>
      </c>
      <c r="E6970" s="2" t="s">
        <v>11</v>
      </c>
      <c r="F6970" s="2">
        <v>2</v>
      </c>
      <c r="G6970" s="2" t="s">
        <v>12</v>
      </c>
    </row>
    <row r="6971" spans="1:7" x14ac:dyDescent="0.2">
      <c r="A6971" s="2" t="s">
        <v>8532</v>
      </c>
      <c r="B6971" s="2" t="s">
        <v>8533</v>
      </c>
      <c r="C6971" s="2" t="s">
        <v>8534</v>
      </c>
      <c r="D6971" s="2" t="s">
        <v>10</v>
      </c>
      <c r="E6971" s="2" t="s">
        <v>16</v>
      </c>
      <c r="F6971" s="2">
        <v>1</v>
      </c>
      <c r="G6971" s="2" t="s">
        <v>17</v>
      </c>
    </row>
    <row r="6972" spans="1:7" x14ac:dyDescent="0.2">
      <c r="A6972" s="2" t="s">
        <v>8532</v>
      </c>
      <c r="B6972" s="2" t="s">
        <v>6624</v>
      </c>
      <c r="C6972" s="2" t="s">
        <v>6623</v>
      </c>
      <c r="D6972" s="2" t="s">
        <v>10</v>
      </c>
      <c r="E6972" s="2" t="s">
        <v>16</v>
      </c>
      <c r="F6972" s="2">
        <v>1</v>
      </c>
      <c r="G6972" s="2" t="s">
        <v>17</v>
      </c>
    </row>
    <row r="6973" spans="1:7" x14ac:dyDescent="0.2">
      <c r="A6973" s="2" t="s">
        <v>8532</v>
      </c>
      <c r="B6973" s="2" t="s">
        <v>6193</v>
      </c>
      <c r="C6973" s="2" t="s">
        <v>6194</v>
      </c>
      <c r="D6973" s="2" t="s">
        <v>10</v>
      </c>
      <c r="E6973" s="2" t="s">
        <v>11</v>
      </c>
      <c r="F6973" s="2">
        <v>2</v>
      </c>
      <c r="G6973" s="2" t="s">
        <v>12</v>
      </c>
    </row>
    <row r="6974" spans="1:7" x14ac:dyDescent="0.2">
      <c r="A6974" s="2" t="s">
        <v>8532</v>
      </c>
      <c r="B6974" s="2" t="s">
        <v>6198</v>
      </c>
      <c r="C6974" s="2" t="s">
        <v>6194</v>
      </c>
      <c r="D6974" s="2" t="s">
        <v>10</v>
      </c>
      <c r="E6974" s="2" t="s">
        <v>11</v>
      </c>
      <c r="F6974" s="2">
        <v>2</v>
      </c>
      <c r="G6974" s="2" t="s">
        <v>12</v>
      </c>
    </row>
    <row r="6975" spans="1:7" x14ac:dyDescent="0.2">
      <c r="A6975" s="2" t="s">
        <v>8532</v>
      </c>
      <c r="B6975" s="2" t="s">
        <v>8535</v>
      </c>
      <c r="C6975" s="2" t="s">
        <v>6626</v>
      </c>
      <c r="D6975" s="2" t="s">
        <v>10</v>
      </c>
      <c r="E6975" s="2" t="s">
        <v>11</v>
      </c>
      <c r="F6975" s="2">
        <v>1</v>
      </c>
      <c r="G6975" s="2" t="s">
        <v>17</v>
      </c>
    </row>
    <row r="6976" spans="1:7" x14ac:dyDescent="0.2">
      <c r="A6976" s="2" t="s">
        <v>8532</v>
      </c>
      <c r="B6976" s="2" t="s">
        <v>6625</v>
      </c>
      <c r="C6976" s="2" t="s">
        <v>6626</v>
      </c>
      <c r="D6976" s="2" t="s">
        <v>10</v>
      </c>
      <c r="E6976" s="2" t="s">
        <v>11</v>
      </c>
      <c r="F6976" s="2">
        <v>1</v>
      </c>
      <c r="G6976" s="2" t="s">
        <v>17</v>
      </c>
    </row>
    <row r="6977" spans="1:7" x14ac:dyDescent="0.2">
      <c r="A6977" s="2" t="s">
        <v>8532</v>
      </c>
      <c r="B6977" s="2" t="s">
        <v>6627</v>
      </c>
      <c r="C6977" s="2" t="s">
        <v>6626</v>
      </c>
      <c r="D6977" s="2" t="s">
        <v>10</v>
      </c>
      <c r="E6977" s="2" t="s">
        <v>11</v>
      </c>
      <c r="F6977" s="2">
        <v>1</v>
      </c>
      <c r="G6977" s="2" t="s">
        <v>17</v>
      </c>
    </row>
    <row r="6978" spans="1:7" x14ac:dyDescent="0.2">
      <c r="A6978" s="2" t="s">
        <v>8532</v>
      </c>
      <c r="B6978" s="2" t="s">
        <v>6628</v>
      </c>
      <c r="C6978" s="2" t="s">
        <v>6629</v>
      </c>
      <c r="D6978" s="2" t="s">
        <v>10</v>
      </c>
      <c r="E6978" s="2" t="s">
        <v>16</v>
      </c>
      <c r="F6978" s="2">
        <v>1</v>
      </c>
      <c r="G6978" s="2" t="s">
        <v>17</v>
      </c>
    </row>
    <row r="6979" spans="1:7" x14ac:dyDescent="0.2">
      <c r="A6979" s="2" t="s">
        <v>8532</v>
      </c>
      <c r="B6979" s="2" t="s">
        <v>8536</v>
      </c>
      <c r="C6979" s="2" t="s">
        <v>6623</v>
      </c>
      <c r="D6979" s="2" t="s">
        <v>10</v>
      </c>
      <c r="E6979" s="2" t="s">
        <v>16</v>
      </c>
      <c r="F6979" s="2">
        <v>1</v>
      </c>
      <c r="G6979" s="2" t="s">
        <v>17</v>
      </c>
    </row>
    <row r="6980" spans="1:7" x14ac:dyDescent="0.2">
      <c r="A6980" s="2" t="s">
        <v>8532</v>
      </c>
      <c r="B6980" s="2" t="s">
        <v>6630</v>
      </c>
      <c r="C6980" s="2" t="s">
        <v>6621</v>
      </c>
      <c r="D6980" s="2" t="s">
        <v>10</v>
      </c>
      <c r="E6980" s="2" t="s">
        <v>11</v>
      </c>
      <c r="F6980" s="2">
        <v>2</v>
      </c>
      <c r="G6980" s="2" t="s">
        <v>12</v>
      </c>
    </row>
    <row r="6981" spans="1:7" x14ac:dyDescent="0.2">
      <c r="A6981" s="2" t="s">
        <v>8532</v>
      </c>
      <c r="B6981" s="2" t="s">
        <v>8537</v>
      </c>
      <c r="C6981" s="2" t="s">
        <v>898</v>
      </c>
      <c r="D6981" s="2" t="s">
        <v>10</v>
      </c>
      <c r="E6981" s="2" t="s">
        <v>16</v>
      </c>
      <c r="F6981" s="2">
        <v>1</v>
      </c>
      <c r="G6981" s="2" t="s">
        <v>17</v>
      </c>
    </row>
    <row r="6982" spans="1:7" x14ac:dyDescent="0.2">
      <c r="A6982" s="2" t="s">
        <v>8538</v>
      </c>
      <c r="B6982" s="2" t="s">
        <v>8539</v>
      </c>
      <c r="C6982" s="2" t="s">
        <v>8540</v>
      </c>
      <c r="D6982" s="2" t="s">
        <v>10</v>
      </c>
      <c r="E6982" s="2" t="s">
        <v>16</v>
      </c>
      <c r="F6982" s="2">
        <v>1</v>
      </c>
      <c r="G6982" s="2" t="s">
        <v>17</v>
      </c>
    </row>
    <row r="6983" spans="1:7" x14ac:dyDescent="0.2">
      <c r="A6983" s="2" t="s">
        <v>8538</v>
      </c>
      <c r="B6983" s="2" t="s">
        <v>6347</v>
      </c>
      <c r="C6983" s="2" t="s">
        <v>8540</v>
      </c>
      <c r="D6983" s="2" t="s">
        <v>10</v>
      </c>
      <c r="E6983" s="2" t="s">
        <v>16</v>
      </c>
      <c r="F6983" s="2">
        <v>1</v>
      </c>
      <c r="G6983" s="2" t="s">
        <v>17</v>
      </c>
    </row>
    <row r="6984" spans="1:7" x14ac:dyDescent="0.2">
      <c r="A6984" s="2" t="s">
        <v>8541</v>
      </c>
      <c r="B6984" s="2" t="s">
        <v>2408</v>
      </c>
      <c r="C6984" s="2" t="s">
        <v>2409</v>
      </c>
      <c r="D6984" s="2" t="s">
        <v>10</v>
      </c>
      <c r="E6984" s="2" t="s">
        <v>16</v>
      </c>
      <c r="F6984" s="2">
        <v>1</v>
      </c>
      <c r="G6984" s="2" t="s">
        <v>17</v>
      </c>
    </row>
    <row r="6985" spans="1:7" x14ac:dyDescent="0.2">
      <c r="A6985" s="2" t="s">
        <v>8541</v>
      </c>
      <c r="B6985" s="2" t="s">
        <v>8524</v>
      </c>
      <c r="C6985" s="2" t="s">
        <v>8525</v>
      </c>
      <c r="D6985" s="2" t="s">
        <v>10</v>
      </c>
      <c r="E6985" s="2" t="s">
        <v>16</v>
      </c>
      <c r="F6985" s="2">
        <v>1</v>
      </c>
      <c r="G6985" s="2" t="s">
        <v>17</v>
      </c>
    </row>
    <row r="6986" spans="1:7" x14ac:dyDescent="0.2">
      <c r="A6986" s="2" t="s">
        <v>8542</v>
      </c>
      <c r="B6986" s="2" t="s">
        <v>8543</v>
      </c>
      <c r="C6986" s="2" t="s">
        <v>8544</v>
      </c>
      <c r="D6986" s="2" t="s">
        <v>29</v>
      </c>
      <c r="E6986" s="2" t="s">
        <v>16</v>
      </c>
      <c r="F6986" s="2">
        <v>1</v>
      </c>
      <c r="G6986" s="2" t="s">
        <v>17</v>
      </c>
    </row>
    <row r="6987" spans="1:7" x14ac:dyDescent="0.2">
      <c r="A6987" s="2" t="s">
        <v>8542</v>
      </c>
      <c r="B6987" s="2" t="s">
        <v>3067</v>
      </c>
      <c r="C6987" s="2" t="s">
        <v>3068</v>
      </c>
      <c r="D6987" s="2" t="s">
        <v>56</v>
      </c>
      <c r="E6987" s="2" t="s">
        <v>16</v>
      </c>
      <c r="F6987" s="2">
        <v>1</v>
      </c>
      <c r="G6987" s="2" t="s">
        <v>17</v>
      </c>
    </row>
    <row r="6988" spans="1:7" x14ac:dyDescent="0.2">
      <c r="A6988" s="2" t="s">
        <v>8542</v>
      </c>
      <c r="B6988" s="2" t="s">
        <v>8545</v>
      </c>
      <c r="C6988" s="2" t="s">
        <v>8544</v>
      </c>
      <c r="D6988" s="2" t="s">
        <v>29</v>
      </c>
      <c r="E6988" s="2" t="s">
        <v>16</v>
      </c>
      <c r="F6988" s="2">
        <v>1</v>
      </c>
      <c r="G6988" s="2" t="s">
        <v>17</v>
      </c>
    </row>
    <row r="6989" spans="1:7" x14ac:dyDescent="0.2">
      <c r="A6989" s="2" t="s">
        <v>8546</v>
      </c>
      <c r="B6989" s="2" t="s">
        <v>288</v>
      </c>
      <c r="C6989" s="2" t="s">
        <v>8547</v>
      </c>
      <c r="D6989" s="2" t="s">
        <v>10</v>
      </c>
      <c r="E6989" s="2" t="s">
        <v>16</v>
      </c>
      <c r="F6989" s="2">
        <v>1</v>
      </c>
      <c r="G6989" s="2" t="s">
        <v>17</v>
      </c>
    </row>
    <row r="6990" spans="1:7" x14ac:dyDescent="0.2">
      <c r="A6990" s="2" t="s">
        <v>8548</v>
      </c>
      <c r="B6990" s="2" t="s">
        <v>8549</v>
      </c>
      <c r="C6990" s="2" t="s">
        <v>3430</v>
      </c>
      <c r="D6990" s="2" t="s">
        <v>10</v>
      </c>
      <c r="E6990" s="2" t="s">
        <v>16</v>
      </c>
      <c r="F6990" s="2">
        <v>1</v>
      </c>
      <c r="G6990" s="2" t="s">
        <v>17</v>
      </c>
    </row>
    <row r="6991" spans="1:7" x14ac:dyDescent="0.2">
      <c r="A6991" s="2" t="s">
        <v>8550</v>
      </c>
      <c r="B6991" s="2" t="s">
        <v>8551</v>
      </c>
      <c r="C6991" s="2" t="s">
        <v>8552</v>
      </c>
      <c r="D6991" s="2" t="s">
        <v>10</v>
      </c>
      <c r="E6991" s="2" t="s">
        <v>16</v>
      </c>
      <c r="F6991" s="2">
        <v>1</v>
      </c>
      <c r="G6991" s="2" t="s">
        <v>17</v>
      </c>
    </row>
    <row r="6992" spans="1:7" x14ac:dyDescent="0.2">
      <c r="A6992" s="2" t="s">
        <v>8553</v>
      </c>
      <c r="B6992" s="2" t="s">
        <v>8554</v>
      </c>
      <c r="C6992" s="2" t="s">
        <v>8554</v>
      </c>
      <c r="D6992" s="2" t="s">
        <v>10</v>
      </c>
      <c r="E6992" s="2" t="s">
        <v>16</v>
      </c>
      <c r="F6992" s="2">
        <v>1</v>
      </c>
      <c r="G6992" s="2" t="s">
        <v>17</v>
      </c>
    </row>
    <row r="6993" spans="1:7" x14ac:dyDescent="0.2">
      <c r="A6993" s="2" t="s">
        <v>8555</v>
      </c>
      <c r="B6993" s="2" t="s">
        <v>8556</v>
      </c>
      <c r="C6993" s="2" t="s">
        <v>8557</v>
      </c>
      <c r="D6993" s="2" t="s">
        <v>10</v>
      </c>
      <c r="E6993" s="2" t="s">
        <v>16</v>
      </c>
      <c r="F6993" s="2">
        <v>1</v>
      </c>
      <c r="G6993" s="2" t="s">
        <v>17</v>
      </c>
    </row>
    <row r="6994" spans="1:7" x14ac:dyDescent="0.2">
      <c r="A6994" s="2" t="s">
        <v>8558</v>
      </c>
      <c r="B6994" s="2" t="s">
        <v>8559</v>
      </c>
      <c r="C6994" s="2" t="s">
        <v>8560</v>
      </c>
      <c r="D6994" s="2" t="s">
        <v>10</v>
      </c>
      <c r="E6994" s="2" t="s">
        <v>52</v>
      </c>
      <c r="F6994" s="2">
        <v>1</v>
      </c>
      <c r="G6994" s="2" t="s">
        <v>17</v>
      </c>
    </row>
    <row r="6995" spans="1:7" x14ac:dyDescent="0.2">
      <c r="A6995" s="2" t="s">
        <v>8558</v>
      </c>
      <c r="B6995" s="2" t="s">
        <v>8561</v>
      </c>
      <c r="C6995" s="2" t="s">
        <v>8560</v>
      </c>
      <c r="D6995" s="2" t="s">
        <v>10</v>
      </c>
      <c r="E6995" s="2" t="s">
        <v>52</v>
      </c>
      <c r="F6995" s="2">
        <v>1</v>
      </c>
      <c r="G6995" s="2" t="s">
        <v>17</v>
      </c>
    </row>
    <row r="6996" spans="1:7" x14ac:dyDescent="0.2">
      <c r="A6996" s="2" t="s">
        <v>8562</v>
      </c>
      <c r="B6996" s="2" t="s">
        <v>7436</v>
      </c>
      <c r="C6996" s="2" t="s">
        <v>7437</v>
      </c>
      <c r="D6996" s="2" t="s">
        <v>10</v>
      </c>
      <c r="E6996" s="2" t="s">
        <v>16</v>
      </c>
      <c r="F6996" s="2">
        <v>1</v>
      </c>
      <c r="G6996" s="2" t="s">
        <v>17</v>
      </c>
    </row>
    <row r="6997" spans="1:7" x14ac:dyDescent="0.2">
      <c r="A6997" s="2" t="s">
        <v>8562</v>
      </c>
      <c r="B6997" s="2" t="s">
        <v>7438</v>
      </c>
      <c r="C6997" s="2" t="s">
        <v>7439</v>
      </c>
      <c r="D6997" s="2" t="s">
        <v>10</v>
      </c>
      <c r="E6997" s="2" t="s">
        <v>16</v>
      </c>
      <c r="F6997" s="2">
        <v>1</v>
      </c>
      <c r="G6997" s="2" t="s">
        <v>17</v>
      </c>
    </row>
    <row r="6998" spans="1:7" x14ac:dyDescent="0.2">
      <c r="A6998" s="2" t="s">
        <v>8562</v>
      </c>
      <c r="B6998" s="2" t="s">
        <v>7440</v>
      </c>
      <c r="C6998" s="2" t="s">
        <v>7439</v>
      </c>
      <c r="D6998" s="2" t="s">
        <v>10</v>
      </c>
      <c r="E6998" s="2" t="s">
        <v>16</v>
      </c>
      <c r="F6998" s="2">
        <v>1</v>
      </c>
      <c r="G6998" s="2" t="s">
        <v>17</v>
      </c>
    </row>
    <row r="6999" spans="1:7" x14ac:dyDescent="0.2">
      <c r="A6999" s="2" t="s">
        <v>8562</v>
      </c>
      <c r="B6999" s="2" t="s">
        <v>7441</v>
      </c>
      <c r="C6999" s="2" t="s">
        <v>7439</v>
      </c>
      <c r="D6999" s="2" t="s">
        <v>10</v>
      </c>
      <c r="E6999" s="2" t="s">
        <v>16</v>
      </c>
      <c r="F6999" s="2">
        <v>1</v>
      </c>
      <c r="G6999" s="2" t="s">
        <v>17</v>
      </c>
    </row>
    <row r="7000" spans="1:7" x14ac:dyDescent="0.2">
      <c r="A7000" s="2" t="s">
        <v>8562</v>
      </c>
      <c r="B7000" s="2" t="s">
        <v>7442</v>
      </c>
      <c r="C7000" s="2" t="s">
        <v>7439</v>
      </c>
      <c r="D7000" s="2" t="s">
        <v>10</v>
      </c>
      <c r="E7000" s="2" t="s">
        <v>16</v>
      </c>
      <c r="F7000" s="2">
        <v>1</v>
      </c>
      <c r="G7000" s="2" t="s">
        <v>17</v>
      </c>
    </row>
    <row r="7001" spans="1:7" x14ac:dyDescent="0.2">
      <c r="A7001" s="2" t="s">
        <v>8563</v>
      </c>
      <c r="B7001" s="2" t="s">
        <v>8564</v>
      </c>
      <c r="C7001" s="2" t="s">
        <v>8565</v>
      </c>
      <c r="D7001" s="2" t="s">
        <v>10</v>
      </c>
      <c r="E7001" s="2" t="s">
        <v>16</v>
      </c>
      <c r="F7001" s="2">
        <v>1</v>
      </c>
      <c r="G7001" s="2" t="s">
        <v>17</v>
      </c>
    </row>
    <row r="7002" spans="1:7" x14ac:dyDescent="0.2">
      <c r="A7002" s="2" t="s">
        <v>8563</v>
      </c>
      <c r="B7002" s="2" t="s">
        <v>5046</v>
      </c>
      <c r="C7002" s="2" t="s">
        <v>5047</v>
      </c>
      <c r="D7002" s="2" t="s">
        <v>10</v>
      </c>
      <c r="E7002" s="2" t="s">
        <v>52</v>
      </c>
      <c r="F7002" s="2">
        <v>2</v>
      </c>
      <c r="G7002" s="2" t="s">
        <v>12</v>
      </c>
    </row>
    <row r="7003" spans="1:7" x14ac:dyDescent="0.2">
      <c r="A7003" s="2" t="s">
        <v>8563</v>
      </c>
      <c r="B7003" s="2" t="s">
        <v>8566</v>
      </c>
      <c r="C7003" s="2" t="s">
        <v>8567</v>
      </c>
      <c r="D7003" s="2" t="s">
        <v>10</v>
      </c>
      <c r="E7003" s="2" t="s">
        <v>16</v>
      </c>
      <c r="F7003" s="2">
        <v>1</v>
      </c>
      <c r="G7003" s="2" t="s">
        <v>17</v>
      </c>
    </row>
    <row r="7004" spans="1:7" x14ac:dyDescent="0.2">
      <c r="A7004" s="2" t="s">
        <v>8563</v>
      </c>
      <c r="B7004" s="2" t="s">
        <v>8568</v>
      </c>
      <c r="C7004" s="2" t="s">
        <v>8569</v>
      </c>
      <c r="D7004" s="2" t="s">
        <v>10</v>
      </c>
      <c r="E7004" s="2" t="s">
        <v>52</v>
      </c>
      <c r="F7004" s="2">
        <v>2</v>
      </c>
      <c r="G7004" s="2" t="s">
        <v>17</v>
      </c>
    </row>
    <row r="7005" spans="1:7" x14ac:dyDescent="0.2">
      <c r="A7005" s="2" t="s">
        <v>8563</v>
      </c>
      <c r="B7005" s="2" t="s">
        <v>5051</v>
      </c>
      <c r="C7005" s="2" t="s">
        <v>903</v>
      </c>
      <c r="D7005" s="2" t="s">
        <v>10</v>
      </c>
      <c r="E7005" s="2" t="s">
        <v>16</v>
      </c>
      <c r="F7005" s="2">
        <v>1</v>
      </c>
      <c r="G7005" s="2" t="s">
        <v>17</v>
      </c>
    </row>
    <row r="7006" spans="1:7" x14ac:dyDescent="0.2">
      <c r="A7006" s="2" t="s">
        <v>8563</v>
      </c>
      <c r="B7006" s="2" t="s">
        <v>5052</v>
      </c>
      <c r="C7006" s="2" t="s">
        <v>900</v>
      </c>
      <c r="D7006" s="2" t="s">
        <v>10</v>
      </c>
      <c r="E7006" s="2" t="s">
        <v>16</v>
      </c>
      <c r="F7006" s="2">
        <v>1</v>
      </c>
      <c r="G7006" s="2" t="s">
        <v>17</v>
      </c>
    </row>
    <row r="7007" spans="1:7" x14ac:dyDescent="0.2">
      <c r="A7007" s="2" t="s">
        <v>8563</v>
      </c>
      <c r="B7007" s="2" t="s">
        <v>5053</v>
      </c>
      <c r="C7007" s="2" t="s">
        <v>907</v>
      </c>
      <c r="D7007" s="2" t="s">
        <v>10</v>
      </c>
      <c r="E7007" s="2" t="s">
        <v>16</v>
      </c>
      <c r="F7007" s="2">
        <v>1</v>
      </c>
      <c r="G7007" s="2" t="s">
        <v>17</v>
      </c>
    </row>
    <row r="7008" spans="1:7" x14ac:dyDescent="0.2">
      <c r="A7008" s="2" t="s">
        <v>8563</v>
      </c>
      <c r="B7008" s="2" t="s">
        <v>5054</v>
      </c>
      <c r="C7008" s="2" t="s">
        <v>3945</v>
      </c>
      <c r="D7008" s="2" t="s">
        <v>10</v>
      </c>
      <c r="E7008" s="2" t="s">
        <v>16</v>
      </c>
      <c r="F7008" s="2">
        <v>1</v>
      </c>
      <c r="G7008" s="2" t="s">
        <v>17</v>
      </c>
    </row>
    <row r="7009" spans="1:7" x14ac:dyDescent="0.2">
      <c r="A7009" s="2" t="s">
        <v>8563</v>
      </c>
      <c r="B7009" s="2" t="s">
        <v>5113</v>
      </c>
      <c r="C7009" s="2" t="s">
        <v>5047</v>
      </c>
      <c r="D7009" s="2" t="s">
        <v>10</v>
      </c>
      <c r="E7009" s="2" t="s">
        <v>52</v>
      </c>
      <c r="F7009" s="2">
        <v>2</v>
      </c>
      <c r="G7009" s="2" t="s">
        <v>12</v>
      </c>
    </row>
    <row r="7010" spans="1:7" x14ac:dyDescent="0.2">
      <c r="A7010" s="2" t="s">
        <v>8563</v>
      </c>
      <c r="B7010" s="2" t="s">
        <v>5126</v>
      </c>
      <c r="C7010" s="2" t="s">
        <v>5058</v>
      </c>
      <c r="D7010" s="2" t="s">
        <v>10</v>
      </c>
      <c r="E7010" s="2" t="s">
        <v>16</v>
      </c>
      <c r="F7010" s="2">
        <v>1</v>
      </c>
      <c r="G7010" s="2" t="s">
        <v>17</v>
      </c>
    </row>
    <row r="7011" spans="1:7" x14ac:dyDescent="0.2">
      <c r="A7011" s="2" t="s">
        <v>8563</v>
      </c>
      <c r="B7011" s="2" t="s">
        <v>5127</v>
      </c>
      <c r="C7011" s="2" t="s">
        <v>5058</v>
      </c>
      <c r="D7011" s="2" t="s">
        <v>10</v>
      </c>
      <c r="E7011" s="2" t="s">
        <v>16</v>
      </c>
      <c r="F7011" s="2">
        <v>1</v>
      </c>
      <c r="G7011" s="2" t="s">
        <v>17</v>
      </c>
    </row>
    <row r="7012" spans="1:7" x14ac:dyDescent="0.2">
      <c r="A7012" s="2" t="s">
        <v>8563</v>
      </c>
      <c r="B7012" s="2" t="s">
        <v>5073</v>
      </c>
      <c r="C7012" s="2" t="s">
        <v>903</v>
      </c>
      <c r="D7012" s="2" t="s">
        <v>10</v>
      </c>
      <c r="E7012" s="2" t="s">
        <v>16</v>
      </c>
      <c r="F7012" s="2">
        <v>1</v>
      </c>
      <c r="G7012" s="2" t="s">
        <v>17</v>
      </c>
    </row>
    <row r="7013" spans="1:7" x14ac:dyDescent="0.2">
      <c r="A7013" s="2" t="s">
        <v>8563</v>
      </c>
      <c r="B7013" s="2" t="s">
        <v>5074</v>
      </c>
      <c r="C7013" s="2" t="s">
        <v>907</v>
      </c>
      <c r="D7013" s="2" t="s">
        <v>10</v>
      </c>
      <c r="E7013" s="2" t="s">
        <v>16</v>
      </c>
      <c r="F7013" s="2">
        <v>1</v>
      </c>
      <c r="G7013" s="2" t="s">
        <v>17</v>
      </c>
    </row>
    <row r="7014" spans="1:7" x14ac:dyDescent="0.2">
      <c r="A7014" s="2" t="s">
        <v>8563</v>
      </c>
      <c r="B7014" s="2" t="s">
        <v>5075</v>
      </c>
      <c r="C7014" s="2" t="s">
        <v>907</v>
      </c>
      <c r="D7014" s="2" t="s">
        <v>10</v>
      </c>
      <c r="E7014" s="2" t="s">
        <v>16</v>
      </c>
      <c r="F7014" s="2">
        <v>1</v>
      </c>
      <c r="G7014" s="2" t="s">
        <v>17</v>
      </c>
    </row>
    <row r="7015" spans="1:7" x14ac:dyDescent="0.2">
      <c r="A7015" s="2" t="s">
        <v>8563</v>
      </c>
      <c r="B7015" s="2" t="s">
        <v>5076</v>
      </c>
      <c r="C7015" s="2" t="s">
        <v>3945</v>
      </c>
      <c r="D7015" s="2" t="s">
        <v>10</v>
      </c>
      <c r="E7015" s="2" t="s">
        <v>16</v>
      </c>
      <c r="F7015" s="2">
        <v>1</v>
      </c>
      <c r="G7015" s="2" t="s">
        <v>17</v>
      </c>
    </row>
    <row r="7016" spans="1:7" x14ac:dyDescent="0.2">
      <c r="A7016" s="2" t="s">
        <v>8563</v>
      </c>
      <c r="B7016" s="2" t="s">
        <v>5077</v>
      </c>
      <c r="C7016" s="2" t="s">
        <v>900</v>
      </c>
      <c r="D7016" s="2" t="s">
        <v>10</v>
      </c>
      <c r="E7016" s="2" t="s">
        <v>16</v>
      </c>
      <c r="F7016" s="2">
        <v>1</v>
      </c>
      <c r="G7016" s="2" t="s">
        <v>17</v>
      </c>
    </row>
    <row r="7017" spans="1:7" x14ac:dyDescent="0.2">
      <c r="A7017" s="2" t="s">
        <v>8563</v>
      </c>
      <c r="B7017" s="2" t="s">
        <v>5078</v>
      </c>
      <c r="C7017" s="2" t="s">
        <v>900</v>
      </c>
      <c r="D7017" s="2" t="s">
        <v>10</v>
      </c>
      <c r="E7017" s="2" t="s">
        <v>16</v>
      </c>
      <c r="F7017" s="2">
        <v>1</v>
      </c>
      <c r="G7017" s="2" t="s">
        <v>17</v>
      </c>
    </row>
    <row r="7018" spans="1:7" x14ac:dyDescent="0.2">
      <c r="A7018" s="2" t="s">
        <v>8563</v>
      </c>
      <c r="B7018" s="2" t="s">
        <v>5079</v>
      </c>
      <c r="C7018" s="2" t="s">
        <v>913</v>
      </c>
      <c r="D7018" s="2" t="s">
        <v>10</v>
      </c>
      <c r="E7018" s="2" t="s">
        <v>16</v>
      </c>
      <c r="F7018" s="2">
        <v>1</v>
      </c>
      <c r="G7018" s="2" t="s">
        <v>17</v>
      </c>
    </row>
    <row r="7019" spans="1:7" x14ac:dyDescent="0.2">
      <c r="A7019" s="2" t="s">
        <v>8563</v>
      </c>
      <c r="B7019" s="2" t="s">
        <v>5080</v>
      </c>
      <c r="C7019" s="2" t="s">
        <v>924</v>
      </c>
      <c r="D7019" s="2" t="s">
        <v>10</v>
      </c>
      <c r="E7019" s="2" t="s">
        <v>16</v>
      </c>
      <c r="F7019" s="2">
        <v>1</v>
      </c>
      <c r="G7019" s="2" t="s">
        <v>17</v>
      </c>
    </row>
    <row r="7020" spans="1:7" x14ac:dyDescent="0.2">
      <c r="A7020" s="2" t="s">
        <v>8563</v>
      </c>
      <c r="B7020" s="2" t="s">
        <v>5081</v>
      </c>
      <c r="C7020" s="2" t="s">
        <v>960</v>
      </c>
      <c r="D7020" s="2" t="s">
        <v>10</v>
      </c>
      <c r="E7020" s="2" t="s">
        <v>16</v>
      </c>
      <c r="F7020" s="2">
        <v>2</v>
      </c>
      <c r="G7020" s="2" t="s">
        <v>17</v>
      </c>
    </row>
    <row r="7021" spans="1:7" x14ac:dyDescent="0.2">
      <c r="A7021" s="2" t="s">
        <v>8563</v>
      </c>
      <c r="B7021" s="2" t="s">
        <v>5082</v>
      </c>
      <c r="C7021" s="2" t="s">
        <v>921</v>
      </c>
      <c r="D7021" s="2" t="s">
        <v>10</v>
      </c>
      <c r="E7021" s="2" t="s">
        <v>16</v>
      </c>
      <c r="F7021" s="2">
        <v>2</v>
      </c>
      <c r="G7021" s="2" t="s">
        <v>17</v>
      </c>
    </row>
    <row r="7022" spans="1:7" x14ac:dyDescent="0.2">
      <c r="A7022" s="2" t="s">
        <v>8563</v>
      </c>
      <c r="B7022" s="2" t="s">
        <v>5094</v>
      </c>
      <c r="C7022" s="2" t="s">
        <v>5058</v>
      </c>
      <c r="D7022" s="2" t="s">
        <v>10</v>
      </c>
      <c r="E7022" s="2" t="s">
        <v>16</v>
      </c>
      <c r="F7022" s="2">
        <v>1</v>
      </c>
      <c r="G7022" s="2" t="s">
        <v>17</v>
      </c>
    </row>
    <row r="7023" spans="1:7" x14ac:dyDescent="0.2">
      <c r="A7023" s="2" t="s">
        <v>8563</v>
      </c>
      <c r="B7023" s="2" t="s">
        <v>8570</v>
      </c>
      <c r="C7023" s="2" t="s">
        <v>8565</v>
      </c>
      <c r="D7023" s="2" t="s">
        <v>10</v>
      </c>
      <c r="E7023" s="2" t="s">
        <v>16</v>
      </c>
      <c r="F7023" s="2">
        <v>1</v>
      </c>
      <c r="G7023" s="2" t="s">
        <v>17</v>
      </c>
    </row>
    <row r="7024" spans="1:7" x14ac:dyDescent="0.2">
      <c r="A7024" s="2" t="s">
        <v>8563</v>
      </c>
      <c r="B7024" s="2" t="s">
        <v>8571</v>
      </c>
      <c r="C7024" s="2" t="s">
        <v>8567</v>
      </c>
      <c r="D7024" s="2" t="s">
        <v>10</v>
      </c>
      <c r="E7024" s="2" t="s">
        <v>16</v>
      </c>
      <c r="F7024" s="2">
        <v>1</v>
      </c>
      <c r="G7024" s="2" t="s">
        <v>17</v>
      </c>
    </row>
    <row r="7025" spans="1:7" x14ac:dyDescent="0.2">
      <c r="A7025" s="2" t="s">
        <v>8563</v>
      </c>
      <c r="B7025" s="2" t="s">
        <v>5095</v>
      </c>
      <c r="C7025" s="2" t="s">
        <v>913</v>
      </c>
      <c r="D7025" s="2" t="s">
        <v>10</v>
      </c>
      <c r="E7025" s="2" t="s">
        <v>16</v>
      </c>
      <c r="F7025" s="2">
        <v>1</v>
      </c>
      <c r="G7025" s="2" t="s">
        <v>17</v>
      </c>
    </row>
    <row r="7026" spans="1:7" x14ac:dyDescent="0.2">
      <c r="A7026" s="2" t="s">
        <v>8563</v>
      </c>
      <c r="B7026" s="2" t="s">
        <v>8572</v>
      </c>
      <c r="C7026" s="2" t="s">
        <v>8567</v>
      </c>
      <c r="D7026" s="2" t="s">
        <v>10</v>
      </c>
      <c r="E7026" s="2" t="s">
        <v>16</v>
      </c>
      <c r="F7026" s="2">
        <v>1</v>
      </c>
      <c r="G7026" s="2" t="s">
        <v>17</v>
      </c>
    </row>
    <row r="7027" spans="1:7" x14ac:dyDescent="0.2">
      <c r="A7027" s="2" t="s">
        <v>8563</v>
      </c>
      <c r="B7027" s="2" t="s">
        <v>8573</v>
      </c>
      <c r="C7027" s="2" t="s">
        <v>8567</v>
      </c>
      <c r="D7027" s="2" t="s">
        <v>10</v>
      </c>
      <c r="E7027" s="2" t="s">
        <v>16</v>
      </c>
      <c r="F7027" s="2">
        <v>1</v>
      </c>
      <c r="G7027" s="2" t="s">
        <v>17</v>
      </c>
    </row>
    <row r="7028" spans="1:7" x14ac:dyDescent="0.2">
      <c r="A7028" s="2" t="s">
        <v>8563</v>
      </c>
      <c r="B7028" s="2" t="s">
        <v>8574</v>
      </c>
      <c r="C7028" s="2" t="s">
        <v>8575</v>
      </c>
      <c r="D7028" s="2" t="s">
        <v>10</v>
      </c>
      <c r="E7028" s="2" t="s">
        <v>16</v>
      </c>
      <c r="F7028" s="2">
        <v>1</v>
      </c>
      <c r="G7028" s="2" t="s">
        <v>17</v>
      </c>
    </row>
    <row r="7029" spans="1:7" x14ac:dyDescent="0.2">
      <c r="A7029" s="2" t="s">
        <v>8563</v>
      </c>
      <c r="B7029" s="2" t="s">
        <v>8576</v>
      </c>
      <c r="C7029" s="2" t="s">
        <v>8575</v>
      </c>
      <c r="D7029" s="2" t="s">
        <v>10</v>
      </c>
      <c r="E7029" s="2" t="s">
        <v>16</v>
      </c>
      <c r="F7029" s="2">
        <v>1</v>
      </c>
      <c r="G7029" s="2" t="s">
        <v>17</v>
      </c>
    </row>
    <row r="7030" spans="1:7" x14ac:dyDescent="0.2">
      <c r="A7030" s="2" t="s">
        <v>8563</v>
      </c>
      <c r="B7030" s="2" t="s">
        <v>925</v>
      </c>
      <c r="C7030" s="2" t="s">
        <v>921</v>
      </c>
      <c r="D7030" s="2" t="s">
        <v>10</v>
      </c>
      <c r="E7030" s="2" t="s">
        <v>16</v>
      </c>
      <c r="F7030" s="2">
        <v>2</v>
      </c>
      <c r="G7030" s="2" t="s">
        <v>17</v>
      </c>
    </row>
    <row r="7031" spans="1:7" x14ac:dyDescent="0.2">
      <c r="A7031" s="2" t="s">
        <v>8563</v>
      </c>
      <c r="B7031" s="2" t="s">
        <v>8577</v>
      </c>
      <c r="C7031" s="2" t="s">
        <v>8569</v>
      </c>
      <c r="D7031" s="2" t="s">
        <v>10</v>
      </c>
      <c r="E7031" s="2" t="s">
        <v>52</v>
      </c>
      <c r="F7031" s="2">
        <v>2</v>
      </c>
      <c r="G7031" s="2" t="s">
        <v>17</v>
      </c>
    </row>
    <row r="7032" spans="1:7" x14ac:dyDescent="0.2">
      <c r="A7032" s="2" t="s">
        <v>8563</v>
      </c>
      <c r="B7032" s="2" t="s">
        <v>8578</v>
      </c>
      <c r="C7032" s="2" t="s">
        <v>8565</v>
      </c>
      <c r="D7032" s="2" t="s">
        <v>10</v>
      </c>
      <c r="E7032" s="2" t="s">
        <v>16</v>
      </c>
      <c r="F7032" s="2">
        <v>1</v>
      </c>
      <c r="G7032" s="2" t="s">
        <v>17</v>
      </c>
    </row>
    <row r="7033" spans="1:7" x14ac:dyDescent="0.2">
      <c r="A7033" s="2" t="s">
        <v>8563</v>
      </c>
      <c r="B7033" s="2" t="s">
        <v>8579</v>
      </c>
      <c r="C7033" s="2" t="s">
        <v>8567</v>
      </c>
      <c r="D7033" s="2" t="s">
        <v>10</v>
      </c>
      <c r="E7033" s="2" t="s">
        <v>16</v>
      </c>
      <c r="F7033" s="2">
        <v>1</v>
      </c>
      <c r="G7033" s="2" t="s">
        <v>17</v>
      </c>
    </row>
    <row r="7034" spans="1:7" x14ac:dyDescent="0.2">
      <c r="A7034" s="2" t="s">
        <v>8563</v>
      </c>
      <c r="B7034" s="2" t="s">
        <v>971</v>
      </c>
      <c r="C7034" s="2" t="s">
        <v>960</v>
      </c>
      <c r="D7034" s="2" t="s">
        <v>10</v>
      </c>
      <c r="E7034" s="2" t="s">
        <v>16</v>
      </c>
      <c r="F7034" s="2">
        <v>2</v>
      </c>
      <c r="G7034" s="2" t="s">
        <v>17</v>
      </c>
    </row>
    <row r="7035" spans="1:7" x14ac:dyDescent="0.2">
      <c r="A7035" s="2" t="s">
        <v>8563</v>
      </c>
      <c r="B7035" s="2" t="s">
        <v>5104</v>
      </c>
      <c r="C7035" s="2" t="s">
        <v>924</v>
      </c>
      <c r="D7035" s="2" t="s">
        <v>10</v>
      </c>
      <c r="E7035" s="2" t="s">
        <v>16</v>
      </c>
      <c r="F7035" s="2">
        <v>1</v>
      </c>
      <c r="G7035" s="2" t="s">
        <v>17</v>
      </c>
    </row>
    <row r="7036" spans="1:7" x14ac:dyDescent="0.2">
      <c r="A7036" s="2" t="s">
        <v>8563</v>
      </c>
      <c r="B7036" s="2" t="s">
        <v>8580</v>
      </c>
      <c r="C7036" s="2" t="s">
        <v>8575</v>
      </c>
      <c r="D7036" s="2" t="s">
        <v>10</v>
      </c>
      <c r="E7036" s="2" t="s">
        <v>16</v>
      </c>
      <c r="F7036" s="2">
        <v>1</v>
      </c>
      <c r="G7036" s="2" t="s">
        <v>17</v>
      </c>
    </row>
    <row r="7037" spans="1:7" x14ac:dyDescent="0.2">
      <c r="A7037" s="2" t="s">
        <v>8563</v>
      </c>
      <c r="B7037" s="2" t="s">
        <v>5107</v>
      </c>
      <c r="C7037" s="2" t="s">
        <v>900</v>
      </c>
      <c r="D7037" s="2" t="s">
        <v>10</v>
      </c>
      <c r="E7037" s="2" t="s">
        <v>16</v>
      </c>
      <c r="F7037" s="2">
        <v>1</v>
      </c>
      <c r="G7037" s="2" t="s">
        <v>17</v>
      </c>
    </row>
    <row r="7038" spans="1:7" x14ac:dyDescent="0.2">
      <c r="A7038" s="2" t="s">
        <v>8563</v>
      </c>
      <c r="B7038" s="2" t="s">
        <v>8401</v>
      </c>
      <c r="C7038" s="2" t="s">
        <v>8575</v>
      </c>
      <c r="D7038" s="2" t="s">
        <v>10</v>
      </c>
      <c r="E7038" s="2" t="s">
        <v>16</v>
      </c>
      <c r="F7038" s="2">
        <v>1</v>
      </c>
      <c r="G7038" s="2" t="s">
        <v>17</v>
      </c>
    </row>
    <row r="7039" spans="1:7" x14ac:dyDescent="0.2">
      <c r="A7039" s="2" t="s">
        <v>8563</v>
      </c>
      <c r="B7039" s="2" t="s">
        <v>5184</v>
      </c>
      <c r="C7039" s="2" t="s">
        <v>982</v>
      </c>
      <c r="D7039" s="2" t="s">
        <v>10</v>
      </c>
      <c r="E7039" s="2" t="s">
        <v>16</v>
      </c>
      <c r="F7039" s="2">
        <v>1</v>
      </c>
      <c r="G7039" s="2" t="s">
        <v>17</v>
      </c>
    </row>
    <row r="7040" spans="1:7" x14ac:dyDescent="0.2">
      <c r="A7040" s="2" t="s">
        <v>8563</v>
      </c>
      <c r="B7040" s="2" t="s">
        <v>5183</v>
      </c>
      <c r="C7040" s="2" t="s">
        <v>982</v>
      </c>
      <c r="D7040" s="2" t="s">
        <v>10</v>
      </c>
      <c r="E7040" s="2" t="s">
        <v>16</v>
      </c>
      <c r="F7040" s="2">
        <v>1</v>
      </c>
      <c r="G7040" s="2" t="s">
        <v>17</v>
      </c>
    </row>
    <row r="7041" spans="1:7" x14ac:dyDescent="0.2">
      <c r="A7041" s="2" t="s">
        <v>8563</v>
      </c>
      <c r="B7041" s="2" t="s">
        <v>8581</v>
      </c>
      <c r="C7041" s="2" t="s">
        <v>5058</v>
      </c>
      <c r="D7041" s="2" t="s">
        <v>10</v>
      </c>
      <c r="E7041" s="2" t="s">
        <v>16</v>
      </c>
      <c r="F7041" s="2">
        <v>1</v>
      </c>
      <c r="G7041" s="2" t="s">
        <v>17</v>
      </c>
    </row>
    <row r="7042" spans="1:7" x14ac:dyDescent="0.2">
      <c r="A7042" s="2" t="s">
        <v>8582</v>
      </c>
      <c r="B7042" s="2" t="s">
        <v>8583</v>
      </c>
      <c r="C7042" s="2" t="s">
        <v>8583</v>
      </c>
      <c r="D7042" s="2" t="s">
        <v>10</v>
      </c>
      <c r="E7042" s="2" t="s">
        <v>16</v>
      </c>
      <c r="F7042" s="2">
        <v>1</v>
      </c>
      <c r="G7042" s="2" t="s">
        <v>17</v>
      </c>
    </row>
    <row r="7043" spans="1:7" x14ac:dyDescent="0.2">
      <c r="A7043" s="2" t="s">
        <v>8584</v>
      </c>
      <c r="B7043" s="2" t="s">
        <v>88</v>
      </c>
      <c r="C7043" s="2" t="s">
        <v>89</v>
      </c>
      <c r="D7043" s="2" t="s">
        <v>10</v>
      </c>
      <c r="E7043" s="2" t="s">
        <v>16</v>
      </c>
      <c r="F7043" s="2">
        <v>1</v>
      </c>
      <c r="G7043" s="2" t="s">
        <v>17</v>
      </c>
    </row>
    <row r="7044" spans="1:7" x14ac:dyDescent="0.2">
      <c r="A7044" s="2" t="s">
        <v>8585</v>
      </c>
      <c r="B7044" s="2" t="s">
        <v>8586</v>
      </c>
      <c r="C7044" s="2" t="s">
        <v>8587</v>
      </c>
      <c r="D7044" s="2" t="s">
        <v>10</v>
      </c>
      <c r="E7044" s="2" t="s">
        <v>16</v>
      </c>
      <c r="F7044" s="2">
        <v>1</v>
      </c>
      <c r="G7044" s="2" t="s">
        <v>17</v>
      </c>
    </row>
    <row r="7045" spans="1:7" x14ac:dyDescent="0.2">
      <c r="A7045" s="2" t="s">
        <v>8588</v>
      </c>
      <c r="B7045" s="2" t="s">
        <v>5933</v>
      </c>
      <c r="C7045" s="2" t="s">
        <v>5934</v>
      </c>
      <c r="D7045" s="2" t="s">
        <v>10</v>
      </c>
      <c r="E7045" s="2" t="s">
        <v>16</v>
      </c>
      <c r="F7045" s="2">
        <v>1</v>
      </c>
      <c r="G7045" s="2" t="s">
        <v>17</v>
      </c>
    </row>
    <row r="7046" spans="1:7" x14ac:dyDescent="0.2">
      <c r="A7046" s="2" t="s">
        <v>8589</v>
      </c>
      <c r="B7046" s="2" t="s">
        <v>5930</v>
      </c>
      <c r="C7046" s="2" t="s">
        <v>5931</v>
      </c>
      <c r="D7046" s="2" t="s">
        <v>10</v>
      </c>
      <c r="E7046" s="2" t="s">
        <v>16</v>
      </c>
      <c r="F7046" s="2">
        <v>1</v>
      </c>
      <c r="G7046" s="2" t="s">
        <v>17</v>
      </c>
    </row>
    <row r="7047" spans="1:7" x14ac:dyDescent="0.2">
      <c r="A7047" s="2" t="s">
        <v>8589</v>
      </c>
      <c r="B7047" s="2" t="s">
        <v>5932</v>
      </c>
      <c r="C7047" s="2" t="s">
        <v>8590</v>
      </c>
      <c r="D7047" s="2" t="s">
        <v>10</v>
      </c>
      <c r="E7047" s="2" t="s">
        <v>16</v>
      </c>
      <c r="F7047" s="2">
        <v>1</v>
      </c>
      <c r="G7047" s="2" t="s">
        <v>17</v>
      </c>
    </row>
    <row r="7048" spans="1:7" x14ac:dyDescent="0.2">
      <c r="A7048" s="2" t="s">
        <v>8591</v>
      </c>
      <c r="B7048" s="2" t="s">
        <v>8592</v>
      </c>
      <c r="C7048" s="2" t="s">
        <v>8593</v>
      </c>
      <c r="D7048" s="2" t="s">
        <v>10</v>
      </c>
      <c r="E7048" s="2" t="s">
        <v>16</v>
      </c>
      <c r="F7048" s="2">
        <v>1</v>
      </c>
      <c r="G7048" s="2" t="s">
        <v>17</v>
      </c>
    </row>
    <row r="7049" spans="1:7" x14ac:dyDescent="0.2">
      <c r="A7049" s="2" t="s">
        <v>8591</v>
      </c>
      <c r="B7049" s="2" t="s">
        <v>1211</v>
      </c>
      <c r="C7049" s="2" t="s">
        <v>8593</v>
      </c>
      <c r="D7049" s="2" t="s">
        <v>10</v>
      </c>
      <c r="E7049" s="2" t="s">
        <v>16</v>
      </c>
      <c r="F7049" s="2">
        <v>1</v>
      </c>
      <c r="G7049" s="2" t="s">
        <v>17</v>
      </c>
    </row>
    <row r="7050" spans="1:7" x14ac:dyDescent="0.2">
      <c r="A7050" s="2" t="s">
        <v>8594</v>
      </c>
      <c r="B7050" s="2" t="s">
        <v>8135</v>
      </c>
      <c r="C7050" s="2" t="s">
        <v>7476</v>
      </c>
      <c r="D7050" s="2" t="s">
        <v>10</v>
      </c>
      <c r="E7050" s="2" t="s">
        <v>16</v>
      </c>
      <c r="F7050" s="2">
        <v>1</v>
      </c>
      <c r="G7050" s="2" t="s">
        <v>17</v>
      </c>
    </row>
    <row r="7051" spans="1:7" x14ac:dyDescent="0.2">
      <c r="A7051" s="2" t="s">
        <v>8595</v>
      </c>
      <c r="B7051" s="2" t="s">
        <v>8596</v>
      </c>
      <c r="C7051" s="2" t="s">
        <v>8597</v>
      </c>
      <c r="D7051" s="2" t="s">
        <v>10</v>
      </c>
      <c r="E7051" s="2" t="s">
        <v>16</v>
      </c>
      <c r="F7051" s="2">
        <v>1</v>
      </c>
      <c r="G7051" s="2" t="s">
        <v>17</v>
      </c>
    </row>
    <row r="7052" spans="1:7" x14ac:dyDescent="0.2">
      <c r="A7052" s="2" t="s">
        <v>8598</v>
      </c>
      <c r="B7052" s="2" t="s">
        <v>8599</v>
      </c>
      <c r="C7052" s="2" t="s">
        <v>8600</v>
      </c>
      <c r="D7052" s="2" t="s">
        <v>10</v>
      </c>
      <c r="E7052" s="2" t="s">
        <v>52</v>
      </c>
      <c r="F7052" s="2">
        <v>1</v>
      </c>
      <c r="G7052" s="2" t="s">
        <v>17</v>
      </c>
    </row>
    <row r="7053" spans="1:7" x14ac:dyDescent="0.2">
      <c r="A7053" s="2" t="s">
        <v>8598</v>
      </c>
      <c r="B7053" s="2" t="s">
        <v>1034</v>
      </c>
      <c r="C7053" s="2" t="s">
        <v>1035</v>
      </c>
      <c r="D7053" s="2" t="s">
        <v>10</v>
      </c>
      <c r="E7053" s="2" t="s">
        <v>16</v>
      </c>
      <c r="F7053" s="2">
        <v>1</v>
      </c>
      <c r="G7053" s="2" t="s">
        <v>17</v>
      </c>
    </row>
    <row r="7054" spans="1:7" x14ac:dyDescent="0.2">
      <c r="A7054" s="2" t="s">
        <v>8601</v>
      </c>
      <c r="B7054" s="2" t="s">
        <v>5621</v>
      </c>
      <c r="C7054" s="2" t="s">
        <v>5622</v>
      </c>
      <c r="D7054" s="2" t="s">
        <v>10</v>
      </c>
      <c r="E7054" s="2" t="s">
        <v>16</v>
      </c>
      <c r="F7054" s="2">
        <v>1</v>
      </c>
      <c r="G7054" s="2" t="s">
        <v>17</v>
      </c>
    </row>
    <row r="7055" spans="1:7" x14ac:dyDescent="0.2">
      <c r="A7055" s="2" t="s">
        <v>8601</v>
      </c>
      <c r="B7055" s="2" t="s">
        <v>5623</v>
      </c>
      <c r="C7055" s="2" t="s">
        <v>5622</v>
      </c>
      <c r="D7055" s="2" t="s">
        <v>10</v>
      </c>
      <c r="E7055" s="2" t="s">
        <v>16</v>
      </c>
      <c r="F7055" s="2">
        <v>1</v>
      </c>
      <c r="G7055" s="2" t="s">
        <v>17</v>
      </c>
    </row>
    <row r="7056" spans="1:7" x14ac:dyDescent="0.2">
      <c r="A7056" s="2" t="s">
        <v>8602</v>
      </c>
      <c r="B7056" s="2" t="s">
        <v>2375</v>
      </c>
      <c r="C7056" s="2" t="s">
        <v>2374</v>
      </c>
      <c r="D7056" s="2" t="s">
        <v>10</v>
      </c>
      <c r="E7056" s="2" t="s">
        <v>11</v>
      </c>
      <c r="F7056" s="2">
        <v>2</v>
      </c>
      <c r="G7056" s="2" t="s">
        <v>12</v>
      </c>
    </row>
    <row r="7057" spans="1:7" x14ac:dyDescent="0.2">
      <c r="A7057" s="2" t="s">
        <v>8602</v>
      </c>
      <c r="B7057" s="2" t="s">
        <v>8603</v>
      </c>
      <c r="C7057" s="2" t="s">
        <v>2374</v>
      </c>
      <c r="D7057" s="2" t="s">
        <v>10</v>
      </c>
      <c r="E7057" s="2" t="s">
        <v>11</v>
      </c>
      <c r="F7057" s="2">
        <v>2</v>
      </c>
      <c r="G7057" s="2" t="s">
        <v>12</v>
      </c>
    </row>
    <row r="7058" spans="1:7" x14ac:dyDescent="0.2">
      <c r="A7058" s="2" t="s">
        <v>8602</v>
      </c>
      <c r="B7058" s="2" t="s">
        <v>6398</v>
      </c>
      <c r="C7058" s="2" t="s">
        <v>2374</v>
      </c>
      <c r="D7058" s="2" t="s">
        <v>10</v>
      </c>
      <c r="E7058" s="2" t="s">
        <v>11</v>
      </c>
      <c r="F7058" s="2">
        <v>2</v>
      </c>
      <c r="G7058" s="2" t="s">
        <v>12</v>
      </c>
    </row>
    <row r="7059" spans="1:7" x14ac:dyDescent="0.2">
      <c r="A7059" s="2" t="s">
        <v>8604</v>
      </c>
      <c r="B7059" s="2" t="s">
        <v>8605</v>
      </c>
      <c r="C7059" s="2" t="s">
        <v>1856</v>
      </c>
      <c r="D7059" s="2" t="s">
        <v>56</v>
      </c>
      <c r="E7059" s="2" t="s">
        <v>52</v>
      </c>
      <c r="F7059" s="2">
        <v>2</v>
      </c>
      <c r="G7059" s="2" t="s">
        <v>12</v>
      </c>
    </row>
    <row r="7060" spans="1:7" x14ac:dyDescent="0.2">
      <c r="A7060" s="2" t="s">
        <v>8604</v>
      </c>
      <c r="B7060" s="2" t="s">
        <v>8606</v>
      </c>
      <c r="C7060" s="2" t="s">
        <v>1856</v>
      </c>
      <c r="D7060" s="2" t="s">
        <v>56</v>
      </c>
      <c r="E7060" s="2" t="s">
        <v>52</v>
      </c>
      <c r="F7060" s="2">
        <v>2</v>
      </c>
      <c r="G7060" s="2" t="s">
        <v>12</v>
      </c>
    </row>
    <row r="7061" spans="1:7" x14ac:dyDescent="0.2">
      <c r="A7061" s="2" t="s">
        <v>8604</v>
      </c>
      <c r="B7061" s="2" t="s">
        <v>8607</v>
      </c>
      <c r="C7061" s="2" t="s">
        <v>1856</v>
      </c>
      <c r="D7061" s="2" t="s">
        <v>56</v>
      </c>
      <c r="E7061" s="2" t="s">
        <v>52</v>
      </c>
      <c r="F7061" s="2">
        <v>2</v>
      </c>
      <c r="G7061" s="2" t="s">
        <v>12</v>
      </c>
    </row>
    <row r="7062" spans="1:7" x14ac:dyDescent="0.2">
      <c r="A7062" s="2" t="s">
        <v>8604</v>
      </c>
      <c r="B7062" s="2" t="s">
        <v>1855</v>
      </c>
      <c r="C7062" s="2" t="s">
        <v>1856</v>
      </c>
      <c r="D7062" s="2" t="s">
        <v>56</v>
      </c>
      <c r="E7062" s="2" t="s">
        <v>52</v>
      </c>
      <c r="F7062" s="2">
        <v>2</v>
      </c>
      <c r="G7062" s="2" t="s">
        <v>12</v>
      </c>
    </row>
    <row r="7063" spans="1:7" x14ac:dyDescent="0.2">
      <c r="A7063" s="2" t="s">
        <v>8604</v>
      </c>
      <c r="B7063" s="2" t="s">
        <v>8608</v>
      </c>
      <c r="C7063" s="2" t="s">
        <v>1856</v>
      </c>
      <c r="D7063" s="2" t="s">
        <v>56</v>
      </c>
      <c r="E7063" s="2" t="s">
        <v>52</v>
      </c>
      <c r="F7063" s="2">
        <v>2</v>
      </c>
      <c r="G7063" s="2" t="s">
        <v>12</v>
      </c>
    </row>
    <row r="7064" spans="1:7" x14ac:dyDescent="0.2">
      <c r="A7064" s="2" t="s">
        <v>8609</v>
      </c>
      <c r="B7064" s="2" t="s">
        <v>8610</v>
      </c>
      <c r="C7064" s="2" t="s">
        <v>8611</v>
      </c>
      <c r="D7064" s="2" t="s">
        <v>10</v>
      </c>
      <c r="E7064" s="2" t="s">
        <v>16</v>
      </c>
      <c r="F7064" s="2">
        <v>1</v>
      </c>
      <c r="G7064" s="2" t="s">
        <v>17</v>
      </c>
    </row>
    <row r="7065" spans="1:7" x14ac:dyDescent="0.2">
      <c r="A7065" s="2" t="s">
        <v>8609</v>
      </c>
      <c r="B7065" s="2" t="s">
        <v>8612</v>
      </c>
      <c r="C7065" s="2" t="s">
        <v>8611</v>
      </c>
      <c r="D7065" s="2" t="s">
        <v>10</v>
      </c>
      <c r="E7065" s="2" t="s">
        <v>16</v>
      </c>
      <c r="F7065" s="2">
        <v>1</v>
      </c>
      <c r="G7065" s="2" t="s">
        <v>17</v>
      </c>
    </row>
    <row r="7066" spans="1:7" x14ac:dyDescent="0.2">
      <c r="A7066" s="2" t="s">
        <v>8613</v>
      </c>
      <c r="B7066" s="2" t="s">
        <v>8614</v>
      </c>
      <c r="C7066" s="2" t="s">
        <v>8615</v>
      </c>
      <c r="D7066" s="2" t="s">
        <v>10</v>
      </c>
      <c r="E7066" s="2" t="s">
        <v>16</v>
      </c>
      <c r="F7066" s="2">
        <v>1</v>
      </c>
      <c r="G7066" s="2" t="s">
        <v>17</v>
      </c>
    </row>
    <row r="7067" spans="1:7" x14ac:dyDescent="0.2">
      <c r="A7067" s="2" t="s">
        <v>8616</v>
      </c>
      <c r="B7067" s="2" t="s">
        <v>2015</v>
      </c>
      <c r="C7067" s="2" t="s">
        <v>2016</v>
      </c>
      <c r="D7067" s="2" t="s">
        <v>10</v>
      </c>
      <c r="E7067" s="2" t="s">
        <v>16</v>
      </c>
      <c r="F7067" s="2">
        <v>1</v>
      </c>
      <c r="G7067" s="2" t="s">
        <v>17</v>
      </c>
    </row>
    <row r="7068" spans="1:7" x14ac:dyDescent="0.2">
      <c r="A7068" s="2" t="s">
        <v>8616</v>
      </c>
      <c r="B7068" s="2" t="s">
        <v>2017</v>
      </c>
      <c r="C7068" s="2" t="s">
        <v>2016</v>
      </c>
      <c r="D7068" s="2" t="s">
        <v>10</v>
      </c>
      <c r="E7068" s="2" t="s">
        <v>16</v>
      </c>
      <c r="F7068" s="2">
        <v>1</v>
      </c>
      <c r="G7068" s="2" t="s">
        <v>17</v>
      </c>
    </row>
    <row r="7069" spans="1:7" x14ac:dyDescent="0.2">
      <c r="A7069" s="2" t="s">
        <v>8617</v>
      </c>
      <c r="B7069" s="2" t="s">
        <v>1458</v>
      </c>
      <c r="C7069" s="2" t="s">
        <v>1459</v>
      </c>
      <c r="D7069" s="2" t="s">
        <v>10</v>
      </c>
      <c r="E7069" s="2" t="s">
        <v>16</v>
      </c>
      <c r="F7069" s="2">
        <v>1</v>
      </c>
      <c r="G7069" s="2" t="s">
        <v>17</v>
      </c>
    </row>
    <row r="7070" spans="1:7" x14ac:dyDescent="0.2">
      <c r="A7070" s="2" t="s">
        <v>8617</v>
      </c>
      <c r="B7070" s="2" t="s">
        <v>1460</v>
      </c>
      <c r="C7070" s="2" t="s">
        <v>1459</v>
      </c>
      <c r="D7070" s="2" t="s">
        <v>10</v>
      </c>
      <c r="E7070" s="2" t="s">
        <v>16</v>
      </c>
      <c r="F7070" s="2">
        <v>1</v>
      </c>
      <c r="G7070" s="2" t="s">
        <v>17</v>
      </c>
    </row>
    <row r="7071" spans="1:7" x14ac:dyDescent="0.2">
      <c r="A7071" s="2" t="s">
        <v>8618</v>
      </c>
      <c r="B7071" s="2" t="s">
        <v>1427</v>
      </c>
      <c r="C7071" s="2" t="s">
        <v>1428</v>
      </c>
      <c r="D7071" s="2" t="s">
        <v>10</v>
      </c>
      <c r="E7071" s="2" t="s">
        <v>16</v>
      </c>
      <c r="F7071" s="2">
        <v>1</v>
      </c>
      <c r="G7071" s="2" t="s">
        <v>17</v>
      </c>
    </row>
    <row r="7072" spans="1:7" x14ac:dyDescent="0.2">
      <c r="A7072" s="2" t="s">
        <v>8619</v>
      </c>
      <c r="B7072" s="2" t="s">
        <v>8620</v>
      </c>
      <c r="C7072" s="2" t="s">
        <v>3449</v>
      </c>
      <c r="D7072" s="2" t="s">
        <v>10</v>
      </c>
      <c r="E7072" s="2" t="s">
        <v>16</v>
      </c>
      <c r="F7072" s="2">
        <v>1</v>
      </c>
      <c r="G7072" s="2" t="s">
        <v>17</v>
      </c>
    </row>
    <row r="7073" spans="1:7" x14ac:dyDescent="0.2">
      <c r="A7073" s="2" t="s">
        <v>8619</v>
      </c>
      <c r="B7073" s="2" t="s">
        <v>8621</v>
      </c>
      <c r="C7073" s="2" t="s">
        <v>3451</v>
      </c>
      <c r="D7073" s="2" t="s">
        <v>10</v>
      </c>
      <c r="E7073" s="2" t="s">
        <v>16</v>
      </c>
      <c r="F7073" s="2">
        <v>1</v>
      </c>
      <c r="G7073" s="2" t="s">
        <v>17</v>
      </c>
    </row>
    <row r="7074" spans="1:7" x14ac:dyDescent="0.2">
      <c r="A7074" s="2" t="s">
        <v>8619</v>
      </c>
      <c r="B7074" s="2" t="s">
        <v>3448</v>
      </c>
      <c r="C7074" s="2" t="s">
        <v>3449</v>
      </c>
      <c r="D7074" s="2" t="s">
        <v>10</v>
      </c>
      <c r="E7074" s="2" t="s">
        <v>16</v>
      </c>
      <c r="F7074" s="2">
        <v>1</v>
      </c>
      <c r="G7074" s="2" t="s">
        <v>17</v>
      </c>
    </row>
    <row r="7075" spans="1:7" x14ac:dyDescent="0.2">
      <c r="A7075" s="2" t="s">
        <v>8619</v>
      </c>
      <c r="B7075" s="2" t="s">
        <v>8622</v>
      </c>
      <c r="C7075" s="2" t="s">
        <v>3451</v>
      </c>
      <c r="D7075" s="2" t="s">
        <v>10</v>
      </c>
      <c r="E7075" s="2" t="s">
        <v>16</v>
      </c>
      <c r="F7075" s="2">
        <v>1</v>
      </c>
      <c r="G7075" s="2" t="s">
        <v>17</v>
      </c>
    </row>
    <row r="7076" spans="1:7" x14ac:dyDescent="0.2">
      <c r="A7076" s="2" t="s">
        <v>8619</v>
      </c>
      <c r="B7076" s="2" t="s">
        <v>3450</v>
      </c>
      <c r="C7076" s="2" t="s">
        <v>3451</v>
      </c>
      <c r="D7076" s="2" t="s">
        <v>10</v>
      </c>
      <c r="E7076" s="2" t="s">
        <v>16</v>
      </c>
      <c r="F7076" s="2">
        <v>1</v>
      </c>
      <c r="G7076" s="2" t="s">
        <v>17</v>
      </c>
    </row>
    <row r="7077" spans="1:7" x14ac:dyDescent="0.2">
      <c r="A7077" s="2" t="s">
        <v>8619</v>
      </c>
      <c r="B7077" s="2" t="s">
        <v>8623</v>
      </c>
      <c r="C7077" s="2" t="s">
        <v>3451</v>
      </c>
      <c r="D7077" s="2" t="s">
        <v>10</v>
      </c>
      <c r="E7077" s="2" t="s">
        <v>16</v>
      </c>
      <c r="F7077" s="2">
        <v>1</v>
      </c>
      <c r="G7077" s="2" t="s">
        <v>17</v>
      </c>
    </row>
    <row r="7078" spans="1:7" x14ac:dyDescent="0.2">
      <c r="A7078" s="2" t="s">
        <v>8624</v>
      </c>
      <c r="B7078" s="2" t="s">
        <v>8625</v>
      </c>
      <c r="C7078" s="2" t="s">
        <v>8033</v>
      </c>
      <c r="D7078" s="2" t="s">
        <v>10</v>
      </c>
      <c r="E7078" s="2" t="s">
        <v>52</v>
      </c>
      <c r="F7078" s="2">
        <v>2</v>
      </c>
      <c r="G7078" s="2" t="s">
        <v>12</v>
      </c>
    </row>
    <row r="7079" spans="1:7" x14ac:dyDescent="0.2">
      <c r="A7079" s="2" t="s">
        <v>8624</v>
      </c>
      <c r="B7079" s="2">
        <v>262</v>
      </c>
      <c r="C7079" s="2" t="s">
        <v>643</v>
      </c>
      <c r="D7079" s="2" t="s">
        <v>10</v>
      </c>
      <c r="E7079" s="2" t="s">
        <v>52</v>
      </c>
      <c r="F7079" s="2">
        <v>2</v>
      </c>
      <c r="G7079" s="2" t="s">
        <v>12</v>
      </c>
    </row>
    <row r="7080" spans="1:7" x14ac:dyDescent="0.2">
      <c r="A7080" s="2" t="s">
        <v>8624</v>
      </c>
      <c r="B7080" s="2" t="s">
        <v>8626</v>
      </c>
      <c r="C7080" s="2" t="s">
        <v>643</v>
      </c>
      <c r="D7080" s="2" t="s">
        <v>10</v>
      </c>
      <c r="E7080" s="2" t="s">
        <v>52</v>
      </c>
      <c r="F7080" s="2">
        <v>2</v>
      </c>
      <c r="G7080" s="2" t="s">
        <v>12</v>
      </c>
    </row>
    <row r="7081" spans="1:7" x14ac:dyDescent="0.2">
      <c r="A7081" s="2" t="s">
        <v>8624</v>
      </c>
      <c r="B7081" s="2">
        <v>1000</v>
      </c>
      <c r="C7081" s="2" t="s">
        <v>8116</v>
      </c>
      <c r="D7081" s="2" t="s">
        <v>10</v>
      </c>
      <c r="E7081" s="2" t="s">
        <v>16</v>
      </c>
      <c r="F7081" s="2">
        <v>1</v>
      </c>
      <c r="G7081" s="2" t="s">
        <v>17</v>
      </c>
    </row>
    <row r="7082" spans="1:7" x14ac:dyDescent="0.2">
      <c r="A7082" s="2" t="s">
        <v>8624</v>
      </c>
      <c r="B7082" s="2" t="s">
        <v>8627</v>
      </c>
      <c r="C7082" s="2" t="s">
        <v>8116</v>
      </c>
      <c r="D7082" s="2" t="s">
        <v>10</v>
      </c>
      <c r="E7082" s="2" t="s">
        <v>16</v>
      </c>
      <c r="F7082" s="2">
        <v>1</v>
      </c>
      <c r="G7082" s="2" t="s">
        <v>17</v>
      </c>
    </row>
    <row r="7083" spans="1:7" x14ac:dyDescent="0.2">
      <c r="A7083" s="2" t="s">
        <v>8624</v>
      </c>
      <c r="B7083" s="2" t="s">
        <v>8628</v>
      </c>
      <c r="C7083" s="2" t="s">
        <v>8116</v>
      </c>
      <c r="D7083" s="2" t="s">
        <v>10</v>
      </c>
      <c r="E7083" s="2" t="s">
        <v>16</v>
      </c>
      <c r="F7083" s="2">
        <v>1</v>
      </c>
      <c r="G7083" s="2" t="s">
        <v>17</v>
      </c>
    </row>
    <row r="7084" spans="1:7" x14ac:dyDescent="0.2">
      <c r="A7084" s="2" t="s">
        <v>8624</v>
      </c>
      <c r="B7084" s="2" t="s">
        <v>8629</v>
      </c>
      <c r="C7084" s="2" t="s">
        <v>8630</v>
      </c>
      <c r="D7084" s="2" t="s">
        <v>10</v>
      </c>
      <c r="E7084" s="2" t="s">
        <v>16</v>
      </c>
      <c r="F7084" s="2">
        <v>1</v>
      </c>
      <c r="G7084" s="2" t="s">
        <v>17</v>
      </c>
    </row>
    <row r="7085" spans="1:7" x14ac:dyDescent="0.2">
      <c r="A7085" s="2" t="s">
        <v>8624</v>
      </c>
      <c r="B7085" s="2" t="s">
        <v>8631</v>
      </c>
      <c r="C7085" s="2" t="s">
        <v>8630</v>
      </c>
      <c r="D7085" s="2" t="s">
        <v>10</v>
      </c>
      <c r="E7085" s="2" t="s">
        <v>16</v>
      </c>
      <c r="F7085" s="2">
        <v>1</v>
      </c>
      <c r="G7085" s="2" t="s">
        <v>17</v>
      </c>
    </row>
    <row r="7086" spans="1:7" x14ac:dyDescent="0.2">
      <c r="A7086" s="2" t="s">
        <v>8624</v>
      </c>
      <c r="B7086" s="2" t="s">
        <v>8632</v>
      </c>
      <c r="C7086" s="2" t="s">
        <v>8630</v>
      </c>
      <c r="D7086" s="2" t="s">
        <v>10</v>
      </c>
      <c r="E7086" s="2" t="s">
        <v>16</v>
      </c>
      <c r="F7086" s="2">
        <v>1</v>
      </c>
      <c r="G7086" s="2" t="s">
        <v>17</v>
      </c>
    </row>
    <row r="7087" spans="1:7" x14ac:dyDescent="0.2">
      <c r="A7087" s="2" t="s">
        <v>8624</v>
      </c>
      <c r="B7087" s="2" t="s">
        <v>8633</v>
      </c>
      <c r="C7087" s="2" t="s">
        <v>8634</v>
      </c>
      <c r="D7087" s="2" t="s">
        <v>10</v>
      </c>
      <c r="E7087" s="2" t="s">
        <v>16</v>
      </c>
      <c r="F7087" s="2">
        <v>1</v>
      </c>
      <c r="G7087" s="2" t="s">
        <v>17</v>
      </c>
    </row>
    <row r="7088" spans="1:7" x14ac:dyDescent="0.2">
      <c r="A7088" s="2" t="s">
        <v>8624</v>
      </c>
      <c r="B7088" s="2" t="s">
        <v>8635</v>
      </c>
      <c r="C7088" s="2" t="s">
        <v>8634</v>
      </c>
      <c r="D7088" s="2" t="s">
        <v>10</v>
      </c>
      <c r="E7088" s="2" t="s">
        <v>16</v>
      </c>
      <c r="F7088" s="2">
        <v>1</v>
      </c>
      <c r="G7088" s="2" t="s">
        <v>17</v>
      </c>
    </row>
    <row r="7089" spans="1:7" x14ac:dyDescent="0.2">
      <c r="A7089" s="2" t="s">
        <v>8624</v>
      </c>
      <c r="B7089" s="2" t="s">
        <v>8636</v>
      </c>
      <c r="C7089" s="2" t="s">
        <v>8634</v>
      </c>
      <c r="D7089" s="2" t="s">
        <v>10</v>
      </c>
      <c r="E7089" s="2" t="s">
        <v>16</v>
      </c>
      <c r="F7089" s="2">
        <v>1</v>
      </c>
      <c r="G7089" s="2" t="s">
        <v>17</v>
      </c>
    </row>
    <row r="7090" spans="1:7" x14ac:dyDescent="0.2">
      <c r="A7090" s="2" t="s">
        <v>8624</v>
      </c>
      <c r="B7090" s="2" t="s">
        <v>8637</v>
      </c>
      <c r="C7090" s="2" t="s">
        <v>8634</v>
      </c>
      <c r="D7090" s="2" t="s">
        <v>10</v>
      </c>
      <c r="E7090" s="2" t="s">
        <v>16</v>
      </c>
      <c r="F7090" s="2">
        <v>1</v>
      </c>
      <c r="G7090" s="2" t="s">
        <v>17</v>
      </c>
    </row>
    <row r="7091" spans="1:7" x14ac:dyDescent="0.2">
      <c r="A7091" s="2" t="s">
        <v>8624</v>
      </c>
      <c r="B7091" s="2" t="s">
        <v>8638</v>
      </c>
      <c r="C7091" s="2" t="s">
        <v>8634</v>
      </c>
      <c r="D7091" s="2" t="s">
        <v>10</v>
      </c>
      <c r="E7091" s="2" t="s">
        <v>16</v>
      </c>
      <c r="F7091" s="2">
        <v>1</v>
      </c>
      <c r="G7091" s="2" t="s">
        <v>17</v>
      </c>
    </row>
    <row r="7092" spans="1:7" x14ac:dyDescent="0.2">
      <c r="A7092" s="2" t="s">
        <v>8624</v>
      </c>
      <c r="B7092" s="2" t="s">
        <v>8639</v>
      </c>
      <c r="C7092" s="2" t="s">
        <v>8640</v>
      </c>
      <c r="D7092" s="2" t="s">
        <v>10</v>
      </c>
      <c r="E7092" s="2" t="s">
        <v>16</v>
      </c>
      <c r="F7092" s="2">
        <v>2</v>
      </c>
      <c r="G7092" s="2" t="s">
        <v>12</v>
      </c>
    </row>
    <row r="7093" spans="1:7" x14ac:dyDescent="0.2">
      <c r="A7093" s="2" t="s">
        <v>8624</v>
      </c>
      <c r="B7093" s="2">
        <v>3202</v>
      </c>
      <c r="C7093" s="2" t="s">
        <v>8641</v>
      </c>
      <c r="D7093" s="2" t="s">
        <v>10</v>
      </c>
      <c r="E7093" s="2" t="s">
        <v>16</v>
      </c>
      <c r="F7093" s="2">
        <v>1</v>
      </c>
      <c r="G7093" s="2" t="s">
        <v>17</v>
      </c>
    </row>
    <row r="7094" spans="1:7" x14ac:dyDescent="0.2">
      <c r="A7094" s="2" t="s">
        <v>8624</v>
      </c>
      <c r="B7094" s="2">
        <v>3400</v>
      </c>
      <c r="C7094" s="2" t="s">
        <v>8642</v>
      </c>
      <c r="D7094" s="2" t="s">
        <v>10</v>
      </c>
      <c r="E7094" s="2" t="s">
        <v>16</v>
      </c>
      <c r="F7094" s="2">
        <v>1</v>
      </c>
      <c r="G7094" s="2" t="s">
        <v>17</v>
      </c>
    </row>
    <row r="7095" spans="1:7" x14ac:dyDescent="0.2">
      <c r="A7095" s="2" t="s">
        <v>8624</v>
      </c>
      <c r="B7095" s="2" t="s">
        <v>642</v>
      </c>
      <c r="C7095" s="2" t="s">
        <v>643</v>
      </c>
      <c r="D7095" s="2" t="s">
        <v>10</v>
      </c>
      <c r="E7095" s="2" t="s">
        <v>52</v>
      </c>
      <c r="F7095" s="2">
        <v>2</v>
      </c>
      <c r="G7095" s="2" t="s">
        <v>12</v>
      </c>
    </row>
    <row r="7096" spans="1:7" x14ac:dyDescent="0.2">
      <c r="A7096" s="2" t="s">
        <v>8624</v>
      </c>
      <c r="B7096" s="2" t="s">
        <v>649</v>
      </c>
      <c r="C7096" s="2" t="s">
        <v>643</v>
      </c>
      <c r="D7096" s="2" t="s">
        <v>10</v>
      </c>
      <c r="E7096" s="2" t="s">
        <v>52</v>
      </c>
      <c r="F7096" s="2">
        <v>2</v>
      </c>
      <c r="G7096" s="2" t="s">
        <v>12</v>
      </c>
    </row>
    <row r="7097" spans="1:7" x14ac:dyDescent="0.2">
      <c r="A7097" s="2" t="s">
        <v>8624</v>
      </c>
      <c r="B7097" s="2" t="s">
        <v>8643</v>
      </c>
      <c r="C7097" s="2" t="s">
        <v>8644</v>
      </c>
      <c r="D7097" s="2" t="s">
        <v>10</v>
      </c>
      <c r="E7097" s="2" t="s">
        <v>16</v>
      </c>
      <c r="F7097" s="2">
        <v>1</v>
      </c>
      <c r="G7097" s="2" t="s">
        <v>17</v>
      </c>
    </row>
    <row r="7098" spans="1:7" x14ac:dyDescent="0.2">
      <c r="A7098" s="2" t="s">
        <v>8624</v>
      </c>
      <c r="B7098" s="2" t="s">
        <v>8645</v>
      </c>
      <c r="C7098" s="2" t="s">
        <v>8644</v>
      </c>
      <c r="D7098" s="2" t="s">
        <v>10</v>
      </c>
      <c r="E7098" s="2" t="s">
        <v>16</v>
      </c>
      <c r="F7098" s="2">
        <v>1</v>
      </c>
      <c r="G7098" s="2" t="s">
        <v>17</v>
      </c>
    </row>
    <row r="7099" spans="1:7" x14ac:dyDescent="0.2">
      <c r="A7099" s="2" t="s">
        <v>8624</v>
      </c>
      <c r="B7099" s="2" t="s">
        <v>8646</v>
      </c>
      <c r="C7099" s="2" t="s">
        <v>8630</v>
      </c>
      <c r="D7099" s="2" t="s">
        <v>10</v>
      </c>
      <c r="E7099" s="2" t="s">
        <v>16</v>
      </c>
      <c r="F7099" s="2">
        <v>1</v>
      </c>
      <c r="G7099" s="2" t="s">
        <v>17</v>
      </c>
    </row>
    <row r="7100" spans="1:7" x14ac:dyDescent="0.2">
      <c r="A7100" s="2" t="s">
        <v>8624</v>
      </c>
      <c r="B7100" s="2" t="s">
        <v>8647</v>
      </c>
      <c r="C7100" s="2" t="s">
        <v>8640</v>
      </c>
      <c r="D7100" s="2" t="s">
        <v>10</v>
      </c>
      <c r="E7100" s="2" t="s">
        <v>16</v>
      </c>
      <c r="F7100" s="2">
        <v>2</v>
      </c>
      <c r="G7100" s="2" t="s">
        <v>12</v>
      </c>
    </row>
    <row r="7101" spans="1:7" x14ac:dyDescent="0.2">
      <c r="A7101" s="2" t="s">
        <v>8624</v>
      </c>
      <c r="B7101" s="2" t="s">
        <v>418</v>
      </c>
      <c r="C7101" s="2" t="s">
        <v>8116</v>
      </c>
      <c r="D7101" s="2" t="s">
        <v>10</v>
      </c>
      <c r="E7101" s="2" t="s">
        <v>16</v>
      </c>
      <c r="F7101" s="2">
        <v>1</v>
      </c>
      <c r="G7101" s="2" t="s">
        <v>17</v>
      </c>
    </row>
    <row r="7102" spans="1:7" x14ac:dyDescent="0.2">
      <c r="A7102" s="2" t="s">
        <v>8624</v>
      </c>
      <c r="B7102" s="2" t="s">
        <v>8648</v>
      </c>
      <c r="C7102" s="2" t="s">
        <v>8630</v>
      </c>
      <c r="D7102" s="2" t="s">
        <v>10</v>
      </c>
      <c r="E7102" s="2" t="s">
        <v>16</v>
      </c>
      <c r="F7102" s="2">
        <v>1</v>
      </c>
      <c r="G7102" s="2" t="s">
        <v>17</v>
      </c>
    </row>
    <row r="7103" spans="1:7" x14ac:dyDescent="0.2">
      <c r="A7103" s="2" t="s">
        <v>8624</v>
      </c>
      <c r="B7103" s="2" t="s">
        <v>8035</v>
      </c>
      <c r="C7103" s="2" t="s">
        <v>8033</v>
      </c>
      <c r="D7103" s="2" t="s">
        <v>10</v>
      </c>
      <c r="E7103" s="2" t="s">
        <v>52</v>
      </c>
      <c r="F7103" s="2">
        <v>2</v>
      </c>
      <c r="G7103" s="2" t="s">
        <v>12</v>
      </c>
    </row>
    <row r="7104" spans="1:7" x14ac:dyDescent="0.2">
      <c r="A7104" s="2" t="s">
        <v>8624</v>
      </c>
      <c r="B7104" s="2" t="s">
        <v>893</v>
      </c>
      <c r="C7104" s="2" t="s">
        <v>894</v>
      </c>
      <c r="D7104" s="2" t="s">
        <v>10</v>
      </c>
      <c r="E7104" s="2" t="s">
        <v>16</v>
      </c>
      <c r="F7104" s="2">
        <v>1</v>
      </c>
      <c r="G7104" s="2" t="s">
        <v>17</v>
      </c>
    </row>
    <row r="7105" spans="1:7" x14ac:dyDescent="0.2">
      <c r="A7105" s="2" t="s">
        <v>8649</v>
      </c>
      <c r="B7105" s="2" t="s">
        <v>8639</v>
      </c>
      <c r="C7105" s="2" t="s">
        <v>8640</v>
      </c>
      <c r="D7105" s="2" t="s">
        <v>10</v>
      </c>
      <c r="E7105" s="2" t="s">
        <v>16</v>
      </c>
      <c r="F7105" s="2">
        <v>2</v>
      </c>
      <c r="G7105" s="2" t="s">
        <v>12</v>
      </c>
    </row>
    <row r="7106" spans="1:7" x14ac:dyDescent="0.2">
      <c r="A7106" s="2" t="s">
        <v>8649</v>
      </c>
      <c r="B7106" s="2" t="s">
        <v>8647</v>
      </c>
      <c r="C7106" s="2" t="s">
        <v>8640</v>
      </c>
      <c r="D7106" s="2" t="s">
        <v>10</v>
      </c>
      <c r="E7106" s="2" t="s">
        <v>16</v>
      </c>
      <c r="F7106" s="2">
        <v>2</v>
      </c>
      <c r="G7106" s="2" t="s">
        <v>12</v>
      </c>
    </row>
    <row r="7107" spans="1:7" x14ac:dyDescent="0.2">
      <c r="A7107" s="2" t="s">
        <v>8650</v>
      </c>
      <c r="B7107" s="2" t="s">
        <v>1478</v>
      </c>
      <c r="C7107" s="2" t="s">
        <v>1479</v>
      </c>
      <c r="D7107" s="2" t="s">
        <v>10</v>
      </c>
      <c r="E7107" s="2" t="s">
        <v>16</v>
      </c>
      <c r="F7107" s="2">
        <v>1</v>
      </c>
      <c r="G7107" s="2" t="s">
        <v>17</v>
      </c>
    </row>
    <row r="7108" spans="1:7" x14ac:dyDescent="0.2">
      <c r="A7108" s="2" t="s">
        <v>8650</v>
      </c>
      <c r="B7108" s="2" t="s">
        <v>1480</v>
      </c>
      <c r="C7108" s="2" t="s">
        <v>1479</v>
      </c>
      <c r="D7108" s="2" t="s">
        <v>10</v>
      </c>
      <c r="E7108" s="2" t="s">
        <v>16</v>
      </c>
      <c r="F7108" s="2">
        <v>1</v>
      </c>
      <c r="G7108" s="2" t="s">
        <v>17</v>
      </c>
    </row>
    <row r="7109" spans="1:7" x14ac:dyDescent="0.2">
      <c r="A7109" s="2" t="s">
        <v>8650</v>
      </c>
      <c r="B7109" s="2" t="s">
        <v>8651</v>
      </c>
      <c r="C7109" s="2" t="s">
        <v>8652</v>
      </c>
      <c r="D7109" s="2" t="s">
        <v>10</v>
      </c>
      <c r="E7109" s="2" t="s">
        <v>16</v>
      </c>
      <c r="F7109" s="2">
        <v>1</v>
      </c>
      <c r="G7109" s="2" t="s">
        <v>17</v>
      </c>
    </row>
    <row r="7110" spans="1:7" x14ac:dyDescent="0.2">
      <c r="A7110" s="2" t="s">
        <v>8650</v>
      </c>
      <c r="B7110" s="2" t="s">
        <v>8653</v>
      </c>
      <c r="C7110" s="2" t="s">
        <v>8652</v>
      </c>
      <c r="D7110" s="2" t="s">
        <v>10</v>
      </c>
      <c r="E7110" s="2" t="s">
        <v>16</v>
      </c>
      <c r="F7110" s="2">
        <v>1</v>
      </c>
      <c r="G7110" s="2" t="s">
        <v>17</v>
      </c>
    </row>
    <row r="7111" spans="1:7" x14ac:dyDescent="0.2">
      <c r="A7111" s="2" t="s">
        <v>8650</v>
      </c>
      <c r="B7111" s="2" t="s">
        <v>8654</v>
      </c>
      <c r="C7111" s="2" t="s">
        <v>8652</v>
      </c>
      <c r="D7111" s="2" t="s">
        <v>10</v>
      </c>
      <c r="E7111" s="2" t="s">
        <v>16</v>
      </c>
      <c r="F7111" s="2">
        <v>1</v>
      </c>
      <c r="G7111" s="2" t="s">
        <v>17</v>
      </c>
    </row>
    <row r="7112" spans="1:7" x14ac:dyDescent="0.2">
      <c r="A7112" s="2" t="s">
        <v>8650</v>
      </c>
      <c r="B7112" s="2" t="s">
        <v>8655</v>
      </c>
      <c r="C7112" s="2" t="s">
        <v>8652</v>
      </c>
      <c r="D7112" s="2" t="s">
        <v>10</v>
      </c>
      <c r="E7112" s="2" t="s">
        <v>16</v>
      </c>
      <c r="F7112" s="2">
        <v>1</v>
      </c>
      <c r="G7112" s="2" t="s">
        <v>17</v>
      </c>
    </row>
    <row r="7113" spans="1:7" x14ac:dyDescent="0.2">
      <c r="A7113" s="2" t="s">
        <v>8650</v>
      </c>
      <c r="B7113" s="2" t="s">
        <v>8656</v>
      </c>
      <c r="C7113" s="2" t="s">
        <v>8657</v>
      </c>
      <c r="D7113" s="2" t="s">
        <v>10</v>
      </c>
      <c r="E7113" s="2" t="s">
        <v>16</v>
      </c>
      <c r="F7113" s="2">
        <v>1</v>
      </c>
      <c r="G7113" s="2" t="s">
        <v>17</v>
      </c>
    </row>
    <row r="7114" spans="1:7" x14ac:dyDescent="0.2">
      <c r="A7114" s="2" t="s">
        <v>8658</v>
      </c>
      <c r="B7114" s="2" t="s">
        <v>8659</v>
      </c>
      <c r="C7114" s="2" t="s">
        <v>8660</v>
      </c>
      <c r="D7114" s="2" t="s">
        <v>10</v>
      </c>
      <c r="E7114" s="2" t="s">
        <v>16</v>
      </c>
      <c r="F7114" s="2">
        <v>1</v>
      </c>
      <c r="G7114" s="2" t="s">
        <v>17</v>
      </c>
    </row>
    <row r="7115" spans="1:7" x14ac:dyDescent="0.2">
      <c r="A7115" s="2" t="s">
        <v>8658</v>
      </c>
      <c r="B7115" s="2" t="s">
        <v>8661</v>
      </c>
      <c r="C7115" s="2" t="s">
        <v>8662</v>
      </c>
      <c r="D7115" s="2" t="s">
        <v>10</v>
      </c>
      <c r="E7115" s="2" t="s">
        <v>16</v>
      </c>
      <c r="F7115" s="2">
        <v>1</v>
      </c>
      <c r="G7115" s="2" t="s">
        <v>17</v>
      </c>
    </row>
    <row r="7116" spans="1:7" x14ac:dyDescent="0.2">
      <c r="A7116" s="2" t="s">
        <v>8663</v>
      </c>
      <c r="B7116" s="2" t="s">
        <v>8664</v>
      </c>
      <c r="C7116" s="2" t="s">
        <v>4130</v>
      </c>
      <c r="D7116" s="2" t="s">
        <v>10</v>
      </c>
      <c r="E7116" s="2" t="s">
        <v>16</v>
      </c>
      <c r="F7116" s="2">
        <v>1</v>
      </c>
      <c r="G7116" s="2" t="s">
        <v>17</v>
      </c>
    </row>
    <row r="7117" spans="1:7" x14ac:dyDescent="0.2">
      <c r="A7117" s="2" t="s">
        <v>8663</v>
      </c>
      <c r="B7117" s="2" t="s">
        <v>8665</v>
      </c>
      <c r="C7117" s="2" t="s">
        <v>3449</v>
      </c>
      <c r="D7117" s="2" t="s">
        <v>10</v>
      </c>
      <c r="E7117" s="2" t="s">
        <v>16</v>
      </c>
      <c r="F7117" s="2">
        <v>1</v>
      </c>
      <c r="G7117" s="2" t="s">
        <v>17</v>
      </c>
    </row>
    <row r="7118" spans="1:7" x14ac:dyDescent="0.2">
      <c r="A7118" s="2" t="s">
        <v>8663</v>
      </c>
      <c r="B7118" s="2" t="s">
        <v>8666</v>
      </c>
      <c r="C7118" s="2" t="s">
        <v>6304</v>
      </c>
      <c r="D7118" s="2" t="s">
        <v>10</v>
      </c>
      <c r="E7118" s="2" t="s">
        <v>16</v>
      </c>
      <c r="F7118" s="2">
        <v>1</v>
      </c>
      <c r="G7118" s="2" t="s">
        <v>17</v>
      </c>
    </row>
    <row r="7119" spans="1:7" x14ac:dyDescent="0.2">
      <c r="A7119" s="2" t="s">
        <v>8663</v>
      </c>
      <c r="B7119" s="2" t="s">
        <v>8667</v>
      </c>
      <c r="C7119" s="2" t="s">
        <v>8668</v>
      </c>
      <c r="D7119" s="2" t="s">
        <v>10</v>
      </c>
      <c r="E7119" s="2" t="s">
        <v>16</v>
      </c>
      <c r="F7119" s="2">
        <v>2</v>
      </c>
      <c r="G7119" s="2" t="s">
        <v>12</v>
      </c>
    </row>
    <row r="7120" spans="1:7" x14ac:dyDescent="0.2">
      <c r="A7120" s="2" t="s">
        <v>8663</v>
      </c>
      <c r="B7120" s="2" t="s">
        <v>8669</v>
      </c>
      <c r="C7120" s="2" t="s">
        <v>3449</v>
      </c>
      <c r="D7120" s="2" t="s">
        <v>10</v>
      </c>
      <c r="E7120" s="2" t="s">
        <v>16</v>
      </c>
      <c r="F7120" s="2">
        <v>1</v>
      </c>
      <c r="G7120" s="2" t="s">
        <v>17</v>
      </c>
    </row>
    <row r="7121" spans="1:7" x14ac:dyDescent="0.2">
      <c r="A7121" s="2" t="s">
        <v>8663</v>
      </c>
      <c r="B7121" s="2" t="s">
        <v>8670</v>
      </c>
      <c r="C7121" s="2" t="s">
        <v>8671</v>
      </c>
      <c r="D7121" s="2" t="s">
        <v>10</v>
      </c>
      <c r="E7121" s="2" t="s">
        <v>52</v>
      </c>
      <c r="F7121" s="2">
        <v>2</v>
      </c>
      <c r="G7121" s="2" t="s">
        <v>17</v>
      </c>
    </row>
    <row r="7122" spans="1:7" x14ac:dyDescent="0.2">
      <c r="A7122" s="2" t="s">
        <v>8663</v>
      </c>
      <c r="B7122" s="2" t="s">
        <v>8672</v>
      </c>
      <c r="C7122" s="2" t="s">
        <v>8673</v>
      </c>
      <c r="D7122" s="2" t="s">
        <v>10</v>
      </c>
      <c r="E7122" s="2" t="s">
        <v>16</v>
      </c>
      <c r="F7122" s="2">
        <v>1</v>
      </c>
      <c r="G7122" s="2" t="s">
        <v>17</v>
      </c>
    </row>
    <row r="7123" spans="1:7" x14ac:dyDescent="0.2">
      <c r="A7123" s="2" t="s">
        <v>8663</v>
      </c>
      <c r="B7123" s="2" t="s">
        <v>8674</v>
      </c>
      <c r="C7123" s="2" t="s">
        <v>8673</v>
      </c>
      <c r="D7123" s="2" t="s">
        <v>10</v>
      </c>
      <c r="E7123" s="2" t="s">
        <v>16</v>
      </c>
      <c r="F7123" s="2">
        <v>1</v>
      </c>
      <c r="G7123" s="2" t="s">
        <v>17</v>
      </c>
    </row>
    <row r="7124" spans="1:7" x14ac:dyDescent="0.2">
      <c r="A7124" s="2" t="s">
        <v>8663</v>
      </c>
      <c r="B7124" s="2" t="s">
        <v>8675</v>
      </c>
      <c r="C7124" s="2" t="s">
        <v>8676</v>
      </c>
      <c r="D7124" s="2" t="s">
        <v>10</v>
      </c>
      <c r="E7124" s="2" t="s">
        <v>11</v>
      </c>
      <c r="F7124" s="2">
        <v>2</v>
      </c>
      <c r="G7124" s="2" t="s">
        <v>17</v>
      </c>
    </row>
    <row r="7125" spans="1:7" x14ac:dyDescent="0.2">
      <c r="A7125" s="2" t="s">
        <v>8663</v>
      </c>
      <c r="B7125" s="2" t="s">
        <v>8677</v>
      </c>
      <c r="C7125" s="2" t="s">
        <v>8678</v>
      </c>
      <c r="D7125" s="2" t="s">
        <v>10</v>
      </c>
      <c r="E7125" s="2" t="s">
        <v>11</v>
      </c>
      <c r="F7125" s="2">
        <v>2</v>
      </c>
      <c r="G7125" s="2" t="s">
        <v>12</v>
      </c>
    </row>
    <row r="7126" spans="1:7" x14ac:dyDescent="0.2">
      <c r="A7126" s="2" t="s">
        <v>8663</v>
      </c>
      <c r="B7126" s="2" t="s">
        <v>8679</v>
      </c>
      <c r="C7126" s="2" t="s">
        <v>4130</v>
      </c>
      <c r="D7126" s="2" t="s">
        <v>10</v>
      </c>
      <c r="E7126" s="2" t="s">
        <v>16</v>
      </c>
      <c r="F7126" s="2">
        <v>1</v>
      </c>
      <c r="G7126" s="2" t="s">
        <v>17</v>
      </c>
    </row>
    <row r="7127" spans="1:7" x14ac:dyDescent="0.2">
      <c r="A7127" s="2" t="s">
        <v>8663</v>
      </c>
      <c r="B7127" s="2" t="s">
        <v>8680</v>
      </c>
      <c r="C7127" s="2" t="s">
        <v>8681</v>
      </c>
      <c r="D7127" s="2" t="s">
        <v>10</v>
      </c>
      <c r="E7127" s="2" t="s">
        <v>16</v>
      </c>
      <c r="F7127" s="2">
        <v>2</v>
      </c>
      <c r="G7127" s="2" t="s">
        <v>12</v>
      </c>
    </row>
    <row r="7128" spans="1:7" x14ac:dyDescent="0.2">
      <c r="A7128" s="2" t="s">
        <v>8663</v>
      </c>
      <c r="B7128" s="2" t="s">
        <v>8243</v>
      </c>
      <c r="C7128" s="2" t="s">
        <v>3296</v>
      </c>
      <c r="D7128" s="2" t="s">
        <v>10</v>
      </c>
      <c r="E7128" s="2" t="s">
        <v>11</v>
      </c>
      <c r="F7128" s="2">
        <v>1</v>
      </c>
      <c r="G7128" s="2" t="s">
        <v>12</v>
      </c>
    </row>
    <row r="7129" spans="1:7" x14ac:dyDescent="0.2">
      <c r="A7129" s="2" t="s">
        <v>8663</v>
      </c>
      <c r="B7129" s="2" t="s">
        <v>8682</v>
      </c>
      <c r="C7129" s="2" t="s">
        <v>8683</v>
      </c>
      <c r="D7129" s="2" t="s">
        <v>10</v>
      </c>
      <c r="E7129" s="2" t="s">
        <v>11</v>
      </c>
      <c r="F7129" s="2">
        <v>1</v>
      </c>
      <c r="G7129" s="2" t="s">
        <v>12</v>
      </c>
    </row>
    <row r="7130" spans="1:7" x14ac:dyDescent="0.2">
      <c r="A7130" s="2" t="s">
        <v>8663</v>
      </c>
      <c r="B7130" s="2" t="s">
        <v>3448</v>
      </c>
      <c r="C7130" s="2" t="s">
        <v>3449</v>
      </c>
      <c r="D7130" s="2" t="s">
        <v>10</v>
      </c>
      <c r="E7130" s="2" t="s">
        <v>16</v>
      </c>
      <c r="F7130" s="2">
        <v>1</v>
      </c>
      <c r="G7130" s="2" t="s">
        <v>17</v>
      </c>
    </row>
    <row r="7131" spans="1:7" x14ac:dyDescent="0.2">
      <c r="A7131" s="2" t="s">
        <v>8663</v>
      </c>
      <c r="B7131" s="2" t="s">
        <v>8684</v>
      </c>
      <c r="C7131" s="2" t="s">
        <v>8685</v>
      </c>
      <c r="D7131" s="2" t="s">
        <v>10</v>
      </c>
      <c r="E7131" s="2" t="s">
        <v>16</v>
      </c>
      <c r="F7131" s="2">
        <v>1</v>
      </c>
      <c r="G7131" s="2" t="s">
        <v>17</v>
      </c>
    </row>
    <row r="7132" spans="1:7" x14ac:dyDescent="0.2">
      <c r="A7132" s="2" t="s">
        <v>8663</v>
      </c>
      <c r="B7132" s="2" t="s">
        <v>8686</v>
      </c>
      <c r="C7132" s="2" t="s">
        <v>8668</v>
      </c>
      <c r="D7132" s="2" t="s">
        <v>10</v>
      </c>
      <c r="E7132" s="2" t="s">
        <v>16</v>
      </c>
      <c r="F7132" s="2">
        <v>2</v>
      </c>
      <c r="G7132" s="2" t="s">
        <v>12</v>
      </c>
    </row>
    <row r="7133" spans="1:7" x14ac:dyDescent="0.2">
      <c r="A7133" s="2" t="s">
        <v>8663</v>
      </c>
      <c r="B7133" s="2" t="s">
        <v>4139</v>
      </c>
      <c r="C7133" s="2" t="s">
        <v>4130</v>
      </c>
      <c r="D7133" s="2" t="s">
        <v>10</v>
      </c>
      <c r="E7133" s="2" t="s">
        <v>16</v>
      </c>
      <c r="F7133" s="2">
        <v>1</v>
      </c>
      <c r="G7133" s="2" t="s">
        <v>17</v>
      </c>
    </row>
    <row r="7134" spans="1:7" x14ac:dyDescent="0.2">
      <c r="A7134" s="2" t="s">
        <v>8663</v>
      </c>
      <c r="B7134" s="2" t="s">
        <v>8687</v>
      </c>
      <c r="C7134" s="2" t="s">
        <v>8685</v>
      </c>
      <c r="D7134" s="2" t="s">
        <v>10</v>
      </c>
      <c r="E7134" s="2" t="s">
        <v>16</v>
      </c>
      <c r="F7134" s="2">
        <v>1</v>
      </c>
      <c r="G7134" s="2" t="s">
        <v>17</v>
      </c>
    </row>
    <row r="7135" spans="1:7" x14ac:dyDescent="0.2">
      <c r="A7135" s="2" t="s">
        <v>8663</v>
      </c>
      <c r="B7135" s="2" t="s">
        <v>8688</v>
      </c>
      <c r="C7135" s="2" t="s">
        <v>8685</v>
      </c>
      <c r="D7135" s="2" t="s">
        <v>10</v>
      </c>
      <c r="E7135" s="2" t="s">
        <v>16</v>
      </c>
      <c r="F7135" s="2">
        <v>1</v>
      </c>
      <c r="G7135" s="2" t="s">
        <v>17</v>
      </c>
    </row>
    <row r="7136" spans="1:7" x14ac:dyDescent="0.2">
      <c r="A7136" s="2" t="s">
        <v>8663</v>
      </c>
      <c r="B7136" s="2" t="s">
        <v>8689</v>
      </c>
      <c r="C7136" s="2" t="s">
        <v>8678</v>
      </c>
      <c r="D7136" s="2" t="s">
        <v>10</v>
      </c>
      <c r="E7136" s="2" t="s">
        <v>11</v>
      </c>
      <c r="F7136" s="2">
        <v>2</v>
      </c>
      <c r="G7136" s="2" t="s">
        <v>12</v>
      </c>
    </row>
    <row r="7137" spans="1:7" x14ac:dyDescent="0.2">
      <c r="A7137" s="2" t="s">
        <v>8663</v>
      </c>
      <c r="B7137" s="2" t="s">
        <v>8690</v>
      </c>
      <c r="C7137" s="2" t="s">
        <v>8678</v>
      </c>
      <c r="D7137" s="2" t="s">
        <v>10</v>
      </c>
      <c r="E7137" s="2" t="s">
        <v>11</v>
      </c>
      <c r="F7137" s="2">
        <v>2</v>
      </c>
      <c r="G7137" s="2" t="s">
        <v>12</v>
      </c>
    </row>
    <row r="7138" spans="1:7" x14ac:dyDescent="0.2">
      <c r="A7138" s="2" t="s">
        <v>8663</v>
      </c>
      <c r="B7138" s="2" t="s">
        <v>8691</v>
      </c>
      <c r="C7138" s="2" t="s">
        <v>8678</v>
      </c>
      <c r="D7138" s="2" t="s">
        <v>10</v>
      </c>
      <c r="E7138" s="2" t="s">
        <v>11</v>
      </c>
      <c r="F7138" s="2">
        <v>2</v>
      </c>
      <c r="G7138" s="2" t="s">
        <v>12</v>
      </c>
    </row>
    <row r="7139" spans="1:7" x14ac:dyDescent="0.2">
      <c r="A7139" s="2" t="s">
        <v>8663</v>
      </c>
      <c r="B7139" s="2" t="s">
        <v>8692</v>
      </c>
      <c r="C7139" s="2" t="s">
        <v>8685</v>
      </c>
      <c r="D7139" s="2" t="s">
        <v>10</v>
      </c>
      <c r="E7139" s="2" t="s">
        <v>16</v>
      </c>
      <c r="F7139" s="2">
        <v>1</v>
      </c>
      <c r="G7139" s="2" t="s">
        <v>17</v>
      </c>
    </row>
    <row r="7140" spans="1:7" x14ac:dyDescent="0.2">
      <c r="A7140" s="2" t="s">
        <v>8663</v>
      </c>
      <c r="B7140" s="2" t="s">
        <v>8693</v>
      </c>
      <c r="C7140" s="2" t="s">
        <v>8673</v>
      </c>
      <c r="D7140" s="2" t="s">
        <v>10</v>
      </c>
      <c r="E7140" s="2" t="s">
        <v>16</v>
      </c>
      <c r="F7140" s="2">
        <v>1</v>
      </c>
      <c r="G7140" s="2" t="s">
        <v>17</v>
      </c>
    </row>
    <row r="7141" spans="1:7" x14ac:dyDescent="0.2">
      <c r="A7141" s="2" t="s">
        <v>8663</v>
      </c>
      <c r="B7141" s="2" t="s">
        <v>8694</v>
      </c>
      <c r="C7141" s="2" t="s">
        <v>8678</v>
      </c>
      <c r="D7141" s="2" t="s">
        <v>10</v>
      </c>
      <c r="E7141" s="2" t="s">
        <v>11</v>
      </c>
      <c r="F7141" s="2">
        <v>2</v>
      </c>
      <c r="G7141" s="2" t="s">
        <v>12</v>
      </c>
    </row>
    <row r="7142" spans="1:7" x14ac:dyDescent="0.2">
      <c r="A7142" s="2" t="s">
        <v>8663</v>
      </c>
      <c r="B7142" s="2" t="s">
        <v>8695</v>
      </c>
      <c r="C7142" s="2" t="s">
        <v>8671</v>
      </c>
      <c r="D7142" s="2" t="s">
        <v>10</v>
      </c>
      <c r="E7142" s="2" t="s">
        <v>52</v>
      </c>
      <c r="F7142" s="2">
        <v>2</v>
      </c>
      <c r="G7142" s="2" t="s">
        <v>17</v>
      </c>
    </row>
    <row r="7143" spans="1:7" x14ac:dyDescent="0.2">
      <c r="A7143" s="2" t="s">
        <v>8663</v>
      </c>
      <c r="B7143" s="2" t="s">
        <v>2963</v>
      </c>
      <c r="C7143" s="2" t="s">
        <v>4130</v>
      </c>
      <c r="D7143" s="2" t="s">
        <v>10</v>
      </c>
      <c r="E7143" s="2" t="s">
        <v>16</v>
      </c>
      <c r="F7143" s="2">
        <v>1</v>
      </c>
      <c r="G7143" s="2" t="s">
        <v>17</v>
      </c>
    </row>
    <row r="7144" spans="1:7" x14ac:dyDescent="0.2">
      <c r="A7144" s="2" t="s">
        <v>8663</v>
      </c>
      <c r="B7144" s="2" t="s">
        <v>8696</v>
      </c>
      <c r="C7144" s="2" t="s">
        <v>8681</v>
      </c>
      <c r="D7144" s="2" t="s">
        <v>10</v>
      </c>
      <c r="E7144" s="2" t="s">
        <v>16</v>
      </c>
      <c r="F7144" s="2">
        <v>2</v>
      </c>
      <c r="G7144" s="2" t="s">
        <v>12</v>
      </c>
    </row>
    <row r="7145" spans="1:7" x14ac:dyDescent="0.2">
      <c r="A7145" s="2" t="s">
        <v>8663</v>
      </c>
      <c r="B7145" s="2" t="s">
        <v>8697</v>
      </c>
      <c r="C7145" s="2" t="s">
        <v>8668</v>
      </c>
      <c r="D7145" s="2" t="s">
        <v>10</v>
      </c>
      <c r="E7145" s="2" t="s">
        <v>16</v>
      </c>
      <c r="F7145" s="2">
        <v>2</v>
      </c>
      <c r="G7145" s="2" t="s">
        <v>12</v>
      </c>
    </row>
    <row r="7146" spans="1:7" x14ac:dyDescent="0.2">
      <c r="A7146" s="2" t="s">
        <v>8663</v>
      </c>
      <c r="B7146" s="2" t="s">
        <v>3352</v>
      </c>
      <c r="C7146" s="2" t="s">
        <v>3296</v>
      </c>
      <c r="D7146" s="2" t="s">
        <v>10</v>
      </c>
      <c r="E7146" s="2" t="s">
        <v>11</v>
      </c>
      <c r="F7146" s="2">
        <v>1</v>
      </c>
      <c r="G7146" s="2" t="s">
        <v>12</v>
      </c>
    </row>
    <row r="7147" spans="1:7" x14ac:dyDescent="0.2">
      <c r="A7147" s="2" t="s">
        <v>8663</v>
      </c>
      <c r="B7147" s="2" t="s">
        <v>8698</v>
      </c>
      <c r="C7147" s="2" t="s">
        <v>8678</v>
      </c>
      <c r="D7147" s="2" t="s">
        <v>10</v>
      </c>
      <c r="E7147" s="2" t="s">
        <v>11</v>
      </c>
      <c r="F7147" s="2">
        <v>2</v>
      </c>
      <c r="G7147" s="2" t="s">
        <v>12</v>
      </c>
    </row>
    <row r="7148" spans="1:7" x14ac:dyDescent="0.2">
      <c r="A7148" s="2" t="s">
        <v>8663</v>
      </c>
      <c r="B7148" s="2" t="s">
        <v>8699</v>
      </c>
      <c r="C7148" s="2" t="s">
        <v>8678</v>
      </c>
      <c r="D7148" s="2" t="s">
        <v>10</v>
      </c>
      <c r="E7148" s="2" t="s">
        <v>11</v>
      </c>
      <c r="F7148" s="2">
        <v>2</v>
      </c>
      <c r="G7148" s="2" t="s">
        <v>12</v>
      </c>
    </row>
    <row r="7149" spans="1:7" x14ac:dyDescent="0.2">
      <c r="A7149" s="2" t="s">
        <v>8663</v>
      </c>
      <c r="B7149" s="2" t="s">
        <v>8700</v>
      </c>
      <c r="C7149" s="2" t="s">
        <v>8678</v>
      </c>
      <c r="D7149" s="2" t="s">
        <v>10</v>
      </c>
      <c r="E7149" s="2" t="s">
        <v>11</v>
      </c>
      <c r="F7149" s="2">
        <v>2</v>
      </c>
      <c r="G7149" s="2" t="s">
        <v>12</v>
      </c>
    </row>
    <row r="7150" spans="1:7" x14ac:dyDescent="0.2">
      <c r="A7150" s="2" t="s">
        <v>8663</v>
      </c>
      <c r="B7150" s="2" t="s">
        <v>8701</v>
      </c>
      <c r="C7150" s="2" t="s">
        <v>8678</v>
      </c>
      <c r="D7150" s="2" t="s">
        <v>10</v>
      </c>
      <c r="E7150" s="2" t="s">
        <v>11</v>
      </c>
      <c r="F7150" s="2">
        <v>2</v>
      </c>
      <c r="G7150" s="2" t="s">
        <v>12</v>
      </c>
    </row>
    <row r="7151" spans="1:7" x14ac:dyDescent="0.2">
      <c r="A7151" s="2" t="s">
        <v>8663</v>
      </c>
      <c r="B7151" s="2" t="s">
        <v>8702</v>
      </c>
      <c r="C7151" s="2" t="s">
        <v>3449</v>
      </c>
      <c r="D7151" s="2" t="s">
        <v>10</v>
      </c>
      <c r="E7151" s="2" t="s">
        <v>16</v>
      </c>
      <c r="F7151" s="2">
        <v>1</v>
      </c>
      <c r="G7151" s="2" t="s">
        <v>17</v>
      </c>
    </row>
    <row r="7152" spans="1:7" x14ac:dyDescent="0.2">
      <c r="A7152" s="2" t="s">
        <v>8663</v>
      </c>
      <c r="B7152" s="2" t="s">
        <v>8703</v>
      </c>
      <c r="C7152" s="2" t="s">
        <v>8683</v>
      </c>
      <c r="D7152" s="2" t="s">
        <v>10</v>
      </c>
      <c r="E7152" s="2" t="s">
        <v>11</v>
      </c>
      <c r="F7152" s="2">
        <v>1</v>
      </c>
      <c r="G7152" s="2" t="s">
        <v>12</v>
      </c>
    </row>
    <row r="7153" spans="1:7" x14ac:dyDescent="0.2">
      <c r="A7153" s="2" t="s">
        <v>8663</v>
      </c>
      <c r="B7153" s="2" t="s">
        <v>8704</v>
      </c>
      <c r="C7153" s="2" t="s">
        <v>8676</v>
      </c>
      <c r="D7153" s="2" t="s">
        <v>10</v>
      </c>
      <c r="E7153" s="2" t="s">
        <v>11</v>
      </c>
      <c r="F7153" s="2">
        <v>2</v>
      </c>
      <c r="G7153" s="2" t="s">
        <v>17</v>
      </c>
    </row>
    <row r="7154" spans="1:7" x14ac:dyDescent="0.2">
      <c r="A7154" s="2" t="s">
        <v>8663</v>
      </c>
      <c r="B7154" s="2" t="s">
        <v>8705</v>
      </c>
      <c r="C7154" s="2" t="s">
        <v>3449</v>
      </c>
      <c r="D7154" s="2" t="s">
        <v>10</v>
      </c>
      <c r="E7154" s="2" t="s">
        <v>16</v>
      </c>
      <c r="F7154" s="2">
        <v>1</v>
      </c>
      <c r="G7154" s="2" t="s">
        <v>17</v>
      </c>
    </row>
    <row r="7155" spans="1:7" x14ac:dyDescent="0.2">
      <c r="A7155" s="2" t="s">
        <v>8663</v>
      </c>
      <c r="B7155" s="2" t="s">
        <v>8706</v>
      </c>
      <c r="C7155" s="2" t="s">
        <v>6304</v>
      </c>
      <c r="D7155" s="2" t="s">
        <v>10</v>
      </c>
      <c r="E7155" s="2" t="s">
        <v>16</v>
      </c>
      <c r="F7155" s="2">
        <v>1</v>
      </c>
      <c r="G7155" s="2" t="s">
        <v>17</v>
      </c>
    </row>
    <row r="7156" spans="1:7" x14ac:dyDescent="0.2">
      <c r="A7156" s="2" t="s">
        <v>8663</v>
      </c>
      <c r="B7156" s="2" t="s">
        <v>8707</v>
      </c>
      <c r="C7156" s="2" t="s">
        <v>8678</v>
      </c>
      <c r="D7156" s="2" t="s">
        <v>10</v>
      </c>
      <c r="E7156" s="2" t="s">
        <v>11</v>
      </c>
      <c r="F7156" s="2">
        <v>2</v>
      </c>
      <c r="G7156" s="2" t="s">
        <v>12</v>
      </c>
    </row>
    <row r="7157" spans="1:7" x14ac:dyDescent="0.2">
      <c r="A7157" s="2" t="s">
        <v>8663</v>
      </c>
      <c r="B7157" s="2" t="s">
        <v>8708</v>
      </c>
      <c r="C7157" s="2" t="s">
        <v>8668</v>
      </c>
      <c r="D7157" s="2" t="s">
        <v>10</v>
      </c>
      <c r="E7157" s="2" t="s">
        <v>16</v>
      </c>
      <c r="F7157" s="2">
        <v>2</v>
      </c>
      <c r="G7157" s="2" t="s">
        <v>12</v>
      </c>
    </row>
    <row r="7158" spans="1:7" x14ac:dyDescent="0.2">
      <c r="A7158" s="2" t="s">
        <v>8663</v>
      </c>
      <c r="B7158" s="2" t="s">
        <v>5600</v>
      </c>
      <c r="C7158" s="2" t="s">
        <v>3449</v>
      </c>
      <c r="D7158" s="2" t="s">
        <v>10</v>
      </c>
      <c r="E7158" s="2" t="s">
        <v>16</v>
      </c>
      <c r="F7158" s="2">
        <v>1</v>
      </c>
      <c r="G7158" s="2" t="s">
        <v>17</v>
      </c>
    </row>
    <row r="7159" spans="1:7" x14ac:dyDescent="0.2">
      <c r="A7159" s="2" t="s">
        <v>8663</v>
      </c>
      <c r="B7159" s="2" t="s">
        <v>8709</v>
      </c>
      <c r="C7159" s="2" t="s">
        <v>8678</v>
      </c>
      <c r="D7159" s="2" t="s">
        <v>10</v>
      </c>
      <c r="E7159" s="2" t="s">
        <v>11</v>
      </c>
      <c r="F7159" s="2">
        <v>2</v>
      </c>
      <c r="G7159" s="2" t="s">
        <v>12</v>
      </c>
    </row>
    <row r="7160" spans="1:7" x14ac:dyDescent="0.2">
      <c r="A7160" s="2" t="s">
        <v>8663</v>
      </c>
      <c r="B7160" s="2" t="s">
        <v>164</v>
      </c>
      <c r="C7160" s="2" t="s">
        <v>6304</v>
      </c>
      <c r="D7160" s="2" t="s">
        <v>10</v>
      </c>
      <c r="E7160" s="2" t="s">
        <v>16</v>
      </c>
      <c r="F7160" s="2">
        <v>1</v>
      </c>
      <c r="G7160" s="2" t="s">
        <v>17</v>
      </c>
    </row>
    <row r="7161" spans="1:7" x14ac:dyDescent="0.2">
      <c r="A7161" s="2" t="s">
        <v>8663</v>
      </c>
      <c r="B7161" s="2" t="s">
        <v>8710</v>
      </c>
      <c r="C7161" s="2" t="s">
        <v>8681</v>
      </c>
      <c r="D7161" s="2" t="s">
        <v>10</v>
      </c>
      <c r="E7161" s="2" t="s">
        <v>16</v>
      </c>
      <c r="F7161" s="2">
        <v>2</v>
      </c>
      <c r="G7161" s="2" t="s">
        <v>12</v>
      </c>
    </row>
    <row r="7162" spans="1:7" x14ac:dyDescent="0.2">
      <c r="A7162" s="2" t="s">
        <v>8663</v>
      </c>
      <c r="B7162" s="2" t="s">
        <v>8711</v>
      </c>
      <c r="C7162" s="2" t="s">
        <v>8685</v>
      </c>
      <c r="D7162" s="2" t="s">
        <v>10</v>
      </c>
      <c r="E7162" s="2" t="s">
        <v>16</v>
      </c>
      <c r="F7162" s="2">
        <v>1</v>
      </c>
      <c r="G7162" s="2" t="s">
        <v>17</v>
      </c>
    </row>
    <row r="7163" spans="1:7" x14ac:dyDescent="0.2">
      <c r="A7163" s="2" t="s">
        <v>8663</v>
      </c>
      <c r="B7163" s="2" t="s">
        <v>8712</v>
      </c>
      <c r="C7163" s="2" t="s">
        <v>8673</v>
      </c>
      <c r="D7163" s="2" t="s">
        <v>10</v>
      </c>
      <c r="E7163" s="2" t="s">
        <v>16</v>
      </c>
      <c r="F7163" s="2">
        <v>1</v>
      </c>
      <c r="G7163" s="2" t="s">
        <v>17</v>
      </c>
    </row>
    <row r="7164" spans="1:7" x14ac:dyDescent="0.2">
      <c r="A7164" s="2" t="s">
        <v>8713</v>
      </c>
      <c r="B7164" s="2" t="s">
        <v>249</v>
      </c>
      <c r="C7164" s="2" t="s">
        <v>250</v>
      </c>
      <c r="D7164" s="2" t="s">
        <v>10</v>
      </c>
      <c r="E7164" s="2" t="s">
        <v>16</v>
      </c>
      <c r="F7164" s="2">
        <v>1</v>
      </c>
      <c r="G7164" s="2" t="s">
        <v>17</v>
      </c>
    </row>
    <row r="7165" spans="1:7" x14ac:dyDescent="0.2">
      <c r="A7165" s="2" t="s">
        <v>8713</v>
      </c>
      <c r="B7165" s="2" t="s">
        <v>8714</v>
      </c>
      <c r="C7165" s="2" t="s">
        <v>250</v>
      </c>
      <c r="D7165" s="2" t="s">
        <v>10</v>
      </c>
      <c r="E7165" s="2" t="s">
        <v>16</v>
      </c>
      <c r="F7165" s="2">
        <v>1</v>
      </c>
      <c r="G7165" s="2" t="s">
        <v>17</v>
      </c>
    </row>
    <row r="7166" spans="1:7" x14ac:dyDescent="0.2">
      <c r="A7166" s="2" t="s">
        <v>8713</v>
      </c>
      <c r="B7166" s="2" t="s">
        <v>8715</v>
      </c>
      <c r="C7166" s="2" t="s">
        <v>8716</v>
      </c>
      <c r="D7166" s="2" t="s">
        <v>10</v>
      </c>
      <c r="E7166" s="2" t="s">
        <v>16</v>
      </c>
      <c r="F7166" s="2">
        <v>1</v>
      </c>
      <c r="G7166" s="2" t="s">
        <v>17</v>
      </c>
    </row>
    <row r="7167" spans="1:7" x14ac:dyDescent="0.2">
      <c r="A7167" s="2" t="s">
        <v>8713</v>
      </c>
      <c r="B7167" s="2" t="s">
        <v>8717</v>
      </c>
      <c r="C7167" s="2" t="s">
        <v>4120</v>
      </c>
      <c r="D7167" s="2" t="s">
        <v>10</v>
      </c>
      <c r="E7167" s="2" t="s">
        <v>16</v>
      </c>
      <c r="F7167" s="2">
        <v>1</v>
      </c>
      <c r="G7167" s="2" t="s">
        <v>17</v>
      </c>
    </row>
    <row r="7168" spans="1:7" x14ac:dyDescent="0.2">
      <c r="A7168" s="2" t="s">
        <v>8713</v>
      </c>
      <c r="B7168" s="2" t="s">
        <v>251</v>
      </c>
      <c r="C7168" s="2" t="s">
        <v>252</v>
      </c>
      <c r="D7168" s="2" t="s">
        <v>10</v>
      </c>
      <c r="E7168" s="2" t="s">
        <v>16</v>
      </c>
      <c r="F7168" s="2">
        <v>1</v>
      </c>
      <c r="G7168" s="2" t="s">
        <v>17</v>
      </c>
    </row>
    <row r="7169" spans="1:7" x14ac:dyDescent="0.2">
      <c r="A7169" s="2" t="s">
        <v>8713</v>
      </c>
      <c r="B7169" s="2" t="s">
        <v>253</v>
      </c>
      <c r="C7169" s="2" t="s">
        <v>183</v>
      </c>
      <c r="D7169" s="2" t="s">
        <v>10</v>
      </c>
      <c r="E7169" s="2" t="s">
        <v>16</v>
      </c>
      <c r="F7169" s="2">
        <v>2</v>
      </c>
      <c r="G7169" s="2" t="s">
        <v>17</v>
      </c>
    </row>
    <row r="7170" spans="1:7" x14ac:dyDescent="0.2">
      <c r="A7170" s="2" t="s">
        <v>8713</v>
      </c>
      <c r="B7170" s="2" t="s">
        <v>8718</v>
      </c>
      <c r="C7170" s="2" t="s">
        <v>183</v>
      </c>
      <c r="D7170" s="2" t="s">
        <v>10</v>
      </c>
      <c r="E7170" s="2" t="s">
        <v>16</v>
      </c>
      <c r="F7170" s="2">
        <v>2</v>
      </c>
      <c r="G7170" s="2" t="s">
        <v>17</v>
      </c>
    </row>
    <row r="7171" spans="1:7" x14ac:dyDescent="0.2">
      <c r="A7171" s="2" t="s">
        <v>8713</v>
      </c>
      <c r="B7171" s="2" t="s">
        <v>8719</v>
      </c>
      <c r="C7171" s="2" t="s">
        <v>257</v>
      </c>
      <c r="D7171" s="2" t="s">
        <v>10</v>
      </c>
      <c r="E7171" s="2" t="s">
        <v>16</v>
      </c>
      <c r="F7171" s="2">
        <v>2</v>
      </c>
      <c r="G7171" s="2" t="s">
        <v>17</v>
      </c>
    </row>
    <row r="7172" spans="1:7" x14ac:dyDescent="0.2">
      <c r="A7172" s="2" t="s">
        <v>8713</v>
      </c>
      <c r="B7172" s="2" t="s">
        <v>256</v>
      </c>
      <c r="C7172" s="2" t="s">
        <v>257</v>
      </c>
      <c r="D7172" s="2" t="s">
        <v>10</v>
      </c>
      <c r="E7172" s="2" t="s">
        <v>16</v>
      </c>
      <c r="F7172" s="2">
        <v>2</v>
      </c>
      <c r="G7172" s="2" t="s">
        <v>17</v>
      </c>
    </row>
    <row r="7173" spans="1:7" x14ac:dyDescent="0.2">
      <c r="A7173" s="2" t="s">
        <v>8713</v>
      </c>
      <c r="B7173" s="2" t="s">
        <v>261</v>
      </c>
      <c r="C7173" s="2" t="s">
        <v>260</v>
      </c>
      <c r="D7173" s="2" t="s">
        <v>10</v>
      </c>
      <c r="E7173" s="2" t="s">
        <v>52</v>
      </c>
      <c r="F7173" s="2">
        <v>2</v>
      </c>
      <c r="G7173" s="2" t="s">
        <v>17</v>
      </c>
    </row>
    <row r="7174" spans="1:7" x14ac:dyDescent="0.2">
      <c r="A7174" s="2" t="s">
        <v>8713</v>
      </c>
      <c r="B7174" s="2" t="s">
        <v>8720</v>
      </c>
      <c r="C7174" s="2" t="s">
        <v>260</v>
      </c>
      <c r="D7174" s="2" t="s">
        <v>10</v>
      </c>
      <c r="E7174" s="2" t="s">
        <v>52</v>
      </c>
      <c r="F7174" s="2">
        <v>2</v>
      </c>
      <c r="G7174" s="2" t="s">
        <v>17</v>
      </c>
    </row>
    <row r="7175" spans="1:7" x14ac:dyDescent="0.2">
      <c r="A7175" s="2" t="s">
        <v>8713</v>
      </c>
      <c r="B7175" s="2" t="s">
        <v>8721</v>
      </c>
      <c r="C7175" s="2" t="s">
        <v>260</v>
      </c>
      <c r="D7175" s="2" t="s">
        <v>10</v>
      </c>
      <c r="E7175" s="2" t="s">
        <v>52</v>
      </c>
      <c r="F7175" s="2">
        <v>2</v>
      </c>
      <c r="G7175" s="2" t="s">
        <v>17</v>
      </c>
    </row>
    <row r="7176" spans="1:7" x14ac:dyDescent="0.2">
      <c r="A7176" s="2" t="s">
        <v>8713</v>
      </c>
      <c r="B7176" s="2" t="s">
        <v>8722</v>
      </c>
      <c r="C7176" s="2" t="s">
        <v>257</v>
      </c>
      <c r="D7176" s="2" t="s">
        <v>10</v>
      </c>
      <c r="E7176" s="2" t="s">
        <v>16</v>
      </c>
      <c r="F7176" s="2">
        <v>2</v>
      </c>
      <c r="G7176" s="2" t="s">
        <v>17</v>
      </c>
    </row>
    <row r="7177" spans="1:7" x14ac:dyDescent="0.2">
      <c r="A7177" s="2" t="s">
        <v>8713</v>
      </c>
      <c r="B7177" s="2" t="s">
        <v>8723</v>
      </c>
      <c r="C7177" s="2" t="s">
        <v>6204</v>
      </c>
      <c r="D7177" s="2" t="s">
        <v>10</v>
      </c>
      <c r="E7177" s="2" t="s">
        <v>52</v>
      </c>
      <c r="F7177" s="2">
        <v>2</v>
      </c>
      <c r="G7177" s="2" t="s">
        <v>17</v>
      </c>
    </row>
    <row r="7178" spans="1:7" x14ac:dyDescent="0.2">
      <c r="A7178" s="2" t="s">
        <v>8713</v>
      </c>
      <c r="B7178" s="2" t="s">
        <v>8724</v>
      </c>
      <c r="C7178" s="2" t="s">
        <v>47</v>
      </c>
      <c r="D7178" s="2" t="s">
        <v>10</v>
      </c>
      <c r="E7178" s="2" t="s">
        <v>16</v>
      </c>
      <c r="F7178" s="2">
        <v>1</v>
      </c>
      <c r="G7178" s="2" t="s">
        <v>17</v>
      </c>
    </row>
    <row r="7179" spans="1:7" x14ac:dyDescent="0.2">
      <c r="A7179" s="2" t="s">
        <v>8713</v>
      </c>
      <c r="B7179" s="2" t="s">
        <v>8725</v>
      </c>
      <c r="C7179" s="2" t="s">
        <v>47</v>
      </c>
      <c r="D7179" s="2" t="s">
        <v>10</v>
      </c>
      <c r="E7179" s="2" t="s">
        <v>16</v>
      </c>
      <c r="F7179" s="2">
        <v>1</v>
      </c>
      <c r="G7179" s="2" t="s">
        <v>17</v>
      </c>
    </row>
    <row r="7180" spans="1:7" x14ac:dyDescent="0.2">
      <c r="A7180" s="2" t="s">
        <v>8713</v>
      </c>
      <c r="B7180" s="2" t="s">
        <v>8726</v>
      </c>
      <c r="C7180" s="2" t="s">
        <v>269</v>
      </c>
      <c r="D7180" s="2" t="s">
        <v>10</v>
      </c>
      <c r="E7180" s="2" t="s">
        <v>16</v>
      </c>
      <c r="F7180" s="2">
        <v>1</v>
      </c>
      <c r="G7180" s="2" t="s">
        <v>17</v>
      </c>
    </row>
    <row r="7181" spans="1:7" x14ac:dyDescent="0.2">
      <c r="A7181" s="2" t="s">
        <v>8713</v>
      </c>
      <c r="B7181" s="2" t="s">
        <v>8727</v>
      </c>
      <c r="C7181" s="2" t="s">
        <v>267</v>
      </c>
      <c r="D7181" s="2" t="s">
        <v>10</v>
      </c>
      <c r="E7181" s="2" t="s">
        <v>16</v>
      </c>
      <c r="F7181" s="2">
        <v>1</v>
      </c>
      <c r="G7181" s="2" t="s">
        <v>17</v>
      </c>
    </row>
    <row r="7182" spans="1:7" x14ac:dyDescent="0.2">
      <c r="A7182" s="2" t="s">
        <v>8713</v>
      </c>
      <c r="B7182" s="2" t="s">
        <v>8670</v>
      </c>
      <c r="C7182" s="2" t="s">
        <v>8671</v>
      </c>
      <c r="D7182" s="2" t="s">
        <v>10</v>
      </c>
      <c r="E7182" s="2" t="s">
        <v>52</v>
      </c>
      <c r="F7182" s="2">
        <v>2</v>
      </c>
      <c r="G7182" s="2" t="s">
        <v>17</v>
      </c>
    </row>
    <row r="7183" spans="1:7" x14ac:dyDescent="0.2">
      <c r="A7183" s="2" t="s">
        <v>8713</v>
      </c>
      <c r="B7183" s="2" t="s">
        <v>8675</v>
      </c>
      <c r="C7183" s="2" t="s">
        <v>8676</v>
      </c>
      <c r="D7183" s="2" t="s">
        <v>10</v>
      </c>
      <c r="E7183" s="2" t="s">
        <v>11</v>
      </c>
      <c r="F7183" s="2">
        <v>2</v>
      </c>
      <c r="G7183" s="2" t="s">
        <v>17</v>
      </c>
    </row>
    <row r="7184" spans="1:7" x14ac:dyDescent="0.2">
      <c r="A7184" s="2" t="s">
        <v>8713</v>
      </c>
      <c r="B7184" s="2" t="s">
        <v>271</v>
      </c>
      <c r="C7184" s="2" t="s">
        <v>250</v>
      </c>
      <c r="D7184" s="2" t="s">
        <v>10</v>
      </c>
      <c r="E7184" s="2" t="s">
        <v>16</v>
      </c>
      <c r="F7184" s="2">
        <v>1</v>
      </c>
      <c r="G7184" s="2" t="s">
        <v>17</v>
      </c>
    </row>
    <row r="7185" spans="1:7" x14ac:dyDescent="0.2">
      <c r="A7185" s="2" t="s">
        <v>8713</v>
      </c>
      <c r="B7185" s="2" t="s">
        <v>8728</v>
      </c>
      <c r="C7185" s="2" t="s">
        <v>4120</v>
      </c>
      <c r="D7185" s="2" t="s">
        <v>10</v>
      </c>
      <c r="E7185" s="2" t="s">
        <v>16</v>
      </c>
      <c r="F7185" s="2">
        <v>1</v>
      </c>
      <c r="G7185" s="2" t="s">
        <v>17</v>
      </c>
    </row>
    <row r="7186" spans="1:7" x14ac:dyDescent="0.2">
      <c r="A7186" s="2" t="s">
        <v>8713</v>
      </c>
      <c r="B7186" s="2" t="s">
        <v>272</v>
      </c>
      <c r="C7186" s="2" t="s">
        <v>252</v>
      </c>
      <c r="D7186" s="2" t="s">
        <v>10</v>
      </c>
      <c r="E7186" s="2" t="s">
        <v>16</v>
      </c>
      <c r="F7186" s="2">
        <v>1</v>
      </c>
      <c r="G7186" s="2" t="s">
        <v>17</v>
      </c>
    </row>
    <row r="7187" spans="1:7" x14ac:dyDescent="0.2">
      <c r="A7187" s="2" t="s">
        <v>8713</v>
      </c>
      <c r="B7187" s="2" t="s">
        <v>182</v>
      </c>
      <c r="C7187" s="2" t="s">
        <v>183</v>
      </c>
      <c r="D7187" s="2" t="s">
        <v>10</v>
      </c>
      <c r="E7187" s="2" t="s">
        <v>16</v>
      </c>
      <c r="F7187" s="2">
        <v>2</v>
      </c>
      <c r="G7187" s="2" t="s">
        <v>17</v>
      </c>
    </row>
    <row r="7188" spans="1:7" x14ac:dyDescent="0.2">
      <c r="A7188" s="2" t="s">
        <v>8713</v>
      </c>
      <c r="B7188" s="2" t="s">
        <v>8729</v>
      </c>
      <c r="C7188" s="2" t="s">
        <v>257</v>
      </c>
      <c r="D7188" s="2" t="s">
        <v>10</v>
      </c>
      <c r="E7188" s="2" t="s">
        <v>16</v>
      </c>
      <c r="F7188" s="2">
        <v>2</v>
      </c>
      <c r="G7188" s="2" t="s">
        <v>17</v>
      </c>
    </row>
    <row r="7189" spans="1:7" x14ac:dyDescent="0.2">
      <c r="A7189" s="2" t="s">
        <v>8713</v>
      </c>
      <c r="B7189" s="2" t="s">
        <v>8730</v>
      </c>
      <c r="C7189" s="2" t="s">
        <v>257</v>
      </c>
      <c r="D7189" s="2" t="s">
        <v>10</v>
      </c>
      <c r="E7189" s="2" t="s">
        <v>16</v>
      </c>
      <c r="F7189" s="2">
        <v>2</v>
      </c>
      <c r="G7189" s="2" t="s">
        <v>17</v>
      </c>
    </row>
    <row r="7190" spans="1:7" x14ac:dyDescent="0.2">
      <c r="A7190" s="2" t="s">
        <v>8713</v>
      </c>
      <c r="B7190" s="2" t="s">
        <v>8677</v>
      </c>
      <c r="C7190" s="2" t="s">
        <v>8678</v>
      </c>
      <c r="D7190" s="2" t="s">
        <v>10</v>
      </c>
      <c r="E7190" s="2" t="s">
        <v>11</v>
      </c>
      <c r="F7190" s="2">
        <v>2</v>
      </c>
      <c r="G7190" s="2" t="s">
        <v>12</v>
      </c>
    </row>
    <row r="7191" spans="1:7" x14ac:dyDescent="0.2">
      <c r="A7191" s="2" t="s">
        <v>8713</v>
      </c>
      <c r="B7191" s="2" t="s">
        <v>8731</v>
      </c>
      <c r="C7191" s="2" t="s">
        <v>250</v>
      </c>
      <c r="D7191" s="2" t="s">
        <v>10</v>
      </c>
      <c r="E7191" s="2" t="s">
        <v>16</v>
      </c>
      <c r="F7191" s="2">
        <v>1</v>
      </c>
      <c r="G7191" s="2" t="s">
        <v>17</v>
      </c>
    </row>
    <row r="7192" spans="1:7" x14ac:dyDescent="0.2">
      <c r="A7192" s="2" t="s">
        <v>8713</v>
      </c>
      <c r="B7192" s="2" t="s">
        <v>274</v>
      </c>
      <c r="C7192" s="2" t="s">
        <v>257</v>
      </c>
      <c r="D7192" s="2" t="s">
        <v>10</v>
      </c>
      <c r="E7192" s="2" t="s">
        <v>16</v>
      </c>
      <c r="F7192" s="2">
        <v>2</v>
      </c>
      <c r="G7192" s="2" t="s">
        <v>17</v>
      </c>
    </row>
    <row r="7193" spans="1:7" x14ac:dyDescent="0.2">
      <c r="A7193" s="2" t="s">
        <v>8713</v>
      </c>
      <c r="B7193" s="2" t="s">
        <v>8732</v>
      </c>
      <c r="C7193" s="2" t="s">
        <v>260</v>
      </c>
      <c r="D7193" s="2" t="s">
        <v>10</v>
      </c>
      <c r="E7193" s="2" t="s">
        <v>52</v>
      </c>
      <c r="F7193" s="2">
        <v>2</v>
      </c>
      <c r="G7193" s="2" t="s">
        <v>17</v>
      </c>
    </row>
    <row r="7194" spans="1:7" x14ac:dyDescent="0.2">
      <c r="A7194" s="2" t="s">
        <v>8713</v>
      </c>
      <c r="B7194" s="2" t="s">
        <v>8733</v>
      </c>
      <c r="C7194" s="2" t="s">
        <v>8716</v>
      </c>
      <c r="D7194" s="2" t="s">
        <v>10</v>
      </c>
      <c r="E7194" s="2" t="s">
        <v>16</v>
      </c>
      <c r="F7194" s="2">
        <v>1</v>
      </c>
      <c r="G7194" s="2" t="s">
        <v>17</v>
      </c>
    </row>
    <row r="7195" spans="1:7" x14ac:dyDescent="0.2">
      <c r="A7195" s="2" t="s">
        <v>8713</v>
      </c>
      <c r="B7195" s="2" t="s">
        <v>8734</v>
      </c>
      <c r="C7195" s="2" t="s">
        <v>8735</v>
      </c>
      <c r="D7195" s="2" t="s">
        <v>10</v>
      </c>
      <c r="E7195" s="2" t="s">
        <v>11</v>
      </c>
      <c r="F7195" s="2">
        <v>2</v>
      </c>
      <c r="G7195" s="2" t="s">
        <v>12</v>
      </c>
    </row>
    <row r="7196" spans="1:7" x14ac:dyDescent="0.2">
      <c r="A7196" s="2" t="s">
        <v>8713</v>
      </c>
      <c r="B7196" s="2" t="s">
        <v>8689</v>
      </c>
      <c r="C7196" s="2" t="s">
        <v>8678</v>
      </c>
      <c r="D7196" s="2" t="s">
        <v>10</v>
      </c>
      <c r="E7196" s="2" t="s">
        <v>11</v>
      </c>
      <c r="F7196" s="2">
        <v>2</v>
      </c>
      <c r="G7196" s="2" t="s">
        <v>12</v>
      </c>
    </row>
    <row r="7197" spans="1:7" x14ac:dyDescent="0.2">
      <c r="A7197" s="2" t="s">
        <v>8713</v>
      </c>
      <c r="B7197" s="2" t="s">
        <v>8691</v>
      </c>
      <c r="C7197" s="2" t="s">
        <v>8678</v>
      </c>
      <c r="D7197" s="2" t="s">
        <v>10</v>
      </c>
      <c r="E7197" s="2" t="s">
        <v>11</v>
      </c>
      <c r="F7197" s="2">
        <v>2</v>
      </c>
      <c r="G7197" s="2" t="s">
        <v>12</v>
      </c>
    </row>
    <row r="7198" spans="1:7" x14ac:dyDescent="0.2">
      <c r="A7198" s="2" t="s">
        <v>8713</v>
      </c>
      <c r="B7198" s="2" t="s">
        <v>8695</v>
      </c>
      <c r="C7198" s="2" t="s">
        <v>8671</v>
      </c>
      <c r="D7198" s="2" t="s">
        <v>10</v>
      </c>
      <c r="E7198" s="2" t="s">
        <v>52</v>
      </c>
      <c r="F7198" s="2">
        <v>2</v>
      </c>
      <c r="G7198" s="2" t="s">
        <v>17</v>
      </c>
    </row>
    <row r="7199" spans="1:7" x14ac:dyDescent="0.2">
      <c r="A7199" s="2" t="s">
        <v>8713</v>
      </c>
      <c r="B7199" s="2" t="s">
        <v>8736</v>
      </c>
      <c r="C7199" s="2" t="s">
        <v>47</v>
      </c>
      <c r="D7199" s="2" t="s">
        <v>10</v>
      </c>
      <c r="E7199" s="2" t="s">
        <v>16</v>
      </c>
      <c r="F7199" s="2">
        <v>1</v>
      </c>
      <c r="G7199" s="2" t="s">
        <v>17</v>
      </c>
    </row>
    <row r="7200" spans="1:7" x14ac:dyDescent="0.2">
      <c r="A7200" s="2" t="s">
        <v>8713</v>
      </c>
      <c r="B7200" s="2" t="s">
        <v>276</v>
      </c>
      <c r="C7200" s="2" t="s">
        <v>269</v>
      </c>
      <c r="D7200" s="2" t="s">
        <v>10</v>
      </c>
      <c r="E7200" s="2" t="s">
        <v>16</v>
      </c>
      <c r="F7200" s="2">
        <v>1</v>
      </c>
      <c r="G7200" s="2" t="s">
        <v>17</v>
      </c>
    </row>
    <row r="7201" spans="1:7" x14ac:dyDescent="0.2">
      <c r="A7201" s="2" t="s">
        <v>8713</v>
      </c>
      <c r="B7201" s="2" t="s">
        <v>8737</v>
      </c>
      <c r="C7201" s="2" t="s">
        <v>269</v>
      </c>
      <c r="D7201" s="2" t="s">
        <v>10</v>
      </c>
      <c r="E7201" s="2" t="s">
        <v>16</v>
      </c>
      <c r="F7201" s="2">
        <v>1</v>
      </c>
      <c r="G7201" s="2" t="s">
        <v>17</v>
      </c>
    </row>
    <row r="7202" spans="1:7" x14ac:dyDescent="0.2">
      <c r="A7202" s="2" t="s">
        <v>8713</v>
      </c>
      <c r="B7202" s="2" t="s">
        <v>8738</v>
      </c>
      <c r="C7202" s="2" t="s">
        <v>8678</v>
      </c>
      <c r="D7202" s="2" t="s">
        <v>10</v>
      </c>
      <c r="E7202" s="2" t="s">
        <v>11</v>
      </c>
      <c r="F7202" s="2">
        <v>2</v>
      </c>
      <c r="G7202" s="2" t="s">
        <v>12</v>
      </c>
    </row>
    <row r="7203" spans="1:7" x14ac:dyDescent="0.2">
      <c r="A7203" s="2" t="s">
        <v>8713</v>
      </c>
      <c r="B7203" s="2" t="s">
        <v>8739</v>
      </c>
      <c r="C7203" s="2" t="s">
        <v>8678</v>
      </c>
      <c r="D7203" s="2" t="s">
        <v>10</v>
      </c>
      <c r="E7203" s="2" t="s">
        <v>11</v>
      </c>
      <c r="F7203" s="2">
        <v>2</v>
      </c>
      <c r="G7203" s="2" t="s">
        <v>12</v>
      </c>
    </row>
    <row r="7204" spans="1:7" x14ac:dyDescent="0.2">
      <c r="A7204" s="2" t="s">
        <v>8713</v>
      </c>
      <c r="B7204" s="2" t="s">
        <v>8740</v>
      </c>
      <c r="C7204" s="2" t="s">
        <v>8735</v>
      </c>
      <c r="D7204" s="2" t="s">
        <v>10</v>
      </c>
      <c r="E7204" s="2" t="s">
        <v>11</v>
      </c>
      <c r="F7204" s="2">
        <v>2</v>
      </c>
      <c r="G7204" s="2" t="s">
        <v>12</v>
      </c>
    </row>
    <row r="7205" spans="1:7" x14ac:dyDescent="0.2">
      <c r="A7205" s="2" t="s">
        <v>8713</v>
      </c>
      <c r="B7205" s="2" t="s">
        <v>8698</v>
      </c>
      <c r="C7205" s="2" t="s">
        <v>8678</v>
      </c>
      <c r="D7205" s="2" t="s">
        <v>10</v>
      </c>
      <c r="E7205" s="2" t="s">
        <v>11</v>
      </c>
      <c r="F7205" s="2">
        <v>2</v>
      </c>
      <c r="G7205" s="2" t="s">
        <v>12</v>
      </c>
    </row>
    <row r="7206" spans="1:7" x14ac:dyDescent="0.2">
      <c r="A7206" s="2" t="s">
        <v>8713</v>
      </c>
      <c r="B7206" s="2" t="s">
        <v>8699</v>
      </c>
      <c r="C7206" s="2" t="s">
        <v>8678</v>
      </c>
      <c r="D7206" s="2" t="s">
        <v>10</v>
      </c>
      <c r="E7206" s="2" t="s">
        <v>11</v>
      </c>
      <c r="F7206" s="2">
        <v>2</v>
      </c>
      <c r="G7206" s="2" t="s">
        <v>12</v>
      </c>
    </row>
    <row r="7207" spans="1:7" x14ac:dyDescent="0.2">
      <c r="A7207" s="2" t="s">
        <v>8713</v>
      </c>
      <c r="B7207" s="2" t="s">
        <v>8701</v>
      </c>
      <c r="C7207" s="2" t="s">
        <v>8678</v>
      </c>
      <c r="D7207" s="2" t="s">
        <v>10</v>
      </c>
      <c r="E7207" s="2" t="s">
        <v>11</v>
      </c>
      <c r="F7207" s="2">
        <v>2</v>
      </c>
      <c r="G7207" s="2" t="s">
        <v>12</v>
      </c>
    </row>
    <row r="7208" spans="1:7" x14ac:dyDescent="0.2">
      <c r="A7208" s="2" t="s">
        <v>8713</v>
      </c>
      <c r="B7208" s="2" t="s">
        <v>8741</v>
      </c>
      <c r="C7208" s="2" t="s">
        <v>183</v>
      </c>
      <c r="D7208" s="2" t="s">
        <v>10</v>
      </c>
      <c r="E7208" s="2" t="s">
        <v>16</v>
      </c>
      <c r="F7208" s="2">
        <v>2</v>
      </c>
      <c r="G7208" s="2" t="s">
        <v>17</v>
      </c>
    </row>
    <row r="7209" spans="1:7" x14ac:dyDescent="0.2">
      <c r="A7209" s="2" t="s">
        <v>8713</v>
      </c>
      <c r="B7209" s="2" t="s">
        <v>8742</v>
      </c>
      <c r="C7209" s="2" t="s">
        <v>267</v>
      </c>
      <c r="D7209" s="2" t="s">
        <v>10</v>
      </c>
      <c r="E7209" s="2" t="s">
        <v>16</v>
      </c>
      <c r="F7209" s="2">
        <v>1</v>
      </c>
      <c r="G7209" s="2" t="s">
        <v>17</v>
      </c>
    </row>
    <row r="7210" spans="1:7" x14ac:dyDescent="0.2">
      <c r="A7210" s="2" t="s">
        <v>8713</v>
      </c>
      <c r="B7210" s="2" t="s">
        <v>8743</v>
      </c>
      <c r="C7210" s="2" t="s">
        <v>47</v>
      </c>
      <c r="D7210" s="2" t="s">
        <v>10</v>
      </c>
      <c r="E7210" s="2" t="s">
        <v>16</v>
      </c>
      <c r="F7210" s="2">
        <v>1</v>
      </c>
      <c r="G7210" s="2" t="s">
        <v>17</v>
      </c>
    </row>
    <row r="7211" spans="1:7" x14ac:dyDescent="0.2">
      <c r="A7211" s="2" t="s">
        <v>8713</v>
      </c>
      <c r="B7211" s="2" t="s">
        <v>8704</v>
      </c>
      <c r="C7211" s="2" t="s">
        <v>8676</v>
      </c>
      <c r="D7211" s="2" t="s">
        <v>10</v>
      </c>
      <c r="E7211" s="2" t="s">
        <v>11</v>
      </c>
      <c r="F7211" s="2">
        <v>2</v>
      </c>
      <c r="G7211" s="2" t="s">
        <v>17</v>
      </c>
    </row>
    <row r="7212" spans="1:7" x14ac:dyDescent="0.2">
      <c r="A7212" s="2" t="s">
        <v>8713</v>
      </c>
      <c r="B7212" s="2" t="s">
        <v>8707</v>
      </c>
      <c r="C7212" s="2" t="s">
        <v>8678</v>
      </c>
      <c r="D7212" s="2" t="s">
        <v>10</v>
      </c>
      <c r="E7212" s="2" t="s">
        <v>11</v>
      </c>
      <c r="F7212" s="2">
        <v>2</v>
      </c>
      <c r="G7212" s="2" t="s">
        <v>12</v>
      </c>
    </row>
    <row r="7213" spans="1:7" x14ac:dyDescent="0.2">
      <c r="A7213" s="2" t="s">
        <v>8713</v>
      </c>
      <c r="B7213" s="2" t="s">
        <v>8744</v>
      </c>
      <c r="C7213" s="2" t="s">
        <v>269</v>
      </c>
      <c r="D7213" s="2" t="s">
        <v>10</v>
      </c>
      <c r="E7213" s="2" t="s">
        <v>16</v>
      </c>
      <c r="F7213" s="2">
        <v>1</v>
      </c>
      <c r="G7213" s="2" t="s">
        <v>17</v>
      </c>
    </row>
    <row r="7214" spans="1:7" x14ac:dyDescent="0.2">
      <c r="A7214" s="2" t="s">
        <v>8713</v>
      </c>
      <c r="B7214" s="2" t="s">
        <v>8709</v>
      </c>
      <c r="C7214" s="2" t="s">
        <v>8678</v>
      </c>
      <c r="D7214" s="2" t="s">
        <v>10</v>
      </c>
      <c r="E7214" s="2" t="s">
        <v>11</v>
      </c>
      <c r="F7214" s="2">
        <v>2</v>
      </c>
      <c r="G7214" s="2" t="s">
        <v>12</v>
      </c>
    </row>
    <row r="7215" spans="1:7" x14ac:dyDescent="0.2">
      <c r="A7215" s="2" t="s">
        <v>8713</v>
      </c>
      <c r="B7215" s="2" t="s">
        <v>8745</v>
      </c>
      <c r="C7215" s="2" t="s">
        <v>260</v>
      </c>
      <c r="D7215" s="2" t="s">
        <v>10</v>
      </c>
      <c r="E7215" s="2" t="s">
        <v>52</v>
      </c>
      <c r="F7215" s="2">
        <v>2</v>
      </c>
      <c r="G7215" s="2" t="s">
        <v>17</v>
      </c>
    </row>
    <row r="7216" spans="1:7" x14ac:dyDescent="0.2">
      <c r="A7216" s="2" t="s">
        <v>8713</v>
      </c>
      <c r="B7216" s="2" t="s">
        <v>8746</v>
      </c>
      <c r="C7216" s="2" t="s">
        <v>6204</v>
      </c>
      <c r="D7216" s="2" t="s">
        <v>10</v>
      </c>
      <c r="E7216" s="2" t="s">
        <v>52</v>
      </c>
      <c r="F7216" s="2">
        <v>2</v>
      </c>
      <c r="G7216" s="2" t="s">
        <v>17</v>
      </c>
    </row>
    <row r="7217" spans="1:7" x14ac:dyDescent="0.2">
      <c r="A7217" s="2" t="s">
        <v>8713</v>
      </c>
      <c r="B7217" s="2" t="s">
        <v>277</v>
      </c>
      <c r="C7217" s="2" t="s">
        <v>260</v>
      </c>
      <c r="D7217" s="2" t="s">
        <v>10</v>
      </c>
      <c r="E7217" s="2" t="s">
        <v>52</v>
      </c>
      <c r="F7217" s="2">
        <v>2</v>
      </c>
      <c r="G7217" s="2" t="s">
        <v>17</v>
      </c>
    </row>
    <row r="7218" spans="1:7" x14ac:dyDescent="0.2">
      <c r="A7218" s="2" t="s">
        <v>8747</v>
      </c>
      <c r="B7218" s="2" t="s">
        <v>2558</v>
      </c>
      <c r="C7218" s="2" t="s">
        <v>2556</v>
      </c>
      <c r="D7218" s="2" t="s">
        <v>10</v>
      </c>
      <c r="E7218" s="2" t="s">
        <v>16</v>
      </c>
      <c r="F7218" s="2">
        <v>1</v>
      </c>
      <c r="G7218" s="2" t="s">
        <v>17</v>
      </c>
    </row>
    <row r="7219" spans="1:7" x14ac:dyDescent="0.2">
      <c r="A7219" s="2" t="s">
        <v>8747</v>
      </c>
      <c r="B7219" s="2" t="s">
        <v>2570</v>
      </c>
      <c r="C7219" s="2" t="s">
        <v>2556</v>
      </c>
      <c r="D7219" s="2" t="s">
        <v>10</v>
      </c>
      <c r="E7219" s="2" t="s">
        <v>16</v>
      </c>
      <c r="F7219" s="2">
        <v>1</v>
      </c>
      <c r="G7219" s="2" t="s">
        <v>17</v>
      </c>
    </row>
    <row r="7220" spans="1:7" x14ac:dyDescent="0.2">
      <c r="A7220" s="2" t="s">
        <v>8748</v>
      </c>
      <c r="B7220" s="2" t="s">
        <v>8749</v>
      </c>
      <c r="C7220" s="2" t="s">
        <v>8750</v>
      </c>
      <c r="D7220" s="2" t="s">
        <v>10</v>
      </c>
      <c r="E7220" s="2" t="s">
        <v>11</v>
      </c>
      <c r="F7220" s="2">
        <v>2</v>
      </c>
      <c r="G7220" s="2" t="s">
        <v>17</v>
      </c>
    </row>
    <row r="7221" spans="1:7" x14ac:dyDescent="0.2">
      <c r="A7221" s="2" t="s">
        <v>8748</v>
      </c>
      <c r="B7221" s="2" t="s">
        <v>8751</v>
      </c>
      <c r="C7221" s="2" t="s">
        <v>8752</v>
      </c>
      <c r="D7221" s="2" t="s">
        <v>10</v>
      </c>
      <c r="E7221" s="2" t="s">
        <v>11</v>
      </c>
      <c r="F7221" s="2">
        <v>4</v>
      </c>
      <c r="G7221" s="2" t="s">
        <v>1069</v>
      </c>
    </row>
    <row r="7222" spans="1:7" x14ac:dyDescent="0.2">
      <c r="A7222" s="2" t="s">
        <v>8748</v>
      </c>
      <c r="B7222" s="2" t="s">
        <v>8753</v>
      </c>
      <c r="C7222" s="2" t="s">
        <v>8754</v>
      </c>
      <c r="D7222" s="2" t="s">
        <v>10</v>
      </c>
      <c r="E7222" s="2" t="s">
        <v>16</v>
      </c>
      <c r="F7222" s="2">
        <v>2</v>
      </c>
      <c r="G7222" s="2" t="s">
        <v>12</v>
      </c>
    </row>
    <row r="7223" spans="1:7" x14ac:dyDescent="0.2">
      <c r="A7223" s="2" t="s">
        <v>8748</v>
      </c>
      <c r="B7223" s="2" t="s">
        <v>8755</v>
      </c>
      <c r="C7223" s="2" t="s">
        <v>8756</v>
      </c>
      <c r="D7223" s="2" t="s">
        <v>10</v>
      </c>
      <c r="E7223" s="2" t="s">
        <v>16</v>
      </c>
      <c r="F7223" s="2">
        <v>3</v>
      </c>
      <c r="G7223" s="2" t="s">
        <v>12</v>
      </c>
    </row>
    <row r="7224" spans="1:7" x14ac:dyDescent="0.2">
      <c r="A7224" s="2" t="s">
        <v>8748</v>
      </c>
      <c r="B7224" s="2" t="s">
        <v>8757</v>
      </c>
      <c r="C7224" s="2" t="s">
        <v>995</v>
      </c>
      <c r="D7224" s="2" t="s">
        <v>10</v>
      </c>
      <c r="E7224" s="2" t="s">
        <v>11</v>
      </c>
      <c r="F7224" s="2">
        <v>2</v>
      </c>
      <c r="G7224" s="2" t="s">
        <v>12</v>
      </c>
    </row>
    <row r="7225" spans="1:7" x14ac:dyDescent="0.2">
      <c r="A7225" s="2" t="s">
        <v>8748</v>
      </c>
      <c r="B7225" s="2" t="s">
        <v>5345</v>
      </c>
      <c r="C7225" s="2" t="s">
        <v>995</v>
      </c>
      <c r="D7225" s="2" t="s">
        <v>10</v>
      </c>
      <c r="E7225" s="2" t="s">
        <v>11</v>
      </c>
      <c r="F7225" s="2">
        <v>2</v>
      </c>
      <c r="G7225" s="2" t="s">
        <v>12</v>
      </c>
    </row>
    <row r="7226" spans="1:7" x14ac:dyDescent="0.2">
      <c r="A7226" s="2" t="s">
        <v>8748</v>
      </c>
      <c r="B7226" s="2" t="s">
        <v>8758</v>
      </c>
      <c r="C7226" s="2" t="s">
        <v>995</v>
      </c>
      <c r="D7226" s="2" t="s">
        <v>10</v>
      </c>
      <c r="E7226" s="2" t="s">
        <v>11</v>
      </c>
      <c r="F7226" s="2">
        <v>2</v>
      </c>
      <c r="G7226" s="2" t="s">
        <v>12</v>
      </c>
    </row>
    <row r="7227" spans="1:7" x14ac:dyDescent="0.2">
      <c r="A7227" s="2" t="s">
        <v>8748</v>
      </c>
      <c r="B7227" s="2" t="s">
        <v>8759</v>
      </c>
      <c r="C7227" s="2" t="s">
        <v>995</v>
      </c>
      <c r="D7227" s="2" t="s">
        <v>10</v>
      </c>
      <c r="E7227" s="2" t="s">
        <v>11</v>
      </c>
      <c r="F7227" s="2">
        <v>2</v>
      </c>
      <c r="G7227" s="2" t="s">
        <v>12</v>
      </c>
    </row>
    <row r="7228" spans="1:7" x14ac:dyDescent="0.2">
      <c r="A7228" s="2" t="s">
        <v>8748</v>
      </c>
      <c r="B7228" s="2" t="s">
        <v>8760</v>
      </c>
      <c r="C7228" s="2" t="s">
        <v>995</v>
      </c>
      <c r="D7228" s="2" t="s">
        <v>10</v>
      </c>
      <c r="E7228" s="2" t="s">
        <v>11</v>
      </c>
      <c r="F7228" s="2">
        <v>2</v>
      </c>
      <c r="G7228" s="2" t="s">
        <v>12</v>
      </c>
    </row>
    <row r="7229" spans="1:7" x14ac:dyDescent="0.2">
      <c r="A7229" s="2" t="s">
        <v>8748</v>
      </c>
      <c r="B7229" s="2" t="s">
        <v>8761</v>
      </c>
      <c r="C7229" s="2" t="s">
        <v>8750</v>
      </c>
      <c r="D7229" s="2" t="s">
        <v>10</v>
      </c>
      <c r="E7229" s="2" t="s">
        <v>11</v>
      </c>
      <c r="F7229" s="2">
        <v>2</v>
      </c>
      <c r="G7229" s="2" t="s">
        <v>17</v>
      </c>
    </row>
    <row r="7230" spans="1:7" x14ac:dyDescent="0.2">
      <c r="A7230" s="2" t="s">
        <v>8748</v>
      </c>
      <c r="B7230" s="2" t="s">
        <v>8762</v>
      </c>
      <c r="C7230" s="2" t="s">
        <v>8754</v>
      </c>
      <c r="D7230" s="2" t="s">
        <v>10</v>
      </c>
      <c r="E7230" s="2" t="s">
        <v>16</v>
      </c>
      <c r="F7230" s="2">
        <v>2</v>
      </c>
      <c r="G7230" s="2" t="s">
        <v>12</v>
      </c>
    </row>
    <row r="7231" spans="1:7" x14ac:dyDescent="0.2">
      <c r="A7231" s="2" t="s">
        <v>8748</v>
      </c>
      <c r="B7231" s="2" t="s">
        <v>8763</v>
      </c>
      <c r="C7231" s="2" t="s">
        <v>8756</v>
      </c>
      <c r="D7231" s="2" t="s">
        <v>10</v>
      </c>
      <c r="E7231" s="2" t="s">
        <v>16</v>
      </c>
      <c r="F7231" s="2">
        <v>3</v>
      </c>
      <c r="G7231" s="2" t="s">
        <v>12</v>
      </c>
    </row>
    <row r="7232" spans="1:7" x14ac:dyDescent="0.2">
      <c r="A7232" s="2" t="s">
        <v>8748</v>
      </c>
      <c r="B7232" s="2" t="s">
        <v>8764</v>
      </c>
      <c r="C7232" s="2" t="s">
        <v>995</v>
      </c>
      <c r="D7232" s="2" t="s">
        <v>10</v>
      </c>
      <c r="E7232" s="2" t="s">
        <v>11</v>
      </c>
      <c r="F7232" s="2">
        <v>2</v>
      </c>
      <c r="G7232" s="2" t="s">
        <v>12</v>
      </c>
    </row>
    <row r="7233" spans="1:7" x14ac:dyDescent="0.2">
      <c r="A7233" s="2" t="s">
        <v>8748</v>
      </c>
      <c r="B7233" s="2" t="s">
        <v>8765</v>
      </c>
      <c r="C7233" s="2" t="s">
        <v>995</v>
      </c>
      <c r="D7233" s="2" t="s">
        <v>10</v>
      </c>
      <c r="E7233" s="2" t="s">
        <v>11</v>
      </c>
      <c r="F7233" s="2">
        <v>2</v>
      </c>
      <c r="G7233" s="2" t="s">
        <v>12</v>
      </c>
    </row>
    <row r="7234" spans="1:7" x14ac:dyDescent="0.2">
      <c r="A7234" s="2" t="s">
        <v>8748</v>
      </c>
      <c r="B7234" s="2" t="s">
        <v>8766</v>
      </c>
      <c r="C7234" s="2" t="s">
        <v>8752</v>
      </c>
      <c r="D7234" s="2" t="s">
        <v>10</v>
      </c>
      <c r="E7234" s="2" t="s">
        <v>11</v>
      </c>
      <c r="F7234" s="2">
        <v>4</v>
      </c>
      <c r="G7234" s="2" t="s">
        <v>1069</v>
      </c>
    </row>
    <row r="7235" spans="1:7" x14ac:dyDescent="0.2">
      <c r="A7235" s="2" t="s">
        <v>8748</v>
      </c>
      <c r="B7235" s="2" t="s">
        <v>8767</v>
      </c>
      <c r="C7235" s="2" t="s">
        <v>8750</v>
      </c>
      <c r="D7235" s="2" t="s">
        <v>10</v>
      </c>
      <c r="E7235" s="2" t="s">
        <v>11</v>
      </c>
      <c r="F7235" s="2">
        <v>2</v>
      </c>
      <c r="G7235" s="2" t="s">
        <v>17</v>
      </c>
    </row>
    <row r="7236" spans="1:7" x14ac:dyDescent="0.2">
      <c r="A7236" s="2" t="s">
        <v>8748</v>
      </c>
      <c r="B7236" s="2" t="s">
        <v>8768</v>
      </c>
      <c r="C7236" s="2" t="s">
        <v>8750</v>
      </c>
      <c r="D7236" s="2" t="s">
        <v>10</v>
      </c>
      <c r="E7236" s="2" t="s">
        <v>11</v>
      </c>
      <c r="F7236" s="2">
        <v>2</v>
      </c>
      <c r="G7236" s="2" t="s">
        <v>17</v>
      </c>
    </row>
    <row r="7237" spans="1:7" x14ac:dyDescent="0.2">
      <c r="A7237" s="2" t="s">
        <v>8748</v>
      </c>
      <c r="B7237" s="2" t="s">
        <v>5347</v>
      </c>
      <c r="C7237" s="2" t="s">
        <v>995</v>
      </c>
      <c r="D7237" s="2" t="s">
        <v>10</v>
      </c>
      <c r="E7237" s="2" t="s">
        <v>11</v>
      </c>
      <c r="F7237" s="2">
        <v>2</v>
      </c>
      <c r="G7237" s="2" t="s">
        <v>12</v>
      </c>
    </row>
    <row r="7238" spans="1:7" x14ac:dyDescent="0.2">
      <c r="A7238" s="2" t="s">
        <v>8748</v>
      </c>
      <c r="B7238" s="2" t="s">
        <v>8769</v>
      </c>
      <c r="C7238" s="2" t="s">
        <v>995</v>
      </c>
      <c r="D7238" s="2" t="s">
        <v>10</v>
      </c>
      <c r="E7238" s="2" t="s">
        <v>11</v>
      </c>
      <c r="F7238" s="2">
        <v>2</v>
      </c>
      <c r="G7238" s="2" t="s">
        <v>12</v>
      </c>
    </row>
    <row r="7239" spans="1:7" x14ac:dyDescent="0.2">
      <c r="A7239" s="2" t="s">
        <v>8748</v>
      </c>
      <c r="B7239" s="2" t="s">
        <v>8770</v>
      </c>
      <c r="C7239" s="2" t="s">
        <v>995</v>
      </c>
      <c r="D7239" s="2" t="s">
        <v>10</v>
      </c>
      <c r="E7239" s="2" t="s">
        <v>11</v>
      </c>
      <c r="F7239" s="2">
        <v>2</v>
      </c>
      <c r="G7239" s="2" t="s">
        <v>12</v>
      </c>
    </row>
    <row r="7240" spans="1:7" x14ac:dyDescent="0.2">
      <c r="A7240" s="2" t="s">
        <v>8748</v>
      </c>
      <c r="B7240" s="2" t="s">
        <v>8771</v>
      </c>
      <c r="C7240" s="2" t="s">
        <v>995</v>
      </c>
      <c r="D7240" s="2" t="s">
        <v>10</v>
      </c>
      <c r="E7240" s="2" t="s">
        <v>11</v>
      </c>
      <c r="F7240" s="2">
        <v>2</v>
      </c>
      <c r="G7240" s="2" t="s">
        <v>12</v>
      </c>
    </row>
    <row r="7241" spans="1:7" x14ac:dyDescent="0.2">
      <c r="A7241" s="2" t="s">
        <v>8772</v>
      </c>
      <c r="B7241" s="2" t="s">
        <v>6159</v>
      </c>
      <c r="C7241" s="2" t="s">
        <v>6090</v>
      </c>
      <c r="D7241" s="2" t="s">
        <v>10</v>
      </c>
      <c r="E7241" s="2" t="s">
        <v>52</v>
      </c>
      <c r="F7241" s="2">
        <v>2</v>
      </c>
      <c r="G7241" s="2" t="s">
        <v>12</v>
      </c>
    </row>
    <row r="7242" spans="1:7" x14ac:dyDescent="0.2">
      <c r="A7242" s="2" t="s">
        <v>8772</v>
      </c>
      <c r="B7242" s="2" t="s">
        <v>8773</v>
      </c>
      <c r="C7242" s="2" t="s">
        <v>8774</v>
      </c>
      <c r="D7242" s="2" t="s">
        <v>10</v>
      </c>
      <c r="E7242" s="2" t="s">
        <v>16</v>
      </c>
      <c r="F7242" s="2">
        <v>1</v>
      </c>
      <c r="G7242" s="2" t="s">
        <v>17</v>
      </c>
    </row>
    <row r="7243" spans="1:7" x14ac:dyDescent="0.2">
      <c r="A7243" s="2" t="s">
        <v>8772</v>
      </c>
      <c r="B7243" s="2" t="s">
        <v>8775</v>
      </c>
      <c r="C7243" s="2" t="s">
        <v>8774</v>
      </c>
      <c r="D7243" s="2" t="s">
        <v>10</v>
      </c>
      <c r="E7243" s="2" t="s">
        <v>16</v>
      </c>
      <c r="F7243" s="2">
        <v>1</v>
      </c>
      <c r="G7243" s="2" t="s">
        <v>17</v>
      </c>
    </row>
    <row r="7244" spans="1:7" x14ac:dyDescent="0.2">
      <c r="A7244" s="2" t="s">
        <v>8772</v>
      </c>
      <c r="B7244" s="2" t="s">
        <v>8776</v>
      </c>
      <c r="C7244" s="2" t="s">
        <v>8774</v>
      </c>
      <c r="D7244" s="2" t="s">
        <v>10</v>
      </c>
      <c r="E7244" s="2" t="s">
        <v>16</v>
      </c>
      <c r="F7244" s="2">
        <v>1</v>
      </c>
      <c r="G7244" s="2" t="s">
        <v>17</v>
      </c>
    </row>
    <row r="7245" spans="1:7" x14ac:dyDescent="0.2">
      <c r="A7245" s="2" t="s">
        <v>8772</v>
      </c>
      <c r="B7245" s="2" t="s">
        <v>8777</v>
      </c>
      <c r="C7245" s="2" t="s">
        <v>8778</v>
      </c>
      <c r="D7245" s="2" t="s">
        <v>10</v>
      </c>
      <c r="E7245" s="2" t="s">
        <v>11</v>
      </c>
      <c r="F7245" s="2">
        <v>1</v>
      </c>
      <c r="G7245" s="2" t="s">
        <v>12</v>
      </c>
    </row>
    <row r="7246" spans="1:7" x14ac:dyDescent="0.2">
      <c r="A7246" s="2" t="s">
        <v>8772</v>
      </c>
      <c r="B7246" s="2" t="s">
        <v>8779</v>
      </c>
      <c r="C7246" s="2" t="s">
        <v>8778</v>
      </c>
      <c r="D7246" s="2" t="s">
        <v>10</v>
      </c>
      <c r="E7246" s="2" t="s">
        <v>11</v>
      </c>
      <c r="F7246" s="2">
        <v>1</v>
      </c>
      <c r="G7246" s="2" t="s">
        <v>12</v>
      </c>
    </row>
    <row r="7247" spans="1:7" x14ac:dyDescent="0.2">
      <c r="A7247" s="2" t="s">
        <v>8772</v>
      </c>
      <c r="B7247" s="2" t="s">
        <v>8780</v>
      </c>
      <c r="C7247" s="2" t="s">
        <v>8778</v>
      </c>
      <c r="D7247" s="2" t="s">
        <v>10</v>
      </c>
      <c r="E7247" s="2" t="s">
        <v>11</v>
      </c>
      <c r="F7247" s="2">
        <v>1</v>
      </c>
      <c r="G7247" s="2" t="s">
        <v>12</v>
      </c>
    </row>
    <row r="7248" spans="1:7" x14ac:dyDescent="0.2">
      <c r="A7248" s="2" t="s">
        <v>8772</v>
      </c>
      <c r="B7248" s="2" t="s">
        <v>8781</v>
      </c>
      <c r="C7248" s="2" t="s">
        <v>8778</v>
      </c>
      <c r="D7248" s="2" t="s">
        <v>10</v>
      </c>
      <c r="E7248" s="2" t="s">
        <v>11</v>
      </c>
      <c r="F7248" s="2">
        <v>1</v>
      </c>
      <c r="G7248" s="2" t="s">
        <v>12</v>
      </c>
    </row>
    <row r="7249" spans="1:7" x14ac:dyDescent="0.2">
      <c r="A7249" s="2" t="s">
        <v>8772</v>
      </c>
      <c r="B7249" s="2" t="s">
        <v>8782</v>
      </c>
      <c r="C7249" s="2" t="s">
        <v>8778</v>
      </c>
      <c r="D7249" s="2" t="s">
        <v>10</v>
      </c>
      <c r="E7249" s="2" t="s">
        <v>11</v>
      </c>
      <c r="F7249" s="2">
        <v>1</v>
      </c>
      <c r="G7249" s="2" t="s">
        <v>12</v>
      </c>
    </row>
    <row r="7250" spans="1:7" x14ac:dyDescent="0.2">
      <c r="A7250" s="2" t="s">
        <v>8772</v>
      </c>
      <c r="B7250" s="2" t="s">
        <v>8783</v>
      </c>
      <c r="C7250" s="2" t="s">
        <v>8778</v>
      </c>
      <c r="D7250" s="2" t="s">
        <v>10</v>
      </c>
      <c r="E7250" s="2" t="s">
        <v>11</v>
      </c>
      <c r="F7250" s="2">
        <v>1</v>
      </c>
      <c r="G7250" s="2" t="s">
        <v>12</v>
      </c>
    </row>
    <row r="7251" spans="1:7" x14ac:dyDescent="0.2">
      <c r="A7251" s="2" t="s">
        <v>8772</v>
      </c>
      <c r="B7251" s="2" t="s">
        <v>8784</v>
      </c>
      <c r="C7251" s="2" t="s">
        <v>8778</v>
      </c>
      <c r="D7251" s="2" t="s">
        <v>10</v>
      </c>
      <c r="E7251" s="2" t="s">
        <v>11</v>
      </c>
      <c r="F7251" s="2">
        <v>1</v>
      </c>
      <c r="G7251" s="2" t="s">
        <v>12</v>
      </c>
    </row>
    <row r="7252" spans="1:7" x14ac:dyDescent="0.2">
      <c r="A7252" s="2" t="s">
        <v>8772</v>
      </c>
      <c r="B7252" s="2" t="s">
        <v>8785</v>
      </c>
      <c r="C7252" s="2" t="s">
        <v>8786</v>
      </c>
      <c r="D7252" s="2" t="s">
        <v>10</v>
      </c>
      <c r="E7252" s="2" t="s">
        <v>11</v>
      </c>
      <c r="F7252" s="2">
        <v>1</v>
      </c>
      <c r="G7252" s="2" t="s">
        <v>12</v>
      </c>
    </row>
    <row r="7253" spans="1:7" x14ac:dyDescent="0.2">
      <c r="A7253" s="2" t="s">
        <v>8772</v>
      </c>
      <c r="B7253" s="2" t="s">
        <v>8751</v>
      </c>
      <c r="C7253" s="2" t="s">
        <v>8752</v>
      </c>
      <c r="D7253" s="2" t="s">
        <v>10</v>
      </c>
      <c r="E7253" s="2" t="s">
        <v>11</v>
      </c>
      <c r="F7253" s="2">
        <v>4</v>
      </c>
      <c r="G7253" s="2" t="s">
        <v>1069</v>
      </c>
    </row>
    <row r="7254" spans="1:7" x14ac:dyDescent="0.2">
      <c r="A7254" s="2" t="s">
        <v>8772</v>
      </c>
      <c r="B7254" s="2" t="s">
        <v>6092</v>
      </c>
      <c r="C7254" s="2" t="s">
        <v>6090</v>
      </c>
      <c r="D7254" s="2" t="s">
        <v>10</v>
      </c>
      <c r="E7254" s="2" t="s">
        <v>52</v>
      </c>
      <c r="F7254" s="2">
        <v>2</v>
      </c>
      <c r="G7254" s="2" t="s">
        <v>12</v>
      </c>
    </row>
    <row r="7255" spans="1:7" x14ac:dyDescent="0.2">
      <c r="A7255" s="2" t="s">
        <v>8772</v>
      </c>
      <c r="B7255" s="2" t="s">
        <v>2796</v>
      </c>
      <c r="C7255" s="2" t="s">
        <v>2679</v>
      </c>
      <c r="D7255" s="2" t="s">
        <v>10</v>
      </c>
      <c r="E7255" s="2" t="s">
        <v>11</v>
      </c>
      <c r="F7255" s="2">
        <v>4</v>
      </c>
      <c r="G7255" s="2" t="s">
        <v>1069</v>
      </c>
    </row>
    <row r="7256" spans="1:7" x14ac:dyDescent="0.2">
      <c r="A7256" s="2" t="s">
        <v>8772</v>
      </c>
      <c r="B7256" s="2" t="s">
        <v>6141</v>
      </c>
      <c r="C7256" s="2" t="s">
        <v>6090</v>
      </c>
      <c r="D7256" s="2" t="s">
        <v>10</v>
      </c>
      <c r="E7256" s="2" t="s">
        <v>52</v>
      </c>
      <c r="F7256" s="2">
        <v>2</v>
      </c>
      <c r="G7256" s="2" t="s">
        <v>12</v>
      </c>
    </row>
    <row r="7257" spans="1:7" x14ac:dyDescent="0.2">
      <c r="A7257" s="2" t="s">
        <v>8772</v>
      </c>
      <c r="B7257" s="2" t="s">
        <v>2811</v>
      </c>
      <c r="C7257" s="2" t="s">
        <v>2679</v>
      </c>
      <c r="D7257" s="2" t="s">
        <v>10</v>
      </c>
      <c r="E7257" s="2" t="s">
        <v>11</v>
      </c>
      <c r="F7257" s="2">
        <v>4</v>
      </c>
      <c r="G7257" s="2" t="s">
        <v>1069</v>
      </c>
    </row>
    <row r="7258" spans="1:7" x14ac:dyDescent="0.2">
      <c r="A7258" s="2" t="s">
        <v>8772</v>
      </c>
      <c r="B7258" s="2" t="s">
        <v>8766</v>
      </c>
      <c r="C7258" s="2" t="s">
        <v>8752</v>
      </c>
      <c r="D7258" s="2" t="s">
        <v>10</v>
      </c>
      <c r="E7258" s="2" t="s">
        <v>11</v>
      </c>
      <c r="F7258" s="2">
        <v>4</v>
      </c>
      <c r="G7258" s="2" t="s">
        <v>1069</v>
      </c>
    </row>
    <row r="7259" spans="1:7" x14ac:dyDescent="0.2">
      <c r="A7259" s="2" t="s">
        <v>8787</v>
      </c>
      <c r="B7259" s="2" t="s">
        <v>2340</v>
      </c>
      <c r="C7259" s="2" t="s">
        <v>2341</v>
      </c>
      <c r="D7259" s="2" t="s">
        <v>10</v>
      </c>
      <c r="E7259" s="2" t="s">
        <v>52</v>
      </c>
      <c r="F7259" s="2">
        <v>2</v>
      </c>
      <c r="G7259" s="2" t="s">
        <v>17</v>
      </c>
    </row>
    <row r="7260" spans="1:7" x14ac:dyDescent="0.2">
      <c r="A7260" s="2" t="s">
        <v>8787</v>
      </c>
      <c r="B7260" s="2" t="s">
        <v>2342</v>
      </c>
      <c r="C7260" s="2" t="s">
        <v>2341</v>
      </c>
      <c r="D7260" s="2" t="s">
        <v>10</v>
      </c>
      <c r="E7260" s="2" t="s">
        <v>52</v>
      </c>
      <c r="F7260" s="2">
        <v>2</v>
      </c>
      <c r="G7260" s="2" t="s">
        <v>17</v>
      </c>
    </row>
    <row r="7261" spans="1:7" x14ac:dyDescent="0.2">
      <c r="A7261" s="2" t="s">
        <v>8788</v>
      </c>
      <c r="B7261" s="2" t="s">
        <v>8789</v>
      </c>
      <c r="C7261" s="2" t="s">
        <v>8790</v>
      </c>
      <c r="D7261" s="2" t="s">
        <v>10</v>
      </c>
      <c r="E7261" s="2" t="s">
        <v>16</v>
      </c>
      <c r="F7261" s="2">
        <v>1</v>
      </c>
      <c r="G7261" s="2" t="s">
        <v>17</v>
      </c>
    </row>
    <row r="7262" spans="1:7" x14ac:dyDescent="0.2">
      <c r="A7262" s="2" t="s">
        <v>8788</v>
      </c>
      <c r="B7262" s="2" t="s">
        <v>8791</v>
      </c>
      <c r="C7262" s="2" t="s">
        <v>8790</v>
      </c>
      <c r="D7262" s="2" t="s">
        <v>10</v>
      </c>
      <c r="E7262" s="2" t="s">
        <v>16</v>
      </c>
      <c r="F7262" s="2">
        <v>1</v>
      </c>
      <c r="G7262" s="2" t="s">
        <v>17</v>
      </c>
    </row>
    <row r="7263" spans="1:7" x14ac:dyDescent="0.2">
      <c r="A7263" s="2" t="s">
        <v>8788</v>
      </c>
      <c r="B7263" s="2" t="s">
        <v>8792</v>
      </c>
      <c r="C7263" s="2" t="s">
        <v>8790</v>
      </c>
      <c r="D7263" s="2" t="s">
        <v>10</v>
      </c>
      <c r="E7263" s="2" t="s">
        <v>16</v>
      </c>
      <c r="F7263" s="2">
        <v>1</v>
      </c>
      <c r="G7263" s="2" t="s">
        <v>17</v>
      </c>
    </row>
    <row r="7264" spans="1:7" x14ac:dyDescent="0.2">
      <c r="A7264" s="2" t="s">
        <v>8788</v>
      </c>
      <c r="B7264" s="2" t="s">
        <v>8793</v>
      </c>
      <c r="C7264" s="2" t="s">
        <v>8790</v>
      </c>
      <c r="D7264" s="2" t="s">
        <v>10</v>
      </c>
      <c r="E7264" s="2" t="s">
        <v>16</v>
      </c>
      <c r="F7264" s="2">
        <v>1</v>
      </c>
      <c r="G7264" s="2" t="s">
        <v>17</v>
      </c>
    </row>
    <row r="7265" spans="1:7" x14ac:dyDescent="0.2">
      <c r="A7265" s="2" t="s">
        <v>8794</v>
      </c>
      <c r="B7265" s="2" t="s">
        <v>3401</v>
      </c>
      <c r="C7265" s="2" t="s">
        <v>1191</v>
      </c>
      <c r="D7265" s="2" t="s">
        <v>10</v>
      </c>
      <c r="E7265" s="2" t="s">
        <v>52</v>
      </c>
      <c r="F7265" s="2">
        <v>2</v>
      </c>
      <c r="G7265" s="2" t="s">
        <v>12</v>
      </c>
    </row>
    <row r="7266" spans="1:7" x14ac:dyDescent="0.2">
      <c r="A7266" s="2" t="s">
        <v>8794</v>
      </c>
      <c r="B7266" s="2" t="s">
        <v>1093</v>
      </c>
      <c r="C7266" s="2" t="s">
        <v>1094</v>
      </c>
      <c r="D7266" s="2" t="s">
        <v>10</v>
      </c>
      <c r="E7266" s="2" t="s">
        <v>52</v>
      </c>
      <c r="F7266" s="2">
        <v>2</v>
      </c>
      <c r="G7266" s="2" t="s">
        <v>12</v>
      </c>
    </row>
    <row r="7267" spans="1:7" x14ac:dyDescent="0.2">
      <c r="A7267" s="2" t="s">
        <v>8794</v>
      </c>
      <c r="B7267" s="2" t="s">
        <v>4699</v>
      </c>
      <c r="C7267" s="2" t="s">
        <v>593</v>
      </c>
      <c r="D7267" s="2" t="s">
        <v>56</v>
      </c>
      <c r="E7267" s="2" t="s">
        <v>52</v>
      </c>
      <c r="F7267" s="2">
        <v>2</v>
      </c>
      <c r="G7267" s="2" t="s">
        <v>12</v>
      </c>
    </row>
    <row r="7268" spans="1:7" x14ac:dyDescent="0.2">
      <c r="A7268" s="2" t="s">
        <v>8794</v>
      </c>
      <c r="B7268" s="2" t="s">
        <v>4701</v>
      </c>
      <c r="C7268" s="2" t="s">
        <v>2977</v>
      </c>
      <c r="D7268" s="2" t="s">
        <v>56</v>
      </c>
      <c r="E7268" s="2" t="s">
        <v>52</v>
      </c>
      <c r="F7268" s="2">
        <v>2</v>
      </c>
      <c r="G7268" s="2" t="s">
        <v>17</v>
      </c>
    </row>
    <row r="7269" spans="1:7" x14ac:dyDescent="0.2">
      <c r="A7269" s="2" t="s">
        <v>8794</v>
      </c>
      <c r="B7269" s="2" t="s">
        <v>4702</v>
      </c>
      <c r="C7269" s="2" t="s">
        <v>1191</v>
      </c>
      <c r="D7269" s="2" t="s">
        <v>10</v>
      </c>
      <c r="E7269" s="2" t="s">
        <v>52</v>
      </c>
      <c r="F7269" s="2">
        <v>2</v>
      </c>
      <c r="G7269" s="2" t="s">
        <v>12</v>
      </c>
    </row>
    <row r="7270" spans="1:7" x14ac:dyDescent="0.2">
      <c r="A7270" s="2" t="s">
        <v>8794</v>
      </c>
      <c r="B7270" s="2" t="s">
        <v>8795</v>
      </c>
      <c r="C7270" s="2" t="s">
        <v>624</v>
      </c>
      <c r="D7270" s="2" t="s">
        <v>56</v>
      </c>
      <c r="E7270" s="2" t="s">
        <v>52</v>
      </c>
      <c r="F7270" s="2">
        <v>2</v>
      </c>
      <c r="G7270" s="2" t="s">
        <v>17</v>
      </c>
    </row>
    <row r="7271" spans="1:7" x14ac:dyDescent="0.2">
      <c r="A7271" s="2" t="s">
        <v>8794</v>
      </c>
      <c r="B7271" s="2" t="s">
        <v>653</v>
      </c>
      <c r="C7271" s="2" t="s">
        <v>624</v>
      </c>
      <c r="D7271" s="2" t="s">
        <v>56</v>
      </c>
      <c r="E7271" s="2" t="s">
        <v>52</v>
      </c>
      <c r="F7271" s="2">
        <v>2</v>
      </c>
      <c r="G7271" s="2" t="s">
        <v>17</v>
      </c>
    </row>
    <row r="7272" spans="1:7" x14ac:dyDescent="0.2">
      <c r="A7272" s="2" t="s">
        <v>8794</v>
      </c>
      <c r="B7272" s="2" t="s">
        <v>672</v>
      </c>
      <c r="C7272" s="2" t="s">
        <v>593</v>
      </c>
      <c r="D7272" s="2" t="s">
        <v>56</v>
      </c>
      <c r="E7272" s="2" t="s">
        <v>52</v>
      </c>
      <c r="F7272" s="2">
        <v>2</v>
      </c>
      <c r="G7272" s="2" t="s">
        <v>12</v>
      </c>
    </row>
    <row r="7273" spans="1:7" x14ac:dyDescent="0.2">
      <c r="A7273" s="2" t="s">
        <v>8796</v>
      </c>
      <c r="B7273" s="2" t="s">
        <v>3401</v>
      </c>
      <c r="C7273" s="2" t="s">
        <v>1191</v>
      </c>
      <c r="D7273" s="2" t="s">
        <v>10</v>
      </c>
      <c r="E7273" s="2" t="s">
        <v>52</v>
      </c>
      <c r="F7273" s="2">
        <v>2</v>
      </c>
      <c r="G7273" s="2" t="s">
        <v>12</v>
      </c>
    </row>
    <row r="7274" spans="1:7" x14ac:dyDescent="0.2">
      <c r="A7274" s="2" t="s">
        <v>8796</v>
      </c>
      <c r="B7274" s="2" t="s">
        <v>1093</v>
      </c>
      <c r="C7274" s="2" t="s">
        <v>1094</v>
      </c>
      <c r="D7274" s="2" t="s">
        <v>10</v>
      </c>
      <c r="E7274" s="2" t="s">
        <v>52</v>
      </c>
      <c r="F7274" s="2">
        <v>2</v>
      </c>
      <c r="G7274" s="2" t="s">
        <v>12</v>
      </c>
    </row>
    <row r="7275" spans="1:7" x14ac:dyDescent="0.2">
      <c r="A7275" s="2" t="s">
        <v>8796</v>
      </c>
      <c r="B7275" s="2" t="s">
        <v>8797</v>
      </c>
      <c r="C7275" s="2" t="s">
        <v>8798</v>
      </c>
      <c r="D7275" s="2" t="s">
        <v>10</v>
      </c>
      <c r="E7275" s="2" t="s">
        <v>52</v>
      </c>
      <c r="F7275" s="2">
        <v>2</v>
      </c>
      <c r="G7275" s="2" t="s">
        <v>12</v>
      </c>
    </row>
    <row r="7276" spans="1:7" x14ac:dyDescent="0.2">
      <c r="A7276" s="2" t="s">
        <v>8796</v>
      </c>
      <c r="B7276" s="2" t="s">
        <v>4699</v>
      </c>
      <c r="C7276" s="2" t="s">
        <v>593</v>
      </c>
      <c r="D7276" s="2" t="s">
        <v>56</v>
      </c>
      <c r="E7276" s="2" t="s">
        <v>52</v>
      </c>
      <c r="F7276" s="2">
        <v>2</v>
      </c>
      <c r="G7276" s="2" t="s">
        <v>12</v>
      </c>
    </row>
    <row r="7277" spans="1:7" x14ac:dyDescent="0.2">
      <c r="A7277" s="2" t="s">
        <v>8796</v>
      </c>
      <c r="B7277" s="2" t="s">
        <v>8799</v>
      </c>
      <c r="C7277" s="2" t="s">
        <v>2438</v>
      </c>
      <c r="D7277" s="2" t="s">
        <v>56</v>
      </c>
      <c r="E7277" s="2" t="s">
        <v>52</v>
      </c>
      <c r="F7277" s="2">
        <v>1</v>
      </c>
      <c r="G7277" s="2" t="s">
        <v>17</v>
      </c>
    </row>
    <row r="7278" spans="1:7" x14ac:dyDescent="0.2">
      <c r="A7278" s="2" t="s">
        <v>8796</v>
      </c>
      <c r="B7278" s="2" t="s">
        <v>4700</v>
      </c>
      <c r="C7278" s="2" t="s">
        <v>802</v>
      </c>
      <c r="D7278" s="2" t="s">
        <v>56</v>
      </c>
      <c r="E7278" s="2" t="s">
        <v>52</v>
      </c>
      <c r="F7278" s="2">
        <v>2</v>
      </c>
      <c r="G7278" s="2" t="s">
        <v>17</v>
      </c>
    </row>
    <row r="7279" spans="1:7" x14ac:dyDescent="0.2">
      <c r="A7279" s="2" t="s">
        <v>8796</v>
      </c>
      <c r="B7279" s="2" t="s">
        <v>8800</v>
      </c>
      <c r="C7279" s="2" t="s">
        <v>3404</v>
      </c>
      <c r="D7279" s="2" t="s">
        <v>56</v>
      </c>
      <c r="E7279" s="2" t="s">
        <v>52</v>
      </c>
      <c r="F7279" s="2">
        <v>2</v>
      </c>
      <c r="G7279" s="2" t="s">
        <v>17</v>
      </c>
    </row>
    <row r="7280" spans="1:7" x14ac:dyDescent="0.2">
      <c r="A7280" s="2" t="s">
        <v>8796</v>
      </c>
      <c r="B7280" s="2" t="s">
        <v>4701</v>
      </c>
      <c r="C7280" s="2" t="s">
        <v>2977</v>
      </c>
      <c r="D7280" s="2" t="s">
        <v>56</v>
      </c>
      <c r="E7280" s="2" t="s">
        <v>52</v>
      </c>
      <c r="F7280" s="2">
        <v>2</v>
      </c>
      <c r="G7280" s="2" t="s">
        <v>17</v>
      </c>
    </row>
    <row r="7281" spans="1:7" x14ac:dyDescent="0.2">
      <c r="A7281" s="2" t="s">
        <v>8796</v>
      </c>
      <c r="B7281" s="2" t="s">
        <v>4702</v>
      </c>
      <c r="C7281" s="2" t="s">
        <v>1191</v>
      </c>
      <c r="D7281" s="2" t="s">
        <v>10</v>
      </c>
      <c r="E7281" s="2" t="s">
        <v>52</v>
      </c>
      <c r="F7281" s="2">
        <v>2</v>
      </c>
      <c r="G7281" s="2" t="s">
        <v>12</v>
      </c>
    </row>
    <row r="7282" spans="1:7" x14ac:dyDescent="0.2">
      <c r="A7282" s="2" t="s">
        <v>8796</v>
      </c>
      <c r="B7282" s="2" t="s">
        <v>672</v>
      </c>
      <c r="C7282" s="2" t="s">
        <v>593</v>
      </c>
      <c r="D7282" s="2" t="s">
        <v>56</v>
      </c>
      <c r="E7282" s="2" t="s">
        <v>52</v>
      </c>
      <c r="F7282" s="2">
        <v>2</v>
      </c>
      <c r="G7282" s="2" t="s">
        <v>12</v>
      </c>
    </row>
    <row r="7283" spans="1:7" x14ac:dyDescent="0.2">
      <c r="A7283" s="2" t="s">
        <v>8801</v>
      </c>
      <c r="B7283" s="2" t="s">
        <v>8802</v>
      </c>
      <c r="C7283" s="2" t="s">
        <v>8803</v>
      </c>
      <c r="D7283" s="2" t="s">
        <v>10</v>
      </c>
      <c r="E7283" s="2" t="s">
        <v>16</v>
      </c>
      <c r="F7283" s="2">
        <v>1</v>
      </c>
      <c r="G7283" s="2" t="s">
        <v>17</v>
      </c>
    </row>
    <row r="7284" spans="1:7" x14ac:dyDescent="0.2">
      <c r="A7284" s="2" t="s">
        <v>8804</v>
      </c>
      <c r="B7284" s="2" t="s">
        <v>8805</v>
      </c>
      <c r="C7284" s="2" t="s">
        <v>8806</v>
      </c>
      <c r="D7284" s="2" t="s">
        <v>10</v>
      </c>
      <c r="E7284" s="2" t="s">
        <v>16</v>
      </c>
      <c r="F7284" s="2">
        <v>1</v>
      </c>
      <c r="G7284" s="2" t="s">
        <v>17</v>
      </c>
    </row>
    <row r="7285" spans="1:7" x14ac:dyDescent="0.2">
      <c r="A7285" s="2" t="s">
        <v>8807</v>
      </c>
      <c r="B7285" s="2" t="s">
        <v>1294</v>
      </c>
      <c r="C7285" s="2" t="s">
        <v>8808</v>
      </c>
      <c r="D7285" s="2" t="s">
        <v>10</v>
      </c>
      <c r="E7285" s="2" t="s">
        <v>16</v>
      </c>
      <c r="F7285" s="2">
        <v>1</v>
      </c>
      <c r="G7285" s="2" t="s">
        <v>17</v>
      </c>
    </row>
    <row r="7286" spans="1:7" x14ac:dyDescent="0.2">
      <c r="A7286" s="2" t="s">
        <v>8809</v>
      </c>
      <c r="B7286" s="2" t="s">
        <v>8810</v>
      </c>
      <c r="C7286" s="2" t="s">
        <v>6647</v>
      </c>
      <c r="D7286" s="2" t="s">
        <v>10</v>
      </c>
      <c r="E7286" s="2" t="s">
        <v>16</v>
      </c>
      <c r="F7286" s="2">
        <v>2</v>
      </c>
      <c r="G7286" s="2" t="s">
        <v>12</v>
      </c>
    </row>
    <row r="7287" spans="1:7" x14ac:dyDescent="0.2">
      <c r="A7287" s="2" t="s">
        <v>8811</v>
      </c>
      <c r="B7287" s="2" t="s">
        <v>8812</v>
      </c>
      <c r="C7287" s="2" t="s">
        <v>8813</v>
      </c>
      <c r="D7287" s="2" t="s">
        <v>10</v>
      </c>
      <c r="E7287" s="2" t="s">
        <v>16</v>
      </c>
      <c r="F7287" s="2">
        <v>1</v>
      </c>
      <c r="G7287" s="2" t="s">
        <v>17</v>
      </c>
    </row>
    <row r="7288" spans="1:7" x14ac:dyDescent="0.2">
      <c r="A7288" s="2" t="s">
        <v>8814</v>
      </c>
      <c r="B7288" s="2" t="s">
        <v>8815</v>
      </c>
      <c r="C7288" s="2" t="s">
        <v>5291</v>
      </c>
      <c r="D7288" s="2" t="s">
        <v>10</v>
      </c>
      <c r="E7288" s="2" t="s">
        <v>16</v>
      </c>
      <c r="F7288" s="2">
        <v>1</v>
      </c>
      <c r="G7288" s="2" t="s">
        <v>17</v>
      </c>
    </row>
    <row r="7289" spans="1:7" x14ac:dyDescent="0.2">
      <c r="A7289" s="2" t="s">
        <v>8814</v>
      </c>
      <c r="B7289" s="2" t="s">
        <v>210</v>
      </c>
      <c r="C7289" s="2" t="s">
        <v>5291</v>
      </c>
      <c r="D7289" s="2" t="s">
        <v>10</v>
      </c>
      <c r="E7289" s="2" t="s">
        <v>16</v>
      </c>
      <c r="F7289" s="2">
        <v>1</v>
      </c>
      <c r="G7289" s="2" t="s">
        <v>17</v>
      </c>
    </row>
    <row r="7290" spans="1:7" x14ac:dyDescent="0.2">
      <c r="A7290" s="2" t="s">
        <v>8816</v>
      </c>
      <c r="B7290" s="2" t="s">
        <v>4452</v>
      </c>
      <c r="C7290" s="2" t="s">
        <v>4453</v>
      </c>
      <c r="D7290" s="2" t="s">
        <v>10</v>
      </c>
      <c r="E7290" s="2" t="s">
        <v>16</v>
      </c>
      <c r="F7290" s="2">
        <v>1</v>
      </c>
      <c r="G7290" s="2" t="s">
        <v>17</v>
      </c>
    </row>
    <row r="7291" spans="1:7" x14ac:dyDescent="0.2">
      <c r="A7291" s="2" t="s">
        <v>8816</v>
      </c>
      <c r="B7291" s="2" t="s">
        <v>1802</v>
      </c>
      <c r="C7291" s="2" t="s">
        <v>1803</v>
      </c>
      <c r="D7291" s="2" t="s">
        <v>10</v>
      </c>
      <c r="E7291" s="2" t="s">
        <v>16</v>
      </c>
      <c r="F7291" s="2">
        <v>1</v>
      </c>
      <c r="G7291" s="2" t="s">
        <v>17</v>
      </c>
    </row>
    <row r="7292" spans="1:7" x14ac:dyDescent="0.2">
      <c r="A7292" s="2" t="s">
        <v>8816</v>
      </c>
      <c r="B7292" s="2" t="s">
        <v>4465</v>
      </c>
      <c r="C7292" s="2" t="s">
        <v>4464</v>
      </c>
      <c r="D7292" s="2" t="s">
        <v>10</v>
      </c>
      <c r="E7292" s="2" t="s">
        <v>16</v>
      </c>
      <c r="F7292" s="2">
        <v>1</v>
      </c>
      <c r="G7292" s="2" t="s">
        <v>17</v>
      </c>
    </row>
    <row r="7293" spans="1:7" x14ac:dyDescent="0.2">
      <c r="A7293" s="2" t="s">
        <v>8816</v>
      </c>
      <c r="B7293" s="2" t="s">
        <v>4491</v>
      </c>
      <c r="C7293" s="2" t="s">
        <v>4453</v>
      </c>
      <c r="D7293" s="2" t="s">
        <v>10</v>
      </c>
      <c r="E7293" s="2" t="s">
        <v>16</v>
      </c>
      <c r="F7293" s="2">
        <v>1</v>
      </c>
      <c r="G7293" s="2" t="s">
        <v>17</v>
      </c>
    </row>
    <row r="7294" spans="1:7" x14ac:dyDescent="0.2">
      <c r="A7294" s="2" t="s">
        <v>8816</v>
      </c>
      <c r="B7294" s="2" t="s">
        <v>638</v>
      </c>
      <c r="C7294" s="2" t="s">
        <v>639</v>
      </c>
      <c r="D7294" s="2" t="s">
        <v>10</v>
      </c>
      <c r="E7294" s="2" t="s">
        <v>16</v>
      </c>
      <c r="F7294" s="2">
        <v>1</v>
      </c>
      <c r="G7294" s="2" t="s">
        <v>17</v>
      </c>
    </row>
    <row r="7295" spans="1:7" x14ac:dyDescent="0.2">
      <c r="A7295" s="2" t="s">
        <v>8816</v>
      </c>
      <c r="B7295" s="2" t="s">
        <v>675</v>
      </c>
      <c r="C7295" s="2" t="s">
        <v>639</v>
      </c>
      <c r="D7295" s="2" t="s">
        <v>10</v>
      </c>
      <c r="E7295" s="2" t="s">
        <v>16</v>
      </c>
      <c r="F7295" s="2">
        <v>1</v>
      </c>
      <c r="G7295" s="2" t="s">
        <v>17</v>
      </c>
    </row>
    <row r="7296" spans="1:7" x14ac:dyDescent="0.2">
      <c r="A7296" s="2" t="s">
        <v>8816</v>
      </c>
      <c r="B7296" s="2" t="s">
        <v>4505</v>
      </c>
      <c r="C7296" s="2" t="s">
        <v>4464</v>
      </c>
      <c r="D7296" s="2" t="s">
        <v>10</v>
      </c>
      <c r="E7296" s="2" t="s">
        <v>16</v>
      </c>
      <c r="F7296" s="2">
        <v>1</v>
      </c>
      <c r="G7296" s="2" t="s">
        <v>17</v>
      </c>
    </row>
    <row r="7297" spans="1:7" x14ac:dyDescent="0.2">
      <c r="A7297" s="2" t="s">
        <v>8817</v>
      </c>
      <c r="B7297" s="2" t="s">
        <v>1266</v>
      </c>
      <c r="C7297" s="2" t="s">
        <v>1267</v>
      </c>
      <c r="D7297" s="2" t="s">
        <v>10</v>
      </c>
      <c r="E7297" s="2" t="s">
        <v>16</v>
      </c>
      <c r="F7297" s="2">
        <v>1</v>
      </c>
      <c r="G7297" s="2" t="s">
        <v>17</v>
      </c>
    </row>
    <row r="7298" spans="1:7" x14ac:dyDescent="0.2">
      <c r="A7298" s="2" t="s">
        <v>8817</v>
      </c>
      <c r="B7298" s="2" t="s">
        <v>1268</v>
      </c>
      <c r="C7298" s="2" t="s">
        <v>1267</v>
      </c>
      <c r="D7298" s="2" t="s">
        <v>10</v>
      </c>
      <c r="E7298" s="2" t="s">
        <v>16</v>
      </c>
      <c r="F7298" s="2">
        <v>1</v>
      </c>
      <c r="G7298" s="2" t="s">
        <v>17</v>
      </c>
    </row>
    <row r="7299" spans="1:7" x14ac:dyDescent="0.2">
      <c r="A7299" s="2" t="s">
        <v>8817</v>
      </c>
      <c r="B7299" s="2" t="s">
        <v>1275</v>
      </c>
      <c r="C7299" s="2" t="s">
        <v>1267</v>
      </c>
      <c r="D7299" s="2" t="s">
        <v>10</v>
      </c>
      <c r="E7299" s="2" t="s">
        <v>16</v>
      </c>
      <c r="F7299" s="2">
        <v>1</v>
      </c>
      <c r="G7299" s="2" t="s">
        <v>17</v>
      </c>
    </row>
    <row r="7300" spans="1:7" x14ac:dyDescent="0.2">
      <c r="A7300" s="2" t="s">
        <v>8818</v>
      </c>
      <c r="B7300" s="2" t="s">
        <v>8819</v>
      </c>
      <c r="C7300" s="2" t="s">
        <v>8820</v>
      </c>
      <c r="D7300" s="2" t="s">
        <v>10</v>
      </c>
      <c r="E7300" s="2" t="s">
        <v>16</v>
      </c>
      <c r="F7300" s="2">
        <v>1</v>
      </c>
      <c r="G7300" s="2" t="s">
        <v>17</v>
      </c>
    </row>
    <row r="7301" spans="1:7" x14ac:dyDescent="0.2">
      <c r="A7301" s="2" t="s">
        <v>8821</v>
      </c>
      <c r="B7301" s="2" t="s">
        <v>8822</v>
      </c>
      <c r="C7301" s="2" t="s">
        <v>8823</v>
      </c>
      <c r="D7301" s="2" t="s">
        <v>10</v>
      </c>
      <c r="E7301" s="2" t="s">
        <v>16</v>
      </c>
      <c r="F7301" s="2">
        <v>2</v>
      </c>
      <c r="G7301" s="2" t="s">
        <v>17</v>
      </c>
    </row>
    <row r="7302" spans="1:7" x14ac:dyDescent="0.2">
      <c r="A7302" s="2" t="s">
        <v>8824</v>
      </c>
      <c r="B7302" s="2" t="s">
        <v>8825</v>
      </c>
      <c r="C7302" s="2" t="s">
        <v>8826</v>
      </c>
      <c r="D7302" s="2" t="s">
        <v>10</v>
      </c>
      <c r="E7302" s="2" t="s">
        <v>52</v>
      </c>
      <c r="F7302" s="2">
        <v>1</v>
      </c>
      <c r="G7302" s="2" t="s">
        <v>17</v>
      </c>
    </row>
    <row r="7303" spans="1:7" x14ac:dyDescent="0.2">
      <c r="A7303" s="2" t="s">
        <v>8827</v>
      </c>
      <c r="B7303" s="2" t="s">
        <v>8828</v>
      </c>
      <c r="C7303" s="2" t="s">
        <v>8829</v>
      </c>
      <c r="D7303" s="2" t="s">
        <v>10</v>
      </c>
      <c r="E7303" s="2" t="s">
        <v>16</v>
      </c>
      <c r="F7303" s="2">
        <v>1</v>
      </c>
      <c r="G7303" s="2" t="s">
        <v>17</v>
      </c>
    </row>
    <row r="7304" spans="1:7" x14ac:dyDescent="0.2">
      <c r="A7304" s="2" t="s">
        <v>8827</v>
      </c>
      <c r="B7304" s="2" t="s">
        <v>8830</v>
      </c>
      <c r="C7304" s="2" t="s">
        <v>8829</v>
      </c>
      <c r="D7304" s="2" t="s">
        <v>10</v>
      </c>
      <c r="E7304" s="2" t="s">
        <v>16</v>
      </c>
      <c r="F7304" s="2">
        <v>1</v>
      </c>
      <c r="G7304" s="2" t="s">
        <v>17</v>
      </c>
    </row>
    <row r="7305" spans="1:7" x14ac:dyDescent="0.2">
      <c r="A7305" s="2" t="s">
        <v>8831</v>
      </c>
      <c r="B7305" s="2" t="s">
        <v>8832</v>
      </c>
      <c r="C7305" s="2" t="s">
        <v>3570</v>
      </c>
      <c r="D7305" s="2" t="s">
        <v>10</v>
      </c>
      <c r="E7305" s="2" t="s">
        <v>52</v>
      </c>
      <c r="F7305" s="2">
        <v>2</v>
      </c>
      <c r="G7305" s="2" t="s">
        <v>17</v>
      </c>
    </row>
    <row r="7306" spans="1:7" x14ac:dyDescent="0.2">
      <c r="A7306" s="2" t="s">
        <v>8831</v>
      </c>
      <c r="B7306" s="2" t="s">
        <v>8833</v>
      </c>
      <c r="C7306" s="2" t="s">
        <v>3570</v>
      </c>
      <c r="D7306" s="2" t="s">
        <v>10</v>
      </c>
      <c r="E7306" s="2" t="s">
        <v>52</v>
      </c>
      <c r="F7306" s="2">
        <v>2</v>
      </c>
      <c r="G7306" s="2" t="s">
        <v>17</v>
      </c>
    </row>
    <row r="7307" spans="1:7" x14ac:dyDescent="0.2">
      <c r="A7307" s="2" t="s">
        <v>8834</v>
      </c>
      <c r="B7307" s="2" t="s">
        <v>8835</v>
      </c>
      <c r="C7307" s="2" t="s">
        <v>8836</v>
      </c>
      <c r="D7307" s="2" t="s">
        <v>10</v>
      </c>
      <c r="E7307" s="2" t="s">
        <v>16</v>
      </c>
      <c r="F7307" s="2">
        <v>1</v>
      </c>
      <c r="G7307" s="2" t="s">
        <v>17</v>
      </c>
    </row>
    <row r="7308" spans="1:7" x14ac:dyDescent="0.2">
      <c r="A7308" s="2" t="s">
        <v>8837</v>
      </c>
      <c r="B7308" s="2" t="s">
        <v>8838</v>
      </c>
      <c r="C7308" s="2" t="s">
        <v>4763</v>
      </c>
      <c r="D7308" s="2" t="s">
        <v>10</v>
      </c>
      <c r="E7308" s="2" t="s">
        <v>16</v>
      </c>
      <c r="F7308" s="2">
        <v>2</v>
      </c>
      <c r="G7308" s="2" t="s">
        <v>12</v>
      </c>
    </row>
    <row r="7309" spans="1:7" x14ac:dyDescent="0.2">
      <c r="A7309" s="2" t="s">
        <v>8837</v>
      </c>
      <c r="B7309" s="2" t="s">
        <v>8839</v>
      </c>
      <c r="C7309" s="2" t="s">
        <v>4763</v>
      </c>
      <c r="D7309" s="2" t="s">
        <v>10</v>
      </c>
      <c r="E7309" s="2" t="s">
        <v>16</v>
      </c>
      <c r="F7309" s="2">
        <v>2</v>
      </c>
      <c r="G7309" s="2" t="s">
        <v>12</v>
      </c>
    </row>
    <row r="7310" spans="1:7" x14ac:dyDescent="0.2">
      <c r="A7310" s="2" t="s">
        <v>8840</v>
      </c>
      <c r="B7310" s="2" t="s">
        <v>1314</v>
      </c>
      <c r="C7310" s="2" t="s">
        <v>1315</v>
      </c>
      <c r="D7310" s="2" t="s">
        <v>10</v>
      </c>
      <c r="E7310" s="2" t="s">
        <v>16</v>
      </c>
      <c r="F7310" s="2">
        <v>1</v>
      </c>
      <c r="G7310" s="2" t="s">
        <v>17</v>
      </c>
    </row>
    <row r="7311" spans="1:7" x14ac:dyDescent="0.2">
      <c r="A7311" s="2" t="s">
        <v>8841</v>
      </c>
      <c r="B7311" s="2" t="s">
        <v>5589</v>
      </c>
      <c r="C7311" s="2" t="s">
        <v>3165</v>
      </c>
      <c r="D7311" s="2" t="s">
        <v>10</v>
      </c>
      <c r="E7311" s="2" t="s">
        <v>16</v>
      </c>
      <c r="F7311" s="2">
        <v>1</v>
      </c>
      <c r="G7311" s="2" t="s">
        <v>17</v>
      </c>
    </row>
    <row r="7312" spans="1:7" x14ac:dyDescent="0.2">
      <c r="A7312" s="2" t="s">
        <v>8841</v>
      </c>
      <c r="B7312" s="2" t="s">
        <v>4960</v>
      </c>
      <c r="C7312" s="2" t="s">
        <v>3165</v>
      </c>
      <c r="D7312" s="2" t="s">
        <v>10</v>
      </c>
      <c r="E7312" s="2" t="s">
        <v>16</v>
      </c>
      <c r="F7312" s="2">
        <v>1</v>
      </c>
      <c r="G7312" s="2" t="s">
        <v>17</v>
      </c>
    </row>
    <row r="7313" spans="1:7" x14ac:dyDescent="0.2">
      <c r="A7313" s="2" t="s">
        <v>8842</v>
      </c>
      <c r="B7313" s="2" t="s">
        <v>8843</v>
      </c>
      <c r="C7313" s="2" t="s">
        <v>8844</v>
      </c>
      <c r="D7313" s="2" t="s">
        <v>10</v>
      </c>
      <c r="E7313" s="2" t="s">
        <v>16</v>
      </c>
      <c r="F7313" s="2">
        <v>1</v>
      </c>
      <c r="G7313" s="2" t="s">
        <v>17</v>
      </c>
    </row>
    <row r="7314" spans="1:7" x14ac:dyDescent="0.2">
      <c r="A7314" s="2" t="s">
        <v>8845</v>
      </c>
      <c r="B7314" s="2">
        <v>10</v>
      </c>
      <c r="C7314" s="2" t="s">
        <v>8846</v>
      </c>
      <c r="D7314" s="2" t="s">
        <v>29</v>
      </c>
      <c r="E7314" s="2" t="s">
        <v>16</v>
      </c>
      <c r="F7314" s="2">
        <v>1</v>
      </c>
      <c r="G7314" s="2" t="s">
        <v>17</v>
      </c>
    </row>
    <row r="7315" spans="1:7" x14ac:dyDescent="0.2">
      <c r="A7315" s="2" t="s">
        <v>8845</v>
      </c>
      <c r="B7315" s="2" t="s">
        <v>8847</v>
      </c>
      <c r="C7315" s="2" t="s">
        <v>8848</v>
      </c>
      <c r="D7315" s="2" t="s">
        <v>29</v>
      </c>
      <c r="E7315" s="2" t="s">
        <v>16</v>
      </c>
      <c r="F7315" s="2">
        <v>2</v>
      </c>
      <c r="G7315" s="2" t="s">
        <v>17</v>
      </c>
    </row>
    <row r="7316" spans="1:7" x14ac:dyDescent="0.2">
      <c r="A7316" s="2" t="s">
        <v>8849</v>
      </c>
      <c r="B7316" s="2" t="s">
        <v>204</v>
      </c>
      <c r="C7316" s="2" t="s">
        <v>205</v>
      </c>
      <c r="D7316" s="2" t="s">
        <v>10</v>
      </c>
      <c r="E7316" s="2" t="s">
        <v>16</v>
      </c>
      <c r="F7316" s="2">
        <v>1</v>
      </c>
      <c r="G7316" s="2" t="s">
        <v>17</v>
      </c>
    </row>
    <row r="7317" spans="1:7" x14ac:dyDescent="0.2">
      <c r="A7317" s="2" t="s">
        <v>8849</v>
      </c>
      <c r="B7317" s="2" t="s">
        <v>8850</v>
      </c>
      <c r="C7317" s="2" t="s">
        <v>205</v>
      </c>
      <c r="D7317" s="2" t="s">
        <v>10</v>
      </c>
      <c r="E7317" s="2" t="s">
        <v>16</v>
      </c>
      <c r="F7317" s="2">
        <v>1</v>
      </c>
      <c r="G7317" s="2" t="s">
        <v>17</v>
      </c>
    </row>
    <row r="7318" spans="1:7" x14ac:dyDescent="0.2">
      <c r="A7318" s="2" t="s">
        <v>8849</v>
      </c>
      <c r="B7318" s="2" t="s">
        <v>8851</v>
      </c>
      <c r="C7318" s="2" t="s">
        <v>8852</v>
      </c>
      <c r="D7318" s="2" t="s">
        <v>10</v>
      </c>
      <c r="E7318" s="2" t="s">
        <v>16</v>
      </c>
      <c r="F7318" s="2">
        <v>1</v>
      </c>
      <c r="G7318" s="2" t="s">
        <v>17</v>
      </c>
    </row>
    <row r="7319" spans="1:7" x14ac:dyDescent="0.2">
      <c r="A7319" s="2" t="s">
        <v>8849</v>
      </c>
      <c r="B7319" s="2" t="s">
        <v>216</v>
      </c>
      <c r="C7319" s="2" t="s">
        <v>205</v>
      </c>
      <c r="D7319" s="2" t="s">
        <v>10</v>
      </c>
      <c r="E7319" s="2" t="s">
        <v>16</v>
      </c>
      <c r="F7319" s="2">
        <v>1</v>
      </c>
      <c r="G7319" s="2" t="s">
        <v>17</v>
      </c>
    </row>
    <row r="7320" spans="1:7" x14ac:dyDescent="0.2">
      <c r="A7320" s="2" t="s">
        <v>8849</v>
      </c>
      <c r="B7320" s="2" t="s">
        <v>8853</v>
      </c>
      <c r="C7320" s="2" t="s">
        <v>8852</v>
      </c>
      <c r="D7320" s="2" t="s">
        <v>10</v>
      </c>
      <c r="E7320" s="2" t="s">
        <v>16</v>
      </c>
      <c r="F7320" s="2">
        <v>1</v>
      </c>
      <c r="G7320" s="2" t="s">
        <v>17</v>
      </c>
    </row>
    <row r="7321" spans="1:7" x14ac:dyDescent="0.2">
      <c r="A7321" s="2" t="s">
        <v>8854</v>
      </c>
      <c r="B7321" s="2" t="s">
        <v>1940</v>
      </c>
      <c r="C7321" s="2" t="s">
        <v>1941</v>
      </c>
      <c r="D7321" s="2" t="s">
        <v>10</v>
      </c>
      <c r="E7321" s="2" t="s">
        <v>16</v>
      </c>
      <c r="F7321" s="2">
        <v>1</v>
      </c>
      <c r="G7321" s="2" t="s">
        <v>17</v>
      </c>
    </row>
    <row r="7322" spans="1:7" x14ac:dyDescent="0.2">
      <c r="A7322" s="2" t="s">
        <v>8854</v>
      </c>
      <c r="B7322" s="2" t="s">
        <v>8855</v>
      </c>
      <c r="C7322" s="2" t="s">
        <v>1946</v>
      </c>
      <c r="D7322" s="2" t="s">
        <v>10</v>
      </c>
      <c r="E7322" s="2" t="s">
        <v>16</v>
      </c>
      <c r="F7322" s="2">
        <v>1</v>
      </c>
      <c r="G7322" s="2" t="s">
        <v>17</v>
      </c>
    </row>
    <row r="7323" spans="1:7" x14ac:dyDescent="0.2">
      <c r="A7323" s="2" t="s">
        <v>8854</v>
      </c>
      <c r="B7323" s="2" t="s">
        <v>8856</v>
      </c>
      <c r="C7323" s="2" t="s">
        <v>8857</v>
      </c>
      <c r="D7323" s="2" t="s">
        <v>10</v>
      </c>
      <c r="E7323" s="2" t="s">
        <v>16</v>
      </c>
      <c r="F7323" s="2">
        <v>1</v>
      </c>
      <c r="G7323" s="2" t="s">
        <v>17</v>
      </c>
    </row>
    <row r="7324" spans="1:7" x14ac:dyDescent="0.2">
      <c r="A7324" s="2" t="s">
        <v>8854</v>
      </c>
      <c r="B7324" s="2" t="s">
        <v>8858</v>
      </c>
      <c r="C7324" s="2" t="s">
        <v>8859</v>
      </c>
      <c r="D7324" s="2" t="s">
        <v>64</v>
      </c>
      <c r="E7324" s="2" t="s">
        <v>16</v>
      </c>
      <c r="F7324" s="2">
        <v>1</v>
      </c>
      <c r="G7324" s="2" t="s">
        <v>17</v>
      </c>
    </row>
    <row r="7325" spans="1:7" x14ac:dyDescent="0.2">
      <c r="A7325" s="2" t="s">
        <v>8854</v>
      </c>
      <c r="B7325" s="2" t="s">
        <v>8860</v>
      </c>
      <c r="C7325" s="2" t="s">
        <v>8857</v>
      </c>
      <c r="D7325" s="2" t="s">
        <v>10</v>
      </c>
      <c r="E7325" s="2" t="s">
        <v>16</v>
      </c>
      <c r="F7325" s="2">
        <v>1</v>
      </c>
      <c r="G7325" s="2" t="s">
        <v>17</v>
      </c>
    </row>
    <row r="7326" spans="1:7" x14ac:dyDescent="0.2">
      <c r="A7326" s="2" t="s">
        <v>8854</v>
      </c>
      <c r="B7326" s="2" t="s">
        <v>1942</v>
      </c>
      <c r="C7326" s="2" t="s">
        <v>1943</v>
      </c>
      <c r="D7326" s="2" t="s">
        <v>10</v>
      </c>
      <c r="E7326" s="2" t="s">
        <v>16</v>
      </c>
      <c r="F7326" s="2">
        <v>1</v>
      </c>
      <c r="G7326" s="2" t="s">
        <v>17</v>
      </c>
    </row>
    <row r="7327" spans="1:7" x14ac:dyDescent="0.2">
      <c r="A7327" s="2" t="s">
        <v>8854</v>
      </c>
      <c r="B7327" s="2" t="s">
        <v>1944</v>
      </c>
      <c r="C7327" s="2" t="s">
        <v>1941</v>
      </c>
      <c r="D7327" s="2" t="s">
        <v>10</v>
      </c>
      <c r="E7327" s="2" t="s">
        <v>16</v>
      </c>
      <c r="F7327" s="2">
        <v>1</v>
      </c>
      <c r="G7327" s="2" t="s">
        <v>17</v>
      </c>
    </row>
    <row r="7328" spans="1:7" x14ac:dyDescent="0.2">
      <c r="A7328" s="2" t="s">
        <v>8854</v>
      </c>
      <c r="B7328" s="2" t="s">
        <v>8861</v>
      </c>
      <c r="C7328" s="2" t="s">
        <v>1946</v>
      </c>
      <c r="D7328" s="2" t="s">
        <v>10</v>
      </c>
      <c r="E7328" s="2" t="s">
        <v>16</v>
      </c>
      <c r="F7328" s="2">
        <v>1</v>
      </c>
      <c r="G7328" s="2" t="s">
        <v>17</v>
      </c>
    </row>
    <row r="7329" spans="1:7" x14ac:dyDescent="0.2">
      <c r="A7329" s="2" t="s">
        <v>8854</v>
      </c>
      <c r="B7329" s="2" t="s">
        <v>8862</v>
      </c>
      <c r="C7329" s="2" t="s">
        <v>1946</v>
      </c>
      <c r="D7329" s="2" t="s">
        <v>10</v>
      </c>
      <c r="E7329" s="2" t="s">
        <v>16</v>
      </c>
      <c r="F7329" s="2">
        <v>1</v>
      </c>
      <c r="G7329" s="2" t="s">
        <v>17</v>
      </c>
    </row>
    <row r="7330" spans="1:7" x14ac:dyDescent="0.2">
      <c r="A7330" s="2" t="s">
        <v>8854</v>
      </c>
      <c r="B7330" s="2" t="s">
        <v>8863</v>
      </c>
      <c r="C7330" s="2" t="s">
        <v>8864</v>
      </c>
      <c r="D7330" s="2" t="s">
        <v>10</v>
      </c>
      <c r="E7330" s="2" t="s">
        <v>16</v>
      </c>
      <c r="F7330" s="2">
        <v>2</v>
      </c>
      <c r="G7330" s="2" t="s">
        <v>17</v>
      </c>
    </row>
    <row r="7331" spans="1:7" x14ac:dyDescent="0.2">
      <c r="A7331" s="2" t="s">
        <v>8865</v>
      </c>
      <c r="B7331" s="2" t="s">
        <v>8866</v>
      </c>
      <c r="C7331" s="2" t="s">
        <v>8867</v>
      </c>
      <c r="D7331" s="2" t="s">
        <v>29</v>
      </c>
      <c r="E7331" s="2" t="s">
        <v>16</v>
      </c>
      <c r="F7331" s="2">
        <v>1</v>
      </c>
      <c r="G7331" s="2" t="s">
        <v>17</v>
      </c>
    </row>
    <row r="7332" spans="1:7" x14ac:dyDescent="0.2">
      <c r="A7332" s="2" t="s">
        <v>8865</v>
      </c>
      <c r="B7332" s="2" t="s">
        <v>8868</v>
      </c>
      <c r="C7332" s="2" t="s">
        <v>8869</v>
      </c>
      <c r="D7332" s="2" t="s">
        <v>10</v>
      </c>
      <c r="E7332" s="2" t="s">
        <v>16</v>
      </c>
      <c r="F7332" s="2">
        <v>1</v>
      </c>
      <c r="G7332" s="2" t="s">
        <v>17</v>
      </c>
    </row>
    <row r="7333" spans="1:7" x14ac:dyDescent="0.2">
      <c r="A7333" s="2" t="s">
        <v>8865</v>
      </c>
      <c r="B7333" s="2" t="s">
        <v>8870</v>
      </c>
      <c r="C7333" s="2" t="s">
        <v>8867</v>
      </c>
      <c r="D7333" s="2" t="s">
        <v>29</v>
      </c>
      <c r="E7333" s="2" t="s">
        <v>16</v>
      </c>
      <c r="F7333" s="2">
        <v>1</v>
      </c>
      <c r="G7333" s="2" t="s">
        <v>17</v>
      </c>
    </row>
    <row r="7334" spans="1:7" x14ac:dyDescent="0.2">
      <c r="A7334" s="2" t="s">
        <v>8871</v>
      </c>
      <c r="B7334" s="2" t="s">
        <v>8872</v>
      </c>
      <c r="C7334" s="2" t="s">
        <v>8873</v>
      </c>
      <c r="D7334" s="2" t="s">
        <v>10</v>
      </c>
      <c r="E7334" s="2" t="s">
        <v>16</v>
      </c>
      <c r="F7334" s="2">
        <v>1</v>
      </c>
      <c r="G7334" s="2" t="s">
        <v>17</v>
      </c>
    </row>
    <row r="7335" spans="1:7" x14ac:dyDescent="0.2">
      <c r="A7335" s="2" t="s">
        <v>8871</v>
      </c>
      <c r="B7335" s="2" t="s">
        <v>8874</v>
      </c>
      <c r="C7335" s="2" t="s">
        <v>8875</v>
      </c>
      <c r="D7335" s="2" t="s">
        <v>10</v>
      </c>
      <c r="E7335" s="2" t="s">
        <v>16</v>
      </c>
      <c r="F7335" s="2">
        <v>1</v>
      </c>
      <c r="G7335" s="2" t="s">
        <v>17</v>
      </c>
    </row>
    <row r="7336" spans="1:7" x14ac:dyDescent="0.2">
      <c r="A7336" s="2" t="s">
        <v>8876</v>
      </c>
      <c r="B7336" s="2" t="s">
        <v>7493</v>
      </c>
      <c r="C7336" s="2" t="s">
        <v>6646</v>
      </c>
      <c r="D7336" s="2" t="s">
        <v>10</v>
      </c>
      <c r="E7336" s="2" t="s">
        <v>16</v>
      </c>
      <c r="F7336" s="2">
        <v>2</v>
      </c>
      <c r="G7336" s="2" t="s">
        <v>12</v>
      </c>
    </row>
    <row r="7337" spans="1:7" x14ac:dyDescent="0.2">
      <c r="A7337" s="2" t="s">
        <v>8876</v>
      </c>
      <c r="B7337" s="2" t="s">
        <v>5804</v>
      </c>
      <c r="C7337" s="2" t="s">
        <v>6304</v>
      </c>
      <c r="D7337" s="2" t="s">
        <v>10</v>
      </c>
      <c r="E7337" s="2" t="s">
        <v>16</v>
      </c>
      <c r="F7337" s="2">
        <v>1</v>
      </c>
      <c r="G7337" s="2" t="s">
        <v>17</v>
      </c>
    </row>
    <row r="7338" spans="1:7" x14ac:dyDescent="0.2">
      <c r="A7338" s="2" t="s">
        <v>8876</v>
      </c>
      <c r="B7338" s="2" t="s">
        <v>8877</v>
      </c>
      <c r="C7338" s="2" t="s">
        <v>6304</v>
      </c>
      <c r="D7338" s="2" t="s">
        <v>10</v>
      </c>
      <c r="E7338" s="2" t="s">
        <v>16</v>
      </c>
      <c r="F7338" s="2">
        <v>1</v>
      </c>
      <c r="G7338" s="2" t="s">
        <v>17</v>
      </c>
    </row>
    <row r="7339" spans="1:7" x14ac:dyDescent="0.2">
      <c r="A7339" s="2" t="s">
        <v>8878</v>
      </c>
      <c r="B7339" s="2" t="s">
        <v>8879</v>
      </c>
      <c r="C7339" s="2" t="s">
        <v>4596</v>
      </c>
      <c r="D7339" s="2" t="s">
        <v>10</v>
      </c>
      <c r="E7339" s="2" t="s">
        <v>16</v>
      </c>
      <c r="F7339" s="2">
        <v>1</v>
      </c>
      <c r="G7339" s="2" t="s">
        <v>17</v>
      </c>
    </row>
    <row r="7340" spans="1:7" x14ac:dyDescent="0.2">
      <c r="A7340" s="2" t="s">
        <v>8880</v>
      </c>
      <c r="B7340" s="2" t="s">
        <v>8881</v>
      </c>
      <c r="C7340" s="2" t="s">
        <v>8882</v>
      </c>
      <c r="D7340" s="2" t="s">
        <v>10</v>
      </c>
      <c r="E7340" s="2" t="s">
        <v>52</v>
      </c>
      <c r="F7340" s="2">
        <v>1</v>
      </c>
      <c r="G7340" s="2" t="s">
        <v>17</v>
      </c>
    </row>
    <row r="7341" spans="1:7" x14ac:dyDescent="0.2">
      <c r="A7341" s="2" t="s">
        <v>8880</v>
      </c>
      <c r="B7341" s="2" t="s">
        <v>764</v>
      </c>
      <c r="C7341" s="2" t="s">
        <v>765</v>
      </c>
      <c r="D7341" s="2" t="s">
        <v>10</v>
      </c>
      <c r="E7341" s="2" t="s">
        <v>16</v>
      </c>
      <c r="F7341" s="2">
        <v>1</v>
      </c>
      <c r="G7341" s="2" t="s">
        <v>17</v>
      </c>
    </row>
    <row r="7342" spans="1:7" x14ac:dyDescent="0.2">
      <c r="A7342" s="2" t="s">
        <v>8880</v>
      </c>
      <c r="B7342" s="2" t="s">
        <v>8599</v>
      </c>
      <c r="C7342" s="2" t="s">
        <v>8600</v>
      </c>
      <c r="D7342" s="2" t="s">
        <v>10</v>
      </c>
      <c r="E7342" s="2" t="s">
        <v>52</v>
      </c>
      <c r="F7342" s="2">
        <v>1</v>
      </c>
      <c r="G7342" s="2" t="s">
        <v>17</v>
      </c>
    </row>
    <row r="7343" spans="1:7" x14ac:dyDescent="0.2">
      <c r="A7343" s="2" t="s">
        <v>8880</v>
      </c>
      <c r="B7343" s="2" t="s">
        <v>766</v>
      </c>
      <c r="C7343" s="2" t="s">
        <v>765</v>
      </c>
      <c r="D7343" s="2" t="s">
        <v>10</v>
      </c>
      <c r="E7343" s="2" t="s">
        <v>16</v>
      </c>
      <c r="F7343" s="2">
        <v>1</v>
      </c>
      <c r="G7343" s="2" t="s">
        <v>17</v>
      </c>
    </row>
    <row r="7344" spans="1:7" x14ac:dyDescent="0.2">
      <c r="A7344" s="2" t="s">
        <v>8880</v>
      </c>
      <c r="B7344" s="2" t="s">
        <v>1034</v>
      </c>
      <c r="C7344" s="2" t="s">
        <v>1035</v>
      </c>
      <c r="D7344" s="2" t="s">
        <v>10</v>
      </c>
      <c r="E7344" s="2" t="s">
        <v>16</v>
      </c>
      <c r="F7344" s="2">
        <v>1</v>
      </c>
      <c r="G7344" s="2" t="s">
        <v>17</v>
      </c>
    </row>
    <row r="7345" spans="1:7" x14ac:dyDescent="0.2">
      <c r="A7345" s="2" t="s">
        <v>8880</v>
      </c>
      <c r="B7345" s="2" t="s">
        <v>5720</v>
      </c>
      <c r="C7345" s="2" t="s">
        <v>5716</v>
      </c>
      <c r="D7345" s="2" t="s">
        <v>10</v>
      </c>
      <c r="E7345" s="2" t="s">
        <v>16</v>
      </c>
      <c r="F7345" s="2">
        <v>1</v>
      </c>
      <c r="G7345" s="2" t="s">
        <v>17</v>
      </c>
    </row>
    <row r="7346" spans="1:7" x14ac:dyDescent="0.2">
      <c r="A7346" s="2" t="s">
        <v>8880</v>
      </c>
      <c r="B7346" s="2" t="s">
        <v>5721</v>
      </c>
      <c r="C7346" s="2" t="s">
        <v>5716</v>
      </c>
      <c r="D7346" s="2" t="s">
        <v>10</v>
      </c>
      <c r="E7346" s="2" t="s">
        <v>16</v>
      </c>
      <c r="F7346" s="2">
        <v>1</v>
      </c>
      <c r="G7346" s="2" t="s">
        <v>17</v>
      </c>
    </row>
    <row r="7347" spans="1:7" x14ac:dyDescent="0.2">
      <c r="A7347" s="2" t="s">
        <v>8880</v>
      </c>
      <c r="B7347" s="2" t="s">
        <v>8883</v>
      </c>
      <c r="C7347" s="2" t="s">
        <v>8882</v>
      </c>
      <c r="D7347" s="2" t="s">
        <v>10</v>
      </c>
      <c r="E7347" s="2" t="s">
        <v>52</v>
      </c>
      <c r="F7347" s="2">
        <v>1</v>
      </c>
      <c r="G7347" s="2" t="s">
        <v>17</v>
      </c>
    </row>
    <row r="7348" spans="1:7" x14ac:dyDescent="0.2">
      <c r="A7348" s="2" t="s">
        <v>8880</v>
      </c>
      <c r="B7348" s="2" t="s">
        <v>8884</v>
      </c>
      <c r="C7348" s="2" t="s">
        <v>8882</v>
      </c>
      <c r="D7348" s="2" t="s">
        <v>10</v>
      </c>
      <c r="E7348" s="2" t="s">
        <v>52</v>
      </c>
      <c r="F7348" s="2">
        <v>1</v>
      </c>
      <c r="G7348" s="2" t="s">
        <v>17</v>
      </c>
    </row>
    <row r="7349" spans="1:7" x14ac:dyDescent="0.2">
      <c r="A7349" s="2" t="s">
        <v>8880</v>
      </c>
      <c r="B7349" s="2" t="s">
        <v>8885</v>
      </c>
      <c r="C7349" s="2" t="s">
        <v>765</v>
      </c>
      <c r="D7349" s="2" t="s">
        <v>10</v>
      </c>
      <c r="E7349" s="2" t="s">
        <v>16</v>
      </c>
      <c r="F7349" s="2">
        <v>1</v>
      </c>
      <c r="G7349" s="2" t="s">
        <v>17</v>
      </c>
    </row>
    <row r="7350" spans="1:7" x14ac:dyDescent="0.2">
      <c r="A7350" s="2" t="s">
        <v>8880</v>
      </c>
      <c r="B7350" s="2" t="s">
        <v>8886</v>
      </c>
      <c r="C7350" s="2" t="s">
        <v>765</v>
      </c>
      <c r="D7350" s="2" t="s">
        <v>10</v>
      </c>
      <c r="E7350" s="2" t="s">
        <v>16</v>
      </c>
      <c r="F7350" s="2">
        <v>1</v>
      </c>
      <c r="G7350" s="2" t="s">
        <v>17</v>
      </c>
    </row>
    <row r="7351" spans="1:7" x14ac:dyDescent="0.2">
      <c r="A7351" s="2" t="s">
        <v>8887</v>
      </c>
      <c r="B7351" s="2" t="s">
        <v>5804</v>
      </c>
      <c r="C7351" s="2" t="s">
        <v>6304</v>
      </c>
      <c r="D7351" s="2" t="s">
        <v>10</v>
      </c>
      <c r="E7351" s="2" t="s">
        <v>16</v>
      </c>
      <c r="F7351" s="2">
        <v>1</v>
      </c>
      <c r="G7351" s="2" t="s">
        <v>17</v>
      </c>
    </row>
    <row r="7352" spans="1:7" x14ac:dyDescent="0.2">
      <c r="A7352" s="2" t="s">
        <v>8887</v>
      </c>
      <c r="B7352" s="2" t="s">
        <v>8877</v>
      </c>
      <c r="C7352" s="2" t="s">
        <v>6304</v>
      </c>
      <c r="D7352" s="2" t="s">
        <v>10</v>
      </c>
      <c r="E7352" s="2" t="s">
        <v>16</v>
      </c>
      <c r="F7352" s="2">
        <v>1</v>
      </c>
      <c r="G7352" s="2" t="s">
        <v>17</v>
      </c>
    </row>
    <row r="7353" spans="1:7" x14ac:dyDescent="0.2">
      <c r="A7353" s="2" t="s">
        <v>8887</v>
      </c>
      <c r="B7353" s="2" t="s">
        <v>8888</v>
      </c>
      <c r="C7353" s="2" t="s">
        <v>8889</v>
      </c>
      <c r="D7353" s="2" t="s">
        <v>10</v>
      </c>
      <c r="E7353" s="2" t="s">
        <v>16</v>
      </c>
      <c r="F7353" s="2">
        <v>2</v>
      </c>
      <c r="G7353" s="2" t="s">
        <v>17</v>
      </c>
    </row>
    <row r="7354" spans="1:7" x14ac:dyDescent="0.2">
      <c r="A7354" s="2" t="s">
        <v>8890</v>
      </c>
      <c r="B7354" s="2" t="s">
        <v>2010</v>
      </c>
      <c r="C7354" s="2" t="s">
        <v>2009</v>
      </c>
      <c r="D7354" s="2" t="s">
        <v>10</v>
      </c>
      <c r="E7354" s="2" t="s">
        <v>16</v>
      </c>
      <c r="F7354" s="2">
        <v>2</v>
      </c>
      <c r="G7354" s="2" t="s">
        <v>17</v>
      </c>
    </row>
    <row r="7355" spans="1:7" x14ac:dyDescent="0.2">
      <c r="A7355" s="2" t="s">
        <v>8890</v>
      </c>
      <c r="B7355" s="2" t="s">
        <v>2012</v>
      </c>
      <c r="C7355" s="2" t="s">
        <v>2009</v>
      </c>
      <c r="D7355" s="2" t="s">
        <v>10</v>
      </c>
      <c r="E7355" s="2" t="s">
        <v>16</v>
      </c>
      <c r="F7355" s="2">
        <v>2</v>
      </c>
      <c r="G7355" s="2" t="s">
        <v>17</v>
      </c>
    </row>
    <row r="7356" spans="1:7" x14ac:dyDescent="0.2">
      <c r="A7356" s="2" t="s">
        <v>8890</v>
      </c>
      <c r="B7356" s="2" t="s">
        <v>2976</v>
      </c>
      <c r="C7356" s="2" t="s">
        <v>2977</v>
      </c>
      <c r="D7356" s="2" t="s">
        <v>56</v>
      </c>
      <c r="E7356" s="2" t="s">
        <v>52</v>
      </c>
      <c r="F7356" s="2">
        <v>2</v>
      </c>
      <c r="G7356" s="2" t="s">
        <v>17</v>
      </c>
    </row>
    <row r="7357" spans="1:7" x14ac:dyDescent="0.2">
      <c r="A7357" s="2" t="s">
        <v>8890</v>
      </c>
      <c r="B7357" s="2" t="s">
        <v>2013</v>
      </c>
      <c r="C7357" s="2" t="s">
        <v>2009</v>
      </c>
      <c r="D7357" s="2" t="s">
        <v>10</v>
      </c>
      <c r="E7357" s="2" t="s">
        <v>16</v>
      </c>
      <c r="F7357" s="2">
        <v>2</v>
      </c>
      <c r="G7357" s="2" t="s">
        <v>17</v>
      </c>
    </row>
    <row r="7358" spans="1:7" x14ac:dyDescent="0.2">
      <c r="A7358" s="2" t="s">
        <v>8890</v>
      </c>
      <c r="B7358" s="2" t="s">
        <v>7436</v>
      </c>
      <c r="C7358" s="2" t="s">
        <v>7437</v>
      </c>
      <c r="D7358" s="2" t="s">
        <v>10</v>
      </c>
      <c r="E7358" s="2" t="s">
        <v>16</v>
      </c>
      <c r="F7358" s="2">
        <v>1</v>
      </c>
      <c r="G7358" s="2" t="s">
        <v>17</v>
      </c>
    </row>
    <row r="7359" spans="1:7" x14ac:dyDescent="0.2">
      <c r="A7359" s="2" t="s">
        <v>8890</v>
      </c>
      <c r="B7359" s="2" t="s">
        <v>7443</v>
      </c>
      <c r="C7359" s="2" t="s">
        <v>7444</v>
      </c>
      <c r="D7359" s="2" t="s">
        <v>10</v>
      </c>
      <c r="E7359" s="2" t="s">
        <v>16</v>
      </c>
      <c r="F7359" s="2">
        <v>1</v>
      </c>
      <c r="G7359" s="2" t="s">
        <v>17</v>
      </c>
    </row>
    <row r="7360" spans="1:7" x14ac:dyDescent="0.2">
      <c r="A7360" s="2" t="s">
        <v>8890</v>
      </c>
      <c r="B7360" s="2" t="s">
        <v>8891</v>
      </c>
      <c r="C7360" s="2" t="s">
        <v>8892</v>
      </c>
      <c r="D7360" s="2" t="s">
        <v>10</v>
      </c>
      <c r="E7360" s="2" t="s">
        <v>11</v>
      </c>
      <c r="F7360" s="2">
        <v>1</v>
      </c>
      <c r="G7360" s="2" t="s">
        <v>17</v>
      </c>
    </row>
    <row r="7361" spans="1:7" x14ac:dyDescent="0.2">
      <c r="A7361" s="2" t="s">
        <v>8890</v>
      </c>
      <c r="B7361" s="2" t="s">
        <v>168</v>
      </c>
      <c r="C7361" s="2" t="s">
        <v>169</v>
      </c>
      <c r="D7361" s="2" t="s">
        <v>10</v>
      </c>
      <c r="E7361" s="2" t="s">
        <v>52</v>
      </c>
      <c r="F7361" s="2">
        <v>1</v>
      </c>
      <c r="G7361" s="2" t="s">
        <v>17</v>
      </c>
    </row>
    <row r="7362" spans="1:7" x14ac:dyDescent="0.2">
      <c r="A7362" s="2" t="s">
        <v>8893</v>
      </c>
      <c r="B7362" s="2" t="s">
        <v>7436</v>
      </c>
      <c r="C7362" s="2" t="s">
        <v>7437</v>
      </c>
      <c r="D7362" s="2" t="s">
        <v>10</v>
      </c>
      <c r="E7362" s="2" t="s">
        <v>16</v>
      </c>
      <c r="F7362" s="2">
        <v>1</v>
      </c>
      <c r="G7362" s="2" t="s">
        <v>17</v>
      </c>
    </row>
    <row r="7363" spans="1:7" x14ac:dyDescent="0.2">
      <c r="A7363" s="2" t="s">
        <v>8893</v>
      </c>
      <c r="B7363" s="2" t="s">
        <v>7441</v>
      </c>
      <c r="C7363" s="2" t="s">
        <v>7439</v>
      </c>
      <c r="D7363" s="2" t="s">
        <v>10</v>
      </c>
      <c r="E7363" s="2" t="s">
        <v>16</v>
      </c>
      <c r="F7363" s="2">
        <v>1</v>
      </c>
      <c r="G7363" s="2" t="s">
        <v>17</v>
      </c>
    </row>
    <row r="7364" spans="1:7" x14ac:dyDescent="0.2">
      <c r="A7364" s="2" t="s">
        <v>8893</v>
      </c>
      <c r="B7364" s="2" t="s">
        <v>7443</v>
      </c>
      <c r="C7364" s="2" t="s">
        <v>7444</v>
      </c>
      <c r="D7364" s="2" t="s">
        <v>10</v>
      </c>
      <c r="E7364" s="2" t="s">
        <v>16</v>
      </c>
      <c r="F7364" s="2">
        <v>1</v>
      </c>
      <c r="G7364" s="2" t="s">
        <v>17</v>
      </c>
    </row>
    <row r="7365" spans="1:7" x14ac:dyDescent="0.2">
      <c r="A7365" s="2" t="s">
        <v>8894</v>
      </c>
      <c r="B7365" s="2" t="s">
        <v>8895</v>
      </c>
      <c r="C7365" s="2" t="s">
        <v>8896</v>
      </c>
      <c r="D7365" s="2" t="s">
        <v>10</v>
      </c>
      <c r="E7365" s="2" t="s">
        <v>16</v>
      </c>
      <c r="F7365" s="2">
        <v>1</v>
      </c>
      <c r="G7365" s="2" t="s">
        <v>17</v>
      </c>
    </row>
    <row r="7366" spans="1:7" x14ac:dyDescent="0.2">
      <c r="A7366" s="2" t="s">
        <v>8894</v>
      </c>
      <c r="B7366" s="2" t="s">
        <v>8897</v>
      </c>
      <c r="C7366" s="2" t="s">
        <v>8896</v>
      </c>
      <c r="D7366" s="2" t="s">
        <v>10</v>
      </c>
      <c r="E7366" s="2" t="s">
        <v>16</v>
      </c>
      <c r="F7366" s="2">
        <v>1</v>
      </c>
      <c r="G7366" s="2" t="s">
        <v>17</v>
      </c>
    </row>
    <row r="7367" spans="1:7" x14ac:dyDescent="0.2">
      <c r="A7367" s="2" t="s">
        <v>8894</v>
      </c>
      <c r="B7367" s="2" t="s">
        <v>8898</v>
      </c>
      <c r="C7367" s="2" t="s">
        <v>8896</v>
      </c>
      <c r="D7367" s="2" t="s">
        <v>10</v>
      </c>
      <c r="E7367" s="2" t="s">
        <v>16</v>
      </c>
      <c r="F7367" s="2">
        <v>1</v>
      </c>
      <c r="G7367" s="2" t="s">
        <v>17</v>
      </c>
    </row>
    <row r="7368" spans="1:7" x14ac:dyDescent="0.2">
      <c r="A7368" s="2" t="s">
        <v>8894</v>
      </c>
      <c r="B7368" s="2" t="s">
        <v>3917</v>
      </c>
      <c r="C7368" s="2" t="s">
        <v>3911</v>
      </c>
      <c r="D7368" s="2" t="s">
        <v>10</v>
      </c>
      <c r="E7368" s="2" t="s">
        <v>11</v>
      </c>
      <c r="F7368" s="2">
        <v>1</v>
      </c>
      <c r="G7368" s="2" t="s">
        <v>12</v>
      </c>
    </row>
    <row r="7369" spans="1:7" x14ac:dyDescent="0.2">
      <c r="A7369" s="2" t="s">
        <v>8894</v>
      </c>
      <c r="B7369" s="2" t="s">
        <v>437</v>
      </c>
      <c r="C7369" s="2" t="s">
        <v>5525</v>
      </c>
      <c r="D7369" s="2" t="s">
        <v>10</v>
      </c>
      <c r="E7369" s="2" t="s">
        <v>16</v>
      </c>
      <c r="F7369" s="2">
        <v>1</v>
      </c>
      <c r="G7369" s="2" t="s">
        <v>17</v>
      </c>
    </row>
    <row r="7370" spans="1:7" x14ac:dyDescent="0.2">
      <c r="A7370" s="2" t="s">
        <v>8899</v>
      </c>
      <c r="B7370" s="2" t="s">
        <v>145</v>
      </c>
      <c r="C7370" s="2" t="s">
        <v>146</v>
      </c>
      <c r="D7370" s="2" t="s">
        <v>10</v>
      </c>
      <c r="E7370" s="2" t="s">
        <v>11</v>
      </c>
      <c r="F7370" s="2">
        <v>2</v>
      </c>
      <c r="G7370" s="2" t="s">
        <v>12</v>
      </c>
    </row>
    <row r="7371" spans="1:7" x14ac:dyDescent="0.2">
      <c r="A7371" s="2" t="s">
        <v>8900</v>
      </c>
      <c r="B7371" s="2">
        <v>2061</v>
      </c>
      <c r="C7371" s="2" t="s">
        <v>797</v>
      </c>
      <c r="D7371" s="2" t="s">
        <v>56</v>
      </c>
      <c r="E7371" s="2" t="s">
        <v>52</v>
      </c>
      <c r="F7371" s="2">
        <v>1</v>
      </c>
      <c r="G7371" s="2" t="s">
        <v>17</v>
      </c>
    </row>
    <row r="7372" spans="1:7" x14ac:dyDescent="0.2">
      <c r="A7372" s="2" t="s">
        <v>8900</v>
      </c>
      <c r="B7372" s="2">
        <v>2091</v>
      </c>
      <c r="C7372" s="2" t="s">
        <v>2426</v>
      </c>
      <c r="D7372" s="2" t="s">
        <v>56</v>
      </c>
      <c r="E7372" s="2" t="s">
        <v>52</v>
      </c>
      <c r="F7372" s="2">
        <v>2</v>
      </c>
      <c r="G7372" s="2" t="s">
        <v>12</v>
      </c>
    </row>
    <row r="7373" spans="1:7" x14ac:dyDescent="0.2">
      <c r="A7373" s="2" t="s">
        <v>8900</v>
      </c>
      <c r="B7373" s="2" t="s">
        <v>8901</v>
      </c>
      <c r="C7373" s="2" t="s">
        <v>794</v>
      </c>
      <c r="D7373" s="2" t="s">
        <v>56</v>
      </c>
      <c r="E7373" s="2" t="s">
        <v>52</v>
      </c>
      <c r="F7373" s="2">
        <v>1</v>
      </c>
      <c r="G7373" s="2" t="s">
        <v>17</v>
      </c>
    </row>
    <row r="7374" spans="1:7" x14ac:dyDescent="0.2">
      <c r="A7374" s="2" t="s">
        <v>8902</v>
      </c>
      <c r="B7374" s="2" t="s">
        <v>8903</v>
      </c>
      <c r="C7374" s="2" t="s">
        <v>8904</v>
      </c>
      <c r="D7374" s="2" t="s">
        <v>10</v>
      </c>
      <c r="E7374" s="2" t="s">
        <v>16</v>
      </c>
      <c r="F7374" s="2">
        <v>1</v>
      </c>
      <c r="G7374" s="2" t="s">
        <v>17</v>
      </c>
    </row>
    <row r="7375" spans="1:7" x14ac:dyDescent="0.2">
      <c r="A7375" s="2" t="s">
        <v>8905</v>
      </c>
      <c r="B7375" s="2" t="s">
        <v>8906</v>
      </c>
      <c r="C7375" s="2" t="s">
        <v>8907</v>
      </c>
      <c r="D7375" s="2" t="s">
        <v>10</v>
      </c>
      <c r="E7375" s="2" t="s">
        <v>16</v>
      </c>
      <c r="F7375" s="2">
        <v>1</v>
      </c>
      <c r="G7375" s="2" t="s">
        <v>17</v>
      </c>
    </row>
    <row r="7376" spans="1:7" x14ac:dyDescent="0.2">
      <c r="A7376" s="2" t="s">
        <v>8908</v>
      </c>
      <c r="B7376" s="2" t="s">
        <v>7259</v>
      </c>
      <c r="C7376" s="2" t="s">
        <v>8909</v>
      </c>
      <c r="D7376" s="2" t="s">
        <v>10</v>
      </c>
      <c r="E7376" s="2" t="s">
        <v>16</v>
      </c>
      <c r="F7376" s="2">
        <v>1</v>
      </c>
      <c r="G7376" s="2" t="s">
        <v>17</v>
      </c>
    </row>
    <row r="7377" spans="1:7" x14ac:dyDescent="0.2">
      <c r="A7377" s="2" t="s">
        <v>8908</v>
      </c>
      <c r="B7377" s="2" t="s">
        <v>8910</v>
      </c>
      <c r="C7377" s="2" t="s">
        <v>8909</v>
      </c>
      <c r="D7377" s="2" t="s">
        <v>10</v>
      </c>
      <c r="E7377" s="2" t="s">
        <v>16</v>
      </c>
      <c r="F7377" s="2">
        <v>1</v>
      </c>
      <c r="G7377" s="2" t="s">
        <v>17</v>
      </c>
    </row>
    <row r="7378" spans="1:7" x14ac:dyDescent="0.2">
      <c r="A7378" s="2" t="s">
        <v>8908</v>
      </c>
      <c r="B7378" s="2" t="s">
        <v>8911</v>
      </c>
      <c r="C7378" s="2" t="s">
        <v>8912</v>
      </c>
      <c r="D7378" s="2" t="s">
        <v>10</v>
      </c>
      <c r="E7378" s="2" t="s">
        <v>16</v>
      </c>
      <c r="F7378" s="2">
        <v>1</v>
      </c>
      <c r="G7378" s="2" t="s">
        <v>17</v>
      </c>
    </row>
    <row r="7379" spans="1:7" x14ac:dyDescent="0.2">
      <c r="A7379" s="2" t="s">
        <v>8913</v>
      </c>
      <c r="B7379" s="2" t="s">
        <v>8914</v>
      </c>
      <c r="C7379" s="2" t="s">
        <v>8915</v>
      </c>
      <c r="D7379" s="2" t="s">
        <v>10</v>
      </c>
      <c r="E7379" s="2" t="s">
        <v>16</v>
      </c>
      <c r="F7379" s="2">
        <v>1</v>
      </c>
      <c r="G7379" s="2" t="s">
        <v>17</v>
      </c>
    </row>
    <row r="7380" spans="1:7" x14ac:dyDescent="0.2">
      <c r="A7380" s="2" t="s">
        <v>8916</v>
      </c>
      <c r="B7380" s="2" t="s">
        <v>8917</v>
      </c>
      <c r="C7380" s="2" t="s">
        <v>8918</v>
      </c>
      <c r="D7380" s="2" t="s">
        <v>10</v>
      </c>
      <c r="E7380" s="2" t="s">
        <v>16</v>
      </c>
      <c r="F7380" s="2">
        <v>1</v>
      </c>
      <c r="G7380" s="2" t="s">
        <v>17</v>
      </c>
    </row>
    <row r="7381" spans="1:7" x14ac:dyDescent="0.2">
      <c r="A7381" s="2" t="s">
        <v>8919</v>
      </c>
      <c r="B7381" s="2" t="s">
        <v>8920</v>
      </c>
      <c r="C7381" s="2" t="s">
        <v>8921</v>
      </c>
      <c r="D7381" s="2" t="s">
        <v>10</v>
      </c>
      <c r="E7381" s="2" t="s">
        <v>16</v>
      </c>
      <c r="F7381" s="2">
        <v>1</v>
      </c>
      <c r="G7381" s="2" t="s">
        <v>17</v>
      </c>
    </row>
    <row r="7382" spans="1:7" x14ac:dyDescent="0.2">
      <c r="A7382" s="2" t="s">
        <v>8922</v>
      </c>
      <c r="B7382" s="2" t="s">
        <v>8923</v>
      </c>
      <c r="C7382" s="2" t="s">
        <v>8924</v>
      </c>
      <c r="D7382" s="2" t="s">
        <v>10</v>
      </c>
      <c r="E7382" s="2" t="s">
        <v>16</v>
      </c>
      <c r="F7382" s="2">
        <v>1</v>
      </c>
      <c r="G7382" s="2" t="s">
        <v>17</v>
      </c>
    </row>
    <row r="7383" spans="1:7" x14ac:dyDescent="0.2">
      <c r="A7383" s="2" t="s">
        <v>8925</v>
      </c>
      <c r="B7383" s="2" t="s">
        <v>7104</v>
      </c>
      <c r="C7383" s="2" t="s">
        <v>4385</v>
      </c>
      <c r="D7383" s="2" t="s">
        <v>10</v>
      </c>
      <c r="E7383" s="2" t="s">
        <v>16</v>
      </c>
      <c r="F7383" s="2">
        <v>1</v>
      </c>
      <c r="G7383" s="2" t="s">
        <v>17</v>
      </c>
    </row>
    <row r="7384" spans="1:7" x14ac:dyDescent="0.2">
      <c r="A7384" s="2" t="s">
        <v>8926</v>
      </c>
      <c r="B7384" s="2" t="s">
        <v>8927</v>
      </c>
      <c r="C7384" s="2" t="s">
        <v>8928</v>
      </c>
      <c r="D7384" s="2" t="s">
        <v>10</v>
      </c>
      <c r="E7384" s="2" t="s">
        <v>16</v>
      </c>
      <c r="F7384" s="2">
        <v>1</v>
      </c>
      <c r="G7384" s="2" t="s">
        <v>17</v>
      </c>
    </row>
    <row r="7385" spans="1:7" x14ac:dyDescent="0.2">
      <c r="A7385" s="2" t="s">
        <v>8926</v>
      </c>
      <c r="B7385" s="2" t="s">
        <v>8929</v>
      </c>
      <c r="C7385" s="2" t="s">
        <v>8928</v>
      </c>
      <c r="D7385" s="2" t="s">
        <v>10</v>
      </c>
      <c r="E7385" s="2" t="s">
        <v>16</v>
      </c>
      <c r="F7385" s="2">
        <v>1</v>
      </c>
      <c r="G7385" s="2" t="s">
        <v>17</v>
      </c>
    </row>
    <row r="7386" spans="1:7" x14ac:dyDescent="0.2">
      <c r="A7386" s="2" t="s">
        <v>8930</v>
      </c>
      <c r="B7386" s="2" t="s">
        <v>8931</v>
      </c>
      <c r="C7386" s="2" t="s">
        <v>8932</v>
      </c>
      <c r="D7386" s="2" t="s">
        <v>10</v>
      </c>
      <c r="E7386" s="2" t="s">
        <v>52</v>
      </c>
      <c r="F7386" s="2">
        <v>2</v>
      </c>
      <c r="G7386" s="2" t="s">
        <v>17</v>
      </c>
    </row>
    <row r="7387" spans="1:7" x14ac:dyDescent="0.2">
      <c r="A7387" s="2" t="s">
        <v>8930</v>
      </c>
      <c r="B7387" s="2" t="s">
        <v>8933</v>
      </c>
      <c r="C7387" s="2" t="s">
        <v>8934</v>
      </c>
      <c r="D7387" s="2" t="s">
        <v>10</v>
      </c>
      <c r="E7387" s="2" t="s">
        <v>52</v>
      </c>
      <c r="F7387" s="2">
        <v>2</v>
      </c>
      <c r="G7387" s="2" t="s">
        <v>17</v>
      </c>
    </row>
    <row r="7388" spans="1:7" x14ac:dyDescent="0.2">
      <c r="A7388" s="2" t="s">
        <v>8930</v>
      </c>
      <c r="B7388" s="2" t="s">
        <v>8935</v>
      </c>
      <c r="C7388" s="2" t="s">
        <v>769</v>
      </c>
      <c r="D7388" s="2" t="s">
        <v>10</v>
      </c>
      <c r="E7388" s="2" t="s">
        <v>16</v>
      </c>
      <c r="F7388" s="2">
        <v>1</v>
      </c>
      <c r="G7388" s="2" t="s">
        <v>17</v>
      </c>
    </row>
    <row r="7389" spans="1:7" x14ac:dyDescent="0.2">
      <c r="A7389" s="2" t="s">
        <v>8930</v>
      </c>
      <c r="B7389" s="2" t="s">
        <v>8936</v>
      </c>
      <c r="C7389" s="2" t="s">
        <v>8937</v>
      </c>
      <c r="D7389" s="2" t="s">
        <v>10</v>
      </c>
      <c r="E7389" s="2" t="s">
        <v>16</v>
      </c>
      <c r="F7389" s="2">
        <v>1</v>
      </c>
      <c r="G7389" s="2" t="s">
        <v>17</v>
      </c>
    </row>
    <row r="7390" spans="1:7" x14ac:dyDescent="0.2">
      <c r="A7390" s="2" t="s">
        <v>8930</v>
      </c>
      <c r="B7390" s="2" t="s">
        <v>7849</v>
      </c>
      <c r="C7390" s="2" t="s">
        <v>8938</v>
      </c>
      <c r="D7390" s="2" t="s">
        <v>10</v>
      </c>
      <c r="E7390" s="2" t="s">
        <v>16</v>
      </c>
      <c r="F7390" s="2">
        <v>2</v>
      </c>
      <c r="G7390" s="2" t="s">
        <v>17</v>
      </c>
    </row>
    <row r="7391" spans="1:7" x14ac:dyDescent="0.2">
      <c r="A7391" s="2" t="s">
        <v>8930</v>
      </c>
      <c r="B7391" s="2" t="s">
        <v>8939</v>
      </c>
      <c r="C7391" s="2" t="s">
        <v>769</v>
      </c>
      <c r="D7391" s="2" t="s">
        <v>10</v>
      </c>
      <c r="E7391" s="2" t="s">
        <v>16</v>
      </c>
      <c r="F7391" s="2">
        <v>1</v>
      </c>
      <c r="G7391" s="2" t="s">
        <v>17</v>
      </c>
    </row>
    <row r="7392" spans="1:7" x14ac:dyDescent="0.2">
      <c r="A7392" s="2" t="s">
        <v>8930</v>
      </c>
      <c r="B7392" s="2" t="s">
        <v>8940</v>
      </c>
      <c r="C7392" s="2" t="s">
        <v>8937</v>
      </c>
      <c r="D7392" s="2" t="s">
        <v>10</v>
      </c>
      <c r="E7392" s="2" t="s">
        <v>16</v>
      </c>
      <c r="F7392" s="2">
        <v>1</v>
      </c>
      <c r="G7392" s="2" t="s">
        <v>17</v>
      </c>
    </row>
    <row r="7393" spans="1:7" x14ac:dyDescent="0.2">
      <c r="A7393" s="2" t="s">
        <v>8930</v>
      </c>
      <c r="B7393" s="2" t="s">
        <v>8941</v>
      </c>
      <c r="C7393" s="2" t="s">
        <v>769</v>
      </c>
      <c r="D7393" s="2" t="s">
        <v>10</v>
      </c>
      <c r="E7393" s="2" t="s">
        <v>16</v>
      </c>
      <c r="F7393" s="2">
        <v>1</v>
      </c>
      <c r="G7393" s="2" t="s">
        <v>17</v>
      </c>
    </row>
    <row r="7394" spans="1:7" x14ac:dyDescent="0.2">
      <c r="A7394" s="2" t="s">
        <v>8930</v>
      </c>
      <c r="B7394" s="2" t="s">
        <v>8942</v>
      </c>
      <c r="C7394" s="2" t="s">
        <v>769</v>
      </c>
      <c r="D7394" s="2" t="s">
        <v>10</v>
      </c>
      <c r="E7394" s="2" t="s">
        <v>16</v>
      </c>
      <c r="F7394" s="2">
        <v>1</v>
      </c>
      <c r="G7394" s="2" t="s">
        <v>17</v>
      </c>
    </row>
    <row r="7395" spans="1:7" x14ac:dyDescent="0.2">
      <c r="A7395" s="2" t="s">
        <v>8930</v>
      </c>
      <c r="B7395" s="2" t="s">
        <v>8943</v>
      </c>
      <c r="C7395" s="2" t="s">
        <v>769</v>
      </c>
      <c r="D7395" s="2" t="s">
        <v>10</v>
      </c>
      <c r="E7395" s="2" t="s">
        <v>16</v>
      </c>
      <c r="F7395" s="2">
        <v>1</v>
      </c>
      <c r="G7395" s="2" t="s">
        <v>17</v>
      </c>
    </row>
    <row r="7396" spans="1:7" x14ac:dyDescent="0.2">
      <c r="A7396" s="2" t="s">
        <v>8930</v>
      </c>
      <c r="B7396" s="2" t="s">
        <v>8944</v>
      </c>
      <c r="C7396" s="2" t="s">
        <v>8938</v>
      </c>
      <c r="D7396" s="2" t="s">
        <v>10</v>
      </c>
      <c r="E7396" s="2" t="s">
        <v>16</v>
      </c>
      <c r="F7396" s="2">
        <v>2</v>
      </c>
      <c r="G7396" s="2" t="s">
        <v>17</v>
      </c>
    </row>
    <row r="7397" spans="1:7" x14ac:dyDescent="0.2">
      <c r="A7397" s="2" t="s">
        <v>8930</v>
      </c>
      <c r="B7397" s="2" t="s">
        <v>8945</v>
      </c>
      <c r="C7397" s="2" t="s">
        <v>8938</v>
      </c>
      <c r="D7397" s="2" t="s">
        <v>10</v>
      </c>
      <c r="E7397" s="2" t="s">
        <v>16</v>
      </c>
      <c r="F7397" s="2">
        <v>2</v>
      </c>
      <c r="G7397" s="2" t="s">
        <v>17</v>
      </c>
    </row>
    <row r="7398" spans="1:7" x14ac:dyDescent="0.2">
      <c r="A7398" s="2" t="s">
        <v>8930</v>
      </c>
      <c r="B7398" s="2" t="s">
        <v>8946</v>
      </c>
      <c r="C7398" s="2" t="s">
        <v>8938</v>
      </c>
      <c r="D7398" s="2" t="s">
        <v>10</v>
      </c>
      <c r="E7398" s="2" t="s">
        <v>16</v>
      </c>
      <c r="F7398" s="2">
        <v>2</v>
      </c>
      <c r="G7398" s="2" t="s">
        <v>17</v>
      </c>
    </row>
    <row r="7399" spans="1:7" x14ac:dyDescent="0.2">
      <c r="A7399" s="2" t="s">
        <v>8930</v>
      </c>
      <c r="B7399" s="2" t="s">
        <v>8947</v>
      </c>
      <c r="C7399" s="2" t="s">
        <v>8932</v>
      </c>
      <c r="D7399" s="2" t="s">
        <v>10</v>
      </c>
      <c r="E7399" s="2" t="s">
        <v>52</v>
      </c>
      <c r="F7399" s="2">
        <v>2</v>
      </c>
      <c r="G7399" s="2" t="s">
        <v>17</v>
      </c>
    </row>
    <row r="7400" spans="1:7" x14ac:dyDescent="0.2">
      <c r="A7400" s="2" t="s">
        <v>8930</v>
      </c>
      <c r="B7400" s="2" t="s">
        <v>8948</v>
      </c>
      <c r="C7400" s="2" t="s">
        <v>8934</v>
      </c>
      <c r="D7400" s="2" t="s">
        <v>10</v>
      </c>
      <c r="E7400" s="2" t="s">
        <v>52</v>
      </c>
      <c r="F7400" s="2">
        <v>2</v>
      </c>
      <c r="G7400" s="2" t="s">
        <v>17</v>
      </c>
    </row>
    <row r="7401" spans="1:7" x14ac:dyDescent="0.2">
      <c r="A7401" s="2" t="s">
        <v>8930</v>
      </c>
      <c r="B7401" s="2" t="s">
        <v>546</v>
      </c>
      <c r="C7401" s="2" t="s">
        <v>8938</v>
      </c>
      <c r="D7401" s="2" t="s">
        <v>10</v>
      </c>
      <c r="E7401" s="2" t="s">
        <v>16</v>
      </c>
      <c r="F7401" s="2">
        <v>2</v>
      </c>
      <c r="G7401" s="2" t="s">
        <v>17</v>
      </c>
    </row>
    <row r="7402" spans="1:7" x14ac:dyDescent="0.2">
      <c r="A7402" s="2" t="s">
        <v>8949</v>
      </c>
      <c r="B7402" s="2" t="s">
        <v>8950</v>
      </c>
      <c r="C7402" s="2" t="s">
        <v>1487</v>
      </c>
      <c r="D7402" s="2" t="s">
        <v>10</v>
      </c>
      <c r="E7402" s="2" t="s">
        <v>16</v>
      </c>
      <c r="F7402" s="2">
        <v>1</v>
      </c>
      <c r="G7402" s="2" t="s">
        <v>17</v>
      </c>
    </row>
    <row r="7403" spans="1:7" x14ac:dyDescent="0.2">
      <c r="A7403" s="2" t="s">
        <v>8949</v>
      </c>
      <c r="B7403" s="2" t="s">
        <v>8951</v>
      </c>
      <c r="C7403" s="2" t="s">
        <v>1487</v>
      </c>
      <c r="D7403" s="2" t="s">
        <v>10</v>
      </c>
      <c r="E7403" s="2" t="s">
        <v>16</v>
      </c>
      <c r="F7403" s="2">
        <v>1</v>
      </c>
      <c r="G7403" s="2" t="s">
        <v>17</v>
      </c>
    </row>
    <row r="7404" spans="1:7" x14ac:dyDescent="0.2">
      <c r="A7404" s="2" t="s">
        <v>8952</v>
      </c>
      <c r="B7404" s="2" t="s">
        <v>8605</v>
      </c>
      <c r="C7404" s="2" t="s">
        <v>1856</v>
      </c>
      <c r="D7404" s="2" t="s">
        <v>56</v>
      </c>
      <c r="E7404" s="2" t="s">
        <v>52</v>
      </c>
      <c r="F7404" s="2">
        <v>2</v>
      </c>
      <c r="G7404" s="2" t="s">
        <v>12</v>
      </c>
    </row>
    <row r="7405" spans="1:7" x14ac:dyDescent="0.2">
      <c r="A7405" s="2" t="s">
        <v>8952</v>
      </c>
      <c r="B7405" s="2" t="s">
        <v>39</v>
      </c>
      <c r="C7405" s="2" t="s">
        <v>1734</v>
      </c>
      <c r="D7405" s="2" t="s">
        <v>10</v>
      </c>
      <c r="E7405" s="2" t="s">
        <v>11</v>
      </c>
      <c r="F7405" s="2">
        <v>2</v>
      </c>
      <c r="G7405" s="2" t="s">
        <v>12</v>
      </c>
    </row>
    <row r="7406" spans="1:7" x14ac:dyDescent="0.2">
      <c r="A7406" s="2" t="s">
        <v>8952</v>
      </c>
      <c r="B7406" s="2" t="s">
        <v>8953</v>
      </c>
      <c r="C7406" s="2" t="s">
        <v>1734</v>
      </c>
      <c r="D7406" s="2" t="s">
        <v>10</v>
      </c>
      <c r="E7406" s="2" t="s">
        <v>11</v>
      </c>
      <c r="F7406" s="2">
        <v>2</v>
      </c>
      <c r="G7406" s="2" t="s">
        <v>12</v>
      </c>
    </row>
    <row r="7407" spans="1:7" x14ac:dyDescent="0.2">
      <c r="A7407" s="2" t="s">
        <v>8952</v>
      </c>
      <c r="B7407" s="2" t="s">
        <v>8608</v>
      </c>
      <c r="C7407" s="2" t="s">
        <v>1856</v>
      </c>
      <c r="D7407" s="2" t="s">
        <v>56</v>
      </c>
      <c r="E7407" s="2" t="s">
        <v>52</v>
      </c>
      <c r="F7407" s="2">
        <v>2</v>
      </c>
      <c r="G7407" s="2" t="s">
        <v>12</v>
      </c>
    </row>
    <row r="7408" spans="1:7" x14ac:dyDescent="0.2">
      <c r="A7408" s="2" t="s">
        <v>8954</v>
      </c>
      <c r="B7408" s="2" t="s">
        <v>8955</v>
      </c>
      <c r="C7408" s="2" t="s">
        <v>8565</v>
      </c>
      <c r="D7408" s="2" t="s">
        <v>10</v>
      </c>
      <c r="E7408" s="2" t="s">
        <v>16</v>
      </c>
      <c r="F7408" s="2">
        <v>1</v>
      </c>
      <c r="G7408" s="2" t="s">
        <v>17</v>
      </c>
    </row>
    <row r="7409" spans="1:7" x14ac:dyDescent="0.2">
      <c r="A7409" s="2" t="s">
        <v>8954</v>
      </c>
      <c r="B7409" s="2" t="s">
        <v>8578</v>
      </c>
      <c r="C7409" s="2" t="s">
        <v>8565</v>
      </c>
      <c r="D7409" s="2" t="s">
        <v>10</v>
      </c>
      <c r="E7409" s="2" t="s">
        <v>16</v>
      </c>
      <c r="F7409" s="2">
        <v>1</v>
      </c>
      <c r="G7409" s="2" t="s">
        <v>17</v>
      </c>
    </row>
    <row r="7410" spans="1:7" x14ac:dyDescent="0.2">
      <c r="A7410" s="2" t="s">
        <v>8956</v>
      </c>
      <c r="B7410" s="2" t="s">
        <v>8957</v>
      </c>
      <c r="C7410" s="2" t="s">
        <v>8958</v>
      </c>
      <c r="D7410" s="2" t="s">
        <v>56</v>
      </c>
      <c r="E7410" s="2" t="s">
        <v>16</v>
      </c>
      <c r="F7410" s="2">
        <v>1</v>
      </c>
      <c r="G7410" s="2" t="s">
        <v>17</v>
      </c>
    </row>
    <row r="7411" spans="1:7" x14ac:dyDescent="0.2">
      <c r="A7411" s="2" t="s">
        <v>8959</v>
      </c>
      <c r="B7411" s="2" t="s">
        <v>6921</v>
      </c>
      <c r="C7411" s="2" t="s">
        <v>8960</v>
      </c>
      <c r="D7411" s="2" t="s">
        <v>10</v>
      </c>
      <c r="E7411" s="2" t="s">
        <v>16</v>
      </c>
      <c r="F7411" s="2">
        <v>1</v>
      </c>
      <c r="G7411" s="2" t="s">
        <v>17</v>
      </c>
    </row>
    <row r="7412" spans="1:7" x14ac:dyDescent="0.2">
      <c r="A7412" s="2" t="s">
        <v>8961</v>
      </c>
      <c r="B7412" s="2" t="s">
        <v>8962</v>
      </c>
      <c r="C7412" s="2" t="s">
        <v>8963</v>
      </c>
      <c r="D7412" s="2" t="s">
        <v>10</v>
      </c>
      <c r="E7412" s="2" t="s">
        <v>16</v>
      </c>
      <c r="F7412" s="2">
        <v>1</v>
      </c>
      <c r="G7412" s="2" t="s">
        <v>17</v>
      </c>
    </row>
    <row r="7413" spans="1:7" x14ac:dyDescent="0.2">
      <c r="A7413" s="2" t="s">
        <v>8961</v>
      </c>
      <c r="B7413" s="2" t="s">
        <v>8964</v>
      </c>
      <c r="C7413" s="2" t="s">
        <v>8963</v>
      </c>
      <c r="D7413" s="2" t="s">
        <v>10</v>
      </c>
      <c r="E7413" s="2" t="s">
        <v>16</v>
      </c>
      <c r="F7413" s="2">
        <v>1</v>
      </c>
      <c r="G7413" s="2" t="s">
        <v>17</v>
      </c>
    </row>
    <row r="7414" spans="1:7" x14ac:dyDescent="0.2">
      <c r="A7414" s="2" t="s">
        <v>8965</v>
      </c>
      <c r="B7414" s="2" t="s">
        <v>8966</v>
      </c>
      <c r="C7414" s="2" t="s">
        <v>8967</v>
      </c>
      <c r="D7414" s="2" t="s">
        <v>10</v>
      </c>
      <c r="E7414" s="2" t="s">
        <v>16</v>
      </c>
      <c r="F7414" s="2">
        <v>1</v>
      </c>
      <c r="G7414" s="2" t="s">
        <v>17</v>
      </c>
    </row>
    <row r="7415" spans="1:7" x14ac:dyDescent="0.2">
      <c r="A7415" s="2" t="s">
        <v>8965</v>
      </c>
      <c r="B7415" s="2" t="s">
        <v>8968</v>
      </c>
      <c r="C7415" s="2" t="s">
        <v>8967</v>
      </c>
      <c r="D7415" s="2" t="s">
        <v>10</v>
      </c>
      <c r="E7415" s="2" t="s">
        <v>16</v>
      </c>
      <c r="F7415" s="2">
        <v>1</v>
      </c>
      <c r="G7415" s="2" t="s">
        <v>17</v>
      </c>
    </row>
    <row r="7416" spans="1:7" x14ac:dyDescent="0.2">
      <c r="A7416" s="2" t="s">
        <v>8965</v>
      </c>
      <c r="B7416" s="2" t="s">
        <v>8969</v>
      </c>
      <c r="C7416" s="2" t="s">
        <v>8970</v>
      </c>
      <c r="D7416" s="2" t="s">
        <v>10</v>
      </c>
      <c r="E7416" s="2" t="s">
        <v>16</v>
      </c>
      <c r="F7416" s="2">
        <v>1</v>
      </c>
      <c r="G7416" s="2" t="s">
        <v>17</v>
      </c>
    </row>
    <row r="7417" spans="1:7" x14ac:dyDescent="0.2">
      <c r="A7417" s="2" t="s">
        <v>8965</v>
      </c>
      <c r="B7417" s="2" t="s">
        <v>8971</v>
      </c>
      <c r="C7417" s="2" t="s">
        <v>8972</v>
      </c>
      <c r="D7417" s="2" t="s">
        <v>10</v>
      </c>
      <c r="E7417" s="2" t="s">
        <v>16</v>
      </c>
      <c r="F7417" s="2">
        <v>1</v>
      </c>
      <c r="G7417" s="2" t="s">
        <v>17</v>
      </c>
    </row>
    <row r="7418" spans="1:7" x14ac:dyDescent="0.2">
      <c r="A7418" s="2" t="s">
        <v>8965</v>
      </c>
      <c r="B7418" s="2" t="s">
        <v>8973</v>
      </c>
      <c r="C7418" s="2" t="s">
        <v>8974</v>
      </c>
      <c r="D7418" s="2" t="s">
        <v>10</v>
      </c>
      <c r="E7418" s="2" t="s">
        <v>16</v>
      </c>
      <c r="F7418" s="2">
        <v>1</v>
      </c>
      <c r="G7418" s="2" t="s">
        <v>17</v>
      </c>
    </row>
    <row r="7419" spans="1:7" x14ac:dyDescent="0.2">
      <c r="A7419" s="2" t="s">
        <v>8965</v>
      </c>
      <c r="B7419" s="2" t="s">
        <v>8975</v>
      </c>
      <c r="C7419" s="2" t="s">
        <v>8974</v>
      </c>
      <c r="D7419" s="2" t="s">
        <v>10</v>
      </c>
      <c r="E7419" s="2" t="s">
        <v>16</v>
      </c>
      <c r="F7419" s="2">
        <v>1</v>
      </c>
      <c r="G7419" s="2" t="s">
        <v>17</v>
      </c>
    </row>
    <row r="7420" spans="1:7" x14ac:dyDescent="0.2">
      <c r="A7420" s="2" t="s">
        <v>8976</v>
      </c>
      <c r="B7420" s="2" t="s">
        <v>1725</v>
      </c>
      <c r="C7420" s="2" t="s">
        <v>1726</v>
      </c>
      <c r="D7420" s="2" t="s">
        <v>10</v>
      </c>
      <c r="E7420" s="2" t="s">
        <v>16</v>
      </c>
      <c r="F7420" s="2">
        <v>1</v>
      </c>
      <c r="G7420" s="2" t="s">
        <v>17</v>
      </c>
    </row>
    <row r="7421" spans="1:7" x14ac:dyDescent="0.2">
      <c r="A7421" s="2" t="s">
        <v>8977</v>
      </c>
      <c r="B7421" s="2" t="s">
        <v>8978</v>
      </c>
      <c r="C7421" s="2" t="s">
        <v>8979</v>
      </c>
      <c r="D7421" s="2" t="s">
        <v>10</v>
      </c>
      <c r="E7421" s="2" t="s">
        <v>16</v>
      </c>
      <c r="F7421" s="2">
        <v>1</v>
      </c>
      <c r="G7421" s="2" t="s">
        <v>17</v>
      </c>
    </row>
    <row r="7422" spans="1:7" x14ac:dyDescent="0.2">
      <c r="A7422" s="2" t="s">
        <v>8980</v>
      </c>
      <c r="B7422" s="2" t="s">
        <v>8981</v>
      </c>
      <c r="C7422" s="2" t="s">
        <v>8982</v>
      </c>
      <c r="D7422" s="2" t="s">
        <v>10</v>
      </c>
      <c r="E7422" s="2" t="s">
        <v>16</v>
      </c>
      <c r="F7422" s="2">
        <v>1</v>
      </c>
      <c r="G7422" s="2" t="s">
        <v>17</v>
      </c>
    </row>
    <row r="7423" spans="1:7" x14ac:dyDescent="0.2">
      <c r="A7423" s="2" t="s">
        <v>8983</v>
      </c>
      <c r="B7423" s="2" t="s">
        <v>8984</v>
      </c>
      <c r="C7423" s="2" t="s">
        <v>8985</v>
      </c>
      <c r="D7423" s="2" t="s">
        <v>10</v>
      </c>
      <c r="E7423" s="2" t="s">
        <v>16</v>
      </c>
      <c r="F7423" s="2">
        <v>1</v>
      </c>
      <c r="G7423" s="2" t="s">
        <v>17</v>
      </c>
    </row>
    <row r="7424" spans="1:7" x14ac:dyDescent="0.2">
      <c r="A7424" s="2" t="s">
        <v>8983</v>
      </c>
      <c r="B7424" s="2" t="s">
        <v>8986</v>
      </c>
      <c r="C7424" s="2" t="s">
        <v>8987</v>
      </c>
      <c r="D7424" s="2" t="s">
        <v>10</v>
      </c>
      <c r="E7424" s="2" t="s">
        <v>16</v>
      </c>
      <c r="F7424" s="2">
        <v>1</v>
      </c>
      <c r="G7424" s="2" t="s">
        <v>17</v>
      </c>
    </row>
    <row r="7425" spans="1:7" x14ac:dyDescent="0.2">
      <c r="A7425" s="2" t="s">
        <v>8983</v>
      </c>
      <c r="B7425" s="2" t="s">
        <v>8988</v>
      </c>
      <c r="C7425" s="2" t="s">
        <v>8989</v>
      </c>
      <c r="D7425" s="2" t="s">
        <v>10</v>
      </c>
      <c r="E7425" s="2" t="s">
        <v>16</v>
      </c>
      <c r="F7425" s="2">
        <v>1</v>
      </c>
      <c r="G7425" s="2" t="s">
        <v>17</v>
      </c>
    </row>
    <row r="7426" spans="1:7" x14ac:dyDescent="0.2">
      <c r="A7426" s="2" t="s">
        <v>8990</v>
      </c>
      <c r="B7426" s="2" t="s">
        <v>8991</v>
      </c>
      <c r="C7426" s="2" t="s">
        <v>8992</v>
      </c>
      <c r="D7426" s="2" t="s">
        <v>10</v>
      </c>
      <c r="E7426" s="2" t="s">
        <v>16</v>
      </c>
      <c r="F7426" s="2">
        <v>1</v>
      </c>
      <c r="G7426" s="2" t="s">
        <v>17</v>
      </c>
    </row>
    <row r="7427" spans="1:7" x14ac:dyDescent="0.2">
      <c r="A7427" s="2" t="s">
        <v>8993</v>
      </c>
      <c r="B7427" s="2" t="s">
        <v>8994</v>
      </c>
      <c r="C7427" s="2" t="s">
        <v>8995</v>
      </c>
      <c r="D7427" s="2" t="s">
        <v>10</v>
      </c>
      <c r="E7427" s="2" t="s">
        <v>16</v>
      </c>
      <c r="F7427" s="2">
        <v>1</v>
      </c>
      <c r="G7427" s="2" t="s">
        <v>17</v>
      </c>
    </row>
    <row r="7428" spans="1:7" x14ac:dyDescent="0.2">
      <c r="A7428" s="2" t="s">
        <v>8993</v>
      </c>
      <c r="B7428" s="2" t="s">
        <v>8996</v>
      </c>
      <c r="C7428" s="2" t="s">
        <v>8995</v>
      </c>
      <c r="D7428" s="2" t="s">
        <v>10</v>
      </c>
      <c r="E7428" s="2" t="s">
        <v>16</v>
      </c>
      <c r="F7428" s="2">
        <v>1</v>
      </c>
      <c r="G7428" s="2" t="s">
        <v>17</v>
      </c>
    </row>
    <row r="7429" spans="1:7" x14ac:dyDescent="0.2">
      <c r="A7429" s="2" t="s">
        <v>8993</v>
      </c>
      <c r="B7429" s="2" t="s">
        <v>8997</v>
      </c>
      <c r="C7429" s="2" t="s">
        <v>8998</v>
      </c>
      <c r="D7429" s="2" t="s">
        <v>10</v>
      </c>
      <c r="E7429" s="2" t="s">
        <v>16</v>
      </c>
      <c r="F7429" s="2">
        <v>1</v>
      </c>
      <c r="G7429" s="2" t="s">
        <v>17</v>
      </c>
    </row>
    <row r="7430" spans="1:7" x14ac:dyDescent="0.2">
      <c r="A7430" s="2" t="s">
        <v>8993</v>
      </c>
      <c r="B7430" s="2" t="s">
        <v>8999</v>
      </c>
      <c r="C7430" s="2" t="s">
        <v>8998</v>
      </c>
      <c r="D7430" s="2" t="s">
        <v>10</v>
      </c>
      <c r="E7430" s="2" t="s">
        <v>16</v>
      </c>
      <c r="F7430" s="2">
        <v>1</v>
      </c>
      <c r="G7430" s="2" t="s">
        <v>17</v>
      </c>
    </row>
    <row r="7431" spans="1:7" x14ac:dyDescent="0.2">
      <c r="A7431" s="2" t="s">
        <v>8993</v>
      </c>
      <c r="B7431" s="2" t="s">
        <v>9000</v>
      </c>
      <c r="C7431" s="2" t="s">
        <v>8998</v>
      </c>
      <c r="D7431" s="2" t="s">
        <v>10</v>
      </c>
      <c r="E7431" s="2" t="s">
        <v>16</v>
      </c>
      <c r="F7431" s="2">
        <v>1</v>
      </c>
      <c r="G7431" s="2" t="s">
        <v>17</v>
      </c>
    </row>
    <row r="7432" spans="1:7" x14ac:dyDescent="0.2">
      <c r="A7432" s="2" t="s">
        <v>8993</v>
      </c>
      <c r="B7432" s="2" t="s">
        <v>9001</v>
      </c>
      <c r="C7432" s="2" t="s">
        <v>8998</v>
      </c>
      <c r="D7432" s="2" t="s">
        <v>10</v>
      </c>
      <c r="E7432" s="2" t="s">
        <v>16</v>
      </c>
      <c r="F7432" s="2">
        <v>1</v>
      </c>
      <c r="G7432" s="2" t="s">
        <v>17</v>
      </c>
    </row>
    <row r="7433" spans="1:7" x14ac:dyDescent="0.2">
      <c r="A7433" s="2" t="s">
        <v>8993</v>
      </c>
      <c r="B7433" s="2" t="s">
        <v>9002</v>
      </c>
      <c r="C7433" s="2" t="s">
        <v>9003</v>
      </c>
      <c r="D7433" s="2" t="s">
        <v>10</v>
      </c>
      <c r="E7433" s="2" t="s">
        <v>16</v>
      </c>
      <c r="F7433" s="2">
        <v>1</v>
      </c>
      <c r="G7433" s="2" t="s">
        <v>17</v>
      </c>
    </row>
    <row r="7434" spans="1:7" x14ac:dyDescent="0.2">
      <c r="A7434" s="2" t="s">
        <v>8993</v>
      </c>
      <c r="B7434" s="2" t="s">
        <v>9004</v>
      </c>
      <c r="C7434" s="2" t="s">
        <v>8998</v>
      </c>
      <c r="D7434" s="2" t="s">
        <v>10</v>
      </c>
      <c r="E7434" s="2" t="s">
        <v>16</v>
      </c>
      <c r="F7434" s="2">
        <v>1</v>
      </c>
      <c r="G7434" s="2" t="s">
        <v>17</v>
      </c>
    </row>
    <row r="7435" spans="1:7" x14ac:dyDescent="0.2">
      <c r="A7435" s="2" t="s">
        <v>8993</v>
      </c>
      <c r="B7435" s="2" t="s">
        <v>6696</v>
      </c>
      <c r="C7435" s="2" t="s">
        <v>6697</v>
      </c>
      <c r="D7435" s="2" t="s">
        <v>10</v>
      </c>
      <c r="E7435" s="2" t="s">
        <v>16</v>
      </c>
      <c r="F7435" s="2">
        <v>1</v>
      </c>
      <c r="G7435" s="2" t="s">
        <v>17</v>
      </c>
    </row>
    <row r="7436" spans="1:7" x14ac:dyDescent="0.2">
      <c r="A7436" s="2" t="s">
        <v>8993</v>
      </c>
      <c r="B7436" s="2" t="s">
        <v>9005</v>
      </c>
      <c r="C7436" s="2" t="s">
        <v>9006</v>
      </c>
      <c r="D7436" s="2" t="s">
        <v>10</v>
      </c>
      <c r="E7436" s="2" t="s">
        <v>16</v>
      </c>
      <c r="F7436" s="2">
        <v>2</v>
      </c>
      <c r="G7436" s="2" t="s">
        <v>17</v>
      </c>
    </row>
    <row r="7437" spans="1:7" x14ac:dyDescent="0.2">
      <c r="A7437" s="2" t="s">
        <v>8993</v>
      </c>
      <c r="B7437" s="2" t="s">
        <v>6698</v>
      </c>
      <c r="C7437" s="2" t="s">
        <v>6699</v>
      </c>
      <c r="D7437" s="2" t="s">
        <v>10</v>
      </c>
      <c r="E7437" s="2" t="s">
        <v>16</v>
      </c>
      <c r="F7437" s="2">
        <v>2</v>
      </c>
      <c r="G7437" s="2" t="s">
        <v>17</v>
      </c>
    </row>
    <row r="7438" spans="1:7" x14ac:dyDescent="0.2">
      <c r="A7438" s="2" t="s">
        <v>8993</v>
      </c>
      <c r="B7438" s="2" t="s">
        <v>6701</v>
      </c>
      <c r="C7438" s="2" t="s">
        <v>6699</v>
      </c>
      <c r="D7438" s="2" t="s">
        <v>10</v>
      </c>
      <c r="E7438" s="2" t="s">
        <v>16</v>
      </c>
      <c r="F7438" s="2">
        <v>2</v>
      </c>
      <c r="G7438" s="2" t="s">
        <v>17</v>
      </c>
    </row>
    <row r="7439" spans="1:7" x14ac:dyDescent="0.2">
      <c r="A7439" s="2" t="s">
        <v>8993</v>
      </c>
      <c r="B7439" s="2" t="s">
        <v>9007</v>
      </c>
      <c r="C7439" s="2" t="s">
        <v>9003</v>
      </c>
      <c r="D7439" s="2" t="s">
        <v>10</v>
      </c>
      <c r="E7439" s="2" t="s">
        <v>16</v>
      </c>
      <c r="F7439" s="2">
        <v>1</v>
      </c>
      <c r="G7439" s="2" t="s">
        <v>17</v>
      </c>
    </row>
    <row r="7440" spans="1:7" x14ac:dyDescent="0.2">
      <c r="A7440" s="2" t="s">
        <v>8993</v>
      </c>
      <c r="B7440" s="2" t="s">
        <v>9008</v>
      </c>
      <c r="C7440" s="2" t="s">
        <v>8998</v>
      </c>
      <c r="D7440" s="2" t="s">
        <v>10</v>
      </c>
      <c r="E7440" s="2" t="s">
        <v>16</v>
      </c>
      <c r="F7440" s="2">
        <v>1</v>
      </c>
      <c r="G7440" s="2" t="s">
        <v>17</v>
      </c>
    </row>
    <row r="7441" spans="1:7" x14ac:dyDescent="0.2">
      <c r="A7441" s="2" t="s">
        <v>8993</v>
      </c>
      <c r="B7441" s="2" t="s">
        <v>6702</v>
      </c>
      <c r="C7441" s="2" t="s">
        <v>6697</v>
      </c>
      <c r="D7441" s="2" t="s">
        <v>10</v>
      </c>
      <c r="E7441" s="2" t="s">
        <v>16</v>
      </c>
      <c r="F7441" s="2">
        <v>1</v>
      </c>
      <c r="G7441" s="2" t="s">
        <v>17</v>
      </c>
    </row>
    <row r="7442" spans="1:7" x14ac:dyDescent="0.2">
      <c r="A7442" s="2" t="s">
        <v>8993</v>
      </c>
      <c r="B7442" s="2" t="s">
        <v>9009</v>
      </c>
      <c r="C7442" s="2" t="s">
        <v>9006</v>
      </c>
      <c r="D7442" s="2" t="s">
        <v>10</v>
      </c>
      <c r="E7442" s="2" t="s">
        <v>16</v>
      </c>
      <c r="F7442" s="2">
        <v>2</v>
      </c>
      <c r="G7442" s="2" t="s">
        <v>17</v>
      </c>
    </row>
    <row r="7443" spans="1:7" x14ac:dyDescent="0.2">
      <c r="A7443" s="2" t="s">
        <v>8993</v>
      </c>
      <c r="B7443" s="2" t="s">
        <v>9010</v>
      </c>
      <c r="C7443" s="2" t="s">
        <v>8995</v>
      </c>
      <c r="D7443" s="2" t="s">
        <v>10</v>
      </c>
      <c r="E7443" s="2" t="s">
        <v>16</v>
      </c>
      <c r="F7443" s="2">
        <v>1</v>
      </c>
      <c r="G7443" s="2" t="s">
        <v>17</v>
      </c>
    </row>
    <row r="7444" spans="1:7" x14ac:dyDescent="0.2">
      <c r="A7444" s="2" t="s">
        <v>9011</v>
      </c>
      <c r="B7444" s="2" t="s">
        <v>768</v>
      </c>
      <c r="C7444" s="2" t="s">
        <v>2173</v>
      </c>
      <c r="D7444" s="2" t="s">
        <v>10</v>
      </c>
      <c r="E7444" s="2" t="s">
        <v>11</v>
      </c>
      <c r="F7444" s="2">
        <v>1</v>
      </c>
      <c r="G7444" s="2" t="s">
        <v>17</v>
      </c>
    </row>
    <row r="7445" spans="1:7" x14ac:dyDescent="0.2">
      <c r="A7445" s="2" t="s">
        <v>9011</v>
      </c>
      <c r="B7445" s="2" t="s">
        <v>9012</v>
      </c>
      <c r="C7445" s="2" t="s">
        <v>2173</v>
      </c>
      <c r="D7445" s="2" t="s">
        <v>10</v>
      </c>
      <c r="E7445" s="2" t="s">
        <v>11</v>
      </c>
      <c r="F7445" s="2">
        <v>1</v>
      </c>
      <c r="G7445" s="2" t="s">
        <v>17</v>
      </c>
    </row>
    <row r="7446" spans="1:7" x14ac:dyDescent="0.2">
      <c r="A7446" s="2" t="s">
        <v>9011</v>
      </c>
      <c r="B7446" s="2" t="s">
        <v>9013</v>
      </c>
      <c r="C7446" s="2" t="s">
        <v>2173</v>
      </c>
      <c r="D7446" s="2" t="s">
        <v>10</v>
      </c>
      <c r="E7446" s="2" t="s">
        <v>11</v>
      </c>
      <c r="F7446" s="2">
        <v>1</v>
      </c>
      <c r="G7446" s="2" t="s">
        <v>17</v>
      </c>
    </row>
    <row r="7447" spans="1:7" x14ac:dyDescent="0.2">
      <c r="A7447" s="2" t="s">
        <v>9014</v>
      </c>
      <c r="B7447" s="2" t="s">
        <v>8866</v>
      </c>
      <c r="C7447" s="2" t="s">
        <v>8867</v>
      </c>
      <c r="D7447" s="2" t="s">
        <v>29</v>
      </c>
      <c r="E7447" s="2" t="s">
        <v>16</v>
      </c>
      <c r="F7447" s="2">
        <v>1</v>
      </c>
      <c r="G7447" s="2" t="s">
        <v>17</v>
      </c>
    </row>
    <row r="7448" spans="1:7" x14ac:dyDescent="0.2">
      <c r="A7448" s="2" t="s">
        <v>9014</v>
      </c>
      <c r="B7448" s="2" t="s">
        <v>8868</v>
      </c>
      <c r="C7448" s="2" t="s">
        <v>8869</v>
      </c>
      <c r="D7448" s="2" t="s">
        <v>10</v>
      </c>
      <c r="E7448" s="2" t="s">
        <v>16</v>
      </c>
      <c r="F7448" s="2">
        <v>1</v>
      </c>
      <c r="G7448" s="2" t="s">
        <v>17</v>
      </c>
    </row>
    <row r="7449" spans="1:7" x14ac:dyDescent="0.2">
      <c r="A7449" s="2" t="s">
        <v>9014</v>
      </c>
      <c r="B7449" s="2" t="s">
        <v>8870</v>
      </c>
      <c r="C7449" s="2" t="s">
        <v>8867</v>
      </c>
      <c r="D7449" s="2" t="s">
        <v>29</v>
      </c>
      <c r="E7449" s="2" t="s">
        <v>16</v>
      </c>
      <c r="F7449" s="2">
        <v>1</v>
      </c>
      <c r="G7449" s="2" t="s">
        <v>17</v>
      </c>
    </row>
    <row r="7450" spans="1:7" x14ac:dyDescent="0.2">
      <c r="A7450" s="2" t="s">
        <v>9015</v>
      </c>
      <c r="B7450" s="2" t="s">
        <v>9016</v>
      </c>
      <c r="C7450" s="2" t="s">
        <v>9017</v>
      </c>
      <c r="D7450" s="2" t="s">
        <v>10</v>
      </c>
      <c r="E7450" s="2" t="s">
        <v>16</v>
      </c>
      <c r="F7450" s="2">
        <v>1</v>
      </c>
      <c r="G7450" s="2" t="s">
        <v>17</v>
      </c>
    </row>
    <row r="7451" spans="1:7" x14ac:dyDescent="0.2">
      <c r="A7451" s="2" t="s">
        <v>9015</v>
      </c>
      <c r="B7451" s="2" t="s">
        <v>7512</v>
      </c>
      <c r="C7451" s="2" t="s">
        <v>7513</v>
      </c>
      <c r="D7451" s="2" t="s">
        <v>10</v>
      </c>
      <c r="E7451" s="2" t="s">
        <v>52</v>
      </c>
      <c r="F7451" s="2">
        <v>1</v>
      </c>
      <c r="G7451" s="2" t="s">
        <v>17</v>
      </c>
    </row>
    <row r="7452" spans="1:7" x14ac:dyDescent="0.2">
      <c r="A7452" s="2" t="s">
        <v>9018</v>
      </c>
      <c r="B7452" s="2">
        <v>460</v>
      </c>
      <c r="C7452" s="2" t="s">
        <v>1990</v>
      </c>
      <c r="D7452" s="2" t="s">
        <v>10</v>
      </c>
      <c r="E7452" s="2" t="s">
        <v>16</v>
      </c>
      <c r="F7452" s="2">
        <v>1</v>
      </c>
      <c r="G7452" s="2" t="s">
        <v>17</v>
      </c>
    </row>
    <row r="7453" spans="1:7" x14ac:dyDescent="0.2">
      <c r="A7453" s="2" t="s">
        <v>9018</v>
      </c>
      <c r="B7453" s="2">
        <v>230</v>
      </c>
      <c r="C7453" s="2" t="s">
        <v>1990</v>
      </c>
      <c r="D7453" s="2" t="s">
        <v>10</v>
      </c>
      <c r="E7453" s="2" t="s">
        <v>16</v>
      </c>
      <c r="F7453" s="2">
        <v>1</v>
      </c>
      <c r="G7453" s="2" t="s">
        <v>17</v>
      </c>
    </row>
    <row r="7454" spans="1:7" x14ac:dyDescent="0.2">
      <c r="A7454" s="2" t="s">
        <v>9018</v>
      </c>
      <c r="B7454" s="2">
        <v>260</v>
      </c>
      <c r="C7454" s="2" t="s">
        <v>1990</v>
      </c>
      <c r="D7454" s="2" t="s">
        <v>10</v>
      </c>
      <c r="E7454" s="2" t="s">
        <v>16</v>
      </c>
      <c r="F7454" s="2">
        <v>1</v>
      </c>
      <c r="G7454" s="2" t="s">
        <v>17</v>
      </c>
    </row>
    <row r="7455" spans="1:7" x14ac:dyDescent="0.2">
      <c r="A7455" s="2" t="s">
        <v>9018</v>
      </c>
      <c r="B7455" s="2" t="s">
        <v>9019</v>
      </c>
      <c r="C7455" s="2" t="s">
        <v>1990</v>
      </c>
      <c r="D7455" s="2" t="s">
        <v>10</v>
      </c>
      <c r="E7455" s="2" t="s">
        <v>16</v>
      </c>
      <c r="F7455" s="2">
        <v>1</v>
      </c>
      <c r="G7455" s="2" t="s">
        <v>17</v>
      </c>
    </row>
    <row r="7456" spans="1:7" x14ac:dyDescent="0.2">
      <c r="A7456" s="2" t="s">
        <v>9020</v>
      </c>
      <c r="B7456" s="2" t="s">
        <v>9021</v>
      </c>
      <c r="C7456" s="2" t="s">
        <v>5643</v>
      </c>
      <c r="D7456" s="2" t="s">
        <v>10</v>
      </c>
      <c r="E7456" s="2" t="s">
        <v>16</v>
      </c>
      <c r="F7456" s="2">
        <v>1</v>
      </c>
      <c r="G7456" s="2" t="s">
        <v>17</v>
      </c>
    </row>
    <row r="7457" spans="1:7" x14ac:dyDescent="0.2">
      <c r="A7457" s="2" t="s">
        <v>9020</v>
      </c>
      <c r="B7457" s="2" t="s">
        <v>5644</v>
      </c>
      <c r="C7457" s="2" t="s">
        <v>5643</v>
      </c>
      <c r="D7457" s="2" t="s">
        <v>10</v>
      </c>
      <c r="E7457" s="2" t="s">
        <v>16</v>
      </c>
      <c r="F7457" s="2">
        <v>1</v>
      </c>
      <c r="G7457" s="2" t="s">
        <v>17</v>
      </c>
    </row>
    <row r="7458" spans="1:7" x14ac:dyDescent="0.2">
      <c r="A7458" s="2" t="s">
        <v>9022</v>
      </c>
      <c r="B7458" s="2" t="s">
        <v>9023</v>
      </c>
      <c r="C7458" s="2" t="s">
        <v>9024</v>
      </c>
      <c r="D7458" s="2" t="s">
        <v>64</v>
      </c>
      <c r="E7458" s="2" t="s">
        <v>16</v>
      </c>
      <c r="F7458" s="2">
        <v>1</v>
      </c>
      <c r="G7458" s="2" t="s">
        <v>17</v>
      </c>
    </row>
    <row r="7459" spans="1:7" x14ac:dyDescent="0.2">
      <c r="A7459" s="2" t="s">
        <v>9025</v>
      </c>
      <c r="B7459" s="2" t="s">
        <v>9026</v>
      </c>
      <c r="C7459" s="2" t="s">
        <v>9027</v>
      </c>
      <c r="D7459" s="2" t="s">
        <v>10</v>
      </c>
      <c r="E7459" s="2" t="s">
        <v>16</v>
      </c>
      <c r="F7459" s="2">
        <v>2</v>
      </c>
      <c r="G7459" s="2" t="s">
        <v>17</v>
      </c>
    </row>
    <row r="7460" spans="1:7" x14ac:dyDescent="0.2">
      <c r="A7460" s="2" t="s">
        <v>9025</v>
      </c>
      <c r="B7460" s="2" t="s">
        <v>9028</v>
      </c>
      <c r="C7460" s="2" t="s">
        <v>9027</v>
      </c>
      <c r="D7460" s="2" t="s">
        <v>10</v>
      </c>
      <c r="E7460" s="2" t="s">
        <v>16</v>
      </c>
      <c r="F7460" s="2">
        <v>2</v>
      </c>
      <c r="G7460" s="2" t="s">
        <v>17</v>
      </c>
    </row>
    <row r="7461" spans="1:7" x14ac:dyDescent="0.2">
      <c r="A7461" s="2" t="s">
        <v>9029</v>
      </c>
      <c r="B7461" s="2" t="s">
        <v>8194</v>
      </c>
      <c r="C7461" s="2" t="s">
        <v>8195</v>
      </c>
      <c r="D7461" s="2" t="s">
        <v>10</v>
      </c>
      <c r="E7461" s="2" t="s">
        <v>16</v>
      </c>
      <c r="F7461" s="2">
        <v>1</v>
      </c>
      <c r="G7461" s="2" t="s">
        <v>17</v>
      </c>
    </row>
    <row r="7462" spans="1:7" x14ac:dyDescent="0.2">
      <c r="A7462" s="2" t="s">
        <v>9029</v>
      </c>
      <c r="B7462" s="2" t="s">
        <v>8198</v>
      </c>
      <c r="C7462" s="2" t="s">
        <v>8199</v>
      </c>
      <c r="D7462" s="2" t="s">
        <v>10</v>
      </c>
      <c r="E7462" s="2" t="s">
        <v>16</v>
      </c>
      <c r="F7462" s="2">
        <v>1</v>
      </c>
      <c r="G7462" s="2" t="s">
        <v>17</v>
      </c>
    </row>
    <row r="7463" spans="1:7" x14ac:dyDescent="0.2">
      <c r="A7463" s="2" t="s">
        <v>9029</v>
      </c>
      <c r="B7463" s="2" t="s">
        <v>8200</v>
      </c>
      <c r="C7463" s="2" t="s">
        <v>8199</v>
      </c>
      <c r="D7463" s="2" t="s">
        <v>10</v>
      </c>
      <c r="E7463" s="2" t="s">
        <v>16</v>
      </c>
      <c r="F7463" s="2">
        <v>1</v>
      </c>
      <c r="G7463" s="2" t="s">
        <v>17</v>
      </c>
    </row>
    <row r="7464" spans="1:7" x14ac:dyDescent="0.2">
      <c r="A7464" s="2" t="s">
        <v>9029</v>
      </c>
      <c r="B7464" s="2" t="s">
        <v>8201</v>
      </c>
      <c r="C7464" s="2" t="s">
        <v>8199</v>
      </c>
      <c r="D7464" s="2" t="s">
        <v>10</v>
      </c>
      <c r="E7464" s="2" t="s">
        <v>16</v>
      </c>
      <c r="F7464" s="2">
        <v>1</v>
      </c>
      <c r="G7464" s="2" t="s">
        <v>17</v>
      </c>
    </row>
    <row r="7465" spans="1:7" x14ac:dyDescent="0.2">
      <c r="A7465" s="2" t="s">
        <v>9029</v>
      </c>
      <c r="B7465" s="2" t="s">
        <v>8202</v>
      </c>
      <c r="C7465" s="2" t="s">
        <v>8199</v>
      </c>
      <c r="D7465" s="2" t="s">
        <v>10</v>
      </c>
      <c r="E7465" s="2" t="s">
        <v>16</v>
      </c>
      <c r="F7465" s="2">
        <v>1</v>
      </c>
      <c r="G7465" s="2" t="s">
        <v>17</v>
      </c>
    </row>
    <row r="7466" spans="1:7" x14ac:dyDescent="0.2">
      <c r="A7466" s="2" t="s">
        <v>9029</v>
      </c>
      <c r="B7466" s="2" t="s">
        <v>8203</v>
      </c>
      <c r="C7466" s="2" t="s">
        <v>8195</v>
      </c>
      <c r="D7466" s="2" t="s">
        <v>10</v>
      </c>
      <c r="E7466" s="2" t="s">
        <v>16</v>
      </c>
      <c r="F7466" s="2">
        <v>1</v>
      </c>
      <c r="G7466" s="2" t="s">
        <v>17</v>
      </c>
    </row>
    <row r="7467" spans="1:7" x14ac:dyDescent="0.2">
      <c r="A7467" s="2" t="s">
        <v>9029</v>
      </c>
      <c r="B7467" s="2" t="s">
        <v>8204</v>
      </c>
      <c r="C7467" s="2" t="s">
        <v>8205</v>
      </c>
      <c r="D7467" s="2" t="s">
        <v>10</v>
      </c>
      <c r="E7467" s="2" t="s">
        <v>16</v>
      </c>
      <c r="F7467" s="2">
        <v>1</v>
      </c>
      <c r="G7467" s="2" t="s">
        <v>17</v>
      </c>
    </row>
    <row r="7468" spans="1:7" x14ac:dyDescent="0.2">
      <c r="A7468" s="2" t="s">
        <v>9029</v>
      </c>
      <c r="B7468" s="2" t="s">
        <v>8206</v>
      </c>
      <c r="C7468" s="2" t="s">
        <v>8207</v>
      </c>
      <c r="D7468" s="2" t="s">
        <v>10</v>
      </c>
      <c r="E7468" s="2" t="s">
        <v>16</v>
      </c>
      <c r="F7468" s="2">
        <v>1</v>
      </c>
      <c r="G7468" s="2" t="s">
        <v>17</v>
      </c>
    </row>
    <row r="7469" spans="1:7" x14ac:dyDescent="0.2">
      <c r="A7469" s="2" t="s">
        <v>9029</v>
      </c>
      <c r="B7469" s="2" t="s">
        <v>648</v>
      </c>
      <c r="C7469" s="2" t="s">
        <v>8207</v>
      </c>
      <c r="D7469" s="2" t="s">
        <v>10</v>
      </c>
      <c r="E7469" s="2" t="s">
        <v>16</v>
      </c>
      <c r="F7469" s="2">
        <v>1</v>
      </c>
      <c r="G7469" s="2" t="s">
        <v>17</v>
      </c>
    </row>
    <row r="7470" spans="1:7" x14ac:dyDescent="0.2">
      <c r="A7470" s="2" t="s">
        <v>9029</v>
      </c>
      <c r="B7470" s="2" t="s">
        <v>8215</v>
      </c>
      <c r="C7470" s="2" t="s">
        <v>8205</v>
      </c>
      <c r="D7470" s="2" t="s">
        <v>10</v>
      </c>
      <c r="E7470" s="2" t="s">
        <v>16</v>
      </c>
      <c r="F7470" s="2">
        <v>1</v>
      </c>
      <c r="G7470" s="2" t="s">
        <v>17</v>
      </c>
    </row>
    <row r="7471" spans="1:7" x14ac:dyDescent="0.2">
      <c r="A7471" s="2" t="s">
        <v>9030</v>
      </c>
      <c r="B7471" s="2" t="s">
        <v>7860</v>
      </c>
      <c r="C7471" s="2" t="s">
        <v>5456</v>
      </c>
      <c r="D7471" s="2" t="s">
        <v>10</v>
      </c>
      <c r="E7471" s="2" t="s">
        <v>16</v>
      </c>
      <c r="F7471" s="2">
        <v>1</v>
      </c>
      <c r="G7471" s="2" t="s">
        <v>17</v>
      </c>
    </row>
    <row r="7472" spans="1:7" x14ac:dyDescent="0.2">
      <c r="A7472" s="2" t="s">
        <v>9030</v>
      </c>
      <c r="B7472" s="2" t="s">
        <v>3497</v>
      </c>
      <c r="C7472" s="2" t="s">
        <v>5456</v>
      </c>
      <c r="D7472" s="2" t="s">
        <v>10</v>
      </c>
      <c r="E7472" s="2" t="s">
        <v>16</v>
      </c>
      <c r="F7472" s="2">
        <v>1</v>
      </c>
      <c r="G7472" s="2" t="s">
        <v>17</v>
      </c>
    </row>
    <row r="7473" spans="1:7" x14ac:dyDescent="0.2">
      <c r="A7473" s="2" t="s">
        <v>9031</v>
      </c>
      <c r="B7473" s="2" t="s">
        <v>134</v>
      </c>
      <c r="C7473" s="2" t="s">
        <v>9032</v>
      </c>
      <c r="D7473" s="2" t="s">
        <v>10</v>
      </c>
      <c r="E7473" s="2" t="s">
        <v>16</v>
      </c>
      <c r="F7473" s="2">
        <v>1</v>
      </c>
      <c r="G7473" s="2" t="s">
        <v>17</v>
      </c>
    </row>
    <row r="7474" spans="1:7" x14ac:dyDescent="0.2">
      <c r="A7474" s="2" t="s">
        <v>9033</v>
      </c>
      <c r="B7474" s="2" t="s">
        <v>9034</v>
      </c>
      <c r="C7474" s="2" t="s">
        <v>9035</v>
      </c>
      <c r="D7474" s="2" t="s">
        <v>10</v>
      </c>
      <c r="E7474" s="2" t="s">
        <v>16</v>
      </c>
      <c r="F7474" s="2">
        <v>1</v>
      </c>
      <c r="G7474" s="2" t="s">
        <v>17</v>
      </c>
    </row>
    <row r="7475" spans="1:7" x14ac:dyDescent="0.2">
      <c r="A7475" s="2" t="s">
        <v>9033</v>
      </c>
      <c r="B7475" s="2" t="s">
        <v>5741</v>
      </c>
      <c r="C7475" s="2" t="s">
        <v>9035</v>
      </c>
      <c r="D7475" s="2" t="s">
        <v>10</v>
      </c>
      <c r="E7475" s="2" t="s">
        <v>16</v>
      </c>
      <c r="F7475" s="2">
        <v>1</v>
      </c>
      <c r="G7475" s="2" t="s">
        <v>17</v>
      </c>
    </row>
    <row r="7476" spans="1:7" x14ac:dyDescent="0.2">
      <c r="A7476" s="2" t="s">
        <v>9036</v>
      </c>
      <c r="B7476" s="2" t="s">
        <v>9037</v>
      </c>
      <c r="C7476" s="2" t="s">
        <v>9038</v>
      </c>
      <c r="D7476" s="2" t="s">
        <v>10</v>
      </c>
      <c r="E7476" s="2" t="s">
        <v>16</v>
      </c>
      <c r="F7476" s="2">
        <v>2</v>
      </c>
      <c r="G7476" s="2" t="s">
        <v>17</v>
      </c>
    </row>
    <row r="7477" spans="1:7" x14ac:dyDescent="0.2">
      <c r="A7477" s="2" t="s">
        <v>9036</v>
      </c>
      <c r="B7477" s="2" t="s">
        <v>9039</v>
      </c>
      <c r="C7477" s="2" t="s">
        <v>9038</v>
      </c>
      <c r="D7477" s="2" t="s">
        <v>10</v>
      </c>
      <c r="E7477" s="2" t="s">
        <v>16</v>
      </c>
      <c r="F7477" s="2">
        <v>2</v>
      </c>
      <c r="G7477" s="2" t="s">
        <v>17</v>
      </c>
    </row>
    <row r="7478" spans="1:7" x14ac:dyDescent="0.2">
      <c r="A7478" s="2" t="s">
        <v>9040</v>
      </c>
      <c r="B7478" s="2" t="s">
        <v>2595</v>
      </c>
      <c r="C7478" s="2" t="s">
        <v>9041</v>
      </c>
      <c r="D7478" s="2" t="s">
        <v>10</v>
      </c>
      <c r="E7478" s="2" t="s">
        <v>16</v>
      </c>
      <c r="F7478" s="2">
        <v>2</v>
      </c>
      <c r="G7478" s="2" t="s">
        <v>17</v>
      </c>
    </row>
    <row r="7479" spans="1:7" x14ac:dyDescent="0.2">
      <c r="A7479" s="2" t="s">
        <v>9040</v>
      </c>
      <c r="B7479" s="2" t="s">
        <v>9042</v>
      </c>
      <c r="C7479" s="2" t="s">
        <v>9043</v>
      </c>
      <c r="D7479" s="2" t="s">
        <v>10</v>
      </c>
      <c r="E7479" s="2" t="s">
        <v>52</v>
      </c>
      <c r="F7479" s="2">
        <v>2</v>
      </c>
      <c r="G7479" s="2" t="s">
        <v>17</v>
      </c>
    </row>
    <row r="7480" spans="1:7" x14ac:dyDescent="0.2">
      <c r="A7480" s="2" t="s">
        <v>9040</v>
      </c>
      <c r="B7480" s="2" t="s">
        <v>9044</v>
      </c>
      <c r="C7480" s="2" t="s">
        <v>9045</v>
      </c>
      <c r="D7480" s="2" t="s">
        <v>29</v>
      </c>
      <c r="E7480" s="2" t="s">
        <v>16</v>
      </c>
      <c r="F7480" s="2">
        <v>2</v>
      </c>
      <c r="G7480" s="2" t="s">
        <v>17</v>
      </c>
    </row>
    <row r="7481" spans="1:7" x14ac:dyDescent="0.2">
      <c r="A7481" s="2" t="s">
        <v>9040</v>
      </c>
      <c r="B7481" s="2" t="s">
        <v>9046</v>
      </c>
      <c r="C7481" s="2" t="s">
        <v>9047</v>
      </c>
      <c r="D7481" s="2" t="s">
        <v>10</v>
      </c>
      <c r="E7481" s="2" t="s">
        <v>16</v>
      </c>
      <c r="F7481" s="2">
        <v>1</v>
      </c>
      <c r="G7481" s="2" t="s">
        <v>17</v>
      </c>
    </row>
    <row r="7482" spans="1:7" x14ac:dyDescent="0.2">
      <c r="A7482" s="2" t="s">
        <v>9040</v>
      </c>
      <c r="B7482" s="2" t="s">
        <v>9048</v>
      </c>
      <c r="C7482" s="2" t="s">
        <v>5664</v>
      </c>
      <c r="D7482" s="2" t="s">
        <v>10</v>
      </c>
      <c r="E7482" s="2" t="s">
        <v>16</v>
      </c>
      <c r="F7482" s="2">
        <v>1</v>
      </c>
      <c r="G7482" s="2" t="s">
        <v>17</v>
      </c>
    </row>
    <row r="7483" spans="1:7" x14ac:dyDescent="0.2">
      <c r="A7483" s="2" t="s">
        <v>9040</v>
      </c>
      <c r="B7483" s="2" t="s">
        <v>9049</v>
      </c>
      <c r="C7483" s="2" t="s">
        <v>9041</v>
      </c>
      <c r="D7483" s="2" t="s">
        <v>10</v>
      </c>
      <c r="E7483" s="2" t="s">
        <v>16</v>
      </c>
      <c r="F7483" s="2">
        <v>2</v>
      </c>
      <c r="G7483" s="2" t="s">
        <v>17</v>
      </c>
    </row>
    <row r="7484" spans="1:7" x14ac:dyDescent="0.2">
      <c r="A7484" s="2" t="s">
        <v>9040</v>
      </c>
      <c r="B7484" s="2" t="s">
        <v>9050</v>
      </c>
      <c r="C7484" s="2" t="s">
        <v>9041</v>
      </c>
      <c r="D7484" s="2" t="s">
        <v>10</v>
      </c>
      <c r="E7484" s="2" t="s">
        <v>16</v>
      </c>
      <c r="F7484" s="2">
        <v>2</v>
      </c>
      <c r="G7484" s="2" t="s">
        <v>17</v>
      </c>
    </row>
    <row r="7485" spans="1:7" x14ac:dyDescent="0.2">
      <c r="A7485" s="2" t="s">
        <v>9040</v>
      </c>
      <c r="B7485" s="2" t="s">
        <v>9051</v>
      </c>
      <c r="C7485" s="2" t="s">
        <v>9041</v>
      </c>
      <c r="D7485" s="2" t="s">
        <v>10</v>
      </c>
      <c r="E7485" s="2" t="s">
        <v>16</v>
      </c>
      <c r="F7485" s="2">
        <v>2</v>
      </c>
      <c r="G7485" s="2" t="s">
        <v>17</v>
      </c>
    </row>
    <row r="7486" spans="1:7" x14ac:dyDescent="0.2">
      <c r="A7486" s="2" t="s">
        <v>9040</v>
      </c>
      <c r="B7486" s="2" t="s">
        <v>9052</v>
      </c>
      <c r="C7486" s="2" t="s">
        <v>9041</v>
      </c>
      <c r="D7486" s="2" t="s">
        <v>10</v>
      </c>
      <c r="E7486" s="2" t="s">
        <v>16</v>
      </c>
      <c r="F7486" s="2">
        <v>2</v>
      </c>
      <c r="G7486" s="2" t="s">
        <v>17</v>
      </c>
    </row>
    <row r="7487" spans="1:7" x14ac:dyDescent="0.2">
      <c r="A7487" s="2" t="s">
        <v>9040</v>
      </c>
      <c r="B7487" s="2" t="s">
        <v>9053</v>
      </c>
      <c r="C7487" s="2" t="s">
        <v>9041</v>
      </c>
      <c r="D7487" s="2" t="s">
        <v>10</v>
      </c>
      <c r="E7487" s="2" t="s">
        <v>16</v>
      </c>
      <c r="F7487" s="2">
        <v>2</v>
      </c>
      <c r="G7487" s="2" t="s">
        <v>17</v>
      </c>
    </row>
    <row r="7488" spans="1:7" x14ac:dyDescent="0.2">
      <c r="A7488" s="2" t="s">
        <v>9040</v>
      </c>
      <c r="B7488" s="2" t="s">
        <v>9054</v>
      </c>
      <c r="C7488" s="2" t="s">
        <v>9055</v>
      </c>
      <c r="D7488" s="2" t="s">
        <v>10</v>
      </c>
      <c r="E7488" s="2" t="s">
        <v>52</v>
      </c>
      <c r="F7488" s="2">
        <v>2</v>
      </c>
      <c r="G7488" s="2" t="s">
        <v>17</v>
      </c>
    </row>
    <row r="7489" spans="1:7" x14ac:dyDescent="0.2">
      <c r="A7489" s="2" t="s">
        <v>9040</v>
      </c>
      <c r="B7489" s="2" t="s">
        <v>9056</v>
      </c>
      <c r="C7489" s="2" t="s">
        <v>9055</v>
      </c>
      <c r="D7489" s="2" t="s">
        <v>10</v>
      </c>
      <c r="E7489" s="2" t="s">
        <v>52</v>
      </c>
      <c r="F7489" s="2">
        <v>2</v>
      </c>
      <c r="G7489" s="2" t="s">
        <v>17</v>
      </c>
    </row>
    <row r="7490" spans="1:7" x14ac:dyDescent="0.2">
      <c r="A7490" s="2" t="s">
        <v>9040</v>
      </c>
      <c r="B7490" s="2" t="s">
        <v>9057</v>
      </c>
      <c r="C7490" s="2" t="s">
        <v>9041</v>
      </c>
      <c r="D7490" s="2" t="s">
        <v>10</v>
      </c>
      <c r="E7490" s="2" t="s">
        <v>16</v>
      </c>
      <c r="F7490" s="2">
        <v>2</v>
      </c>
      <c r="G7490" s="2" t="s">
        <v>17</v>
      </c>
    </row>
    <row r="7491" spans="1:7" x14ac:dyDescent="0.2">
      <c r="A7491" s="2" t="s">
        <v>9040</v>
      </c>
      <c r="B7491" s="2" t="s">
        <v>9058</v>
      </c>
      <c r="C7491" s="2" t="s">
        <v>9041</v>
      </c>
      <c r="D7491" s="2" t="s">
        <v>10</v>
      </c>
      <c r="E7491" s="2" t="s">
        <v>16</v>
      </c>
      <c r="F7491" s="2">
        <v>2</v>
      </c>
      <c r="G7491" s="2" t="s">
        <v>17</v>
      </c>
    </row>
    <row r="7492" spans="1:7" x14ac:dyDescent="0.2">
      <c r="A7492" s="2" t="s">
        <v>9040</v>
      </c>
      <c r="B7492" s="2" t="s">
        <v>9059</v>
      </c>
      <c r="C7492" s="2" t="s">
        <v>9043</v>
      </c>
      <c r="D7492" s="2" t="s">
        <v>10</v>
      </c>
      <c r="E7492" s="2" t="s">
        <v>52</v>
      </c>
      <c r="F7492" s="2">
        <v>2</v>
      </c>
      <c r="G7492" s="2" t="s">
        <v>17</v>
      </c>
    </row>
    <row r="7493" spans="1:7" x14ac:dyDescent="0.2">
      <c r="A7493" s="2" t="s">
        <v>9040</v>
      </c>
      <c r="B7493" s="2" t="s">
        <v>9060</v>
      </c>
      <c r="C7493" s="2" t="s">
        <v>9041</v>
      </c>
      <c r="D7493" s="2" t="s">
        <v>10</v>
      </c>
      <c r="E7493" s="2" t="s">
        <v>16</v>
      </c>
      <c r="F7493" s="2">
        <v>2</v>
      </c>
      <c r="G7493" s="2" t="s">
        <v>17</v>
      </c>
    </row>
    <row r="7494" spans="1:7" x14ac:dyDescent="0.2">
      <c r="A7494" s="2" t="s">
        <v>9040</v>
      </c>
      <c r="B7494" s="2" t="s">
        <v>9061</v>
      </c>
      <c r="C7494" s="2" t="s">
        <v>9062</v>
      </c>
      <c r="D7494" s="2" t="s">
        <v>10</v>
      </c>
      <c r="E7494" s="2" t="s">
        <v>52</v>
      </c>
      <c r="F7494" s="2">
        <v>2</v>
      </c>
      <c r="G7494" s="2" t="s">
        <v>17</v>
      </c>
    </row>
    <row r="7495" spans="1:7" x14ac:dyDescent="0.2">
      <c r="A7495" s="2" t="s">
        <v>9040</v>
      </c>
      <c r="B7495" s="2" t="s">
        <v>9063</v>
      </c>
      <c r="C7495" s="2" t="s">
        <v>9062</v>
      </c>
      <c r="D7495" s="2" t="s">
        <v>10</v>
      </c>
      <c r="E7495" s="2" t="s">
        <v>52</v>
      </c>
      <c r="F7495" s="2">
        <v>2</v>
      </c>
      <c r="G7495" s="2" t="s">
        <v>17</v>
      </c>
    </row>
    <row r="7496" spans="1:7" x14ac:dyDescent="0.2">
      <c r="A7496" s="2" t="s">
        <v>9064</v>
      </c>
      <c r="B7496" s="2" t="s">
        <v>9065</v>
      </c>
      <c r="C7496" s="2" t="s">
        <v>9066</v>
      </c>
      <c r="D7496" s="2" t="s">
        <v>56</v>
      </c>
      <c r="E7496" s="2" t="s">
        <v>52</v>
      </c>
      <c r="F7496" s="2">
        <v>2</v>
      </c>
      <c r="G7496" s="2" t="s">
        <v>12</v>
      </c>
    </row>
    <row r="7497" spans="1:7" x14ac:dyDescent="0.2">
      <c r="A7497" s="2" t="s">
        <v>9064</v>
      </c>
      <c r="B7497" s="2" t="s">
        <v>9067</v>
      </c>
      <c r="C7497" s="2" t="s">
        <v>9066</v>
      </c>
      <c r="D7497" s="2" t="s">
        <v>56</v>
      </c>
      <c r="E7497" s="2" t="s">
        <v>52</v>
      </c>
      <c r="F7497" s="2">
        <v>2</v>
      </c>
      <c r="G7497" s="2" t="s">
        <v>12</v>
      </c>
    </row>
    <row r="7498" spans="1:7" x14ac:dyDescent="0.2">
      <c r="A7498" s="2" t="s">
        <v>9068</v>
      </c>
      <c r="B7498" s="2" t="s">
        <v>9069</v>
      </c>
      <c r="C7498" s="2" t="s">
        <v>9070</v>
      </c>
      <c r="D7498" s="2" t="s">
        <v>10</v>
      </c>
      <c r="E7498" s="2" t="s">
        <v>16</v>
      </c>
      <c r="F7498" s="2">
        <v>1</v>
      </c>
      <c r="G7498" s="2" t="s">
        <v>17</v>
      </c>
    </row>
    <row r="7499" spans="1:7" x14ac:dyDescent="0.2">
      <c r="A7499" s="2" t="s">
        <v>9068</v>
      </c>
      <c r="B7499" s="2" t="s">
        <v>9071</v>
      </c>
      <c r="C7499" s="2" t="s">
        <v>9070</v>
      </c>
      <c r="D7499" s="2" t="s">
        <v>10</v>
      </c>
      <c r="E7499" s="2" t="s">
        <v>16</v>
      </c>
      <c r="F7499" s="2">
        <v>1</v>
      </c>
      <c r="G7499" s="2" t="s">
        <v>17</v>
      </c>
    </row>
    <row r="7500" spans="1:7" x14ac:dyDescent="0.2">
      <c r="A7500" s="2" t="s">
        <v>9068</v>
      </c>
      <c r="B7500" s="2" t="s">
        <v>9072</v>
      </c>
      <c r="C7500" s="2" t="s">
        <v>9073</v>
      </c>
      <c r="D7500" s="2" t="s">
        <v>10</v>
      </c>
      <c r="E7500" s="2" t="s">
        <v>16</v>
      </c>
      <c r="F7500" s="2">
        <v>1</v>
      </c>
      <c r="G7500" s="2" t="s">
        <v>17</v>
      </c>
    </row>
    <row r="7501" spans="1:7" x14ac:dyDescent="0.2">
      <c r="A7501" s="2" t="s">
        <v>9068</v>
      </c>
      <c r="B7501" s="2" t="s">
        <v>9074</v>
      </c>
      <c r="C7501" s="2" t="s">
        <v>2630</v>
      </c>
      <c r="D7501" s="2" t="s">
        <v>10</v>
      </c>
      <c r="E7501" s="2" t="s">
        <v>16</v>
      </c>
      <c r="F7501" s="2">
        <v>1</v>
      </c>
      <c r="G7501" s="2" t="s">
        <v>17</v>
      </c>
    </row>
    <row r="7502" spans="1:7" x14ac:dyDescent="0.2">
      <c r="A7502" s="2" t="s">
        <v>9068</v>
      </c>
      <c r="B7502" s="2" t="s">
        <v>9075</v>
      </c>
      <c r="C7502" s="2" t="s">
        <v>9076</v>
      </c>
      <c r="D7502" s="2" t="s">
        <v>10</v>
      </c>
      <c r="E7502" s="2" t="s">
        <v>16</v>
      </c>
      <c r="F7502" s="2">
        <v>1</v>
      </c>
      <c r="G7502" s="2" t="s">
        <v>17</v>
      </c>
    </row>
    <row r="7503" spans="1:7" x14ac:dyDescent="0.2">
      <c r="A7503" s="2" t="s">
        <v>9068</v>
      </c>
      <c r="B7503" s="2" t="s">
        <v>9077</v>
      </c>
      <c r="C7503" s="2" t="s">
        <v>9073</v>
      </c>
      <c r="D7503" s="2" t="s">
        <v>10</v>
      </c>
      <c r="E7503" s="2" t="s">
        <v>16</v>
      </c>
      <c r="F7503" s="2">
        <v>1</v>
      </c>
      <c r="G7503" s="2" t="s">
        <v>17</v>
      </c>
    </row>
    <row r="7504" spans="1:7" x14ac:dyDescent="0.2">
      <c r="A7504" s="2" t="s">
        <v>9068</v>
      </c>
      <c r="B7504" s="2" t="s">
        <v>9078</v>
      </c>
      <c r="C7504" s="2" t="s">
        <v>9079</v>
      </c>
      <c r="D7504" s="2" t="s">
        <v>10</v>
      </c>
      <c r="E7504" s="2" t="s">
        <v>16</v>
      </c>
      <c r="F7504" s="2">
        <v>1</v>
      </c>
      <c r="G7504" s="2" t="s">
        <v>17</v>
      </c>
    </row>
    <row r="7505" spans="1:7" x14ac:dyDescent="0.2">
      <c r="A7505" s="2" t="s">
        <v>9068</v>
      </c>
      <c r="B7505" s="2" t="s">
        <v>4209</v>
      </c>
      <c r="C7505" s="2" t="s">
        <v>2630</v>
      </c>
      <c r="D7505" s="2" t="s">
        <v>10</v>
      </c>
      <c r="E7505" s="2" t="s">
        <v>16</v>
      </c>
      <c r="F7505" s="2">
        <v>1</v>
      </c>
      <c r="G7505" s="2" t="s">
        <v>17</v>
      </c>
    </row>
    <row r="7506" spans="1:7" x14ac:dyDescent="0.2">
      <c r="A7506" s="2" t="s">
        <v>9068</v>
      </c>
      <c r="B7506" s="2" t="s">
        <v>9080</v>
      </c>
      <c r="C7506" s="2" t="s">
        <v>2630</v>
      </c>
      <c r="D7506" s="2" t="s">
        <v>10</v>
      </c>
      <c r="E7506" s="2" t="s">
        <v>16</v>
      </c>
      <c r="F7506" s="2">
        <v>1</v>
      </c>
      <c r="G7506" s="2" t="s">
        <v>17</v>
      </c>
    </row>
    <row r="7507" spans="1:7" x14ac:dyDescent="0.2">
      <c r="A7507" s="2" t="s">
        <v>9068</v>
      </c>
      <c r="B7507" s="2" t="s">
        <v>9081</v>
      </c>
      <c r="C7507" s="2" t="s">
        <v>2630</v>
      </c>
      <c r="D7507" s="2" t="s">
        <v>10</v>
      </c>
      <c r="E7507" s="2" t="s">
        <v>16</v>
      </c>
      <c r="F7507" s="2">
        <v>1</v>
      </c>
      <c r="G7507" s="2" t="s">
        <v>17</v>
      </c>
    </row>
    <row r="7508" spans="1:7" x14ac:dyDescent="0.2">
      <c r="A7508" s="2" t="s">
        <v>9068</v>
      </c>
      <c r="B7508" s="2" t="s">
        <v>9082</v>
      </c>
      <c r="C7508" s="2" t="s">
        <v>2630</v>
      </c>
      <c r="D7508" s="2" t="s">
        <v>10</v>
      </c>
      <c r="E7508" s="2" t="s">
        <v>16</v>
      </c>
      <c r="F7508" s="2">
        <v>1</v>
      </c>
      <c r="G7508" s="2" t="s">
        <v>17</v>
      </c>
    </row>
    <row r="7509" spans="1:7" x14ac:dyDescent="0.2">
      <c r="A7509" s="2" t="s">
        <v>9068</v>
      </c>
      <c r="B7509" s="2" t="s">
        <v>9083</v>
      </c>
      <c r="C7509" s="2" t="s">
        <v>2630</v>
      </c>
      <c r="D7509" s="2" t="s">
        <v>10</v>
      </c>
      <c r="E7509" s="2" t="s">
        <v>16</v>
      </c>
      <c r="F7509" s="2">
        <v>1</v>
      </c>
      <c r="G7509" s="2" t="s">
        <v>17</v>
      </c>
    </row>
    <row r="7510" spans="1:7" x14ac:dyDescent="0.2">
      <c r="A7510" s="2" t="s">
        <v>9068</v>
      </c>
      <c r="B7510" s="2" t="s">
        <v>9084</v>
      </c>
      <c r="C7510" s="2" t="s">
        <v>2630</v>
      </c>
      <c r="D7510" s="2" t="s">
        <v>10</v>
      </c>
      <c r="E7510" s="2" t="s">
        <v>16</v>
      </c>
      <c r="F7510" s="2">
        <v>1</v>
      </c>
      <c r="G7510" s="2" t="s">
        <v>17</v>
      </c>
    </row>
    <row r="7511" spans="1:7" x14ac:dyDescent="0.2">
      <c r="A7511" s="2" t="s">
        <v>9068</v>
      </c>
      <c r="B7511" s="2" t="s">
        <v>9085</v>
      </c>
      <c r="C7511" s="2" t="s">
        <v>2630</v>
      </c>
      <c r="D7511" s="2" t="s">
        <v>10</v>
      </c>
      <c r="E7511" s="2" t="s">
        <v>16</v>
      </c>
      <c r="F7511" s="2">
        <v>1</v>
      </c>
      <c r="G7511" s="2" t="s">
        <v>17</v>
      </c>
    </row>
    <row r="7512" spans="1:7" x14ac:dyDescent="0.2">
      <c r="A7512" s="2" t="s">
        <v>9068</v>
      </c>
      <c r="B7512" s="2" t="s">
        <v>9086</v>
      </c>
      <c r="C7512" s="2" t="s">
        <v>2630</v>
      </c>
      <c r="D7512" s="2" t="s">
        <v>10</v>
      </c>
      <c r="E7512" s="2" t="s">
        <v>16</v>
      </c>
      <c r="F7512" s="2">
        <v>1</v>
      </c>
      <c r="G7512" s="2" t="s">
        <v>17</v>
      </c>
    </row>
    <row r="7513" spans="1:7" x14ac:dyDescent="0.2">
      <c r="A7513" s="2" t="s">
        <v>9068</v>
      </c>
      <c r="B7513" s="2" t="s">
        <v>9087</v>
      </c>
      <c r="C7513" s="2" t="s">
        <v>2630</v>
      </c>
      <c r="D7513" s="2" t="s">
        <v>10</v>
      </c>
      <c r="E7513" s="2" t="s">
        <v>16</v>
      </c>
      <c r="F7513" s="2">
        <v>1</v>
      </c>
      <c r="G7513" s="2" t="s">
        <v>17</v>
      </c>
    </row>
    <row r="7514" spans="1:7" x14ac:dyDescent="0.2">
      <c r="A7514" s="2" t="s">
        <v>9068</v>
      </c>
      <c r="B7514" s="2" t="s">
        <v>5229</v>
      </c>
      <c r="C7514" s="2" t="s">
        <v>5230</v>
      </c>
      <c r="D7514" s="2" t="s">
        <v>10</v>
      </c>
      <c r="E7514" s="2" t="s">
        <v>16</v>
      </c>
      <c r="F7514" s="2">
        <v>1</v>
      </c>
      <c r="G7514" s="2" t="s">
        <v>17</v>
      </c>
    </row>
    <row r="7515" spans="1:7" x14ac:dyDescent="0.2">
      <c r="A7515" s="2" t="s">
        <v>9068</v>
      </c>
      <c r="B7515" s="2" t="s">
        <v>9088</v>
      </c>
      <c r="C7515" s="2" t="s">
        <v>5230</v>
      </c>
      <c r="D7515" s="2" t="s">
        <v>10</v>
      </c>
      <c r="E7515" s="2" t="s">
        <v>16</v>
      </c>
      <c r="F7515" s="2">
        <v>1</v>
      </c>
      <c r="G7515" s="2" t="s">
        <v>17</v>
      </c>
    </row>
    <row r="7516" spans="1:7" x14ac:dyDescent="0.2">
      <c r="A7516" s="2" t="s">
        <v>9068</v>
      </c>
      <c r="B7516" s="2" t="s">
        <v>9089</v>
      </c>
      <c r="C7516" s="2" t="s">
        <v>5230</v>
      </c>
      <c r="D7516" s="2" t="s">
        <v>10</v>
      </c>
      <c r="E7516" s="2" t="s">
        <v>16</v>
      </c>
      <c r="F7516" s="2">
        <v>1</v>
      </c>
      <c r="G7516" s="2" t="s">
        <v>17</v>
      </c>
    </row>
    <row r="7517" spans="1:7" x14ac:dyDescent="0.2">
      <c r="A7517" s="2" t="s">
        <v>9068</v>
      </c>
      <c r="B7517" s="2" t="s">
        <v>9090</v>
      </c>
      <c r="C7517" s="2" t="s">
        <v>9076</v>
      </c>
      <c r="D7517" s="2" t="s">
        <v>10</v>
      </c>
      <c r="E7517" s="2" t="s">
        <v>16</v>
      </c>
      <c r="F7517" s="2">
        <v>1</v>
      </c>
      <c r="G7517" s="2" t="s">
        <v>17</v>
      </c>
    </row>
    <row r="7518" spans="1:7" x14ac:dyDescent="0.2">
      <c r="A7518" s="2" t="s">
        <v>9068</v>
      </c>
      <c r="B7518" s="2" t="s">
        <v>9091</v>
      </c>
      <c r="C7518" s="2" t="s">
        <v>9076</v>
      </c>
      <c r="D7518" s="2" t="s">
        <v>10</v>
      </c>
      <c r="E7518" s="2" t="s">
        <v>16</v>
      </c>
      <c r="F7518" s="2">
        <v>1</v>
      </c>
      <c r="G7518" s="2" t="s">
        <v>17</v>
      </c>
    </row>
    <row r="7519" spans="1:7" x14ac:dyDescent="0.2">
      <c r="A7519" s="2" t="s">
        <v>9068</v>
      </c>
      <c r="B7519" s="2" t="s">
        <v>9092</v>
      </c>
      <c r="C7519" s="2" t="s">
        <v>9076</v>
      </c>
      <c r="D7519" s="2" t="s">
        <v>10</v>
      </c>
      <c r="E7519" s="2" t="s">
        <v>16</v>
      </c>
      <c r="F7519" s="2">
        <v>1</v>
      </c>
      <c r="G7519" s="2" t="s">
        <v>17</v>
      </c>
    </row>
    <row r="7520" spans="1:7" x14ac:dyDescent="0.2">
      <c r="A7520" s="2" t="s">
        <v>9068</v>
      </c>
      <c r="B7520" s="2" t="s">
        <v>9093</v>
      </c>
      <c r="C7520" s="2" t="s">
        <v>9076</v>
      </c>
      <c r="D7520" s="2" t="s">
        <v>10</v>
      </c>
      <c r="E7520" s="2" t="s">
        <v>16</v>
      </c>
      <c r="F7520" s="2">
        <v>1</v>
      </c>
      <c r="G7520" s="2" t="s">
        <v>17</v>
      </c>
    </row>
    <row r="7521" spans="1:7" x14ac:dyDescent="0.2">
      <c r="A7521" s="2" t="s">
        <v>9068</v>
      </c>
      <c r="B7521" s="2" t="s">
        <v>9094</v>
      </c>
      <c r="C7521" s="2" t="s">
        <v>9076</v>
      </c>
      <c r="D7521" s="2" t="s">
        <v>10</v>
      </c>
      <c r="E7521" s="2" t="s">
        <v>16</v>
      </c>
      <c r="F7521" s="2">
        <v>1</v>
      </c>
      <c r="G7521" s="2" t="s">
        <v>17</v>
      </c>
    </row>
    <row r="7522" spans="1:7" x14ac:dyDescent="0.2">
      <c r="A7522" s="2" t="s">
        <v>9068</v>
      </c>
      <c r="B7522" s="2" t="s">
        <v>9095</v>
      </c>
      <c r="C7522" s="2" t="s">
        <v>9073</v>
      </c>
      <c r="D7522" s="2" t="s">
        <v>10</v>
      </c>
      <c r="E7522" s="2" t="s">
        <v>16</v>
      </c>
      <c r="F7522" s="2">
        <v>1</v>
      </c>
      <c r="G7522" s="2" t="s">
        <v>17</v>
      </c>
    </row>
    <row r="7523" spans="1:7" x14ac:dyDescent="0.2">
      <c r="A7523" s="2" t="s">
        <v>9068</v>
      </c>
      <c r="B7523" s="2" t="s">
        <v>9096</v>
      </c>
      <c r="C7523" s="2" t="s">
        <v>9073</v>
      </c>
      <c r="D7523" s="2" t="s">
        <v>10</v>
      </c>
      <c r="E7523" s="2" t="s">
        <v>16</v>
      </c>
      <c r="F7523" s="2">
        <v>1</v>
      </c>
      <c r="G7523" s="2" t="s">
        <v>17</v>
      </c>
    </row>
    <row r="7524" spans="1:7" x14ac:dyDescent="0.2">
      <c r="A7524" s="2" t="s">
        <v>9068</v>
      </c>
      <c r="B7524" s="2" t="s">
        <v>9097</v>
      </c>
      <c r="C7524" s="2" t="s">
        <v>9073</v>
      </c>
      <c r="D7524" s="2" t="s">
        <v>10</v>
      </c>
      <c r="E7524" s="2" t="s">
        <v>16</v>
      </c>
      <c r="F7524" s="2">
        <v>1</v>
      </c>
      <c r="G7524" s="2" t="s">
        <v>17</v>
      </c>
    </row>
    <row r="7525" spans="1:7" x14ac:dyDescent="0.2">
      <c r="A7525" s="2" t="s">
        <v>9068</v>
      </c>
      <c r="B7525" s="2" t="s">
        <v>9098</v>
      </c>
      <c r="C7525" s="2" t="s">
        <v>9073</v>
      </c>
      <c r="D7525" s="2" t="s">
        <v>10</v>
      </c>
      <c r="E7525" s="2" t="s">
        <v>16</v>
      </c>
      <c r="F7525" s="2">
        <v>1</v>
      </c>
      <c r="G7525" s="2" t="s">
        <v>17</v>
      </c>
    </row>
    <row r="7526" spans="1:7" x14ac:dyDescent="0.2">
      <c r="A7526" s="2" t="s">
        <v>9068</v>
      </c>
      <c r="B7526" s="2" t="s">
        <v>9099</v>
      </c>
      <c r="C7526" s="2" t="s">
        <v>9079</v>
      </c>
      <c r="D7526" s="2" t="s">
        <v>10</v>
      </c>
      <c r="E7526" s="2" t="s">
        <v>16</v>
      </c>
      <c r="F7526" s="2">
        <v>1</v>
      </c>
      <c r="G7526" s="2" t="s">
        <v>17</v>
      </c>
    </row>
    <row r="7527" spans="1:7" x14ac:dyDescent="0.2">
      <c r="A7527" s="2" t="s">
        <v>9068</v>
      </c>
      <c r="B7527" s="2" t="s">
        <v>9100</v>
      </c>
      <c r="C7527" s="2" t="s">
        <v>9079</v>
      </c>
      <c r="D7527" s="2" t="s">
        <v>10</v>
      </c>
      <c r="E7527" s="2" t="s">
        <v>16</v>
      </c>
      <c r="F7527" s="2">
        <v>1</v>
      </c>
      <c r="G7527" s="2" t="s">
        <v>17</v>
      </c>
    </row>
    <row r="7528" spans="1:7" x14ac:dyDescent="0.2">
      <c r="A7528" s="2" t="s">
        <v>9068</v>
      </c>
      <c r="B7528" s="2" t="s">
        <v>3217</v>
      </c>
      <c r="C7528" s="2" t="s">
        <v>3218</v>
      </c>
      <c r="D7528" s="2" t="s">
        <v>10</v>
      </c>
      <c r="E7528" s="2" t="s">
        <v>16</v>
      </c>
      <c r="F7528" s="2">
        <v>1</v>
      </c>
      <c r="G7528" s="2" t="s">
        <v>17</v>
      </c>
    </row>
    <row r="7529" spans="1:7" x14ac:dyDescent="0.2">
      <c r="A7529" s="2" t="s">
        <v>9068</v>
      </c>
      <c r="B7529" s="2" t="s">
        <v>9101</v>
      </c>
      <c r="C7529" s="2" t="s">
        <v>3218</v>
      </c>
      <c r="D7529" s="2" t="s">
        <v>10</v>
      </c>
      <c r="E7529" s="2" t="s">
        <v>16</v>
      </c>
      <c r="F7529" s="2">
        <v>1</v>
      </c>
      <c r="G7529" s="2" t="s">
        <v>17</v>
      </c>
    </row>
    <row r="7530" spans="1:7" x14ac:dyDescent="0.2">
      <c r="A7530" s="2" t="s">
        <v>9068</v>
      </c>
      <c r="B7530" s="2" t="s">
        <v>9102</v>
      </c>
      <c r="C7530" s="2" t="s">
        <v>9103</v>
      </c>
      <c r="D7530" s="2" t="s">
        <v>10</v>
      </c>
      <c r="E7530" s="2" t="s">
        <v>16</v>
      </c>
      <c r="F7530" s="2">
        <v>1</v>
      </c>
      <c r="G7530" s="2" t="s">
        <v>17</v>
      </c>
    </row>
    <row r="7531" spans="1:7" x14ac:dyDescent="0.2">
      <c r="A7531" s="2" t="s">
        <v>9068</v>
      </c>
      <c r="B7531" s="2" t="s">
        <v>9104</v>
      </c>
      <c r="C7531" s="2" t="s">
        <v>3218</v>
      </c>
      <c r="D7531" s="2" t="s">
        <v>10</v>
      </c>
      <c r="E7531" s="2" t="s">
        <v>16</v>
      </c>
      <c r="F7531" s="2">
        <v>1</v>
      </c>
      <c r="G7531" s="2" t="s">
        <v>17</v>
      </c>
    </row>
    <row r="7532" spans="1:7" x14ac:dyDescent="0.2">
      <c r="A7532" s="2" t="s">
        <v>9068</v>
      </c>
      <c r="B7532" s="2" t="s">
        <v>9105</v>
      </c>
      <c r="C7532" s="2" t="s">
        <v>9076</v>
      </c>
      <c r="D7532" s="2" t="s">
        <v>10</v>
      </c>
      <c r="E7532" s="2" t="s">
        <v>16</v>
      </c>
      <c r="F7532" s="2">
        <v>1</v>
      </c>
      <c r="G7532" s="2" t="s">
        <v>17</v>
      </c>
    </row>
    <row r="7533" spans="1:7" x14ac:dyDescent="0.2">
      <c r="A7533" s="2" t="s">
        <v>9068</v>
      </c>
      <c r="B7533" s="2" t="s">
        <v>4210</v>
      </c>
      <c r="C7533" s="2" t="s">
        <v>2630</v>
      </c>
      <c r="D7533" s="2" t="s">
        <v>10</v>
      </c>
      <c r="E7533" s="2" t="s">
        <v>16</v>
      </c>
      <c r="F7533" s="2">
        <v>1</v>
      </c>
      <c r="G7533" s="2" t="s">
        <v>17</v>
      </c>
    </row>
    <row r="7534" spans="1:7" x14ac:dyDescent="0.2">
      <c r="A7534" s="2" t="s">
        <v>9068</v>
      </c>
      <c r="B7534" s="2" t="s">
        <v>4384</v>
      </c>
      <c r="C7534" s="2" t="s">
        <v>9103</v>
      </c>
      <c r="D7534" s="2" t="s">
        <v>10</v>
      </c>
      <c r="E7534" s="2" t="s">
        <v>16</v>
      </c>
      <c r="F7534" s="2">
        <v>1</v>
      </c>
      <c r="G7534" s="2" t="s">
        <v>17</v>
      </c>
    </row>
    <row r="7535" spans="1:7" x14ac:dyDescent="0.2">
      <c r="A7535" s="2" t="s">
        <v>9068</v>
      </c>
      <c r="B7535" s="2" t="s">
        <v>9106</v>
      </c>
      <c r="C7535" s="2" t="s">
        <v>9076</v>
      </c>
      <c r="D7535" s="2" t="s">
        <v>10</v>
      </c>
      <c r="E7535" s="2" t="s">
        <v>16</v>
      </c>
      <c r="F7535" s="2">
        <v>1</v>
      </c>
      <c r="G7535" s="2" t="s">
        <v>17</v>
      </c>
    </row>
    <row r="7536" spans="1:7" x14ac:dyDescent="0.2">
      <c r="A7536" s="2" t="s">
        <v>9068</v>
      </c>
      <c r="B7536" s="2" t="s">
        <v>9107</v>
      </c>
      <c r="C7536" s="2" t="s">
        <v>5230</v>
      </c>
      <c r="D7536" s="2" t="s">
        <v>10</v>
      </c>
      <c r="E7536" s="2" t="s">
        <v>16</v>
      </c>
      <c r="F7536" s="2">
        <v>1</v>
      </c>
      <c r="G7536" s="2" t="s">
        <v>17</v>
      </c>
    </row>
    <row r="7537" spans="1:7" x14ac:dyDescent="0.2">
      <c r="A7537" s="2" t="s">
        <v>9068</v>
      </c>
      <c r="B7537" s="2" t="s">
        <v>9108</v>
      </c>
      <c r="C7537" s="2" t="s">
        <v>3218</v>
      </c>
      <c r="D7537" s="2" t="s">
        <v>10</v>
      </c>
      <c r="E7537" s="2" t="s">
        <v>16</v>
      </c>
      <c r="F7537" s="2">
        <v>1</v>
      </c>
      <c r="G7537" s="2" t="s">
        <v>17</v>
      </c>
    </row>
    <row r="7538" spans="1:7" x14ac:dyDescent="0.2">
      <c r="A7538" s="2" t="s">
        <v>9068</v>
      </c>
      <c r="B7538" s="2" t="s">
        <v>9109</v>
      </c>
      <c r="C7538" s="2" t="s">
        <v>9079</v>
      </c>
      <c r="D7538" s="2" t="s">
        <v>10</v>
      </c>
      <c r="E7538" s="2" t="s">
        <v>16</v>
      </c>
      <c r="F7538" s="2">
        <v>1</v>
      </c>
      <c r="G7538" s="2" t="s">
        <v>17</v>
      </c>
    </row>
    <row r="7539" spans="1:7" x14ac:dyDescent="0.2">
      <c r="A7539" s="2" t="s">
        <v>9110</v>
      </c>
      <c r="B7539" s="2" t="s">
        <v>9111</v>
      </c>
      <c r="C7539" s="2" t="s">
        <v>9112</v>
      </c>
      <c r="D7539" s="2" t="s">
        <v>10</v>
      </c>
      <c r="E7539" s="2" t="s">
        <v>16</v>
      </c>
      <c r="F7539" s="2">
        <v>1</v>
      </c>
      <c r="G7539" s="2" t="s">
        <v>17</v>
      </c>
    </row>
    <row r="7540" spans="1:7" x14ac:dyDescent="0.2">
      <c r="A7540" s="2" t="s">
        <v>9110</v>
      </c>
      <c r="B7540" s="2" t="s">
        <v>5993</v>
      </c>
      <c r="C7540" s="2" t="s">
        <v>5994</v>
      </c>
      <c r="D7540" s="2" t="s">
        <v>10</v>
      </c>
      <c r="E7540" s="2" t="s">
        <v>16</v>
      </c>
      <c r="F7540" s="2">
        <v>1</v>
      </c>
      <c r="G7540" s="2" t="s">
        <v>17</v>
      </c>
    </row>
    <row r="7541" spans="1:7" x14ac:dyDescent="0.2">
      <c r="A7541" s="2" t="s">
        <v>9110</v>
      </c>
      <c r="B7541" s="2" t="s">
        <v>9113</v>
      </c>
      <c r="C7541" s="2" t="s">
        <v>5994</v>
      </c>
      <c r="D7541" s="2" t="s">
        <v>10</v>
      </c>
      <c r="E7541" s="2" t="s">
        <v>16</v>
      </c>
      <c r="F7541" s="2">
        <v>1</v>
      </c>
      <c r="G7541" s="2" t="s">
        <v>17</v>
      </c>
    </row>
    <row r="7542" spans="1:7" x14ac:dyDescent="0.2">
      <c r="A7542" s="2" t="s">
        <v>9114</v>
      </c>
      <c r="B7542" s="2" t="s">
        <v>9115</v>
      </c>
      <c r="C7542" s="2" t="s">
        <v>9116</v>
      </c>
      <c r="D7542" s="2" t="s">
        <v>10</v>
      </c>
      <c r="E7542" s="2" t="s">
        <v>16</v>
      </c>
      <c r="F7542" s="2">
        <v>1</v>
      </c>
      <c r="G7542" s="2" t="s">
        <v>17</v>
      </c>
    </row>
    <row r="7543" spans="1:7" x14ac:dyDescent="0.2">
      <c r="A7543" s="2" t="s">
        <v>9114</v>
      </c>
      <c r="B7543" s="2" t="s">
        <v>9117</v>
      </c>
      <c r="C7543" s="2" t="s">
        <v>9118</v>
      </c>
      <c r="D7543" s="2" t="s">
        <v>10</v>
      </c>
      <c r="E7543" s="2" t="s">
        <v>16</v>
      </c>
      <c r="F7543" s="2">
        <v>1</v>
      </c>
      <c r="G7543" s="2" t="s">
        <v>17</v>
      </c>
    </row>
    <row r="7544" spans="1:7" x14ac:dyDescent="0.2">
      <c r="A7544" s="2" t="s">
        <v>9114</v>
      </c>
      <c r="B7544" s="2" t="s">
        <v>9119</v>
      </c>
      <c r="C7544" s="2" t="s">
        <v>9120</v>
      </c>
      <c r="D7544" s="2" t="s">
        <v>10</v>
      </c>
      <c r="E7544" s="2" t="s">
        <v>16</v>
      </c>
      <c r="F7544" s="2">
        <v>1</v>
      </c>
      <c r="G7544" s="2" t="s">
        <v>17</v>
      </c>
    </row>
    <row r="7545" spans="1:7" x14ac:dyDescent="0.2">
      <c r="A7545" s="2" t="s">
        <v>9114</v>
      </c>
      <c r="B7545" s="2" t="s">
        <v>9121</v>
      </c>
      <c r="C7545" s="2" t="s">
        <v>9116</v>
      </c>
      <c r="D7545" s="2" t="s">
        <v>10</v>
      </c>
      <c r="E7545" s="2" t="s">
        <v>16</v>
      </c>
      <c r="F7545" s="2">
        <v>1</v>
      </c>
      <c r="G7545" s="2" t="s">
        <v>17</v>
      </c>
    </row>
    <row r="7546" spans="1:7" x14ac:dyDescent="0.2">
      <c r="A7546" s="2" t="s">
        <v>9114</v>
      </c>
      <c r="B7546" s="2" t="s">
        <v>9122</v>
      </c>
      <c r="C7546" s="2" t="s">
        <v>9123</v>
      </c>
      <c r="D7546" s="2" t="s">
        <v>10</v>
      </c>
      <c r="E7546" s="2" t="s">
        <v>16</v>
      </c>
      <c r="F7546" s="2">
        <v>1</v>
      </c>
      <c r="G7546" s="2" t="s">
        <v>17</v>
      </c>
    </row>
    <row r="7547" spans="1:7" x14ac:dyDescent="0.2">
      <c r="A7547" s="2" t="s">
        <v>9114</v>
      </c>
      <c r="B7547" s="2" t="s">
        <v>9124</v>
      </c>
      <c r="C7547" s="2" t="s">
        <v>9118</v>
      </c>
      <c r="D7547" s="2" t="s">
        <v>10</v>
      </c>
      <c r="E7547" s="2" t="s">
        <v>16</v>
      </c>
      <c r="F7547" s="2">
        <v>1</v>
      </c>
      <c r="G7547" s="2" t="s">
        <v>17</v>
      </c>
    </row>
    <row r="7548" spans="1:7" x14ac:dyDescent="0.2">
      <c r="A7548" s="2" t="s">
        <v>9114</v>
      </c>
      <c r="B7548" s="2" t="s">
        <v>4976</v>
      </c>
      <c r="C7548" s="2" t="s">
        <v>4977</v>
      </c>
      <c r="D7548" s="2" t="s">
        <v>10</v>
      </c>
      <c r="E7548" s="2" t="s">
        <v>16</v>
      </c>
      <c r="F7548" s="2">
        <v>1</v>
      </c>
      <c r="G7548" s="2" t="s">
        <v>17</v>
      </c>
    </row>
    <row r="7549" spans="1:7" x14ac:dyDescent="0.2">
      <c r="A7549" s="2" t="s">
        <v>9114</v>
      </c>
      <c r="B7549" s="2" t="s">
        <v>9125</v>
      </c>
      <c r="C7549" s="2" t="s">
        <v>9126</v>
      </c>
      <c r="D7549" s="2" t="s">
        <v>10</v>
      </c>
      <c r="E7549" s="2" t="s">
        <v>16</v>
      </c>
      <c r="F7549" s="2">
        <v>1</v>
      </c>
      <c r="G7549" s="2" t="s">
        <v>17</v>
      </c>
    </row>
    <row r="7550" spans="1:7" x14ac:dyDescent="0.2">
      <c r="A7550" s="2" t="s">
        <v>9114</v>
      </c>
      <c r="B7550" s="2" t="s">
        <v>9127</v>
      </c>
      <c r="C7550" s="2" t="s">
        <v>9128</v>
      </c>
      <c r="D7550" s="2" t="s">
        <v>10</v>
      </c>
      <c r="E7550" s="2" t="s">
        <v>16</v>
      </c>
      <c r="F7550" s="2">
        <v>1</v>
      </c>
      <c r="G7550" s="2" t="s">
        <v>17</v>
      </c>
    </row>
    <row r="7551" spans="1:7" x14ac:dyDescent="0.2">
      <c r="A7551" s="2" t="s">
        <v>9114</v>
      </c>
      <c r="B7551" s="2" t="s">
        <v>9129</v>
      </c>
      <c r="C7551" s="2" t="s">
        <v>9128</v>
      </c>
      <c r="D7551" s="2" t="s">
        <v>10</v>
      </c>
      <c r="E7551" s="2" t="s">
        <v>16</v>
      </c>
      <c r="F7551" s="2">
        <v>1</v>
      </c>
      <c r="G7551" s="2" t="s">
        <v>17</v>
      </c>
    </row>
    <row r="7552" spans="1:7" x14ac:dyDescent="0.2">
      <c r="A7552" s="2" t="s">
        <v>9114</v>
      </c>
      <c r="B7552" s="2" t="s">
        <v>9130</v>
      </c>
      <c r="C7552" s="2" t="s">
        <v>9128</v>
      </c>
      <c r="D7552" s="2" t="s">
        <v>10</v>
      </c>
      <c r="E7552" s="2" t="s">
        <v>16</v>
      </c>
      <c r="F7552" s="2">
        <v>1</v>
      </c>
      <c r="G7552" s="2" t="s">
        <v>17</v>
      </c>
    </row>
    <row r="7553" spans="1:7" x14ac:dyDescent="0.2">
      <c r="A7553" s="2" t="s">
        <v>9114</v>
      </c>
      <c r="B7553" s="2" t="s">
        <v>9131</v>
      </c>
      <c r="C7553" s="2" t="s">
        <v>9126</v>
      </c>
      <c r="D7553" s="2" t="s">
        <v>10</v>
      </c>
      <c r="E7553" s="2" t="s">
        <v>16</v>
      </c>
      <c r="F7553" s="2">
        <v>1</v>
      </c>
      <c r="G7553" s="2" t="s">
        <v>17</v>
      </c>
    </row>
    <row r="7554" spans="1:7" x14ac:dyDescent="0.2">
      <c r="A7554" s="2" t="s">
        <v>9114</v>
      </c>
      <c r="B7554" s="2" t="s">
        <v>9132</v>
      </c>
      <c r="C7554" s="2" t="s">
        <v>9123</v>
      </c>
      <c r="D7554" s="2" t="s">
        <v>10</v>
      </c>
      <c r="E7554" s="2" t="s">
        <v>16</v>
      </c>
      <c r="F7554" s="2">
        <v>1</v>
      </c>
      <c r="G7554" s="2" t="s">
        <v>17</v>
      </c>
    </row>
    <row r="7555" spans="1:7" x14ac:dyDescent="0.2">
      <c r="A7555" s="2" t="s">
        <v>9114</v>
      </c>
      <c r="B7555" s="2" t="s">
        <v>9133</v>
      </c>
      <c r="C7555" s="2" t="s">
        <v>9128</v>
      </c>
      <c r="D7555" s="2" t="s">
        <v>10</v>
      </c>
      <c r="E7555" s="2" t="s">
        <v>16</v>
      </c>
      <c r="F7555" s="2">
        <v>1</v>
      </c>
      <c r="G7555" s="2" t="s">
        <v>17</v>
      </c>
    </row>
    <row r="7556" spans="1:7" x14ac:dyDescent="0.2">
      <c r="A7556" s="2" t="s">
        <v>9114</v>
      </c>
      <c r="B7556" s="2" t="s">
        <v>9134</v>
      </c>
      <c r="C7556" s="2" t="s">
        <v>9120</v>
      </c>
      <c r="D7556" s="2" t="s">
        <v>10</v>
      </c>
      <c r="E7556" s="2" t="s">
        <v>16</v>
      </c>
      <c r="F7556" s="2">
        <v>1</v>
      </c>
      <c r="G7556" s="2" t="s">
        <v>17</v>
      </c>
    </row>
    <row r="7557" spans="1:7" x14ac:dyDescent="0.2">
      <c r="A7557" s="2" t="s">
        <v>9114</v>
      </c>
      <c r="B7557" s="2" t="s">
        <v>9135</v>
      </c>
      <c r="C7557" s="2" t="s">
        <v>9136</v>
      </c>
      <c r="D7557" s="2" t="s">
        <v>10</v>
      </c>
      <c r="E7557" s="2" t="s">
        <v>16</v>
      </c>
      <c r="F7557" s="2">
        <v>1</v>
      </c>
      <c r="G7557" s="2" t="s">
        <v>17</v>
      </c>
    </row>
    <row r="7558" spans="1:7" x14ac:dyDescent="0.2">
      <c r="A7558" s="2" t="s">
        <v>9114</v>
      </c>
      <c r="B7558" s="2" t="s">
        <v>9137</v>
      </c>
      <c r="C7558" s="2" t="s">
        <v>9136</v>
      </c>
      <c r="D7558" s="2" t="s">
        <v>10</v>
      </c>
      <c r="E7558" s="2" t="s">
        <v>16</v>
      </c>
      <c r="F7558" s="2">
        <v>1</v>
      </c>
      <c r="G7558" s="2" t="s">
        <v>17</v>
      </c>
    </row>
    <row r="7559" spans="1:7" x14ac:dyDescent="0.2">
      <c r="A7559" s="2" t="s">
        <v>9138</v>
      </c>
      <c r="B7559" s="2" t="s">
        <v>9139</v>
      </c>
      <c r="C7559" s="2" t="s">
        <v>9140</v>
      </c>
      <c r="D7559" s="2" t="s">
        <v>10</v>
      </c>
      <c r="E7559" s="2" t="s">
        <v>11</v>
      </c>
      <c r="F7559" s="2">
        <v>2</v>
      </c>
      <c r="G7559" s="2" t="s">
        <v>12</v>
      </c>
    </row>
    <row r="7560" spans="1:7" x14ac:dyDescent="0.2">
      <c r="A7560" s="2" t="s">
        <v>9138</v>
      </c>
      <c r="B7560" s="2" t="s">
        <v>1754</v>
      </c>
      <c r="C7560" s="2" t="s">
        <v>1755</v>
      </c>
      <c r="D7560" s="2" t="s">
        <v>10</v>
      </c>
      <c r="E7560" s="2" t="s">
        <v>52</v>
      </c>
      <c r="F7560" s="2">
        <v>1</v>
      </c>
      <c r="G7560" s="2" t="s">
        <v>17</v>
      </c>
    </row>
    <row r="7561" spans="1:7" x14ac:dyDescent="0.2">
      <c r="A7561" s="2" t="s">
        <v>9138</v>
      </c>
      <c r="B7561" s="2" t="s">
        <v>9141</v>
      </c>
      <c r="C7561" s="2" t="s">
        <v>1755</v>
      </c>
      <c r="D7561" s="2" t="s">
        <v>10</v>
      </c>
      <c r="E7561" s="2" t="s">
        <v>52</v>
      </c>
      <c r="F7561" s="2">
        <v>1</v>
      </c>
      <c r="G7561" s="2" t="s">
        <v>17</v>
      </c>
    </row>
    <row r="7562" spans="1:7" x14ac:dyDescent="0.2">
      <c r="A7562" s="2" t="s">
        <v>9138</v>
      </c>
      <c r="B7562" s="2" t="s">
        <v>9142</v>
      </c>
      <c r="C7562" s="2" t="s">
        <v>5377</v>
      </c>
      <c r="D7562" s="2" t="s">
        <v>10</v>
      </c>
      <c r="E7562" s="2" t="s">
        <v>52</v>
      </c>
      <c r="F7562" s="2">
        <v>1</v>
      </c>
      <c r="G7562" s="2" t="s">
        <v>17</v>
      </c>
    </row>
    <row r="7563" spans="1:7" x14ac:dyDescent="0.2">
      <c r="A7563" s="2" t="s">
        <v>9138</v>
      </c>
      <c r="B7563" s="2" t="s">
        <v>1925</v>
      </c>
      <c r="C7563" s="2" t="s">
        <v>9143</v>
      </c>
      <c r="D7563" s="2" t="s">
        <v>10</v>
      </c>
      <c r="E7563" s="2" t="s">
        <v>52</v>
      </c>
      <c r="F7563" s="2">
        <v>1</v>
      </c>
      <c r="G7563" s="2" t="s">
        <v>17</v>
      </c>
    </row>
    <row r="7564" spans="1:7" x14ac:dyDescent="0.2">
      <c r="A7564" s="2" t="s">
        <v>9138</v>
      </c>
      <c r="B7564" s="2" t="s">
        <v>9144</v>
      </c>
      <c r="C7564" s="2" t="s">
        <v>6406</v>
      </c>
      <c r="D7564" s="2" t="s">
        <v>10</v>
      </c>
      <c r="E7564" s="2" t="s">
        <v>52</v>
      </c>
      <c r="F7564" s="2">
        <v>1</v>
      </c>
      <c r="G7564" s="2" t="s">
        <v>17</v>
      </c>
    </row>
    <row r="7565" spans="1:7" x14ac:dyDescent="0.2">
      <c r="A7565" s="2" t="s">
        <v>9138</v>
      </c>
      <c r="B7565" s="2" t="s">
        <v>8910</v>
      </c>
      <c r="C7565" s="2" t="s">
        <v>9145</v>
      </c>
      <c r="D7565" s="2" t="s">
        <v>10</v>
      </c>
      <c r="E7565" s="2" t="s">
        <v>16</v>
      </c>
      <c r="F7565" s="2">
        <v>1</v>
      </c>
      <c r="G7565" s="2" t="s">
        <v>17</v>
      </c>
    </row>
    <row r="7566" spans="1:7" x14ac:dyDescent="0.2">
      <c r="A7566" s="2" t="s">
        <v>9138</v>
      </c>
      <c r="B7566" s="2" t="s">
        <v>9146</v>
      </c>
      <c r="C7566" s="2" t="s">
        <v>9147</v>
      </c>
      <c r="D7566" s="2" t="s">
        <v>10</v>
      </c>
      <c r="E7566" s="2" t="s">
        <v>16</v>
      </c>
      <c r="F7566" s="2">
        <v>1</v>
      </c>
      <c r="G7566" s="2" t="s">
        <v>17</v>
      </c>
    </row>
    <row r="7567" spans="1:7" x14ac:dyDescent="0.2">
      <c r="A7567" s="2" t="s">
        <v>9138</v>
      </c>
      <c r="B7567" s="2" t="s">
        <v>9148</v>
      </c>
      <c r="C7567" s="2" t="s">
        <v>9149</v>
      </c>
      <c r="D7567" s="2" t="s">
        <v>10</v>
      </c>
      <c r="E7567" s="2" t="s">
        <v>16</v>
      </c>
      <c r="F7567" s="2">
        <v>1</v>
      </c>
      <c r="G7567" s="2" t="s">
        <v>17</v>
      </c>
    </row>
    <row r="7568" spans="1:7" x14ac:dyDescent="0.2">
      <c r="A7568" s="2" t="s">
        <v>9138</v>
      </c>
      <c r="B7568" s="2" t="s">
        <v>9150</v>
      </c>
      <c r="C7568" s="2" t="s">
        <v>5377</v>
      </c>
      <c r="D7568" s="2" t="s">
        <v>10</v>
      </c>
      <c r="E7568" s="2" t="s">
        <v>52</v>
      </c>
      <c r="F7568" s="2">
        <v>1</v>
      </c>
      <c r="G7568" s="2" t="s">
        <v>17</v>
      </c>
    </row>
    <row r="7569" spans="1:7" x14ac:dyDescent="0.2">
      <c r="A7569" s="2" t="s">
        <v>9138</v>
      </c>
      <c r="B7569" s="2" t="s">
        <v>9151</v>
      </c>
      <c r="C7569" s="2" t="s">
        <v>5377</v>
      </c>
      <c r="D7569" s="2" t="s">
        <v>10</v>
      </c>
      <c r="E7569" s="2" t="s">
        <v>52</v>
      </c>
      <c r="F7569" s="2">
        <v>1</v>
      </c>
      <c r="G7569" s="2" t="s">
        <v>17</v>
      </c>
    </row>
    <row r="7570" spans="1:7" x14ac:dyDescent="0.2">
      <c r="A7570" s="2" t="s">
        <v>9138</v>
      </c>
      <c r="B7570" s="2" t="s">
        <v>9152</v>
      </c>
      <c r="C7570" s="2" t="s">
        <v>5377</v>
      </c>
      <c r="D7570" s="2" t="s">
        <v>10</v>
      </c>
      <c r="E7570" s="2" t="s">
        <v>52</v>
      </c>
      <c r="F7570" s="2">
        <v>1</v>
      </c>
      <c r="G7570" s="2" t="s">
        <v>17</v>
      </c>
    </row>
    <row r="7571" spans="1:7" x14ac:dyDescent="0.2">
      <c r="A7571" s="2" t="s">
        <v>9138</v>
      </c>
      <c r="B7571" s="2" t="s">
        <v>1765</v>
      </c>
      <c r="C7571" s="2" t="s">
        <v>1755</v>
      </c>
      <c r="D7571" s="2" t="s">
        <v>10</v>
      </c>
      <c r="E7571" s="2" t="s">
        <v>52</v>
      </c>
      <c r="F7571" s="2">
        <v>1</v>
      </c>
      <c r="G7571" s="2" t="s">
        <v>17</v>
      </c>
    </row>
    <row r="7572" spans="1:7" x14ac:dyDescent="0.2">
      <c r="A7572" s="2" t="s">
        <v>9138</v>
      </c>
      <c r="B7572" s="2" t="s">
        <v>9153</v>
      </c>
      <c r="C7572" s="2" t="s">
        <v>1755</v>
      </c>
      <c r="D7572" s="2" t="s">
        <v>10</v>
      </c>
      <c r="E7572" s="2" t="s">
        <v>52</v>
      </c>
      <c r="F7572" s="2">
        <v>1</v>
      </c>
      <c r="G7572" s="2" t="s">
        <v>17</v>
      </c>
    </row>
    <row r="7573" spans="1:7" x14ac:dyDescent="0.2">
      <c r="A7573" s="2" t="s">
        <v>9138</v>
      </c>
      <c r="B7573" s="2" t="s">
        <v>6405</v>
      </c>
      <c r="C7573" s="2" t="s">
        <v>6406</v>
      </c>
      <c r="D7573" s="2" t="s">
        <v>10</v>
      </c>
      <c r="E7573" s="2" t="s">
        <v>52</v>
      </c>
      <c r="F7573" s="2">
        <v>1</v>
      </c>
      <c r="G7573" s="2" t="s">
        <v>17</v>
      </c>
    </row>
    <row r="7574" spans="1:7" x14ac:dyDescent="0.2">
      <c r="A7574" s="2" t="s">
        <v>9138</v>
      </c>
      <c r="B7574" s="2" t="s">
        <v>9154</v>
      </c>
      <c r="C7574" s="2" t="s">
        <v>6406</v>
      </c>
      <c r="D7574" s="2" t="s">
        <v>10</v>
      </c>
      <c r="E7574" s="2" t="s">
        <v>52</v>
      </c>
      <c r="F7574" s="2">
        <v>1</v>
      </c>
      <c r="G7574" s="2" t="s">
        <v>17</v>
      </c>
    </row>
    <row r="7575" spans="1:7" x14ac:dyDescent="0.2">
      <c r="A7575" s="2" t="s">
        <v>9138</v>
      </c>
      <c r="B7575" s="2" t="s">
        <v>9155</v>
      </c>
      <c r="C7575" s="2" t="s">
        <v>9143</v>
      </c>
      <c r="D7575" s="2" t="s">
        <v>10</v>
      </c>
      <c r="E7575" s="2" t="s">
        <v>52</v>
      </c>
      <c r="F7575" s="2">
        <v>1</v>
      </c>
      <c r="G7575" s="2" t="s">
        <v>17</v>
      </c>
    </row>
    <row r="7576" spans="1:7" x14ac:dyDescent="0.2">
      <c r="A7576" s="2" t="s">
        <v>9138</v>
      </c>
      <c r="B7576" s="2" t="s">
        <v>9156</v>
      </c>
      <c r="C7576" s="2" t="s">
        <v>9143</v>
      </c>
      <c r="D7576" s="2" t="s">
        <v>10</v>
      </c>
      <c r="E7576" s="2" t="s">
        <v>52</v>
      </c>
      <c r="F7576" s="2">
        <v>1</v>
      </c>
      <c r="G7576" s="2" t="s">
        <v>17</v>
      </c>
    </row>
    <row r="7577" spans="1:7" x14ac:dyDescent="0.2">
      <c r="A7577" s="2" t="s">
        <v>9138</v>
      </c>
      <c r="B7577" s="2" t="s">
        <v>9157</v>
      </c>
      <c r="C7577" s="2" t="s">
        <v>9143</v>
      </c>
      <c r="D7577" s="2" t="s">
        <v>10</v>
      </c>
      <c r="E7577" s="2" t="s">
        <v>52</v>
      </c>
      <c r="F7577" s="2">
        <v>1</v>
      </c>
      <c r="G7577" s="2" t="s">
        <v>17</v>
      </c>
    </row>
    <row r="7578" spans="1:7" x14ac:dyDescent="0.2">
      <c r="A7578" s="2" t="s">
        <v>9138</v>
      </c>
      <c r="B7578" s="2" t="s">
        <v>9158</v>
      </c>
      <c r="C7578" s="2" t="s">
        <v>9159</v>
      </c>
      <c r="D7578" s="2" t="s">
        <v>10</v>
      </c>
      <c r="E7578" s="2" t="s">
        <v>52</v>
      </c>
      <c r="F7578" s="2">
        <v>1</v>
      </c>
      <c r="G7578" s="2" t="s">
        <v>17</v>
      </c>
    </row>
    <row r="7579" spans="1:7" x14ac:dyDescent="0.2">
      <c r="A7579" s="2" t="s">
        <v>9138</v>
      </c>
      <c r="B7579" s="2" t="s">
        <v>9160</v>
      </c>
      <c r="C7579" s="2" t="s">
        <v>9149</v>
      </c>
      <c r="D7579" s="2" t="s">
        <v>10</v>
      </c>
      <c r="E7579" s="2" t="s">
        <v>16</v>
      </c>
      <c r="F7579" s="2">
        <v>1</v>
      </c>
      <c r="G7579" s="2" t="s">
        <v>17</v>
      </c>
    </row>
    <row r="7580" spans="1:7" x14ac:dyDescent="0.2">
      <c r="A7580" s="2" t="s">
        <v>9138</v>
      </c>
      <c r="B7580" s="2" t="s">
        <v>7727</v>
      </c>
      <c r="C7580" s="2" t="s">
        <v>9143</v>
      </c>
      <c r="D7580" s="2" t="s">
        <v>10</v>
      </c>
      <c r="E7580" s="2" t="s">
        <v>52</v>
      </c>
      <c r="F7580" s="2">
        <v>1</v>
      </c>
      <c r="G7580" s="2" t="s">
        <v>17</v>
      </c>
    </row>
    <row r="7581" spans="1:7" x14ac:dyDescent="0.2">
      <c r="A7581" s="2" t="s">
        <v>9138</v>
      </c>
      <c r="B7581" s="2" t="s">
        <v>9161</v>
      </c>
      <c r="C7581" s="2" t="s">
        <v>1755</v>
      </c>
      <c r="D7581" s="2" t="s">
        <v>10</v>
      </c>
      <c r="E7581" s="2" t="s">
        <v>52</v>
      </c>
      <c r="F7581" s="2">
        <v>1</v>
      </c>
      <c r="G7581" s="2" t="s">
        <v>17</v>
      </c>
    </row>
    <row r="7582" spans="1:7" x14ac:dyDescent="0.2">
      <c r="A7582" s="2" t="s">
        <v>9138</v>
      </c>
      <c r="B7582" s="2" t="s">
        <v>9162</v>
      </c>
      <c r="C7582" s="2" t="s">
        <v>5377</v>
      </c>
      <c r="D7582" s="2" t="s">
        <v>10</v>
      </c>
      <c r="E7582" s="2" t="s">
        <v>52</v>
      </c>
      <c r="F7582" s="2">
        <v>1</v>
      </c>
      <c r="G7582" s="2" t="s">
        <v>17</v>
      </c>
    </row>
    <row r="7583" spans="1:7" x14ac:dyDescent="0.2">
      <c r="A7583" s="2" t="s">
        <v>9138</v>
      </c>
      <c r="B7583" s="2" t="s">
        <v>9163</v>
      </c>
      <c r="C7583" s="2" t="s">
        <v>9143</v>
      </c>
      <c r="D7583" s="2" t="s">
        <v>10</v>
      </c>
      <c r="E7583" s="2" t="s">
        <v>52</v>
      </c>
      <c r="F7583" s="2">
        <v>1</v>
      </c>
      <c r="G7583" s="2" t="s">
        <v>17</v>
      </c>
    </row>
    <row r="7584" spans="1:7" x14ac:dyDescent="0.2">
      <c r="A7584" s="2" t="s">
        <v>9138</v>
      </c>
      <c r="B7584" s="2" t="s">
        <v>9164</v>
      </c>
      <c r="C7584" s="2" t="s">
        <v>5377</v>
      </c>
      <c r="D7584" s="2" t="s">
        <v>10</v>
      </c>
      <c r="E7584" s="2" t="s">
        <v>52</v>
      </c>
      <c r="F7584" s="2">
        <v>1</v>
      </c>
      <c r="G7584" s="2" t="s">
        <v>17</v>
      </c>
    </row>
    <row r="7585" spans="1:7" x14ac:dyDescent="0.2">
      <c r="A7585" s="2" t="s">
        <v>9165</v>
      </c>
      <c r="B7585" s="2" t="s">
        <v>2010</v>
      </c>
      <c r="C7585" s="2" t="s">
        <v>2009</v>
      </c>
      <c r="D7585" s="2" t="s">
        <v>10</v>
      </c>
      <c r="E7585" s="2" t="s">
        <v>16</v>
      </c>
      <c r="F7585" s="2">
        <v>2</v>
      </c>
      <c r="G7585" s="2" t="s">
        <v>17</v>
      </c>
    </row>
    <row r="7586" spans="1:7" x14ac:dyDescent="0.2">
      <c r="A7586" s="2" t="s">
        <v>9165</v>
      </c>
      <c r="B7586" s="2" t="s">
        <v>1606</v>
      </c>
      <c r="C7586" s="2" t="s">
        <v>1607</v>
      </c>
      <c r="D7586" s="2" t="s">
        <v>10</v>
      </c>
      <c r="E7586" s="2" t="s">
        <v>16</v>
      </c>
      <c r="F7586" s="2">
        <v>3</v>
      </c>
      <c r="G7586" s="2" t="s">
        <v>17</v>
      </c>
    </row>
    <row r="7587" spans="1:7" x14ac:dyDescent="0.2">
      <c r="A7587" s="2" t="s">
        <v>9165</v>
      </c>
      <c r="B7587" s="2" t="s">
        <v>2012</v>
      </c>
      <c r="C7587" s="2" t="s">
        <v>2009</v>
      </c>
      <c r="D7587" s="2" t="s">
        <v>10</v>
      </c>
      <c r="E7587" s="2" t="s">
        <v>16</v>
      </c>
      <c r="F7587" s="2">
        <v>2</v>
      </c>
      <c r="G7587" s="2" t="s">
        <v>17</v>
      </c>
    </row>
    <row r="7588" spans="1:7" x14ac:dyDescent="0.2">
      <c r="A7588" s="2" t="s">
        <v>9165</v>
      </c>
      <c r="B7588" s="2" t="s">
        <v>3132</v>
      </c>
      <c r="C7588" s="2" t="s">
        <v>3133</v>
      </c>
      <c r="D7588" s="2" t="s">
        <v>10</v>
      </c>
      <c r="E7588" s="2" t="s">
        <v>52</v>
      </c>
      <c r="F7588" s="2">
        <v>2</v>
      </c>
      <c r="G7588" s="2" t="s">
        <v>17</v>
      </c>
    </row>
    <row r="7589" spans="1:7" x14ac:dyDescent="0.2">
      <c r="A7589" s="2" t="s">
        <v>9165</v>
      </c>
      <c r="B7589" s="2" t="s">
        <v>3134</v>
      </c>
      <c r="C7589" s="2" t="s">
        <v>3133</v>
      </c>
      <c r="D7589" s="2" t="s">
        <v>10</v>
      </c>
      <c r="E7589" s="2" t="s">
        <v>52</v>
      </c>
      <c r="F7589" s="2">
        <v>2</v>
      </c>
      <c r="G7589" s="2" t="s">
        <v>17</v>
      </c>
    </row>
    <row r="7590" spans="1:7" x14ac:dyDescent="0.2">
      <c r="A7590" s="2" t="s">
        <v>9165</v>
      </c>
      <c r="B7590" s="2" t="s">
        <v>3135</v>
      </c>
      <c r="C7590" s="2" t="s">
        <v>3133</v>
      </c>
      <c r="D7590" s="2" t="s">
        <v>10</v>
      </c>
      <c r="E7590" s="2" t="s">
        <v>52</v>
      </c>
      <c r="F7590" s="2">
        <v>2</v>
      </c>
      <c r="G7590" s="2" t="s">
        <v>17</v>
      </c>
    </row>
    <row r="7591" spans="1:7" x14ac:dyDescent="0.2">
      <c r="A7591" s="2" t="s">
        <v>9165</v>
      </c>
      <c r="B7591" s="2" t="s">
        <v>2013</v>
      </c>
      <c r="C7591" s="2" t="s">
        <v>2009</v>
      </c>
      <c r="D7591" s="2" t="s">
        <v>10</v>
      </c>
      <c r="E7591" s="2" t="s">
        <v>16</v>
      </c>
      <c r="F7591" s="2">
        <v>2</v>
      </c>
      <c r="G7591" s="2" t="s">
        <v>17</v>
      </c>
    </row>
    <row r="7592" spans="1:7" x14ac:dyDescent="0.2">
      <c r="A7592" s="2" t="s">
        <v>9165</v>
      </c>
      <c r="B7592" s="2" t="s">
        <v>1608</v>
      </c>
      <c r="C7592" s="2" t="s">
        <v>1607</v>
      </c>
      <c r="D7592" s="2" t="s">
        <v>10</v>
      </c>
      <c r="E7592" s="2" t="s">
        <v>16</v>
      </c>
      <c r="F7592" s="2">
        <v>3</v>
      </c>
      <c r="G7592" s="2" t="s">
        <v>17</v>
      </c>
    </row>
    <row r="7593" spans="1:7" x14ac:dyDescent="0.2">
      <c r="A7593" s="2" t="s">
        <v>9165</v>
      </c>
      <c r="B7593" s="2" t="s">
        <v>3136</v>
      </c>
      <c r="C7593" s="2" t="s">
        <v>3133</v>
      </c>
      <c r="D7593" s="2" t="s">
        <v>10</v>
      </c>
      <c r="E7593" s="2" t="s">
        <v>52</v>
      </c>
      <c r="F7593" s="2">
        <v>2</v>
      </c>
      <c r="G7593" s="2" t="s">
        <v>17</v>
      </c>
    </row>
    <row r="7594" spans="1:7" x14ac:dyDescent="0.2">
      <c r="A7594" s="2" t="s">
        <v>9166</v>
      </c>
      <c r="B7594" s="2" t="s">
        <v>9167</v>
      </c>
      <c r="C7594" s="2" t="s">
        <v>913</v>
      </c>
      <c r="D7594" s="2" t="s">
        <v>10</v>
      </c>
      <c r="E7594" s="2" t="s">
        <v>16</v>
      </c>
      <c r="F7594" s="2">
        <v>1</v>
      </c>
      <c r="G7594" s="2" t="s">
        <v>17</v>
      </c>
    </row>
    <row r="7595" spans="1:7" x14ac:dyDescent="0.2">
      <c r="A7595" s="2" t="s">
        <v>9166</v>
      </c>
      <c r="B7595" s="2" t="s">
        <v>9168</v>
      </c>
      <c r="C7595" s="2" t="s">
        <v>913</v>
      </c>
      <c r="D7595" s="2" t="s">
        <v>10</v>
      </c>
      <c r="E7595" s="2" t="s">
        <v>16</v>
      </c>
      <c r="F7595" s="2">
        <v>1</v>
      </c>
      <c r="G7595" s="2" t="s">
        <v>17</v>
      </c>
    </row>
    <row r="7596" spans="1:7" x14ac:dyDescent="0.2">
      <c r="A7596" s="2" t="s">
        <v>9166</v>
      </c>
      <c r="B7596" s="2" t="s">
        <v>9169</v>
      </c>
      <c r="C7596" s="2" t="s">
        <v>9170</v>
      </c>
      <c r="D7596" s="2" t="s">
        <v>10</v>
      </c>
      <c r="E7596" s="2" t="s">
        <v>16</v>
      </c>
      <c r="F7596" s="2">
        <v>1</v>
      </c>
      <c r="G7596" s="2" t="s">
        <v>17</v>
      </c>
    </row>
    <row r="7597" spans="1:7" x14ac:dyDescent="0.2">
      <c r="A7597" s="2" t="s">
        <v>9166</v>
      </c>
      <c r="B7597" s="2" t="s">
        <v>9171</v>
      </c>
      <c r="C7597" s="2" t="s">
        <v>9170</v>
      </c>
      <c r="D7597" s="2" t="s">
        <v>10</v>
      </c>
      <c r="E7597" s="2" t="s">
        <v>16</v>
      </c>
      <c r="F7597" s="2">
        <v>1</v>
      </c>
      <c r="G7597" s="2" t="s">
        <v>17</v>
      </c>
    </row>
    <row r="7598" spans="1:7" x14ac:dyDescent="0.2">
      <c r="A7598" s="2" t="s">
        <v>9166</v>
      </c>
      <c r="B7598" s="2" t="s">
        <v>9172</v>
      </c>
      <c r="C7598" s="2" t="s">
        <v>9173</v>
      </c>
      <c r="D7598" s="2" t="s">
        <v>10</v>
      </c>
      <c r="E7598" s="2" t="s">
        <v>16</v>
      </c>
      <c r="F7598" s="2">
        <v>1</v>
      </c>
      <c r="G7598" s="2" t="s">
        <v>17</v>
      </c>
    </row>
    <row r="7599" spans="1:7" x14ac:dyDescent="0.2">
      <c r="A7599" s="2" t="s">
        <v>9166</v>
      </c>
      <c r="B7599" s="2" t="s">
        <v>896</v>
      </c>
      <c r="C7599" s="2" t="s">
        <v>693</v>
      </c>
      <c r="D7599" s="2" t="s">
        <v>10</v>
      </c>
      <c r="E7599" s="2" t="s">
        <v>16</v>
      </c>
      <c r="F7599" s="2">
        <v>2</v>
      </c>
      <c r="G7599" s="2" t="s">
        <v>17</v>
      </c>
    </row>
    <row r="7600" spans="1:7" x14ac:dyDescent="0.2">
      <c r="A7600" s="2" t="s">
        <v>9166</v>
      </c>
      <c r="B7600" s="2" t="s">
        <v>6673</v>
      </c>
      <c r="C7600" s="2" t="s">
        <v>8218</v>
      </c>
      <c r="D7600" s="2" t="s">
        <v>10</v>
      </c>
      <c r="E7600" s="2" t="s">
        <v>16</v>
      </c>
      <c r="F7600" s="2">
        <v>2</v>
      </c>
      <c r="G7600" s="2" t="s">
        <v>17</v>
      </c>
    </row>
    <row r="7601" spans="1:7" x14ac:dyDescent="0.2">
      <c r="A7601" s="2" t="s">
        <v>9166</v>
      </c>
      <c r="B7601" s="2" t="s">
        <v>899</v>
      </c>
      <c r="C7601" s="2" t="s">
        <v>900</v>
      </c>
      <c r="D7601" s="2" t="s">
        <v>10</v>
      </c>
      <c r="E7601" s="2" t="s">
        <v>16</v>
      </c>
      <c r="F7601" s="2">
        <v>1</v>
      </c>
      <c r="G7601" s="2" t="s">
        <v>17</v>
      </c>
    </row>
    <row r="7602" spans="1:7" x14ac:dyDescent="0.2">
      <c r="A7602" s="2" t="s">
        <v>9166</v>
      </c>
      <c r="B7602" s="2" t="s">
        <v>9174</v>
      </c>
      <c r="C7602" s="2" t="s">
        <v>900</v>
      </c>
      <c r="D7602" s="2" t="s">
        <v>10</v>
      </c>
      <c r="E7602" s="2" t="s">
        <v>16</v>
      </c>
      <c r="F7602" s="2">
        <v>1</v>
      </c>
      <c r="G7602" s="2" t="s">
        <v>17</v>
      </c>
    </row>
    <row r="7603" spans="1:7" x14ac:dyDescent="0.2">
      <c r="A7603" s="2" t="s">
        <v>9166</v>
      </c>
      <c r="B7603" s="2" t="s">
        <v>3943</v>
      </c>
      <c r="C7603" s="2" t="s">
        <v>907</v>
      </c>
      <c r="D7603" s="2" t="s">
        <v>10</v>
      </c>
      <c r="E7603" s="2" t="s">
        <v>16</v>
      </c>
      <c r="F7603" s="2">
        <v>1</v>
      </c>
      <c r="G7603" s="2" t="s">
        <v>17</v>
      </c>
    </row>
    <row r="7604" spans="1:7" x14ac:dyDescent="0.2">
      <c r="A7604" s="2" t="s">
        <v>9166</v>
      </c>
      <c r="B7604" s="2" t="s">
        <v>3944</v>
      </c>
      <c r="C7604" s="2" t="s">
        <v>3945</v>
      </c>
      <c r="D7604" s="2" t="s">
        <v>10</v>
      </c>
      <c r="E7604" s="2" t="s">
        <v>16</v>
      </c>
      <c r="F7604" s="2">
        <v>1</v>
      </c>
      <c r="G7604" s="2" t="s">
        <v>17</v>
      </c>
    </row>
    <row r="7605" spans="1:7" x14ac:dyDescent="0.2">
      <c r="A7605" s="2" t="s">
        <v>9166</v>
      </c>
      <c r="B7605" s="2" t="s">
        <v>3946</v>
      </c>
      <c r="C7605" s="2" t="s">
        <v>3947</v>
      </c>
      <c r="D7605" s="2" t="s">
        <v>10</v>
      </c>
      <c r="E7605" s="2" t="s">
        <v>16</v>
      </c>
      <c r="F7605" s="2">
        <v>2</v>
      </c>
      <c r="G7605" s="2" t="s">
        <v>17</v>
      </c>
    </row>
    <row r="7606" spans="1:7" x14ac:dyDescent="0.2">
      <c r="A7606" s="2" t="s">
        <v>9166</v>
      </c>
      <c r="B7606" s="2" t="s">
        <v>4292</v>
      </c>
      <c r="C7606" s="2" t="s">
        <v>900</v>
      </c>
      <c r="D7606" s="2" t="s">
        <v>10</v>
      </c>
      <c r="E7606" s="2" t="s">
        <v>16</v>
      </c>
      <c r="F7606" s="2">
        <v>1</v>
      </c>
      <c r="G7606" s="2" t="s">
        <v>17</v>
      </c>
    </row>
    <row r="7607" spans="1:7" x14ac:dyDescent="0.2">
      <c r="A7607" s="2" t="s">
        <v>9166</v>
      </c>
      <c r="B7607" s="2" t="s">
        <v>9175</v>
      </c>
      <c r="C7607" s="2" t="s">
        <v>9176</v>
      </c>
      <c r="D7607" s="2" t="s">
        <v>10</v>
      </c>
      <c r="E7607" s="2" t="s">
        <v>16</v>
      </c>
      <c r="F7607" s="2">
        <v>1</v>
      </c>
      <c r="G7607" s="2" t="s">
        <v>17</v>
      </c>
    </row>
    <row r="7608" spans="1:7" x14ac:dyDescent="0.2">
      <c r="A7608" s="2" t="s">
        <v>9166</v>
      </c>
      <c r="B7608" s="2" t="s">
        <v>9177</v>
      </c>
      <c r="C7608" s="2" t="s">
        <v>900</v>
      </c>
      <c r="D7608" s="2" t="s">
        <v>10</v>
      </c>
      <c r="E7608" s="2" t="s">
        <v>16</v>
      </c>
      <c r="F7608" s="2">
        <v>1</v>
      </c>
      <c r="G7608" s="2" t="s">
        <v>17</v>
      </c>
    </row>
    <row r="7609" spans="1:7" x14ac:dyDescent="0.2">
      <c r="A7609" s="2" t="s">
        <v>9166</v>
      </c>
      <c r="B7609" s="2" t="s">
        <v>9178</v>
      </c>
      <c r="C7609" s="2" t="s">
        <v>900</v>
      </c>
      <c r="D7609" s="2" t="s">
        <v>10</v>
      </c>
      <c r="E7609" s="2" t="s">
        <v>16</v>
      </c>
      <c r="F7609" s="2">
        <v>1</v>
      </c>
      <c r="G7609" s="2" t="s">
        <v>17</v>
      </c>
    </row>
    <row r="7610" spans="1:7" x14ac:dyDescent="0.2">
      <c r="A7610" s="2" t="s">
        <v>9166</v>
      </c>
      <c r="B7610" s="2" t="s">
        <v>902</v>
      </c>
      <c r="C7610" s="2" t="s">
        <v>903</v>
      </c>
      <c r="D7610" s="2" t="s">
        <v>10</v>
      </c>
      <c r="E7610" s="2" t="s">
        <v>16</v>
      </c>
      <c r="F7610" s="2">
        <v>1</v>
      </c>
      <c r="G7610" s="2" t="s">
        <v>17</v>
      </c>
    </row>
    <row r="7611" spans="1:7" x14ac:dyDescent="0.2">
      <c r="A7611" s="2" t="s">
        <v>9166</v>
      </c>
      <c r="B7611" s="2" t="s">
        <v>904</v>
      </c>
      <c r="C7611" s="2" t="s">
        <v>900</v>
      </c>
      <c r="D7611" s="2" t="s">
        <v>10</v>
      </c>
      <c r="E7611" s="2" t="s">
        <v>16</v>
      </c>
      <c r="F7611" s="2">
        <v>1</v>
      </c>
      <c r="G7611" s="2" t="s">
        <v>17</v>
      </c>
    </row>
    <row r="7612" spans="1:7" x14ac:dyDescent="0.2">
      <c r="A7612" s="2" t="s">
        <v>9166</v>
      </c>
      <c r="B7612" s="2" t="s">
        <v>905</v>
      </c>
      <c r="C7612" s="2" t="s">
        <v>900</v>
      </c>
      <c r="D7612" s="2" t="s">
        <v>10</v>
      </c>
      <c r="E7612" s="2" t="s">
        <v>16</v>
      </c>
      <c r="F7612" s="2">
        <v>1</v>
      </c>
      <c r="G7612" s="2" t="s">
        <v>17</v>
      </c>
    </row>
    <row r="7613" spans="1:7" x14ac:dyDescent="0.2">
      <c r="A7613" s="2" t="s">
        <v>9166</v>
      </c>
      <c r="B7613" s="2" t="s">
        <v>906</v>
      </c>
      <c r="C7613" s="2" t="s">
        <v>907</v>
      </c>
      <c r="D7613" s="2" t="s">
        <v>10</v>
      </c>
      <c r="E7613" s="2" t="s">
        <v>16</v>
      </c>
      <c r="F7613" s="2">
        <v>1</v>
      </c>
      <c r="G7613" s="2" t="s">
        <v>17</v>
      </c>
    </row>
    <row r="7614" spans="1:7" x14ac:dyDescent="0.2">
      <c r="A7614" s="2" t="s">
        <v>9166</v>
      </c>
      <c r="B7614" s="2" t="s">
        <v>908</v>
      </c>
      <c r="C7614" s="2" t="s">
        <v>907</v>
      </c>
      <c r="D7614" s="2" t="s">
        <v>10</v>
      </c>
      <c r="E7614" s="2" t="s">
        <v>16</v>
      </c>
      <c r="F7614" s="2">
        <v>1</v>
      </c>
      <c r="G7614" s="2" t="s">
        <v>17</v>
      </c>
    </row>
    <row r="7615" spans="1:7" x14ac:dyDescent="0.2">
      <c r="A7615" s="2" t="s">
        <v>9166</v>
      </c>
      <c r="B7615" s="2" t="s">
        <v>3948</v>
      </c>
      <c r="C7615" s="2" t="s">
        <v>907</v>
      </c>
      <c r="D7615" s="2" t="s">
        <v>10</v>
      </c>
      <c r="E7615" s="2" t="s">
        <v>16</v>
      </c>
      <c r="F7615" s="2">
        <v>1</v>
      </c>
      <c r="G7615" s="2" t="s">
        <v>17</v>
      </c>
    </row>
    <row r="7616" spans="1:7" x14ac:dyDescent="0.2">
      <c r="A7616" s="2" t="s">
        <v>9166</v>
      </c>
      <c r="B7616" s="2" t="s">
        <v>3949</v>
      </c>
      <c r="C7616" s="2" t="s">
        <v>900</v>
      </c>
      <c r="D7616" s="2" t="s">
        <v>10</v>
      </c>
      <c r="E7616" s="2" t="s">
        <v>16</v>
      </c>
      <c r="F7616" s="2">
        <v>1</v>
      </c>
      <c r="G7616" s="2" t="s">
        <v>17</v>
      </c>
    </row>
    <row r="7617" spans="1:7" x14ac:dyDescent="0.2">
      <c r="A7617" s="2" t="s">
        <v>9166</v>
      </c>
      <c r="B7617" s="2" t="s">
        <v>909</v>
      </c>
      <c r="C7617" s="2" t="s">
        <v>903</v>
      </c>
      <c r="D7617" s="2" t="s">
        <v>10</v>
      </c>
      <c r="E7617" s="2" t="s">
        <v>16</v>
      </c>
      <c r="F7617" s="2">
        <v>1</v>
      </c>
      <c r="G7617" s="2" t="s">
        <v>17</v>
      </c>
    </row>
    <row r="7618" spans="1:7" x14ac:dyDescent="0.2">
      <c r="A7618" s="2" t="s">
        <v>9166</v>
      </c>
      <c r="B7618" s="2" t="s">
        <v>9179</v>
      </c>
      <c r="C7618" s="2" t="s">
        <v>900</v>
      </c>
      <c r="D7618" s="2" t="s">
        <v>10</v>
      </c>
      <c r="E7618" s="2" t="s">
        <v>16</v>
      </c>
      <c r="F7618" s="2">
        <v>1</v>
      </c>
      <c r="G7618" s="2" t="s">
        <v>17</v>
      </c>
    </row>
    <row r="7619" spans="1:7" x14ac:dyDescent="0.2">
      <c r="A7619" s="2" t="s">
        <v>9166</v>
      </c>
      <c r="B7619" s="2" t="s">
        <v>910</v>
      </c>
      <c r="C7619" s="2" t="s">
        <v>900</v>
      </c>
      <c r="D7619" s="2" t="s">
        <v>10</v>
      </c>
      <c r="E7619" s="2" t="s">
        <v>16</v>
      </c>
      <c r="F7619" s="2">
        <v>1</v>
      </c>
      <c r="G7619" s="2" t="s">
        <v>17</v>
      </c>
    </row>
    <row r="7620" spans="1:7" x14ac:dyDescent="0.2">
      <c r="A7620" s="2" t="s">
        <v>9166</v>
      </c>
      <c r="B7620" s="2" t="s">
        <v>9180</v>
      </c>
      <c r="C7620" s="2" t="s">
        <v>900</v>
      </c>
      <c r="D7620" s="2" t="s">
        <v>10</v>
      </c>
      <c r="E7620" s="2" t="s">
        <v>16</v>
      </c>
      <c r="F7620" s="2">
        <v>1</v>
      </c>
      <c r="G7620" s="2" t="s">
        <v>17</v>
      </c>
    </row>
    <row r="7621" spans="1:7" x14ac:dyDescent="0.2">
      <c r="A7621" s="2" t="s">
        <v>9166</v>
      </c>
      <c r="B7621" s="2" t="s">
        <v>3950</v>
      </c>
      <c r="C7621" s="2" t="s">
        <v>924</v>
      </c>
      <c r="D7621" s="2" t="s">
        <v>10</v>
      </c>
      <c r="E7621" s="2" t="s">
        <v>16</v>
      </c>
      <c r="F7621" s="2">
        <v>1</v>
      </c>
      <c r="G7621" s="2" t="s">
        <v>17</v>
      </c>
    </row>
    <row r="7622" spans="1:7" x14ac:dyDescent="0.2">
      <c r="A7622" s="2" t="s">
        <v>9166</v>
      </c>
      <c r="B7622" s="2" t="s">
        <v>911</v>
      </c>
      <c r="C7622" s="2" t="s">
        <v>903</v>
      </c>
      <c r="D7622" s="2" t="s">
        <v>10</v>
      </c>
      <c r="E7622" s="2" t="s">
        <v>16</v>
      </c>
      <c r="F7622" s="2">
        <v>1</v>
      </c>
      <c r="G7622" s="2" t="s">
        <v>17</v>
      </c>
    </row>
    <row r="7623" spans="1:7" x14ac:dyDescent="0.2">
      <c r="A7623" s="2" t="s">
        <v>9166</v>
      </c>
      <c r="B7623" s="2" t="s">
        <v>912</v>
      </c>
      <c r="C7623" s="2" t="s">
        <v>913</v>
      </c>
      <c r="D7623" s="2" t="s">
        <v>10</v>
      </c>
      <c r="E7623" s="2" t="s">
        <v>16</v>
      </c>
      <c r="F7623" s="2">
        <v>1</v>
      </c>
      <c r="G7623" s="2" t="s">
        <v>17</v>
      </c>
    </row>
    <row r="7624" spans="1:7" x14ac:dyDescent="0.2">
      <c r="A7624" s="2" t="s">
        <v>9166</v>
      </c>
      <c r="B7624" s="2" t="s">
        <v>9181</v>
      </c>
      <c r="C7624" s="2" t="s">
        <v>900</v>
      </c>
      <c r="D7624" s="2" t="s">
        <v>10</v>
      </c>
      <c r="E7624" s="2" t="s">
        <v>16</v>
      </c>
      <c r="F7624" s="2">
        <v>1</v>
      </c>
      <c r="G7624" s="2" t="s">
        <v>17</v>
      </c>
    </row>
    <row r="7625" spans="1:7" x14ac:dyDescent="0.2">
      <c r="A7625" s="2" t="s">
        <v>9166</v>
      </c>
      <c r="B7625" s="2" t="s">
        <v>914</v>
      </c>
      <c r="C7625" s="2" t="s">
        <v>900</v>
      </c>
      <c r="D7625" s="2" t="s">
        <v>10</v>
      </c>
      <c r="E7625" s="2" t="s">
        <v>16</v>
      </c>
      <c r="F7625" s="2">
        <v>1</v>
      </c>
      <c r="G7625" s="2" t="s">
        <v>17</v>
      </c>
    </row>
    <row r="7626" spans="1:7" x14ac:dyDescent="0.2">
      <c r="A7626" s="2" t="s">
        <v>9166</v>
      </c>
      <c r="B7626" s="2" t="s">
        <v>9182</v>
      </c>
      <c r="C7626" s="2" t="s">
        <v>916</v>
      </c>
      <c r="D7626" s="2" t="s">
        <v>10</v>
      </c>
      <c r="E7626" s="2" t="s">
        <v>52</v>
      </c>
      <c r="F7626" s="2">
        <v>2</v>
      </c>
      <c r="G7626" s="2" t="s">
        <v>17</v>
      </c>
    </row>
    <row r="7627" spans="1:7" x14ac:dyDescent="0.2">
      <c r="A7627" s="2" t="s">
        <v>9166</v>
      </c>
      <c r="B7627" s="2" t="s">
        <v>3951</v>
      </c>
      <c r="C7627" s="2" t="s">
        <v>3952</v>
      </c>
      <c r="D7627" s="2" t="s">
        <v>10</v>
      </c>
      <c r="E7627" s="2" t="s">
        <v>52</v>
      </c>
      <c r="F7627" s="2">
        <v>2</v>
      </c>
      <c r="G7627" s="2" t="s">
        <v>17</v>
      </c>
    </row>
    <row r="7628" spans="1:7" x14ac:dyDescent="0.2">
      <c r="A7628" s="2" t="s">
        <v>9166</v>
      </c>
      <c r="B7628" s="2" t="s">
        <v>915</v>
      </c>
      <c r="C7628" s="2" t="s">
        <v>916</v>
      </c>
      <c r="D7628" s="2" t="s">
        <v>10</v>
      </c>
      <c r="E7628" s="2" t="s">
        <v>52</v>
      </c>
      <c r="F7628" s="2">
        <v>2</v>
      </c>
      <c r="G7628" s="2" t="s">
        <v>17</v>
      </c>
    </row>
    <row r="7629" spans="1:7" x14ac:dyDescent="0.2">
      <c r="A7629" s="2" t="s">
        <v>9166</v>
      </c>
      <c r="B7629" s="2" t="s">
        <v>917</v>
      </c>
      <c r="C7629" s="2" t="s">
        <v>916</v>
      </c>
      <c r="D7629" s="2" t="s">
        <v>10</v>
      </c>
      <c r="E7629" s="2" t="s">
        <v>52</v>
      </c>
      <c r="F7629" s="2">
        <v>2</v>
      </c>
      <c r="G7629" s="2" t="s">
        <v>17</v>
      </c>
    </row>
    <row r="7630" spans="1:7" x14ac:dyDescent="0.2">
      <c r="A7630" s="2" t="s">
        <v>9166</v>
      </c>
      <c r="B7630" s="2" t="s">
        <v>918</v>
      </c>
      <c r="C7630" s="2" t="s">
        <v>919</v>
      </c>
      <c r="D7630" s="2" t="s">
        <v>10</v>
      </c>
      <c r="E7630" s="2" t="s">
        <v>52</v>
      </c>
      <c r="F7630" s="2">
        <v>2</v>
      </c>
      <c r="G7630" s="2" t="s">
        <v>17</v>
      </c>
    </row>
    <row r="7631" spans="1:7" x14ac:dyDescent="0.2">
      <c r="A7631" s="2" t="s">
        <v>9166</v>
      </c>
      <c r="B7631" s="2" t="s">
        <v>9183</v>
      </c>
      <c r="C7631" s="2" t="s">
        <v>9184</v>
      </c>
      <c r="D7631" s="2" t="s">
        <v>10</v>
      </c>
      <c r="E7631" s="2" t="s">
        <v>52</v>
      </c>
      <c r="F7631" s="2">
        <v>2</v>
      </c>
      <c r="G7631" s="2" t="s">
        <v>17</v>
      </c>
    </row>
    <row r="7632" spans="1:7" x14ac:dyDescent="0.2">
      <c r="A7632" s="2" t="s">
        <v>9166</v>
      </c>
      <c r="B7632" s="2" t="s">
        <v>920</v>
      </c>
      <c r="C7632" s="2" t="s">
        <v>921</v>
      </c>
      <c r="D7632" s="2" t="s">
        <v>10</v>
      </c>
      <c r="E7632" s="2" t="s">
        <v>16</v>
      </c>
      <c r="F7632" s="2">
        <v>2</v>
      </c>
      <c r="G7632" s="2" t="s">
        <v>17</v>
      </c>
    </row>
    <row r="7633" spans="1:7" x14ac:dyDescent="0.2">
      <c r="A7633" s="2" t="s">
        <v>9166</v>
      </c>
      <c r="B7633" s="2" t="s">
        <v>2775</v>
      </c>
      <c r="C7633" s="2" t="s">
        <v>9185</v>
      </c>
      <c r="D7633" s="2" t="s">
        <v>10</v>
      </c>
      <c r="E7633" s="2" t="s">
        <v>16</v>
      </c>
      <c r="F7633" s="2">
        <v>1</v>
      </c>
      <c r="G7633" s="2" t="s">
        <v>17</v>
      </c>
    </row>
    <row r="7634" spans="1:7" x14ac:dyDescent="0.2">
      <c r="A7634" s="2" t="s">
        <v>9166</v>
      </c>
      <c r="B7634" s="2" t="s">
        <v>9186</v>
      </c>
      <c r="C7634" s="2" t="s">
        <v>9176</v>
      </c>
      <c r="D7634" s="2" t="s">
        <v>10</v>
      </c>
      <c r="E7634" s="2" t="s">
        <v>16</v>
      </c>
      <c r="F7634" s="2">
        <v>1</v>
      </c>
      <c r="G7634" s="2" t="s">
        <v>17</v>
      </c>
    </row>
    <row r="7635" spans="1:7" x14ac:dyDescent="0.2">
      <c r="A7635" s="2" t="s">
        <v>9166</v>
      </c>
      <c r="B7635" s="2" t="s">
        <v>9187</v>
      </c>
      <c r="C7635" s="2" t="s">
        <v>9188</v>
      </c>
      <c r="D7635" s="2" t="s">
        <v>10</v>
      </c>
      <c r="E7635" s="2" t="s">
        <v>16</v>
      </c>
      <c r="F7635" s="2">
        <v>1</v>
      </c>
      <c r="G7635" s="2" t="s">
        <v>17</v>
      </c>
    </row>
    <row r="7636" spans="1:7" x14ac:dyDescent="0.2">
      <c r="A7636" s="2" t="s">
        <v>9166</v>
      </c>
      <c r="B7636" s="2" t="s">
        <v>9189</v>
      </c>
      <c r="C7636" s="2" t="s">
        <v>9190</v>
      </c>
      <c r="D7636" s="2" t="s">
        <v>10</v>
      </c>
      <c r="E7636" s="2" t="s">
        <v>16</v>
      </c>
      <c r="F7636" s="2">
        <v>1</v>
      </c>
      <c r="G7636" s="2" t="s">
        <v>17</v>
      </c>
    </row>
    <row r="7637" spans="1:7" x14ac:dyDescent="0.2">
      <c r="A7637" s="2" t="s">
        <v>9166</v>
      </c>
      <c r="B7637" s="2" t="s">
        <v>9191</v>
      </c>
      <c r="C7637" s="2" t="s">
        <v>1562</v>
      </c>
      <c r="D7637" s="2" t="s">
        <v>10</v>
      </c>
      <c r="E7637" s="2" t="s">
        <v>16</v>
      </c>
      <c r="F7637" s="2">
        <v>1</v>
      </c>
      <c r="G7637" s="2" t="s">
        <v>17</v>
      </c>
    </row>
    <row r="7638" spans="1:7" x14ac:dyDescent="0.2">
      <c r="A7638" s="2" t="s">
        <v>9166</v>
      </c>
      <c r="B7638" s="2" t="s">
        <v>9192</v>
      </c>
      <c r="C7638" s="2" t="s">
        <v>9193</v>
      </c>
      <c r="D7638" s="2" t="s">
        <v>10</v>
      </c>
      <c r="E7638" s="2" t="s">
        <v>16</v>
      </c>
      <c r="F7638" s="2">
        <v>1</v>
      </c>
      <c r="G7638" s="2" t="s">
        <v>17</v>
      </c>
    </row>
    <row r="7639" spans="1:7" x14ac:dyDescent="0.2">
      <c r="A7639" s="2" t="s">
        <v>9166</v>
      </c>
      <c r="B7639" s="2" t="s">
        <v>9194</v>
      </c>
      <c r="C7639" s="2" t="s">
        <v>9173</v>
      </c>
      <c r="D7639" s="2" t="s">
        <v>10</v>
      </c>
      <c r="E7639" s="2" t="s">
        <v>16</v>
      </c>
      <c r="F7639" s="2">
        <v>1</v>
      </c>
      <c r="G7639" s="2" t="s">
        <v>17</v>
      </c>
    </row>
    <row r="7640" spans="1:7" x14ac:dyDescent="0.2">
      <c r="A7640" s="2" t="s">
        <v>9166</v>
      </c>
      <c r="B7640" s="2" t="s">
        <v>9195</v>
      </c>
      <c r="C7640" s="2" t="s">
        <v>1564</v>
      </c>
      <c r="D7640" s="2" t="s">
        <v>10</v>
      </c>
      <c r="E7640" s="2" t="s">
        <v>16</v>
      </c>
      <c r="F7640" s="2">
        <v>1</v>
      </c>
      <c r="G7640" s="2" t="s">
        <v>17</v>
      </c>
    </row>
    <row r="7641" spans="1:7" x14ac:dyDescent="0.2">
      <c r="A7641" s="2" t="s">
        <v>9166</v>
      </c>
      <c r="B7641" s="2" t="s">
        <v>922</v>
      </c>
      <c r="C7641" s="2" t="s">
        <v>903</v>
      </c>
      <c r="D7641" s="2" t="s">
        <v>10</v>
      </c>
      <c r="E7641" s="2" t="s">
        <v>16</v>
      </c>
      <c r="F7641" s="2">
        <v>1</v>
      </c>
      <c r="G7641" s="2" t="s">
        <v>17</v>
      </c>
    </row>
    <row r="7642" spans="1:7" x14ac:dyDescent="0.2">
      <c r="A7642" s="2" t="s">
        <v>9166</v>
      </c>
      <c r="B7642" s="2" t="s">
        <v>9196</v>
      </c>
      <c r="C7642" s="2" t="s">
        <v>9197</v>
      </c>
      <c r="D7642" s="2" t="s">
        <v>10</v>
      </c>
      <c r="E7642" s="2" t="s">
        <v>16</v>
      </c>
      <c r="F7642" s="2">
        <v>1</v>
      </c>
      <c r="G7642" s="2" t="s">
        <v>17</v>
      </c>
    </row>
    <row r="7643" spans="1:7" x14ac:dyDescent="0.2">
      <c r="A7643" s="2" t="s">
        <v>9166</v>
      </c>
      <c r="B7643" s="2" t="s">
        <v>9198</v>
      </c>
      <c r="C7643" s="2" t="s">
        <v>9190</v>
      </c>
      <c r="D7643" s="2" t="s">
        <v>10</v>
      </c>
      <c r="E7643" s="2" t="s">
        <v>16</v>
      </c>
      <c r="F7643" s="2">
        <v>1</v>
      </c>
      <c r="G7643" s="2" t="s">
        <v>17</v>
      </c>
    </row>
    <row r="7644" spans="1:7" x14ac:dyDescent="0.2">
      <c r="A7644" s="2" t="s">
        <v>9166</v>
      </c>
      <c r="B7644" s="2" t="s">
        <v>4270</v>
      </c>
      <c r="C7644" s="2" t="s">
        <v>1562</v>
      </c>
      <c r="D7644" s="2" t="s">
        <v>10</v>
      </c>
      <c r="E7644" s="2" t="s">
        <v>16</v>
      </c>
      <c r="F7644" s="2">
        <v>1</v>
      </c>
      <c r="G7644" s="2" t="s">
        <v>17</v>
      </c>
    </row>
    <row r="7645" spans="1:7" x14ac:dyDescent="0.2">
      <c r="A7645" s="2" t="s">
        <v>9166</v>
      </c>
      <c r="B7645" s="2" t="s">
        <v>9199</v>
      </c>
      <c r="C7645" s="2" t="s">
        <v>9193</v>
      </c>
      <c r="D7645" s="2" t="s">
        <v>10</v>
      </c>
      <c r="E7645" s="2" t="s">
        <v>16</v>
      </c>
      <c r="F7645" s="2">
        <v>1</v>
      </c>
      <c r="G7645" s="2" t="s">
        <v>17</v>
      </c>
    </row>
    <row r="7646" spans="1:7" x14ac:dyDescent="0.2">
      <c r="A7646" s="2" t="s">
        <v>9166</v>
      </c>
      <c r="B7646" s="2" t="s">
        <v>9200</v>
      </c>
      <c r="C7646" s="2" t="s">
        <v>9173</v>
      </c>
      <c r="D7646" s="2" t="s">
        <v>10</v>
      </c>
      <c r="E7646" s="2" t="s">
        <v>16</v>
      </c>
      <c r="F7646" s="2">
        <v>1</v>
      </c>
      <c r="G7646" s="2" t="s">
        <v>17</v>
      </c>
    </row>
    <row r="7647" spans="1:7" x14ac:dyDescent="0.2">
      <c r="A7647" s="2" t="s">
        <v>9166</v>
      </c>
      <c r="B7647" s="2" t="s">
        <v>9201</v>
      </c>
      <c r="C7647" s="2" t="s">
        <v>1562</v>
      </c>
      <c r="D7647" s="2" t="s">
        <v>10</v>
      </c>
      <c r="E7647" s="2" t="s">
        <v>16</v>
      </c>
      <c r="F7647" s="2">
        <v>1</v>
      </c>
      <c r="G7647" s="2" t="s">
        <v>17</v>
      </c>
    </row>
    <row r="7648" spans="1:7" x14ac:dyDescent="0.2">
      <c r="A7648" s="2" t="s">
        <v>9166</v>
      </c>
      <c r="B7648" s="2" t="s">
        <v>9202</v>
      </c>
      <c r="C7648" s="2" t="s">
        <v>9173</v>
      </c>
      <c r="D7648" s="2" t="s">
        <v>10</v>
      </c>
      <c r="E7648" s="2" t="s">
        <v>16</v>
      </c>
      <c r="F7648" s="2">
        <v>1</v>
      </c>
      <c r="G7648" s="2" t="s">
        <v>17</v>
      </c>
    </row>
    <row r="7649" spans="1:7" x14ac:dyDescent="0.2">
      <c r="A7649" s="2" t="s">
        <v>9166</v>
      </c>
      <c r="B7649" s="2" t="s">
        <v>9203</v>
      </c>
      <c r="C7649" s="2" t="s">
        <v>1564</v>
      </c>
      <c r="D7649" s="2" t="s">
        <v>10</v>
      </c>
      <c r="E7649" s="2" t="s">
        <v>16</v>
      </c>
      <c r="F7649" s="2">
        <v>1</v>
      </c>
      <c r="G7649" s="2" t="s">
        <v>17</v>
      </c>
    </row>
    <row r="7650" spans="1:7" x14ac:dyDescent="0.2">
      <c r="A7650" s="2" t="s">
        <v>9166</v>
      </c>
      <c r="B7650" s="2" t="s">
        <v>9204</v>
      </c>
      <c r="C7650" s="2" t="s">
        <v>1301</v>
      </c>
      <c r="D7650" s="2" t="s">
        <v>10</v>
      </c>
      <c r="E7650" s="2" t="s">
        <v>16</v>
      </c>
      <c r="F7650" s="2">
        <v>1</v>
      </c>
      <c r="G7650" s="2" t="s">
        <v>17</v>
      </c>
    </row>
    <row r="7651" spans="1:7" x14ac:dyDescent="0.2">
      <c r="A7651" s="2" t="s">
        <v>9166</v>
      </c>
      <c r="B7651" s="2" t="s">
        <v>9205</v>
      </c>
      <c r="C7651" s="2" t="s">
        <v>1301</v>
      </c>
      <c r="D7651" s="2" t="s">
        <v>10</v>
      </c>
      <c r="E7651" s="2" t="s">
        <v>16</v>
      </c>
      <c r="F7651" s="2">
        <v>1</v>
      </c>
      <c r="G7651" s="2" t="s">
        <v>17</v>
      </c>
    </row>
    <row r="7652" spans="1:7" x14ac:dyDescent="0.2">
      <c r="A7652" s="2" t="s">
        <v>9166</v>
      </c>
      <c r="B7652" s="2" t="s">
        <v>923</v>
      </c>
      <c r="C7652" s="2" t="s">
        <v>924</v>
      </c>
      <c r="D7652" s="2" t="s">
        <v>10</v>
      </c>
      <c r="E7652" s="2" t="s">
        <v>16</v>
      </c>
      <c r="F7652" s="2">
        <v>1</v>
      </c>
      <c r="G7652" s="2" t="s">
        <v>17</v>
      </c>
    </row>
    <row r="7653" spans="1:7" x14ac:dyDescent="0.2">
      <c r="A7653" s="2" t="s">
        <v>9166</v>
      </c>
      <c r="B7653" s="2" t="s">
        <v>3953</v>
      </c>
      <c r="C7653" s="2" t="s">
        <v>958</v>
      </c>
      <c r="D7653" s="2" t="s">
        <v>10</v>
      </c>
      <c r="E7653" s="2" t="s">
        <v>16</v>
      </c>
      <c r="F7653" s="2">
        <v>1</v>
      </c>
      <c r="G7653" s="2" t="s">
        <v>17</v>
      </c>
    </row>
    <row r="7654" spans="1:7" x14ac:dyDescent="0.2">
      <c r="A7654" s="2" t="s">
        <v>9166</v>
      </c>
      <c r="B7654" s="2" t="s">
        <v>9206</v>
      </c>
      <c r="C7654" s="2" t="s">
        <v>9207</v>
      </c>
      <c r="D7654" s="2" t="s">
        <v>10</v>
      </c>
      <c r="E7654" s="2" t="s">
        <v>16</v>
      </c>
      <c r="F7654" s="2">
        <v>1</v>
      </c>
      <c r="G7654" s="2" t="s">
        <v>17</v>
      </c>
    </row>
    <row r="7655" spans="1:7" x14ac:dyDescent="0.2">
      <c r="A7655" s="2" t="s">
        <v>9166</v>
      </c>
      <c r="B7655" s="2" t="s">
        <v>9208</v>
      </c>
      <c r="C7655" s="2" t="s">
        <v>7022</v>
      </c>
      <c r="D7655" s="2" t="s">
        <v>10</v>
      </c>
      <c r="E7655" s="2" t="s">
        <v>52</v>
      </c>
      <c r="F7655" s="2">
        <v>1</v>
      </c>
      <c r="G7655" s="2" t="s">
        <v>17</v>
      </c>
    </row>
    <row r="7656" spans="1:7" x14ac:dyDescent="0.2">
      <c r="A7656" s="2" t="s">
        <v>9166</v>
      </c>
      <c r="B7656" s="2" t="s">
        <v>9209</v>
      </c>
      <c r="C7656" s="2" t="s">
        <v>9207</v>
      </c>
      <c r="D7656" s="2" t="s">
        <v>10</v>
      </c>
      <c r="E7656" s="2" t="s">
        <v>16</v>
      </c>
      <c r="F7656" s="2">
        <v>1</v>
      </c>
      <c r="G7656" s="2" t="s">
        <v>17</v>
      </c>
    </row>
    <row r="7657" spans="1:7" x14ac:dyDescent="0.2">
      <c r="A7657" s="2" t="s">
        <v>9166</v>
      </c>
      <c r="B7657" s="2" t="s">
        <v>9210</v>
      </c>
      <c r="C7657" s="2" t="s">
        <v>921</v>
      </c>
      <c r="D7657" s="2" t="s">
        <v>10</v>
      </c>
      <c r="E7657" s="2" t="s">
        <v>16</v>
      </c>
      <c r="F7657" s="2">
        <v>2</v>
      </c>
      <c r="G7657" s="2" t="s">
        <v>17</v>
      </c>
    </row>
    <row r="7658" spans="1:7" x14ac:dyDescent="0.2">
      <c r="A7658" s="2" t="s">
        <v>9166</v>
      </c>
      <c r="B7658" s="2" t="s">
        <v>925</v>
      </c>
      <c r="C7658" s="2" t="s">
        <v>921</v>
      </c>
      <c r="D7658" s="2" t="s">
        <v>10</v>
      </c>
      <c r="E7658" s="2" t="s">
        <v>16</v>
      </c>
      <c r="F7658" s="2">
        <v>2</v>
      </c>
      <c r="G7658" s="2" t="s">
        <v>17</v>
      </c>
    </row>
    <row r="7659" spans="1:7" x14ac:dyDescent="0.2">
      <c r="A7659" s="2" t="s">
        <v>9166</v>
      </c>
      <c r="B7659" s="2" t="s">
        <v>926</v>
      </c>
      <c r="C7659" s="2" t="s">
        <v>921</v>
      </c>
      <c r="D7659" s="2" t="s">
        <v>10</v>
      </c>
      <c r="E7659" s="2" t="s">
        <v>16</v>
      </c>
      <c r="F7659" s="2">
        <v>2</v>
      </c>
      <c r="G7659" s="2" t="s">
        <v>17</v>
      </c>
    </row>
    <row r="7660" spans="1:7" x14ac:dyDescent="0.2">
      <c r="A7660" s="2" t="s">
        <v>9166</v>
      </c>
      <c r="B7660" s="2" t="s">
        <v>927</v>
      </c>
      <c r="C7660" s="2" t="s">
        <v>921</v>
      </c>
      <c r="D7660" s="2" t="s">
        <v>10</v>
      </c>
      <c r="E7660" s="2" t="s">
        <v>16</v>
      </c>
      <c r="F7660" s="2">
        <v>2</v>
      </c>
      <c r="G7660" s="2" t="s">
        <v>17</v>
      </c>
    </row>
    <row r="7661" spans="1:7" x14ac:dyDescent="0.2">
      <c r="A7661" s="2" t="s">
        <v>9166</v>
      </c>
      <c r="B7661" s="2" t="s">
        <v>9211</v>
      </c>
      <c r="C7661" s="2" t="s">
        <v>1562</v>
      </c>
      <c r="D7661" s="2" t="s">
        <v>10</v>
      </c>
      <c r="E7661" s="2" t="s">
        <v>16</v>
      </c>
      <c r="F7661" s="2">
        <v>1</v>
      </c>
      <c r="G7661" s="2" t="s">
        <v>17</v>
      </c>
    </row>
    <row r="7662" spans="1:7" x14ac:dyDescent="0.2">
      <c r="A7662" s="2" t="s">
        <v>9166</v>
      </c>
      <c r="B7662" s="2" t="s">
        <v>9212</v>
      </c>
      <c r="C7662" s="2" t="s">
        <v>1564</v>
      </c>
      <c r="D7662" s="2" t="s">
        <v>10</v>
      </c>
      <c r="E7662" s="2" t="s">
        <v>16</v>
      </c>
      <c r="F7662" s="2">
        <v>1</v>
      </c>
      <c r="G7662" s="2" t="s">
        <v>17</v>
      </c>
    </row>
    <row r="7663" spans="1:7" x14ac:dyDescent="0.2">
      <c r="A7663" s="2" t="s">
        <v>9166</v>
      </c>
      <c r="B7663" s="2" t="s">
        <v>2108</v>
      </c>
      <c r="C7663" s="2" t="s">
        <v>2106</v>
      </c>
      <c r="D7663" s="2" t="s">
        <v>10</v>
      </c>
      <c r="E7663" s="2" t="s">
        <v>16</v>
      </c>
      <c r="F7663" s="2">
        <v>1</v>
      </c>
      <c r="G7663" s="2" t="s">
        <v>17</v>
      </c>
    </row>
    <row r="7664" spans="1:7" x14ac:dyDescent="0.2">
      <c r="A7664" s="2" t="s">
        <v>9166</v>
      </c>
      <c r="B7664" s="2" t="s">
        <v>9213</v>
      </c>
      <c r="C7664" s="2" t="s">
        <v>9197</v>
      </c>
      <c r="D7664" s="2" t="s">
        <v>10</v>
      </c>
      <c r="E7664" s="2" t="s">
        <v>16</v>
      </c>
      <c r="F7664" s="2">
        <v>1</v>
      </c>
      <c r="G7664" s="2" t="s">
        <v>17</v>
      </c>
    </row>
    <row r="7665" spans="1:7" x14ac:dyDescent="0.2">
      <c r="A7665" s="2" t="s">
        <v>9166</v>
      </c>
      <c r="B7665" s="2" t="s">
        <v>9214</v>
      </c>
      <c r="C7665" s="2" t="s">
        <v>9215</v>
      </c>
      <c r="D7665" s="2" t="s">
        <v>10</v>
      </c>
      <c r="E7665" s="2" t="s">
        <v>16</v>
      </c>
      <c r="F7665" s="2">
        <v>1</v>
      </c>
      <c r="G7665" s="2" t="s">
        <v>17</v>
      </c>
    </row>
    <row r="7666" spans="1:7" x14ac:dyDescent="0.2">
      <c r="A7666" s="2" t="s">
        <v>9166</v>
      </c>
      <c r="B7666" s="2" t="s">
        <v>9216</v>
      </c>
      <c r="C7666" s="2" t="s">
        <v>9185</v>
      </c>
      <c r="D7666" s="2" t="s">
        <v>10</v>
      </c>
      <c r="E7666" s="2" t="s">
        <v>16</v>
      </c>
      <c r="F7666" s="2">
        <v>1</v>
      </c>
      <c r="G7666" s="2" t="s">
        <v>17</v>
      </c>
    </row>
    <row r="7667" spans="1:7" x14ac:dyDescent="0.2">
      <c r="A7667" s="2" t="s">
        <v>9166</v>
      </c>
      <c r="B7667" s="2" t="s">
        <v>9217</v>
      </c>
      <c r="C7667" s="2" t="s">
        <v>9218</v>
      </c>
      <c r="D7667" s="2" t="s">
        <v>10</v>
      </c>
      <c r="E7667" s="2" t="s">
        <v>16</v>
      </c>
      <c r="F7667" s="2">
        <v>1</v>
      </c>
      <c r="G7667" s="2" t="s">
        <v>17</v>
      </c>
    </row>
    <row r="7668" spans="1:7" x14ac:dyDescent="0.2">
      <c r="A7668" s="2" t="s">
        <v>9166</v>
      </c>
      <c r="B7668" s="2" t="s">
        <v>9219</v>
      </c>
      <c r="C7668" s="2" t="s">
        <v>9218</v>
      </c>
      <c r="D7668" s="2" t="s">
        <v>10</v>
      </c>
      <c r="E7668" s="2" t="s">
        <v>16</v>
      </c>
      <c r="F7668" s="2">
        <v>1</v>
      </c>
      <c r="G7668" s="2" t="s">
        <v>17</v>
      </c>
    </row>
    <row r="7669" spans="1:7" x14ac:dyDescent="0.2">
      <c r="A7669" s="2" t="s">
        <v>9166</v>
      </c>
      <c r="B7669" s="2" t="s">
        <v>2107</v>
      </c>
      <c r="C7669" s="2" t="s">
        <v>1301</v>
      </c>
      <c r="D7669" s="2" t="s">
        <v>10</v>
      </c>
      <c r="E7669" s="2" t="s">
        <v>16</v>
      </c>
      <c r="F7669" s="2">
        <v>1</v>
      </c>
      <c r="G7669" s="2" t="s">
        <v>17</v>
      </c>
    </row>
    <row r="7670" spans="1:7" x14ac:dyDescent="0.2">
      <c r="A7670" s="2" t="s">
        <v>9166</v>
      </c>
      <c r="B7670" s="2" t="s">
        <v>9220</v>
      </c>
      <c r="C7670" s="2" t="s">
        <v>9221</v>
      </c>
      <c r="D7670" s="2" t="s">
        <v>10</v>
      </c>
      <c r="E7670" s="2" t="s">
        <v>16</v>
      </c>
      <c r="F7670" s="2">
        <v>1</v>
      </c>
      <c r="G7670" s="2" t="s">
        <v>17</v>
      </c>
    </row>
    <row r="7671" spans="1:7" x14ac:dyDescent="0.2">
      <c r="A7671" s="2" t="s">
        <v>9166</v>
      </c>
      <c r="B7671" s="2" t="s">
        <v>9222</v>
      </c>
      <c r="C7671" s="2" t="s">
        <v>9176</v>
      </c>
      <c r="D7671" s="2" t="s">
        <v>10</v>
      </c>
      <c r="E7671" s="2" t="s">
        <v>16</v>
      </c>
      <c r="F7671" s="2">
        <v>1</v>
      </c>
      <c r="G7671" s="2" t="s">
        <v>17</v>
      </c>
    </row>
    <row r="7672" spans="1:7" x14ac:dyDescent="0.2">
      <c r="A7672" s="2" t="s">
        <v>9166</v>
      </c>
      <c r="B7672" s="2" t="s">
        <v>9223</v>
      </c>
      <c r="C7672" s="2" t="s">
        <v>9176</v>
      </c>
      <c r="D7672" s="2" t="s">
        <v>10</v>
      </c>
      <c r="E7672" s="2" t="s">
        <v>16</v>
      </c>
      <c r="F7672" s="2">
        <v>1</v>
      </c>
      <c r="G7672" s="2" t="s">
        <v>17</v>
      </c>
    </row>
    <row r="7673" spans="1:7" x14ac:dyDescent="0.2">
      <c r="A7673" s="2" t="s">
        <v>9166</v>
      </c>
      <c r="B7673" s="2" t="s">
        <v>9224</v>
      </c>
      <c r="C7673" s="2" t="s">
        <v>9176</v>
      </c>
      <c r="D7673" s="2" t="s">
        <v>10</v>
      </c>
      <c r="E7673" s="2" t="s">
        <v>16</v>
      </c>
      <c r="F7673" s="2">
        <v>1</v>
      </c>
      <c r="G7673" s="2" t="s">
        <v>17</v>
      </c>
    </row>
    <row r="7674" spans="1:7" x14ac:dyDescent="0.2">
      <c r="A7674" s="2" t="s">
        <v>9166</v>
      </c>
      <c r="B7674" s="2" t="s">
        <v>9225</v>
      </c>
      <c r="C7674" s="2" t="s">
        <v>8218</v>
      </c>
      <c r="D7674" s="2" t="s">
        <v>10</v>
      </c>
      <c r="E7674" s="2" t="s">
        <v>16</v>
      </c>
      <c r="F7674" s="2">
        <v>2</v>
      </c>
      <c r="G7674" s="2" t="s">
        <v>17</v>
      </c>
    </row>
    <row r="7675" spans="1:7" x14ac:dyDescent="0.2">
      <c r="A7675" s="2" t="s">
        <v>9166</v>
      </c>
      <c r="B7675" s="2" t="s">
        <v>9226</v>
      </c>
      <c r="C7675" s="2" t="s">
        <v>8218</v>
      </c>
      <c r="D7675" s="2" t="s">
        <v>10</v>
      </c>
      <c r="E7675" s="2" t="s">
        <v>16</v>
      </c>
      <c r="F7675" s="2">
        <v>2</v>
      </c>
      <c r="G7675" s="2" t="s">
        <v>17</v>
      </c>
    </row>
    <row r="7676" spans="1:7" x14ac:dyDescent="0.2">
      <c r="A7676" s="2" t="s">
        <v>9166</v>
      </c>
      <c r="B7676" s="2" t="s">
        <v>9227</v>
      </c>
      <c r="C7676" s="2" t="s">
        <v>3947</v>
      </c>
      <c r="D7676" s="2" t="s">
        <v>10</v>
      </c>
      <c r="E7676" s="2" t="s">
        <v>16</v>
      </c>
      <c r="F7676" s="2">
        <v>2</v>
      </c>
      <c r="G7676" s="2" t="s">
        <v>17</v>
      </c>
    </row>
    <row r="7677" spans="1:7" x14ac:dyDescent="0.2">
      <c r="A7677" s="2" t="s">
        <v>9166</v>
      </c>
      <c r="B7677" s="2" t="s">
        <v>9228</v>
      </c>
      <c r="C7677" s="2" t="s">
        <v>3947</v>
      </c>
      <c r="D7677" s="2" t="s">
        <v>10</v>
      </c>
      <c r="E7677" s="2" t="s">
        <v>16</v>
      </c>
      <c r="F7677" s="2">
        <v>2</v>
      </c>
      <c r="G7677" s="2" t="s">
        <v>17</v>
      </c>
    </row>
    <row r="7678" spans="1:7" x14ac:dyDescent="0.2">
      <c r="A7678" s="2" t="s">
        <v>9166</v>
      </c>
      <c r="B7678" s="2" t="s">
        <v>9229</v>
      </c>
      <c r="C7678" s="2" t="s">
        <v>3947</v>
      </c>
      <c r="D7678" s="2" t="s">
        <v>10</v>
      </c>
      <c r="E7678" s="2" t="s">
        <v>16</v>
      </c>
      <c r="F7678" s="2">
        <v>2</v>
      </c>
      <c r="G7678" s="2" t="s">
        <v>17</v>
      </c>
    </row>
    <row r="7679" spans="1:7" x14ac:dyDescent="0.2">
      <c r="A7679" s="2" t="s">
        <v>9166</v>
      </c>
      <c r="B7679" s="2" t="s">
        <v>9230</v>
      </c>
      <c r="C7679" s="2" t="s">
        <v>9188</v>
      </c>
      <c r="D7679" s="2" t="s">
        <v>10</v>
      </c>
      <c r="E7679" s="2" t="s">
        <v>16</v>
      </c>
      <c r="F7679" s="2">
        <v>1</v>
      </c>
      <c r="G7679" s="2" t="s">
        <v>17</v>
      </c>
    </row>
    <row r="7680" spans="1:7" x14ac:dyDescent="0.2">
      <c r="A7680" s="2" t="s">
        <v>9166</v>
      </c>
      <c r="B7680" s="2" t="s">
        <v>5097</v>
      </c>
      <c r="C7680" s="2" t="s">
        <v>3956</v>
      </c>
      <c r="D7680" s="2" t="s">
        <v>10</v>
      </c>
      <c r="E7680" s="2" t="s">
        <v>16</v>
      </c>
      <c r="F7680" s="2">
        <v>1</v>
      </c>
      <c r="G7680" s="2" t="s">
        <v>17</v>
      </c>
    </row>
    <row r="7681" spans="1:7" x14ac:dyDescent="0.2">
      <c r="A7681" s="2" t="s">
        <v>9166</v>
      </c>
      <c r="B7681" s="2" t="s">
        <v>928</v>
      </c>
      <c r="C7681" s="2" t="s">
        <v>900</v>
      </c>
      <c r="D7681" s="2" t="s">
        <v>10</v>
      </c>
      <c r="E7681" s="2" t="s">
        <v>16</v>
      </c>
      <c r="F7681" s="2">
        <v>1</v>
      </c>
      <c r="G7681" s="2" t="s">
        <v>17</v>
      </c>
    </row>
    <row r="7682" spans="1:7" x14ac:dyDescent="0.2">
      <c r="A7682" s="2" t="s">
        <v>9166</v>
      </c>
      <c r="B7682" s="2" t="s">
        <v>9231</v>
      </c>
      <c r="C7682" s="2" t="s">
        <v>900</v>
      </c>
      <c r="D7682" s="2" t="s">
        <v>10</v>
      </c>
      <c r="E7682" s="2" t="s">
        <v>16</v>
      </c>
      <c r="F7682" s="2">
        <v>1</v>
      </c>
      <c r="G7682" s="2" t="s">
        <v>17</v>
      </c>
    </row>
    <row r="7683" spans="1:7" x14ac:dyDescent="0.2">
      <c r="A7683" s="2" t="s">
        <v>9166</v>
      </c>
      <c r="B7683" s="2" t="s">
        <v>929</v>
      </c>
      <c r="C7683" s="2" t="s">
        <v>900</v>
      </c>
      <c r="D7683" s="2" t="s">
        <v>10</v>
      </c>
      <c r="E7683" s="2" t="s">
        <v>16</v>
      </c>
      <c r="F7683" s="2">
        <v>1</v>
      </c>
      <c r="G7683" s="2" t="s">
        <v>17</v>
      </c>
    </row>
    <row r="7684" spans="1:7" x14ac:dyDescent="0.2">
      <c r="A7684" s="2" t="s">
        <v>9166</v>
      </c>
      <c r="B7684" s="2" t="s">
        <v>9232</v>
      </c>
      <c r="C7684" s="2" t="s">
        <v>900</v>
      </c>
      <c r="D7684" s="2" t="s">
        <v>10</v>
      </c>
      <c r="E7684" s="2" t="s">
        <v>16</v>
      </c>
      <c r="F7684" s="2">
        <v>1</v>
      </c>
      <c r="G7684" s="2" t="s">
        <v>17</v>
      </c>
    </row>
    <row r="7685" spans="1:7" x14ac:dyDescent="0.2">
      <c r="A7685" s="2" t="s">
        <v>9166</v>
      </c>
      <c r="B7685" s="2" t="s">
        <v>9233</v>
      </c>
      <c r="C7685" s="2" t="s">
        <v>900</v>
      </c>
      <c r="D7685" s="2" t="s">
        <v>10</v>
      </c>
      <c r="E7685" s="2" t="s">
        <v>16</v>
      </c>
      <c r="F7685" s="2">
        <v>1</v>
      </c>
      <c r="G7685" s="2" t="s">
        <v>17</v>
      </c>
    </row>
    <row r="7686" spans="1:7" x14ac:dyDescent="0.2">
      <c r="A7686" s="2" t="s">
        <v>9166</v>
      </c>
      <c r="B7686" s="2" t="s">
        <v>9234</v>
      </c>
      <c r="C7686" s="2" t="s">
        <v>900</v>
      </c>
      <c r="D7686" s="2" t="s">
        <v>10</v>
      </c>
      <c r="E7686" s="2" t="s">
        <v>16</v>
      </c>
      <c r="F7686" s="2">
        <v>1</v>
      </c>
      <c r="G7686" s="2" t="s">
        <v>17</v>
      </c>
    </row>
    <row r="7687" spans="1:7" x14ac:dyDescent="0.2">
      <c r="A7687" s="2" t="s">
        <v>9166</v>
      </c>
      <c r="B7687" s="2" t="s">
        <v>9235</v>
      </c>
      <c r="C7687" s="2" t="s">
        <v>900</v>
      </c>
      <c r="D7687" s="2" t="s">
        <v>10</v>
      </c>
      <c r="E7687" s="2" t="s">
        <v>16</v>
      </c>
      <c r="F7687" s="2">
        <v>1</v>
      </c>
      <c r="G7687" s="2" t="s">
        <v>17</v>
      </c>
    </row>
    <row r="7688" spans="1:7" x14ac:dyDescent="0.2">
      <c r="A7688" s="2" t="s">
        <v>9166</v>
      </c>
      <c r="B7688" s="2" t="s">
        <v>9236</v>
      </c>
      <c r="C7688" s="2" t="s">
        <v>900</v>
      </c>
      <c r="D7688" s="2" t="s">
        <v>10</v>
      </c>
      <c r="E7688" s="2" t="s">
        <v>16</v>
      </c>
      <c r="F7688" s="2">
        <v>1</v>
      </c>
      <c r="G7688" s="2" t="s">
        <v>17</v>
      </c>
    </row>
    <row r="7689" spans="1:7" x14ac:dyDescent="0.2">
      <c r="A7689" s="2" t="s">
        <v>9166</v>
      </c>
      <c r="B7689" s="2" t="s">
        <v>930</v>
      </c>
      <c r="C7689" s="2" t="s">
        <v>900</v>
      </c>
      <c r="D7689" s="2" t="s">
        <v>10</v>
      </c>
      <c r="E7689" s="2" t="s">
        <v>16</v>
      </c>
      <c r="F7689" s="2">
        <v>1</v>
      </c>
      <c r="G7689" s="2" t="s">
        <v>17</v>
      </c>
    </row>
    <row r="7690" spans="1:7" x14ac:dyDescent="0.2">
      <c r="A7690" s="2" t="s">
        <v>9166</v>
      </c>
      <c r="B7690" s="2" t="s">
        <v>931</v>
      </c>
      <c r="C7690" s="2" t="s">
        <v>900</v>
      </c>
      <c r="D7690" s="2" t="s">
        <v>10</v>
      </c>
      <c r="E7690" s="2" t="s">
        <v>16</v>
      </c>
      <c r="F7690" s="2">
        <v>1</v>
      </c>
      <c r="G7690" s="2" t="s">
        <v>17</v>
      </c>
    </row>
    <row r="7691" spans="1:7" x14ac:dyDescent="0.2">
      <c r="A7691" s="2" t="s">
        <v>9166</v>
      </c>
      <c r="B7691" s="2" t="s">
        <v>9237</v>
      </c>
      <c r="C7691" s="2" t="s">
        <v>900</v>
      </c>
      <c r="D7691" s="2" t="s">
        <v>10</v>
      </c>
      <c r="E7691" s="2" t="s">
        <v>16</v>
      </c>
      <c r="F7691" s="2">
        <v>1</v>
      </c>
      <c r="G7691" s="2" t="s">
        <v>17</v>
      </c>
    </row>
    <row r="7692" spans="1:7" x14ac:dyDescent="0.2">
      <c r="A7692" s="2" t="s">
        <v>9166</v>
      </c>
      <c r="B7692" s="2" t="s">
        <v>932</v>
      </c>
      <c r="C7692" s="2" t="s">
        <v>900</v>
      </c>
      <c r="D7692" s="2" t="s">
        <v>10</v>
      </c>
      <c r="E7692" s="2" t="s">
        <v>16</v>
      </c>
      <c r="F7692" s="2">
        <v>1</v>
      </c>
      <c r="G7692" s="2" t="s">
        <v>17</v>
      </c>
    </row>
    <row r="7693" spans="1:7" x14ac:dyDescent="0.2">
      <c r="A7693" s="2" t="s">
        <v>9166</v>
      </c>
      <c r="B7693" s="2" t="s">
        <v>933</v>
      </c>
      <c r="C7693" s="2" t="s">
        <v>900</v>
      </c>
      <c r="D7693" s="2" t="s">
        <v>10</v>
      </c>
      <c r="E7693" s="2" t="s">
        <v>16</v>
      </c>
      <c r="F7693" s="2">
        <v>1</v>
      </c>
      <c r="G7693" s="2" t="s">
        <v>17</v>
      </c>
    </row>
    <row r="7694" spans="1:7" x14ac:dyDescent="0.2">
      <c r="A7694" s="2" t="s">
        <v>9166</v>
      </c>
      <c r="B7694" s="2" t="s">
        <v>9238</v>
      </c>
      <c r="C7694" s="2" t="s">
        <v>900</v>
      </c>
      <c r="D7694" s="2" t="s">
        <v>10</v>
      </c>
      <c r="E7694" s="2" t="s">
        <v>16</v>
      </c>
      <c r="F7694" s="2">
        <v>1</v>
      </c>
      <c r="G7694" s="2" t="s">
        <v>17</v>
      </c>
    </row>
    <row r="7695" spans="1:7" x14ac:dyDescent="0.2">
      <c r="A7695" s="2" t="s">
        <v>9166</v>
      </c>
      <c r="B7695" s="2" t="s">
        <v>9239</v>
      </c>
      <c r="C7695" s="2" t="s">
        <v>900</v>
      </c>
      <c r="D7695" s="2" t="s">
        <v>10</v>
      </c>
      <c r="E7695" s="2" t="s">
        <v>16</v>
      </c>
      <c r="F7695" s="2">
        <v>1</v>
      </c>
      <c r="G7695" s="2" t="s">
        <v>17</v>
      </c>
    </row>
    <row r="7696" spans="1:7" x14ac:dyDescent="0.2">
      <c r="A7696" s="2" t="s">
        <v>9166</v>
      </c>
      <c r="B7696" s="2" t="s">
        <v>934</v>
      </c>
      <c r="C7696" s="2" t="s">
        <v>900</v>
      </c>
      <c r="D7696" s="2" t="s">
        <v>10</v>
      </c>
      <c r="E7696" s="2" t="s">
        <v>16</v>
      </c>
      <c r="F7696" s="2">
        <v>1</v>
      </c>
      <c r="G7696" s="2" t="s">
        <v>17</v>
      </c>
    </row>
    <row r="7697" spans="1:7" x14ac:dyDescent="0.2">
      <c r="A7697" s="2" t="s">
        <v>9166</v>
      </c>
      <c r="B7697" s="2" t="s">
        <v>9240</v>
      </c>
      <c r="C7697" s="2" t="s">
        <v>900</v>
      </c>
      <c r="D7697" s="2" t="s">
        <v>10</v>
      </c>
      <c r="E7697" s="2" t="s">
        <v>16</v>
      </c>
      <c r="F7697" s="2">
        <v>1</v>
      </c>
      <c r="G7697" s="2" t="s">
        <v>17</v>
      </c>
    </row>
    <row r="7698" spans="1:7" x14ac:dyDescent="0.2">
      <c r="A7698" s="2" t="s">
        <v>9166</v>
      </c>
      <c r="B7698" s="2" t="s">
        <v>935</v>
      </c>
      <c r="C7698" s="2" t="s">
        <v>900</v>
      </c>
      <c r="D7698" s="2" t="s">
        <v>10</v>
      </c>
      <c r="E7698" s="2" t="s">
        <v>16</v>
      </c>
      <c r="F7698" s="2">
        <v>1</v>
      </c>
      <c r="G7698" s="2" t="s">
        <v>17</v>
      </c>
    </row>
    <row r="7699" spans="1:7" x14ac:dyDescent="0.2">
      <c r="A7699" s="2" t="s">
        <v>9166</v>
      </c>
      <c r="B7699" s="2" t="s">
        <v>936</v>
      </c>
      <c r="C7699" s="2" t="s">
        <v>903</v>
      </c>
      <c r="D7699" s="2" t="s">
        <v>10</v>
      </c>
      <c r="E7699" s="2" t="s">
        <v>16</v>
      </c>
      <c r="F7699" s="2">
        <v>1</v>
      </c>
      <c r="G7699" s="2" t="s">
        <v>17</v>
      </c>
    </row>
    <row r="7700" spans="1:7" x14ac:dyDescent="0.2">
      <c r="A7700" s="2" t="s">
        <v>9166</v>
      </c>
      <c r="B7700" s="2" t="s">
        <v>937</v>
      </c>
      <c r="C7700" s="2" t="s">
        <v>903</v>
      </c>
      <c r="D7700" s="2" t="s">
        <v>10</v>
      </c>
      <c r="E7700" s="2" t="s">
        <v>16</v>
      </c>
      <c r="F7700" s="2">
        <v>1</v>
      </c>
      <c r="G7700" s="2" t="s">
        <v>17</v>
      </c>
    </row>
    <row r="7701" spans="1:7" x14ac:dyDescent="0.2">
      <c r="A7701" s="2" t="s">
        <v>9166</v>
      </c>
      <c r="B7701" s="2" t="s">
        <v>938</v>
      </c>
      <c r="C7701" s="2" t="s">
        <v>903</v>
      </c>
      <c r="D7701" s="2" t="s">
        <v>10</v>
      </c>
      <c r="E7701" s="2" t="s">
        <v>16</v>
      </c>
      <c r="F7701" s="2">
        <v>1</v>
      </c>
      <c r="G7701" s="2" t="s">
        <v>17</v>
      </c>
    </row>
    <row r="7702" spans="1:7" x14ac:dyDescent="0.2">
      <c r="A7702" s="2" t="s">
        <v>9166</v>
      </c>
      <c r="B7702" s="2" t="s">
        <v>939</v>
      </c>
      <c r="C7702" s="2" t="s">
        <v>903</v>
      </c>
      <c r="D7702" s="2" t="s">
        <v>10</v>
      </c>
      <c r="E7702" s="2" t="s">
        <v>16</v>
      </c>
      <c r="F7702" s="2">
        <v>1</v>
      </c>
      <c r="G7702" s="2" t="s">
        <v>17</v>
      </c>
    </row>
    <row r="7703" spans="1:7" x14ac:dyDescent="0.2">
      <c r="A7703" s="2" t="s">
        <v>9166</v>
      </c>
      <c r="B7703" s="2" t="s">
        <v>940</v>
      </c>
      <c r="C7703" s="2" t="s">
        <v>903</v>
      </c>
      <c r="D7703" s="2" t="s">
        <v>10</v>
      </c>
      <c r="E7703" s="2" t="s">
        <v>16</v>
      </c>
      <c r="F7703" s="2">
        <v>1</v>
      </c>
      <c r="G7703" s="2" t="s">
        <v>17</v>
      </c>
    </row>
    <row r="7704" spans="1:7" x14ac:dyDescent="0.2">
      <c r="A7704" s="2" t="s">
        <v>9166</v>
      </c>
      <c r="B7704" s="2" t="s">
        <v>941</v>
      </c>
      <c r="C7704" s="2" t="s">
        <v>907</v>
      </c>
      <c r="D7704" s="2" t="s">
        <v>10</v>
      </c>
      <c r="E7704" s="2" t="s">
        <v>16</v>
      </c>
      <c r="F7704" s="2">
        <v>1</v>
      </c>
      <c r="G7704" s="2" t="s">
        <v>17</v>
      </c>
    </row>
    <row r="7705" spans="1:7" x14ac:dyDescent="0.2">
      <c r="A7705" s="2" t="s">
        <v>9166</v>
      </c>
      <c r="B7705" s="2" t="s">
        <v>9241</v>
      </c>
      <c r="C7705" s="2" t="s">
        <v>907</v>
      </c>
      <c r="D7705" s="2" t="s">
        <v>10</v>
      </c>
      <c r="E7705" s="2" t="s">
        <v>16</v>
      </c>
      <c r="F7705" s="2">
        <v>1</v>
      </c>
      <c r="G7705" s="2" t="s">
        <v>17</v>
      </c>
    </row>
    <row r="7706" spans="1:7" x14ac:dyDescent="0.2">
      <c r="A7706" s="2" t="s">
        <v>9166</v>
      </c>
      <c r="B7706" s="2" t="s">
        <v>942</v>
      </c>
      <c r="C7706" s="2" t="s">
        <v>907</v>
      </c>
      <c r="D7706" s="2" t="s">
        <v>10</v>
      </c>
      <c r="E7706" s="2" t="s">
        <v>16</v>
      </c>
      <c r="F7706" s="2">
        <v>1</v>
      </c>
      <c r="G7706" s="2" t="s">
        <v>17</v>
      </c>
    </row>
    <row r="7707" spans="1:7" x14ac:dyDescent="0.2">
      <c r="A7707" s="2" t="s">
        <v>9166</v>
      </c>
      <c r="B7707" s="2" t="s">
        <v>9242</v>
      </c>
      <c r="C7707" s="2" t="s">
        <v>907</v>
      </c>
      <c r="D7707" s="2" t="s">
        <v>10</v>
      </c>
      <c r="E7707" s="2" t="s">
        <v>16</v>
      </c>
      <c r="F7707" s="2">
        <v>1</v>
      </c>
      <c r="G7707" s="2" t="s">
        <v>17</v>
      </c>
    </row>
    <row r="7708" spans="1:7" x14ac:dyDescent="0.2">
      <c r="A7708" s="2" t="s">
        <v>9166</v>
      </c>
      <c r="B7708" s="2" t="s">
        <v>9243</v>
      </c>
      <c r="C7708" s="2" t="s">
        <v>907</v>
      </c>
      <c r="D7708" s="2" t="s">
        <v>10</v>
      </c>
      <c r="E7708" s="2" t="s">
        <v>16</v>
      </c>
      <c r="F7708" s="2">
        <v>1</v>
      </c>
      <c r="G7708" s="2" t="s">
        <v>17</v>
      </c>
    </row>
    <row r="7709" spans="1:7" x14ac:dyDescent="0.2">
      <c r="A7709" s="2" t="s">
        <v>9166</v>
      </c>
      <c r="B7709" s="2" t="s">
        <v>9244</v>
      </c>
      <c r="C7709" s="2" t="s">
        <v>3419</v>
      </c>
      <c r="D7709" s="2" t="s">
        <v>10</v>
      </c>
      <c r="E7709" s="2" t="s">
        <v>16</v>
      </c>
      <c r="F7709" s="2">
        <v>1</v>
      </c>
      <c r="G7709" s="2" t="s">
        <v>17</v>
      </c>
    </row>
    <row r="7710" spans="1:7" x14ac:dyDescent="0.2">
      <c r="A7710" s="2" t="s">
        <v>9166</v>
      </c>
      <c r="B7710" s="2" t="s">
        <v>9245</v>
      </c>
      <c r="C7710" s="2" t="s">
        <v>3945</v>
      </c>
      <c r="D7710" s="2" t="s">
        <v>10</v>
      </c>
      <c r="E7710" s="2" t="s">
        <v>16</v>
      </c>
      <c r="F7710" s="2">
        <v>1</v>
      </c>
      <c r="G7710" s="2" t="s">
        <v>17</v>
      </c>
    </row>
    <row r="7711" spans="1:7" x14ac:dyDescent="0.2">
      <c r="A7711" s="2" t="s">
        <v>9166</v>
      </c>
      <c r="B7711" s="2" t="s">
        <v>9246</v>
      </c>
      <c r="C7711" s="2" t="s">
        <v>944</v>
      </c>
      <c r="D7711" s="2" t="s">
        <v>10</v>
      </c>
      <c r="E7711" s="2" t="s">
        <v>16</v>
      </c>
      <c r="F7711" s="2">
        <v>2</v>
      </c>
      <c r="G7711" s="2" t="s">
        <v>17</v>
      </c>
    </row>
    <row r="7712" spans="1:7" x14ac:dyDescent="0.2">
      <c r="A7712" s="2" t="s">
        <v>9166</v>
      </c>
      <c r="B7712" s="2" t="s">
        <v>943</v>
      </c>
      <c r="C7712" s="2" t="s">
        <v>944</v>
      </c>
      <c r="D7712" s="2" t="s">
        <v>10</v>
      </c>
      <c r="E7712" s="2" t="s">
        <v>16</v>
      </c>
      <c r="F7712" s="2">
        <v>2</v>
      </c>
      <c r="G7712" s="2" t="s">
        <v>17</v>
      </c>
    </row>
    <row r="7713" spans="1:7" x14ac:dyDescent="0.2">
      <c r="A7713" s="2" t="s">
        <v>9166</v>
      </c>
      <c r="B7713" s="2" t="s">
        <v>9247</v>
      </c>
      <c r="C7713" s="2" t="s">
        <v>921</v>
      </c>
      <c r="D7713" s="2" t="s">
        <v>10</v>
      </c>
      <c r="E7713" s="2" t="s">
        <v>16</v>
      </c>
      <c r="F7713" s="2">
        <v>2</v>
      </c>
      <c r="G7713" s="2" t="s">
        <v>17</v>
      </c>
    </row>
    <row r="7714" spans="1:7" x14ac:dyDescent="0.2">
      <c r="A7714" s="2" t="s">
        <v>9166</v>
      </c>
      <c r="B7714" s="2" t="s">
        <v>945</v>
      </c>
      <c r="C7714" s="2" t="s">
        <v>921</v>
      </c>
      <c r="D7714" s="2" t="s">
        <v>10</v>
      </c>
      <c r="E7714" s="2" t="s">
        <v>16</v>
      </c>
      <c r="F7714" s="2">
        <v>2</v>
      </c>
      <c r="G7714" s="2" t="s">
        <v>17</v>
      </c>
    </row>
    <row r="7715" spans="1:7" x14ac:dyDescent="0.2">
      <c r="A7715" s="2" t="s">
        <v>9166</v>
      </c>
      <c r="B7715" s="2" t="s">
        <v>9248</v>
      </c>
      <c r="C7715" s="2" t="s">
        <v>900</v>
      </c>
      <c r="D7715" s="2" t="s">
        <v>10</v>
      </c>
      <c r="E7715" s="2" t="s">
        <v>16</v>
      </c>
      <c r="F7715" s="2">
        <v>1</v>
      </c>
      <c r="G7715" s="2" t="s">
        <v>17</v>
      </c>
    </row>
    <row r="7716" spans="1:7" x14ac:dyDescent="0.2">
      <c r="A7716" s="2" t="s">
        <v>9166</v>
      </c>
      <c r="B7716" s="2" t="s">
        <v>9249</v>
      </c>
      <c r="C7716" s="2" t="s">
        <v>900</v>
      </c>
      <c r="D7716" s="2" t="s">
        <v>10</v>
      </c>
      <c r="E7716" s="2" t="s">
        <v>16</v>
      </c>
      <c r="F7716" s="2">
        <v>1</v>
      </c>
      <c r="G7716" s="2" t="s">
        <v>17</v>
      </c>
    </row>
    <row r="7717" spans="1:7" x14ac:dyDescent="0.2">
      <c r="A7717" s="2" t="s">
        <v>9166</v>
      </c>
      <c r="B7717" s="2" t="s">
        <v>9250</v>
      </c>
      <c r="C7717" s="2" t="s">
        <v>944</v>
      </c>
      <c r="D7717" s="2" t="s">
        <v>10</v>
      </c>
      <c r="E7717" s="2" t="s">
        <v>16</v>
      </c>
      <c r="F7717" s="2">
        <v>2</v>
      </c>
      <c r="G7717" s="2" t="s">
        <v>17</v>
      </c>
    </row>
    <row r="7718" spans="1:7" x14ac:dyDescent="0.2">
      <c r="A7718" s="2" t="s">
        <v>9166</v>
      </c>
      <c r="B7718" s="2" t="s">
        <v>977</v>
      </c>
      <c r="C7718" s="2" t="s">
        <v>944</v>
      </c>
      <c r="D7718" s="2" t="s">
        <v>10</v>
      </c>
      <c r="E7718" s="2" t="s">
        <v>16</v>
      </c>
      <c r="F7718" s="2">
        <v>2</v>
      </c>
      <c r="G7718" s="2" t="s">
        <v>17</v>
      </c>
    </row>
    <row r="7719" spans="1:7" x14ac:dyDescent="0.2">
      <c r="A7719" s="2" t="s">
        <v>9166</v>
      </c>
      <c r="B7719" s="2" t="s">
        <v>9251</v>
      </c>
      <c r="C7719" s="2" t="s">
        <v>944</v>
      </c>
      <c r="D7719" s="2" t="s">
        <v>10</v>
      </c>
      <c r="E7719" s="2" t="s">
        <v>16</v>
      </c>
      <c r="F7719" s="2">
        <v>2</v>
      </c>
      <c r="G7719" s="2" t="s">
        <v>17</v>
      </c>
    </row>
    <row r="7720" spans="1:7" x14ac:dyDescent="0.2">
      <c r="A7720" s="2" t="s">
        <v>9166</v>
      </c>
      <c r="B7720" s="2" t="s">
        <v>9252</v>
      </c>
      <c r="C7720" s="2" t="s">
        <v>1301</v>
      </c>
      <c r="D7720" s="2" t="s">
        <v>10</v>
      </c>
      <c r="E7720" s="2" t="s">
        <v>16</v>
      </c>
      <c r="F7720" s="2">
        <v>1</v>
      </c>
      <c r="G7720" s="2" t="s">
        <v>17</v>
      </c>
    </row>
    <row r="7721" spans="1:7" x14ac:dyDescent="0.2">
      <c r="A7721" s="2" t="s">
        <v>9166</v>
      </c>
      <c r="B7721" s="2" t="s">
        <v>9253</v>
      </c>
      <c r="C7721" s="2" t="s">
        <v>3947</v>
      </c>
      <c r="D7721" s="2" t="s">
        <v>10</v>
      </c>
      <c r="E7721" s="2" t="s">
        <v>16</v>
      </c>
      <c r="F7721" s="2">
        <v>2</v>
      </c>
      <c r="G7721" s="2" t="s">
        <v>17</v>
      </c>
    </row>
    <row r="7722" spans="1:7" x14ac:dyDescent="0.2">
      <c r="A7722" s="2" t="s">
        <v>9166</v>
      </c>
      <c r="B7722" s="2" t="s">
        <v>9254</v>
      </c>
      <c r="C7722" s="2" t="s">
        <v>3947</v>
      </c>
      <c r="D7722" s="2" t="s">
        <v>10</v>
      </c>
      <c r="E7722" s="2" t="s">
        <v>16</v>
      </c>
      <c r="F7722" s="2">
        <v>2</v>
      </c>
      <c r="G7722" s="2" t="s">
        <v>17</v>
      </c>
    </row>
    <row r="7723" spans="1:7" x14ac:dyDescent="0.2">
      <c r="A7723" s="2" t="s">
        <v>9166</v>
      </c>
      <c r="B7723" s="2" t="s">
        <v>9255</v>
      </c>
      <c r="C7723" s="2" t="s">
        <v>9215</v>
      </c>
      <c r="D7723" s="2" t="s">
        <v>10</v>
      </c>
      <c r="E7723" s="2" t="s">
        <v>16</v>
      </c>
      <c r="F7723" s="2">
        <v>1</v>
      </c>
      <c r="G7723" s="2" t="s">
        <v>17</v>
      </c>
    </row>
    <row r="7724" spans="1:7" x14ac:dyDescent="0.2">
      <c r="A7724" s="2" t="s">
        <v>9166</v>
      </c>
      <c r="B7724" s="2" t="s">
        <v>9256</v>
      </c>
      <c r="C7724" s="2" t="s">
        <v>9218</v>
      </c>
      <c r="D7724" s="2" t="s">
        <v>10</v>
      </c>
      <c r="E7724" s="2" t="s">
        <v>16</v>
      </c>
      <c r="F7724" s="2">
        <v>1</v>
      </c>
      <c r="G7724" s="2" t="s">
        <v>17</v>
      </c>
    </row>
    <row r="7725" spans="1:7" x14ac:dyDescent="0.2">
      <c r="A7725" s="2" t="s">
        <v>9166</v>
      </c>
      <c r="B7725" s="2" t="s">
        <v>9257</v>
      </c>
      <c r="C7725" s="2" t="s">
        <v>9218</v>
      </c>
      <c r="D7725" s="2" t="s">
        <v>10</v>
      </c>
      <c r="E7725" s="2" t="s">
        <v>16</v>
      </c>
      <c r="F7725" s="2">
        <v>1</v>
      </c>
      <c r="G7725" s="2" t="s">
        <v>17</v>
      </c>
    </row>
    <row r="7726" spans="1:7" x14ac:dyDescent="0.2">
      <c r="A7726" s="2" t="s">
        <v>9166</v>
      </c>
      <c r="B7726" s="2" t="s">
        <v>1082</v>
      </c>
      <c r="C7726" s="2" t="s">
        <v>9170</v>
      </c>
      <c r="D7726" s="2" t="s">
        <v>10</v>
      </c>
      <c r="E7726" s="2" t="s">
        <v>16</v>
      </c>
      <c r="F7726" s="2">
        <v>1</v>
      </c>
      <c r="G7726" s="2" t="s">
        <v>17</v>
      </c>
    </row>
    <row r="7727" spans="1:7" x14ac:dyDescent="0.2">
      <c r="A7727" s="2" t="s">
        <v>9166</v>
      </c>
      <c r="B7727" s="2" t="s">
        <v>978</v>
      </c>
      <c r="C7727" s="2" t="s">
        <v>900</v>
      </c>
      <c r="D7727" s="2" t="s">
        <v>10</v>
      </c>
      <c r="E7727" s="2" t="s">
        <v>16</v>
      </c>
      <c r="F7727" s="2">
        <v>1</v>
      </c>
      <c r="G7727" s="2" t="s">
        <v>17</v>
      </c>
    </row>
    <row r="7728" spans="1:7" x14ac:dyDescent="0.2">
      <c r="A7728" s="2" t="s">
        <v>9166</v>
      </c>
      <c r="B7728" s="2" t="s">
        <v>9258</v>
      </c>
      <c r="C7728" s="2" t="s">
        <v>900</v>
      </c>
      <c r="D7728" s="2" t="s">
        <v>10</v>
      </c>
      <c r="E7728" s="2" t="s">
        <v>16</v>
      </c>
      <c r="F7728" s="2">
        <v>1</v>
      </c>
      <c r="G7728" s="2" t="s">
        <v>17</v>
      </c>
    </row>
    <row r="7729" spans="1:7" x14ac:dyDescent="0.2">
      <c r="A7729" s="2" t="s">
        <v>9166</v>
      </c>
      <c r="B7729" s="2" t="s">
        <v>946</v>
      </c>
      <c r="C7729" s="2" t="s">
        <v>921</v>
      </c>
      <c r="D7729" s="2" t="s">
        <v>10</v>
      </c>
      <c r="E7729" s="2" t="s">
        <v>16</v>
      </c>
      <c r="F7729" s="2">
        <v>2</v>
      </c>
      <c r="G7729" s="2" t="s">
        <v>17</v>
      </c>
    </row>
    <row r="7730" spans="1:7" x14ac:dyDescent="0.2">
      <c r="A7730" s="2" t="s">
        <v>9166</v>
      </c>
      <c r="B7730" s="2" t="s">
        <v>947</v>
      </c>
      <c r="C7730" s="2" t="s">
        <v>921</v>
      </c>
      <c r="D7730" s="2" t="s">
        <v>10</v>
      </c>
      <c r="E7730" s="2" t="s">
        <v>16</v>
      </c>
      <c r="F7730" s="2">
        <v>2</v>
      </c>
      <c r="G7730" s="2" t="s">
        <v>17</v>
      </c>
    </row>
    <row r="7731" spans="1:7" x14ac:dyDescent="0.2">
      <c r="A7731" s="2" t="s">
        <v>9166</v>
      </c>
      <c r="B7731" s="2" t="s">
        <v>948</v>
      </c>
      <c r="C7731" s="2" t="s">
        <v>921</v>
      </c>
      <c r="D7731" s="2" t="s">
        <v>10</v>
      </c>
      <c r="E7731" s="2" t="s">
        <v>16</v>
      </c>
      <c r="F7731" s="2">
        <v>2</v>
      </c>
      <c r="G7731" s="2" t="s">
        <v>17</v>
      </c>
    </row>
    <row r="7732" spans="1:7" x14ac:dyDescent="0.2">
      <c r="A7732" s="2" t="s">
        <v>9166</v>
      </c>
      <c r="B7732" s="2" t="s">
        <v>9259</v>
      </c>
      <c r="C7732" s="2" t="s">
        <v>921</v>
      </c>
      <c r="D7732" s="2" t="s">
        <v>10</v>
      </c>
      <c r="E7732" s="2" t="s">
        <v>16</v>
      </c>
      <c r="F7732" s="2">
        <v>2</v>
      </c>
      <c r="G7732" s="2" t="s">
        <v>17</v>
      </c>
    </row>
    <row r="7733" spans="1:7" x14ac:dyDescent="0.2">
      <c r="A7733" s="2" t="s">
        <v>9166</v>
      </c>
      <c r="B7733" s="2" t="s">
        <v>9260</v>
      </c>
      <c r="C7733" s="2" t="s">
        <v>921</v>
      </c>
      <c r="D7733" s="2" t="s">
        <v>10</v>
      </c>
      <c r="E7733" s="2" t="s">
        <v>16</v>
      </c>
      <c r="F7733" s="2">
        <v>2</v>
      </c>
      <c r="G7733" s="2" t="s">
        <v>17</v>
      </c>
    </row>
    <row r="7734" spans="1:7" x14ac:dyDescent="0.2">
      <c r="A7734" s="2" t="s">
        <v>9166</v>
      </c>
      <c r="B7734" s="2" t="s">
        <v>9261</v>
      </c>
      <c r="C7734" s="2" t="s">
        <v>921</v>
      </c>
      <c r="D7734" s="2" t="s">
        <v>10</v>
      </c>
      <c r="E7734" s="2" t="s">
        <v>16</v>
      </c>
      <c r="F7734" s="2">
        <v>2</v>
      </c>
      <c r="G7734" s="2" t="s">
        <v>17</v>
      </c>
    </row>
    <row r="7735" spans="1:7" x14ac:dyDescent="0.2">
      <c r="A7735" s="2" t="s">
        <v>9166</v>
      </c>
      <c r="B7735" s="2" t="s">
        <v>9262</v>
      </c>
      <c r="C7735" s="2" t="s">
        <v>3952</v>
      </c>
      <c r="D7735" s="2" t="s">
        <v>10</v>
      </c>
      <c r="E7735" s="2" t="s">
        <v>52</v>
      </c>
      <c r="F7735" s="2">
        <v>2</v>
      </c>
      <c r="G7735" s="2" t="s">
        <v>17</v>
      </c>
    </row>
    <row r="7736" spans="1:7" x14ac:dyDescent="0.2">
      <c r="A7736" s="2" t="s">
        <v>9166</v>
      </c>
      <c r="B7736" s="2" t="s">
        <v>949</v>
      </c>
      <c r="C7736" s="2" t="s">
        <v>916</v>
      </c>
      <c r="D7736" s="2" t="s">
        <v>10</v>
      </c>
      <c r="E7736" s="2" t="s">
        <v>52</v>
      </c>
      <c r="F7736" s="2">
        <v>2</v>
      </c>
      <c r="G7736" s="2" t="s">
        <v>17</v>
      </c>
    </row>
    <row r="7737" spans="1:7" x14ac:dyDescent="0.2">
      <c r="A7737" s="2" t="s">
        <v>9166</v>
      </c>
      <c r="B7737" s="2" t="s">
        <v>9263</v>
      </c>
      <c r="C7737" s="2" t="s">
        <v>8569</v>
      </c>
      <c r="D7737" s="2" t="s">
        <v>10</v>
      </c>
      <c r="E7737" s="2" t="s">
        <v>52</v>
      </c>
      <c r="F7737" s="2">
        <v>2</v>
      </c>
      <c r="G7737" s="2" t="s">
        <v>17</v>
      </c>
    </row>
    <row r="7738" spans="1:7" x14ac:dyDescent="0.2">
      <c r="A7738" s="2" t="s">
        <v>9166</v>
      </c>
      <c r="B7738" s="2" t="s">
        <v>9264</v>
      </c>
      <c r="C7738" s="2" t="s">
        <v>916</v>
      </c>
      <c r="D7738" s="2" t="s">
        <v>10</v>
      </c>
      <c r="E7738" s="2" t="s">
        <v>52</v>
      </c>
      <c r="F7738" s="2">
        <v>2</v>
      </c>
      <c r="G7738" s="2" t="s">
        <v>17</v>
      </c>
    </row>
    <row r="7739" spans="1:7" x14ac:dyDescent="0.2">
      <c r="A7739" s="2" t="s">
        <v>9166</v>
      </c>
      <c r="B7739" s="2" t="s">
        <v>950</v>
      </c>
      <c r="C7739" s="2" t="s">
        <v>916</v>
      </c>
      <c r="D7739" s="2" t="s">
        <v>10</v>
      </c>
      <c r="E7739" s="2" t="s">
        <v>52</v>
      </c>
      <c r="F7739" s="2">
        <v>2</v>
      </c>
      <c r="G7739" s="2" t="s">
        <v>17</v>
      </c>
    </row>
    <row r="7740" spans="1:7" x14ac:dyDescent="0.2">
      <c r="A7740" s="2" t="s">
        <v>9166</v>
      </c>
      <c r="B7740" s="2" t="s">
        <v>9265</v>
      </c>
      <c r="C7740" s="2" t="s">
        <v>913</v>
      </c>
      <c r="D7740" s="2" t="s">
        <v>10</v>
      </c>
      <c r="E7740" s="2" t="s">
        <v>16</v>
      </c>
      <c r="F7740" s="2">
        <v>1</v>
      </c>
      <c r="G7740" s="2" t="s">
        <v>17</v>
      </c>
    </row>
    <row r="7741" spans="1:7" x14ac:dyDescent="0.2">
      <c r="A7741" s="2" t="s">
        <v>9166</v>
      </c>
      <c r="B7741" s="2" t="s">
        <v>9266</v>
      </c>
      <c r="C7741" s="2" t="s">
        <v>913</v>
      </c>
      <c r="D7741" s="2" t="s">
        <v>10</v>
      </c>
      <c r="E7741" s="2" t="s">
        <v>16</v>
      </c>
      <c r="F7741" s="2">
        <v>1</v>
      </c>
      <c r="G7741" s="2" t="s">
        <v>17</v>
      </c>
    </row>
    <row r="7742" spans="1:7" x14ac:dyDescent="0.2">
      <c r="A7742" s="2" t="s">
        <v>9166</v>
      </c>
      <c r="B7742" s="2" t="s">
        <v>951</v>
      </c>
      <c r="C7742" s="2" t="s">
        <v>913</v>
      </c>
      <c r="D7742" s="2" t="s">
        <v>10</v>
      </c>
      <c r="E7742" s="2" t="s">
        <v>16</v>
      </c>
      <c r="F7742" s="2">
        <v>1</v>
      </c>
      <c r="G7742" s="2" t="s">
        <v>17</v>
      </c>
    </row>
    <row r="7743" spans="1:7" x14ac:dyDescent="0.2">
      <c r="A7743" s="2" t="s">
        <v>9166</v>
      </c>
      <c r="B7743" s="2" t="s">
        <v>952</v>
      </c>
      <c r="C7743" s="2" t="s">
        <v>913</v>
      </c>
      <c r="D7743" s="2" t="s">
        <v>10</v>
      </c>
      <c r="E7743" s="2" t="s">
        <v>16</v>
      </c>
      <c r="F7743" s="2">
        <v>1</v>
      </c>
      <c r="G7743" s="2" t="s">
        <v>17</v>
      </c>
    </row>
    <row r="7744" spans="1:7" x14ac:dyDescent="0.2">
      <c r="A7744" s="2" t="s">
        <v>9166</v>
      </c>
      <c r="B7744" s="2" t="s">
        <v>953</v>
      </c>
      <c r="C7744" s="2" t="s">
        <v>913</v>
      </c>
      <c r="D7744" s="2" t="s">
        <v>10</v>
      </c>
      <c r="E7744" s="2" t="s">
        <v>16</v>
      </c>
      <c r="F7744" s="2">
        <v>1</v>
      </c>
      <c r="G7744" s="2" t="s">
        <v>17</v>
      </c>
    </row>
    <row r="7745" spans="1:7" x14ac:dyDescent="0.2">
      <c r="A7745" s="2" t="s">
        <v>9166</v>
      </c>
      <c r="B7745" s="2" t="s">
        <v>954</v>
      </c>
      <c r="C7745" s="2" t="s">
        <v>913</v>
      </c>
      <c r="D7745" s="2" t="s">
        <v>10</v>
      </c>
      <c r="E7745" s="2" t="s">
        <v>16</v>
      </c>
      <c r="F7745" s="2">
        <v>1</v>
      </c>
      <c r="G7745" s="2" t="s">
        <v>17</v>
      </c>
    </row>
    <row r="7746" spans="1:7" x14ac:dyDescent="0.2">
      <c r="A7746" s="2" t="s">
        <v>9166</v>
      </c>
      <c r="B7746" s="2" t="s">
        <v>9267</v>
      </c>
      <c r="C7746" s="2" t="s">
        <v>924</v>
      </c>
      <c r="D7746" s="2" t="s">
        <v>10</v>
      </c>
      <c r="E7746" s="2" t="s">
        <v>16</v>
      </c>
      <c r="F7746" s="2">
        <v>1</v>
      </c>
      <c r="G7746" s="2" t="s">
        <v>17</v>
      </c>
    </row>
    <row r="7747" spans="1:7" x14ac:dyDescent="0.2">
      <c r="A7747" s="2" t="s">
        <v>9166</v>
      </c>
      <c r="B7747" s="2" t="s">
        <v>955</v>
      </c>
      <c r="C7747" s="2" t="s">
        <v>924</v>
      </c>
      <c r="D7747" s="2" t="s">
        <v>10</v>
      </c>
      <c r="E7747" s="2" t="s">
        <v>16</v>
      </c>
      <c r="F7747" s="2">
        <v>1</v>
      </c>
      <c r="G7747" s="2" t="s">
        <v>17</v>
      </c>
    </row>
    <row r="7748" spans="1:7" x14ac:dyDescent="0.2">
      <c r="A7748" s="2" t="s">
        <v>9166</v>
      </c>
      <c r="B7748" s="2" t="s">
        <v>9268</v>
      </c>
      <c r="C7748" s="2" t="s">
        <v>924</v>
      </c>
      <c r="D7748" s="2" t="s">
        <v>10</v>
      </c>
      <c r="E7748" s="2" t="s">
        <v>16</v>
      </c>
      <c r="F7748" s="2">
        <v>1</v>
      </c>
      <c r="G7748" s="2" t="s">
        <v>17</v>
      </c>
    </row>
    <row r="7749" spans="1:7" x14ac:dyDescent="0.2">
      <c r="A7749" s="2" t="s">
        <v>9166</v>
      </c>
      <c r="B7749" s="2" t="s">
        <v>9269</v>
      </c>
      <c r="C7749" s="2" t="s">
        <v>924</v>
      </c>
      <c r="D7749" s="2" t="s">
        <v>10</v>
      </c>
      <c r="E7749" s="2" t="s">
        <v>16</v>
      </c>
      <c r="F7749" s="2">
        <v>1</v>
      </c>
      <c r="G7749" s="2" t="s">
        <v>17</v>
      </c>
    </row>
    <row r="7750" spans="1:7" x14ac:dyDescent="0.2">
      <c r="A7750" s="2" t="s">
        <v>9166</v>
      </c>
      <c r="B7750" s="2" t="s">
        <v>9270</v>
      </c>
      <c r="C7750" s="2" t="s">
        <v>924</v>
      </c>
      <c r="D7750" s="2" t="s">
        <v>10</v>
      </c>
      <c r="E7750" s="2" t="s">
        <v>16</v>
      </c>
      <c r="F7750" s="2">
        <v>1</v>
      </c>
      <c r="G7750" s="2" t="s">
        <v>17</v>
      </c>
    </row>
    <row r="7751" spans="1:7" x14ac:dyDescent="0.2">
      <c r="A7751" s="2" t="s">
        <v>9166</v>
      </c>
      <c r="B7751" s="2" t="s">
        <v>956</v>
      </c>
      <c r="C7751" s="2" t="s">
        <v>924</v>
      </c>
      <c r="D7751" s="2" t="s">
        <v>10</v>
      </c>
      <c r="E7751" s="2" t="s">
        <v>16</v>
      </c>
      <c r="F7751" s="2">
        <v>1</v>
      </c>
      <c r="G7751" s="2" t="s">
        <v>17</v>
      </c>
    </row>
    <row r="7752" spans="1:7" x14ac:dyDescent="0.2">
      <c r="A7752" s="2" t="s">
        <v>9166</v>
      </c>
      <c r="B7752" s="2" t="s">
        <v>5098</v>
      </c>
      <c r="C7752" s="2" t="s">
        <v>958</v>
      </c>
      <c r="D7752" s="2" t="s">
        <v>10</v>
      </c>
      <c r="E7752" s="2" t="s">
        <v>16</v>
      </c>
      <c r="F7752" s="2">
        <v>1</v>
      </c>
      <c r="G7752" s="2" t="s">
        <v>17</v>
      </c>
    </row>
    <row r="7753" spans="1:7" x14ac:dyDescent="0.2">
      <c r="A7753" s="2" t="s">
        <v>9166</v>
      </c>
      <c r="B7753" s="2" t="s">
        <v>9271</v>
      </c>
      <c r="C7753" s="2" t="s">
        <v>958</v>
      </c>
      <c r="D7753" s="2" t="s">
        <v>10</v>
      </c>
      <c r="E7753" s="2" t="s">
        <v>16</v>
      </c>
      <c r="F7753" s="2">
        <v>1</v>
      </c>
      <c r="G7753" s="2" t="s">
        <v>17</v>
      </c>
    </row>
    <row r="7754" spans="1:7" x14ac:dyDescent="0.2">
      <c r="A7754" s="2" t="s">
        <v>9166</v>
      </c>
      <c r="B7754" s="2" t="s">
        <v>959</v>
      </c>
      <c r="C7754" s="2" t="s">
        <v>960</v>
      </c>
      <c r="D7754" s="2" t="s">
        <v>10</v>
      </c>
      <c r="E7754" s="2" t="s">
        <v>16</v>
      </c>
      <c r="F7754" s="2">
        <v>2</v>
      </c>
      <c r="G7754" s="2" t="s">
        <v>17</v>
      </c>
    </row>
    <row r="7755" spans="1:7" x14ac:dyDescent="0.2">
      <c r="A7755" s="2" t="s">
        <v>9166</v>
      </c>
      <c r="B7755" s="2" t="s">
        <v>961</v>
      </c>
      <c r="C7755" s="2" t="s">
        <v>962</v>
      </c>
      <c r="D7755" s="2" t="s">
        <v>10</v>
      </c>
      <c r="E7755" s="2" t="s">
        <v>16</v>
      </c>
      <c r="F7755" s="2">
        <v>1</v>
      </c>
      <c r="G7755" s="2" t="s">
        <v>17</v>
      </c>
    </row>
    <row r="7756" spans="1:7" x14ac:dyDescent="0.2">
      <c r="A7756" s="2" t="s">
        <v>9166</v>
      </c>
      <c r="B7756" s="2" t="s">
        <v>963</v>
      </c>
      <c r="C7756" s="2" t="s">
        <v>964</v>
      </c>
      <c r="D7756" s="2" t="s">
        <v>10</v>
      </c>
      <c r="E7756" s="2" t="s">
        <v>16</v>
      </c>
      <c r="F7756" s="2">
        <v>1</v>
      </c>
      <c r="G7756" s="2" t="s">
        <v>17</v>
      </c>
    </row>
    <row r="7757" spans="1:7" x14ac:dyDescent="0.2">
      <c r="A7757" s="2" t="s">
        <v>9166</v>
      </c>
      <c r="B7757" s="2" t="s">
        <v>9272</v>
      </c>
      <c r="C7757" s="2" t="s">
        <v>944</v>
      </c>
      <c r="D7757" s="2" t="s">
        <v>10</v>
      </c>
      <c r="E7757" s="2" t="s">
        <v>16</v>
      </c>
      <c r="F7757" s="2">
        <v>2</v>
      </c>
      <c r="G7757" s="2" t="s">
        <v>17</v>
      </c>
    </row>
    <row r="7758" spans="1:7" x14ac:dyDescent="0.2">
      <c r="A7758" s="2" t="s">
        <v>9166</v>
      </c>
      <c r="B7758" s="2" t="s">
        <v>965</v>
      </c>
      <c r="C7758" s="2" t="s">
        <v>919</v>
      </c>
      <c r="D7758" s="2" t="s">
        <v>10</v>
      </c>
      <c r="E7758" s="2" t="s">
        <v>52</v>
      </c>
      <c r="F7758" s="2">
        <v>2</v>
      </c>
      <c r="G7758" s="2" t="s">
        <v>17</v>
      </c>
    </row>
    <row r="7759" spans="1:7" x14ac:dyDescent="0.2">
      <c r="A7759" s="2" t="s">
        <v>9166</v>
      </c>
      <c r="B7759" s="2" t="s">
        <v>9273</v>
      </c>
      <c r="C7759" s="2" t="s">
        <v>9184</v>
      </c>
      <c r="D7759" s="2" t="s">
        <v>10</v>
      </c>
      <c r="E7759" s="2" t="s">
        <v>52</v>
      </c>
      <c r="F7759" s="2">
        <v>2</v>
      </c>
      <c r="G7759" s="2" t="s">
        <v>17</v>
      </c>
    </row>
    <row r="7760" spans="1:7" x14ac:dyDescent="0.2">
      <c r="A7760" s="2" t="s">
        <v>9166</v>
      </c>
      <c r="B7760" s="2" t="s">
        <v>966</v>
      </c>
      <c r="C7760" s="2" t="s">
        <v>967</v>
      </c>
      <c r="D7760" s="2" t="s">
        <v>10</v>
      </c>
      <c r="E7760" s="2" t="s">
        <v>16</v>
      </c>
      <c r="F7760" s="2">
        <v>2</v>
      </c>
      <c r="G7760" s="2" t="s">
        <v>17</v>
      </c>
    </row>
    <row r="7761" spans="1:7" x14ac:dyDescent="0.2">
      <c r="A7761" s="2" t="s">
        <v>9166</v>
      </c>
      <c r="B7761" s="2" t="s">
        <v>9274</v>
      </c>
      <c r="C7761" s="2" t="s">
        <v>967</v>
      </c>
      <c r="D7761" s="2" t="s">
        <v>10</v>
      </c>
      <c r="E7761" s="2" t="s">
        <v>16</v>
      </c>
      <c r="F7761" s="2">
        <v>2</v>
      </c>
      <c r="G7761" s="2" t="s">
        <v>17</v>
      </c>
    </row>
    <row r="7762" spans="1:7" x14ac:dyDescent="0.2">
      <c r="A7762" s="2" t="s">
        <v>9166</v>
      </c>
      <c r="B7762" s="2" t="s">
        <v>9275</v>
      </c>
      <c r="C7762" s="2" t="s">
        <v>9207</v>
      </c>
      <c r="D7762" s="2" t="s">
        <v>10</v>
      </c>
      <c r="E7762" s="2" t="s">
        <v>16</v>
      </c>
      <c r="F7762" s="2">
        <v>1</v>
      </c>
      <c r="G7762" s="2" t="s">
        <v>17</v>
      </c>
    </row>
    <row r="7763" spans="1:7" x14ac:dyDescent="0.2">
      <c r="A7763" s="2" t="s">
        <v>9166</v>
      </c>
      <c r="B7763" s="2" t="s">
        <v>9276</v>
      </c>
      <c r="C7763" s="2" t="s">
        <v>9207</v>
      </c>
      <c r="D7763" s="2" t="s">
        <v>10</v>
      </c>
      <c r="E7763" s="2" t="s">
        <v>16</v>
      </c>
      <c r="F7763" s="2">
        <v>1</v>
      </c>
      <c r="G7763" s="2" t="s">
        <v>17</v>
      </c>
    </row>
    <row r="7764" spans="1:7" x14ac:dyDescent="0.2">
      <c r="A7764" s="2" t="s">
        <v>9166</v>
      </c>
      <c r="B7764" s="2" t="s">
        <v>9277</v>
      </c>
      <c r="C7764" s="2" t="s">
        <v>7022</v>
      </c>
      <c r="D7764" s="2" t="s">
        <v>10</v>
      </c>
      <c r="E7764" s="2" t="s">
        <v>52</v>
      </c>
      <c r="F7764" s="2">
        <v>1</v>
      </c>
      <c r="G7764" s="2" t="s">
        <v>17</v>
      </c>
    </row>
    <row r="7765" spans="1:7" x14ac:dyDescent="0.2">
      <c r="A7765" s="2" t="s">
        <v>9166</v>
      </c>
      <c r="B7765" s="2" t="s">
        <v>9278</v>
      </c>
      <c r="C7765" s="2" t="s">
        <v>693</v>
      </c>
      <c r="D7765" s="2" t="s">
        <v>10</v>
      </c>
      <c r="E7765" s="2" t="s">
        <v>16</v>
      </c>
      <c r="F7765" s="2">
        <v>2</v>
      </c>
      <c r="G7765" s="2" t="s">
        <v>17</v>
      </c>
    </row>
    <row r="7766" spans="1:7" x14ac:dyDescent="0.2">
      <c r="A7766" s="2" t="s">
        <v>9166</v>
      </c>
      <c r="B7766" s="2" t="s">
        <v>9279</v>
      </c>
      <c r="C7766" s="2" t="s">
        <v>9221</v>
      </c>
      <c r="D7766" s="2" t="s">
        <v>10</v>
      </c>
      <c r="E7766" s="2" t="s">
        <v>16</v>
      </c>
      <c r="F7766" s="2">
        <v>1</v>
      </c>
      <c r="G7766" s="2" t="s">
        <v>17</v>
      </c>
    </row>
    <row r="7767" spans="1:7" x14ac:dyDescent="0.2">
      <c r="A7767" s="2" t="s">
        <v>9166</v>
      </c>
      <c r="B7767" s="2" t="s">
        <v>3985</v>
      </c>
      <c r="C7767" s="2" t="s">
        <v>3956</v>
      </c>
      <c r="D7767" s="2" t="s">
        <v>10</v>
      </c>
      <c r="E7767" s="2" t="s">
        <v>16</v>
      </c>
      <c r="F7767" s="2">
        <v>1</v>
      </c>
      <c r="G7767" s="2" t="s">
        <v>17</v>
      </c>
    </row>
    <row r="7768" spans="1:7" x14ac:dyDescent="0.2">
      <c r="A7768" s="2" t="s">
        <v>9166</v>
      </c>
      <c r="B7768" s="2" t="s">
        <v>968</v>
      </c>
      <c r="C7768" s="2" t="s">
        <v>962</v>
      </c>
      <c r="D7768" s="2" t="s">
        <v>10</v>
      </c>
      <c r="E7768" s="2" t="s">
        <v>16</v>
      </c>
      <c r="F7768" s="2">
        <v>1</v>
      </c>
      <c r="G7768" s="2" t="s">
        <v>17</v>
      </c>
    </row>
    <row r="7769" spans="1:7" x14ac:dyDescent="0.2">
      <c r="A7769" s="2" t="s">
        <v>9166</v>
      </c>
      <c r="B7769" s="2" t="s">
        <v>3418</v>
      </c>
      <c r="C7769" s="2" t="s">
        <v>3419</v>
      </c>
      <c r="D7769" s="2" t="s">
        <v>10</v>
      </c>
      <c r="E7769" s="2" t="s">
        <v>16</v>
      </c>
      <c r="F7769" s="2">
        <v>1</v>
      </c>
      <c r="G7769" s="2" t="s">
        <v>17</v>
      </c>
    </row>
    <row r="7770" spans="1:7" x14ac:dyDescent="0.2">
      <c r="A7770" s="2" t="s">
        <v>9166</v>
      </c>
      <c r="B7770" s="2" t="s">
        <v>3986</v>
      </c>
      <c r="C7770" s="2" t="s">
        <v>921</v>
      </c>
      <c r="D7770" s="2" t="s">
        <v>10</v>
      </c>
      <c r="E7770" s="2" t="s">
        <v>16</v>
      </c>
      <c r="F7770" s="2">
        <v>2</v>
      </c>
      <c r="G7770" s="2" t="s">
        <v>17</v>
      </c>
    </row>
    <row r="7771" spans="1:7" x14ac:dyDescent="0.2">
      <c r="A7771" s="2" t="s">
        <v>9166</v>
      </c>
      <c r="B7771" s="2" t="s">
        <v>969</v>
      </c>
      <c r="C7771" s="2" t="s">
        <v>913</v>
      </c>
      <c r="D7771" s="2" t="s">
        <v>10</v>
      </c>
      <c r="E7771" s="2" t="s">
        <v>16</v>
      </c>
      <c r="F7771" s="2">
        <v>1</v>
      </c>
      <c r="G7771" s="2" t="s">
        <v>17</v>
      </c>
    </row>
    <row r="7772" spans="1:7" x14ac:dyDescent="0.2">
      <c r="A7772" s="2" t="s">
        <v>9166</v>
      </c>
      <c r="B7772" s="2" t="s">
        <v>9280</v>
      </c>
      <c r="C7772" s="2" t="s">
        <v>924</v>
      </c>
      <c r="D7772" s="2" t="s">
        <v>10</v>
      </c>
      <c r="E7772" s="2" t="s">
        <v>16</v>
      </c>
      <c r="F7772" s="2">
        <v>1</v>
      </c>
      <c r="G7772" s="2" t="s">
        <v>17</v>
      </c>
    </row>
    <row r="7773" spans="1:7" x14ac:dyDescent="0.2">
      <c r="A7773" s="2" t="s">
        <v>9166</v>
      </c>
      <c r="B7773" s="2" t="s">
        <v>9281</v>
      </c>
      <c r="C7773" s="2" t="s">
        <v>924</v>
      </c>
      <c r="D7773" s="2" t="s">
        <v>10</v>
      </c>
      <c r="E7773" s="2" t="s">
        <v>16</v>
      </c>
      <c r="F7773" s="2">
        <v>1</v>
      </c>
      <c r="G7773" s="2" t="s">
        <v>17</v>
      </c>
    </row>
    <row r="7774" spans="1:7" x14ac:dyDescent="0.2">
      <c r="A7774" s="2" t="s">
        <v>9166</v>
      </c>
      <c r="B7774" s="2" t="s">
        <v>9282</v>
      </c>
      <c r="C7774" s="2" t="s">
        <v>924</v>
      </c>
      <c r="D7774" s="2" t="s">
        <v>10</v>
      </c>
      <c r="E7774" s="2" t="s">
        <v>16</v>
      </c>
      <c r="F7774" s="2">
        <v>1</v>
      </c>
      <c r="G7774" s="2" t="s">
        <v>17</v>
      </c>
    </row>
    <row r="7775" spans="1:7" x14ac:dyDescent="0.2">
      <c r="A7775" s="2" t="s">
        <v>9166</v>
      </c>
      <c r="B7775" s="2" t="s">
        <v>970</v>
      </c>
      <c r="C7775" s="2" t="s">
        <v>967</v>
      </c>
      <c r="D7775" s="2" t="s">
        <v>10</v>
      </c>
      <c r="E7775" s="2" t="s">
        <v>16</v>
      </c>
      <c r="F7775" s="2">
        <v>2</v>
      </c>
      <c r="G7775" s="2" t="s">
        <v>17</v>
      </c>
    </row>
    <row r="7776" spans="1:7" x14ac:dyDescent="0.2">
      <c r="A7776" s="2" t="s">
        <v>9166</v>
      </c>
      <c r="B7776" s="2" t="s">
        <v>971</v>
      </c>
      <c r="C7776" s="2" t="s">
        <v>960</v>
      </c>
      <c r="D7776" s="2" t="s">
        <v>10</v>
      </c>
      <c r="E7776" s="2" t="s">
        <v>16</v>
      </c>
      <c r="F7776" s="2">
        <v>2</v>
      </c>
      <c r="G7776" s="2" t="s">
        <v>17</v>
      </c>
    </row>
    <row r="7777" spans="1:7" x14ac:dyDescent="0.2">
      <c r="A7777" s="2" t="s">
        <v>9166</v>
      </c>
      <c r="B7777" s="2" t="s">
        <v>972</v>
      </c>
      <c r="C7777" s="2" t="s">
        <v>913</v>
      </c>
      <c r="D7777" s="2" t="s">
        <v>10</v>
      </c>
      <c r="E7777" s="2" t="s">
        <v>16</v>
      </c>
      <c r="F7777" s="2">
        <v>1</v>
      </c>
      <c r="G7777" s="2" t="s">
        <v>17</v>
      </c>
    </row>
    <row r="7778" spans="1:7" x14ac:dyDescent="0.2">
      <c r="A7778" s="2" t="s">
        <v>9166</v>
      </c>
      <c r="B7778" s="2" t="s">
        <v>9283</v>
      </c>
      <c r="C7778" s="2" t="s">
        <v>9170</v>
      </c>
      <c r="D7778" s="2" t="s">
        <v>10</v>
      </c>
      <c r="E7778" s="2" t="s">
        <v>16</v>
      </c>
      <c r="F7778" s="2">
        <v>1</v>
      </c>
      <c r="G7778" s="2" t="s">
        <v>17</v>
      </c>
    </row>
    <row r="7779" spans="1:7" x14ac:dyDescent="0.2">
      <c r="A7779" s="2" t="s">
        <v>9166</v>
      </c>
      <c r="B7779" s="2" t="s">
        <v>542</v>
      </c>
      <c r="C7779" s="2" t="s">
        <v>2106</v>
      </c>
      <c r="D7779" s="2" t="s">
        <v>10</v>
      </c>
      <c r="E7779" s="2" t="s">
        <v>16</v>
      </c>
      <c r="F7779" s="2">
        <v>1</v>
      </c>
      <c r="G7779" s="2" t="s">
        <v>17</v>
      </c>
    </row>
    <row r="7780" spans="1:7" x14ac:dyDescent="0.2">
      <c r="A7780" s="2" t="s">
        <v>9166</v>
      </c>
      <c r="B7780" s="2" t="s">
        <v>2105</v>
      </c>
      <c r="C7780" s="2" t="s">
        <v>1301</v>
      </c>
      <c r="D7780" s="2" t="s">
        <v>10</v>
      </c>
      <c r="E7780" s="2" t="s">
        <v>16</v>
      </c>
      <c r="F7780" s="2">
        <v>1</v>
      </c>
      <c r="G7780" s="2" t="s">
        <v>17</v>
      </c>
    </row>
    <row r="7781" spans="1:7" x14ac:dyDescent="0.2">
      <c r="A7781" s="2" t="s">
        <v>9166</v>
      </c>
      <c r="B7781" s="2" t="s">
        <v>9284</v>
      </c>
      <c r="C7781" s="2" t="s">
        <v>921</v>
      </c>
      <c r="D7781" s="2" t="s">
        <v>10</v>
      </c>
      <c r="E7781" s="2" t="s">
        <v>16</v>
      </c>
      <c r="F7781" s="2">
        <v>2</v>
      </c>
      <c r="G7781" s="2" t="s">
        <v>17</v>
      </c>
    </row>
    <row r="7782" spans="1:7" x14ac:dyDescent="0.2">
      <c r="A7782" s="2" t="s">
        <v>9166</v>
      </c>
      <c r="B7782" s="2" t="s">
        <v>9285</v>
      </c>
      <c r="C7782" s="2" t="s">
        <v>8569</v>
      </c>
      <c r="D7782" s="2" t="s">
        <v>10</v>
      </c>
      <c r="E7782" s="2" t="s">
        <v>52</v>
      </c>
      <c r="F7782" s="2">
        <v>2</v>
      </c>
      <c r="G7782" s="2" t="s">
        <v>17</v>
      </c>
    </row>
    <row r="7783" spans="1:7" x14ac:dyDescent="0.2">
      <c r="A7783" s="2" t="s">
        <v>9166</v>
      </c>
      <c r="B7783" s="2" t="s">
        <v>973</v>
      </c>
      <c r="C7783" s="2" t="s">
        <v>964</v>
      </c>
      <c r="D7783" s="2" t="s">
        <v>10</v>
      </c>
      <c r="E7783" s="2" t="s">
        <v>16</v>
      </c>
      <c r="F7783" s="2">
        <v>1</v>
      </c>
      <c r="G7783" s="2" t="s">
        <v>17</v>
      </c>
    </row>
    <row r="7784" spans="1:7" x14ac:dyDescent="0.2">
      <c r="A7784" s="2" t="s">
        <v>9166</v>
      </c>
      <c r="B7784" s="2" t="s">
        <v>9286</v>
      </c>
      <c r="C7784" s="2" t="s">
        <v>9176</v>
      </c>
      <c r="D7784" s="2" t="s">
        <v>10</v>
      </c>
      <c r="E7784" s="2" t="s">
        <v>16</v>
      </c>
      <c r="F7784" s="2">
        <v>1</v>
      </c>
      <c r="G7784" s="2" t="s">
        <v>17</v>
      </c>
    </row>
    <row r="7785" spans="1:7" x14ac:dyDescent="0.2">
      <c r="A7785" s="2" t="s">
        <v>9166</v>
      </c>
      <c r="B7785" s="2" t="s">
        <v>9287</v>
      </c>
      <c r="C7785" s="2" t="s">
        <v>3947</v>
      </c>
      <c r="D7785" s="2" t="s">
        <v>10</v>
      </c>
      <c r="E7785" s="2" t="s">
        <v>16</v>
      </c>
      <c r="F7785" s="2">
        <v>2</v>
      </c>
      <c r="G7785" s="2" t="s">
        <v>17</v>
      </c>
    </row>
    <row r="7786" spans="1:7" x14ac:dyDescent="0.2">
      <c r="A7786" s="2" t="s">
        <v>9166</v>
      </c>
      <c r="B7786" s="2" t="s">
        <v>974</v>
      </c>
      <c r="C7786" s="2" t="s">
        <v>903</v>
      </c>
      <c r="D7786" s="2" t="s">
        <v>10</v>
      </c>
      <c r="E7786" s="2" t="s">
        <v>16</v>
      </c>
      <c r="F7786" s="2">
        <v>1</v>
      </c>
      <c r="G7786" s="2" t="s">
        <v>17</v>
      </c>
    </row>
    <row r="7787" spans="1:7" x14ac:dyDescent="0.2">
      <c r="A7787" s="2" t="s">
        <v>9166</v>
      </c>
      <c r="B7787" s="2" t="s">
        <v>3987</v>
      </c>
      <c r="C7787" s="2" t="s">
        <v>958</v>
      </c>
      <c r="D7787" s="2" t="s">
        <v>10</v>
      </c>
      <c r="E7787" s="2" t="s">
        <v>16</v>
      </c>
      <c r="F7787" s="2">
        <v>1</v>
      </c>
      <c r="G7787" s="2" t="s">
        <v>17</v>
      </c>
    </row>
    <row r="7788" spans="1:7" x14ac:dyDescent="0.2">
      <c r="A7788" s="2" t="s">
        <v>9166</v>
      </c>
      <c r="B7788" s="2" t="s">
        <v>975</v>
      </c>
      <c r="C7788" s="2" t="s">
        <v>913</v>
      </c>
      <c r="D7788" s="2" t="s">
        <v>10</v>
      </c>
      <c r="E7788" s="2" t="s">
        <v>16</v>
      </c>
      <c r="F7788" s="2">
        <v>1</v>
      </c>
      <c r="G7788" s="2" t="s">
        <v>17</v>
      </c>
    </row>
    <row r="7789" spans="1:7" x14ac:dyDescent="0.2">
      <c r="A7789" s="2" t="s">
        <v>9166</v>
      </c>
      <c r="B7789" s="2" t="s">
        <v>976</v>
      </c>
      <c r="C7789" s="2" t="s">
        <v>924</v>
      </c>
      <c r="D7789" s="2" t="s">
        <v>10</v>
      </c>
      <c r="E7789" s="2" t="s">
        <v>16</v>
      </c>
      <c r="F7789" s="2">
        <v>1</v>
      </c>
      <c r="G7789" s="2" t="s">
        <v>17</v>
      </c>
    </row>
    <row r="7790" spans="1:7" x14ac:dyDescent="0.2">
      <c r="A7790" s="2" t="s">
        <v>9166</v>
      </c>
      <c r="B7790" s="2" t="s">
        <v>9288</v>
      </c>
      <c r="C7790" s="2" t="s">
        <v>967</v>
      </c>
      <c r="D7790" s="2" t="s">
        <v>10</v>
      </c>
      <c r="E7790" s="2" t="s">
        <v>16</v>
      </c>
      <c r="F7790" s="2">
        <v>2</v>
      </c>
      <c r="G7790" s="2" t="s">
        <v>17</v>
      </c>
    </row>
    <row r="7791" spans="1:7" x14ac:dyDescent="0.2">
      <c r="A7791" s="2" t="s">
        <v>9166</v>
      </c>
      <c r="B7791" s="2" t="s">
        <v>4261</v>
      </c>
      <c r="C7791" s="2" t="s">
        <v>3240</v>
      </c>
      <c r="D7791" s="2" t="s">
        <v>10</v>
      </c>
      <c r="E7791" s="2" t="s">
        <v>16</v>
      </c>
      <c r="F7791" s="2">
        <v>1</v>
      </c>
      <c r="G7791" s="2" t="s">
        <v>17</v>
      </c>
    </row>
    <row r="7792" spans="1:7" x14ac:dyDescent="0.2">
      <c r="A7792" s="2" t="s">
        <v>9166</v>
      </c>
      <c r="B7792" s="2" t="s">
        <v>9289</v>
      </c>
      <c r="C7792" s="2" t="s">
        <v>900</v>
      </c>
      <c r="D7792" s="2" t="s">
        <v>10</v>
      </c>
      <c r="E7792" s="2" t="s">
        <v>16</v>
      </c>
      <c r="F7792" s="2">
        <v>1</v>
      </c>
      <c r="G7792" s="2" t="s">
        <v>17</v>
      </c>
    </row>
    <row r="7793" spans="1:7" x14ac:dyDescent="0.2">
      <c r="A7793" s="2" t="s">
        <v>9166</v>
      </c>
      <c r="B7793" s="2" t="s">
        <v>9290</v>
      </c>
      <c r="C7793" s="2" t="s">
        <v>9291</v>
      </c>
      <c r="D7793" s="2" t="s">
        <v>10</v>
      </c>
      <c r="E7793" s="2" t="s">
        <v>11</v>
      </c>
      <c r="F7793" s="2">
        <v>1</v>
      </c>
      <c r="G7793" s="2" t="s">
        <v>17</v>
      </c>
    </row>
    <row r="7794" spans="1:7" x14ac:dyDescent="0.2">
      <c r="A7794" s="2" t="s">
        <v>9166</v>
      </c>
      <c r="B7794" s="2" t="s">
        <v>9292</v>
      </c>
      <c r="C7794" s="2" t="s">
        <v>9291</v>
      </c>
      <c r="D7794" s="2" t="s">
        <v>10</v>
      </c>
      <c r="E7794" s="2" t="s">
        <v>11</v>
      </c>
      <c r="F7794" s="2">
        <v>1</v>
      </c>
      <c r="G7794" s="2" t="s">
        <v>17</v>
      </c>
    </row>
    <row r="7795" spans="1:7" x14ac:dyDescent="0.2">
      <c r="A7795" s="2" t="s">
        <v>9166</v>
      </c>
      <c r="B7795" s="2" t="s">
        <v>9293</v>
      </c>
      <c r="C7795" s="2" t="s">
        <v>900</v>
      </c>
      <c r="D7795" s="2" t="s">
        <v>10</v>
      </c>
      <c r="E7795" s="2" t="s">
        <v>16</v>
      </c>
      <c r="F7795" s="2">
        <v>1</v>
      </c>
      <c r="G7795" s="2" t="s">
        <v>17</v>
      </c>
    </row>
    <row r="7796" spans="1:7" x14ac:dyDescent="0.2">
      <c r="A7796" s="2" t="s">
        <v>9166</v>
      </c>
      <c r="B7796" s="2" t="s">
        <v>9294</v>
      </c>
      <c r="C7796" s="2" t="s">
        <v>9291</v>
      </c>
      <c r="D7796" s="2" t="s">
        <v>10</v>
      </c>
      <c r="E7796" s="2" t="s">
        <v>11</v>
      </c>
      <c r="F7796" s="2">
        <v>1</v>
      </c>
      <c r="G7796" s="2" t="s">
        <v>17</v>
      </c>
    </row>
    <row r="7797" spans="1:7" x14ac:dyDescent="0.2">
      <c r="A7797" s="2" t="s">
        <v>9166</v>
      </c>
      <c r="B7797" s="2" t="s">
        <v>9295</v>
      </c>
      <c r="C7797" s="2" t="s">
        <v>9291</v>
      </c>
      <c r="D7797" s="2" t="s">
        <v>10</v>
      </c>
      <c r="E7797" s="2" t="s">
        <v>11</v>
      </c>
      <c r="F7797" s="2">
        <v>1</v>
      </c>
      <c r="G7797" s="2" t="s">
        <v>17</v>
      </c>
    </row>
    <row r="7798" spans="1:7" x14ac:dyDescent="0.2">
      <c r="A7798" s="2" t="s">
        <v>9166</v>
      </c>
      <c r="B7798" s="2" t="s">
        <v>9296</v>
      </c>
      <c r="C7798" s="2" t="s">
        <v>9207</v>
      </c>
      <c r="D7798" s="2" t="s">
        <v>10</v>
      </c>
      <c r="E7798" s="2" t="s">
        <v>16</v>
      </c>
      <c r="F7798" s="2">
        <v>1</v>
      </c>
      <c r="G7798" s="2" t="s">
        <v>17</v>
      </c>
    </row>
    <row r="7799" spans="1:7" x14ac:dyDescent="0.2">
      <c r="A7799" s="2" t="s">
        <v>9166</v>
      </c>
      <c r="B7799" s="2" t="s">
        <v>9297</v>
      </c>
      <c r="C7799" s="2" t="s">
        <v>9207</v>
      </c>
      <c r="D7799" s="2" t="s">
        <v>10</v>
      </c>
      <c r="E7799" s="2" t="s">
        <v>16</v>
      </c>
      <c r="F7799" s="2">
        <v>1</v>
      </c>
      <c r="G7799" s="2" t="s">
        <v>17</v>
      </c>
    </row>
    <row r="7800" spans="1:7" x14ac:dyDescent="0.2">
      <c r="A7800" s="2" t="s">
        <v>9166</v>
      </c>
      <c r="B7800" s="2" t="s">
        <v>9298</v>
      </c>
      <c r="C7800" s="2" t="s">
        <v>7022</v>
      </c>
      <c r="D7800" s="2" t="s">
        <v>10</v>
      </c>
      <c r="E7800" s="2" t="s">
        <v>52</v>
      </c>
      <c r="F7800" s="2">
        <v>1</v>
      </c>
      <c r="G7800" s="2" t="s">
        <v>17</v>
      </c>
    </row>
    <row r="7801" spans="1:7" x14ac:dyDescent="0.2">
      <c r="A7801" s="2" t="s">
        <v>9166</v>
      </c>
      <c r="B7801" s="2" t="s">
        <v>9299</v>
      </c>
      <c r="C7801" s="2" t="s">
        <v>7022</v>
      </c>
      <c r="D7801" s="2" t="s">
        <v>10</v>
      </c>
      <c r="E7801" s="2" t="s">
        <v>52</v>
      </c>
      <c r="F7801" s="2">
        <v>1</v>
      </c>
      <c r="G7801" s="2" t="s">
        <v>17</v>
      </c>
    </row>
    <row r="7802" spans="1:7" x14ac:dyDescent="0.2">
      <c r="A7802" s="2" t="s">
        <v>9166</v>
      </c>
      <c r="B7802" s="2" t="s">
        <v>9300</v>
      </c>
      <c r="C7802" s="2" t="s">
        <v>7022</v>
      </c>
      <c r="D7802" s="2" t="s">
        <v>10</v>
      </c>
      <c r="E7802" s="2" t="s">
        <v>52</v>
      </c>
      <c r="F7802" s="2">
        <v>1</v>
      </c>
      <c r="G7802" s="2" t="s">
        <v>17</v>
      </c>
    </row>
    <row r="7803" spans="1:7" x14ac:dyDescent="0.2">
      <c r="A7803" s="2" t="s">
        <v>9166</v>
      </c>
      <c r="B7803" s="2" t="s">
        <v>9301</v>
      </c>
      <c r="C7803" s="2" t="s">
        <v>9302</v>
      </c>
      <c r="D7803" s="2" t="s">
        <v>10</v>
      </c>
      <c r="E7803" s="2" t="s">
        <v>52</v>
      </c>
      <c r="F7803" s="2">
        <v>1</v>
      </c>
      <c r="G7803" s="2" t="s">
        <v>17</v>
      </c>
    </row>
    <row r="7804" spans="1:7" x14ac:dyDescent="0.2">
      <c r="A7804" s="2" t="s">
        <v>9166</v>
      </c>
      <c r="B7804" s="2" t="s">
        <v>9302</v>
      </c>
      <c r="C7804" s="2" t="s">
        <v>9302</v>
      </c>
      <c r="D7804" s="2" t="s">
        <v>10</v>
      </c>
      <c r="E7804" s="2" t="s">
        <v>52</v>
      </c>
      <c r="F7804" s="2">
        <v>1</v>
      </c>
      <c r="G7804" s="2" t="s">
        <v>17</v>
      </c>
    </row>
    <row r="7805" spans="1:7" x14ac:dyDescent="0.2">
      <c r="A7805" s="2" t="s">
        <v>9166</v>
      </c>
      <c r="B7805" s="2" t="s">
        <v>9303</v>
      </c>
      <c r="C7805" s="2" t="s">
        <v>980</v>
      </c>
      <c r="D7805" s="2" t="s">
        <v>10</v>
      </c>
      <c r="E7805" s="2" t="s">
        <v>16</v>
      </c>
      <c r="F7805" s="2">
        <v>1</v>
      </c>
      <c r="G7805" s="2" t="s">
        <v>17</v>
      </c>
    </row>
    <row r="7806" spans="1:7" x14ac:dyDescent="0.2">
      <c r="A7806" s="2" t="s">
        <v>9166</v>
      </c>
      <c r="B7806" s="2" t="s">
        <v>9304</v>
      </c>
      <c r="C7806" s="2" t="s">
        <v>900</v>
      </c>
      <c r="D7806" s="2" t="s">
        <v>10</v>
      </c>
      <c r="E7806" s="2" t="s">
        <v>16</v>
      </c>
      <c r="F7806" s="2">
        <v>1</v>
      </c>
      <c r="G7806" s="2" t="s">
        <v>17</v>
      </c>
    </row>
    <row r="7807" spans="1:7" x14ac:dyDescent="0.2">
      <c r="A7807" s="2" t="s">
        <v>9166</v>
      </c>
      <c r="B7807" s="2" t="s">
        <v>9305</v>
      </c>
      <c r="C7807" s="2" t="s">
        <v>900</v>
      </c>
      <c r="D7807" s="2" t="s">
        <v>10</v>
      </c>
      <c r="E7807" s="2" t="s">
        <v>16</v>
      </c>
      <c r="F7807" s="2">
        <v>1</v>
      </c>
      <c r="G7807" s="2" t="s">
        <v>17</v>
      </c>
    </row>
    <row r="7808" spans="1:7" x14ac:dyDescent="0.2">
      <c r="A7808" s="2" t="s">
        <v>9166</v>
      </c>
      <c r="B7808" s="2" t="s">
        <v>9306</v>
      </c>
      <c r="C7808" s="2" t="s">
        <v>900</v>
      </c>
      <c r="D7808" s="2" t="s">
        <v>10</v>
      </c>
      <c r="E7808" s="2" t="s">
        <v>16</v>
      </c>
      <c r="F7808" s="2">
        <v>1</v>
      </c>
      <c r="G7808" s="2" t="s">
        <v>17</v>
      </c>
    </row>
    <row r="7809" spans="1:7" x14ac:dyDescent="0.2">
      <c r="A7809" s="2" t="s">
        <v>9166</v>
      </c>
      <c r="B7809" s="2" t="s">
        <v>9307</v>
      </c>
      <c r="C7809" s="2" t="s">
        <v>900</v>
      </c>
      <c r="D7809" s="2" t="s">
        <v>10</v>
      </c>
      <c r="E7809" s="2" t="s">
        <v>16</v>
      </c>
      <c r="F7809" s="2">
        <v>1</v>
      </c>
      <c r="G7809" s="2" t="s">
        <v>17</v>
      </c>
    </row>
    <row r="7810" spans="1:7" x14ac:dyDescent="0.2">
      <c r="A7810" s="2" t="s">
        <v>9166</v>
      </c>
      <c r="B7810" s="2" t="s">
        <v>9308</v>
      </c>
      <c r="C7810" s="2" t="s">
        <v>900</v>
      </c>
      <c r="D7810" s="2" t="s">
        <v>10</v>
      </c>
      <c r="E7810" s="2" t="s">
        <v>16</v>
      </c>
      <c r="F7810" s="2">
        <v>1</v>
      </c>
      <c r="G7810" s="2" t="s">
        <v>17</v>
      </c>
    </row>
    <row r="7811" spans="1:7" x14ac:dyDescent="0.2">
      <c r="A7811" s="2" t="s">
        <v>9166</v>
      </c>
      <c r="B7811" s="2" t="s">
        <v>9309</v>
      </c>
      <c r="C7811" s="2" t="s">
        <v>900</v>
      </c>
      <c r="D7811" s="2" t="s">
        <v>10</v>
      </c>
      <c r="E7811" s="2" t="s">
        <v>16</v>
      </c>
      <c r="F7811" s="2">
        <v>1</v>
      </c>
      <c r="G7811" s="2" t="s">
        <v>17</v>
      </c>
    </row>
    <row r="7812" spans="1:7" x14ac:dyDescent="0.2">
      <c r="A7812" s="2" t="s">
        <v>9166</v>
      </c>
      <c r="B7812" s="2" t="s">
        <v>9310</v>
      </c>
      <c r="C7812" s="2" t="s">
        <v>980</v>
      </c>
      <c r="D7812" s="2" t="s">
        <v>10</v>
      </c>
      <c r="E7812" s="2" t="s">
        <v>16</v>
      </c>
      <c r="F7812" s="2">
        <v>1</v>
      </c>
      <c r="G7812" s="2" t="s">
        <v>17</v>
      </c>
    </row>
    <row r="7813" spans="1:7" x14ac:dyDescent="0.2">
      <c r="A7813" s="2" t="s">
        <v>9166</v>
      </c>
      <c r="B7813" s="2" t="s">
        <v>984</v>
      </c>
      <c r="C7813" s="2" t="s">
        <v>980</v>
      </c>
      <c r="D7813" s="2" t="s">
        <v>10</v>
      </c>
      <c r="E7813" s="2" t="s">
        <v>16</v>
      </c>
      <c r="F7813" s="2">
        <v>1</v>
      </c>
      <c r="G7813" s="2" t="s">
        <v>17</v>
      </c>
    </row>
    <row r="7814" spans="1:7" x14ac:dyDescent="0.2">
      <c r="A7814" s="2" t="s">
        <v>9166</v>
      </c>
      <c r="B7814" s="2" t="s">
        <v>985</v>
      </c>
      <c r="C7814" s="2" t="s">
        <v>980</v>
      </c>
      <c r="D7814" s="2" t="s">
        <v>10</v>
      </c>
      <c r="E7814" s="2" t="s">
        <v>16</v>
      </c>
      <c r="F7814" s="2">
        <v>1</v>
      </c>
      <c r="G7814" s="2" t="s">
        <v>17</v>
      </c>
    </row>
    <row r="7815" spans="1:7" x14ac:dyDescent="0.2">
      <c r="A7815" s="2" t="s">
        <v>9166</v>
      </c>
      <c r="B7815" s="2" t="s">
        <v>9311</v>
      </c>
      <c r="C7815" s="2" t="s">
        <v>980</v>
      </c>
      <c r="D7815" s="2" t="s">
        <v>10</v>
      </c>
      <c r="E7815" s="2" t="s">
        <v>16</v>
      </c>
      <c r="F7815" s="2">
        <v>1</v>
      </c>
      <c r="G7815" s="2" t="s">
        <v>17</v>
      </c>
    </row>
    <row r="7816" spans="1:7" x14ac:dyDescent="0.2">
      <c r="A7816" s="2" t="s">
        <v>9166</v>
      </c>
      <c r="B7816" s="2" t="s">
        <v>981</v>
      </c>
      <c r="C7816" s="2" t="s">
        <v>982</v>
      </c>
      <c r="D7816" s="2" t="s">
        <v>10</v>
      </c>
      <c r="E7816" s="2" t="s">
        <v>16</v>
      </c>
      <c r="F7816" s="2">
        <v>1</v>
      </c>
      <c r="G7816" s="2" t="s">
        <v>17</v>
      </c>
    </row>
    <row r="7817" spans="1:7" x14ac:dyDescent="0.2">
      <c r="A7817" s="2" t="s">
        <v>9166</v>
      </c>
      <c r="B7817" s="2" t="s">
        <v>983</v>
      </c>
      <c r="C7817" s="2" t="s">
        <v>980</v>
      </c>
      <c r="D7817" s="2" t="s">
        <v>10</v>
      </c>
      <c r="E7817" s="2" t="s">
        <v>16</v>
      </c>
      <c r="F7817" s="2">
        <v>1</v>
      </c>
      <c r="G7817" s="2" t="s">
        <v>17</v>
      </c>
    </row>
    <row r="7818" spans="1:7" x14ac:dyDescent="0.2">
      <c r="A7818" s="2" t="s">
        <v>9166</v>
      </c>
      <c r="B7818" s="2" t="s">
        <v>9312</v>
      </c>
      <c r="C7818" s="2" t="s">
        <v>907</v>
      </c>
      <c r="D7818" s="2" t="s">
        <v>10</v>
      </c>
      <c r="E7818" s="2" t="s">
        <v>16</v>
      </c>
      <c r="F7818" s="2">
        <v>1</v>
      </c>
      <c r="G7818" s="2" t="s">
        <v>17</v>
      </c>
    </row>
    <row r="7819" spans="1:7" x14ac:dyDescent="0.2">
      <c r="A7819" s="2" t="s">
        <v>9166</v>
      </c>
      <c r="B7819" s="2" t="s">
        <v>1844</v>
      </c>
      <c r="C7819" s="2" t="s">
        <v>907</v>
      </c>
      <c r="D7819" s="2" t="s">
        <v>10</v>
      </c>
      <c r="E7819" s="2" t="s">
        <v>16</v>
      </c>
      <c r="F7819" s="2">
        <v>1</v>
      </c>
      <c r="G7819" s="2" t="s">
        <v>17</v>
      </c>
    </row>
    <row r="7820" spans="1:7" x14ac:dyDescent="0.2">
      <c r="A7820" s="2" t="s">
        <v>9166</v>
      </c>
      <c r="B7820" s="2" t="s">
        <v>9313</v>
      </c>
      <c r="C7820" s="2" t="s">
        <v>9207</v>
      </c>
      <c r="D7820" s="2" t="s">
        <v>10</v>
      </c>
      <c r="E7820" s="2" t="s">
        <v>16</v>
      </c>
      <c r="F7820" s="2">
        <v>1</v>
      </c>
      <c r="G7820" s="2" t="s">
        <v>17</v>
      </c>
    </row>
    <row r="7821" spans="1:7" x14ac:dyDescent="0.2">
      <c r="A7821" s="2" t="s">
        <v>9166</v>
      </c>
      <c r="B7821" s="2" t="s">
        <v>9314</v>
      </c>
      <c r="C7821" s="2" t="s">
        <v>9207</v>
      </c>
      <c r="D7821" s="2" t="s">
        <v>10</v>
      </c>
      <c r="E7821" s="2" t="s">
        <v>16</v>
      </c>
      <c r="F7821" s="2">
        <v>1</v>
      </c>
      <c r="G7821" s="2" t="s">
        <v>17</v>
      </c>
    </row>
    <row r="7822" spans="1:7" x14ac:dyDescent="0.2">
      <c r="A7822" s="2" t="s">
        <v>9166</v>
      </c>
      <c r="B7822" s="2" t="s">
        <v>986</v>
      </c>
      <c r="C7822" s="2" t="s">
        <v>982</v>
      </c>
      <c r="D7822" s="2" t="s">
        <v>10</v>
      </c>
      <c r="E7822" s="2" t="s">
        <v>16</v>
      </c>
      <c r="F7822" s="2">
        <v>1</v>
      </c>
      <c r="G7822" s="2" t="s">
        <v>17</v>
      </c>
    </row>
    <row r="7823" spans="1:7" x14ac:dyDescent="0.2">
      <c r="A7823" s="2" t="s">
        <v>9315</v>
      </c>
      <c r="B7823" s="2" t="s">
        <v>9316</v>
      </c>
      <c r="C7823" s="2" t="s">
        <v>9317</v>
      </c>
      <c r="D7823" s="2" t="s">
        <v>10</v>
      </c>
      <c r="E7823" s="2" t="s">
        <v>1080</v>
      </c>
      <c r="F7823" s="2">
        <v>1</v>
      </c>
      <c r="G7823" s="2" t="s">
        <v>17</v>
      </c>
    </row>
    <row r="7824" spans="1:7" x14ac:dyDescent="0.2">
      <c r="A7824" s="2" t="s">
        <v>9315</v>
      </c>
      <c r="B7824" s="2" t="s">
        <v>9318</v>
      </c>
      <c r="C7824" s="2" t="s">
        <v>9319</v>
      </c>
      <c r="D7824" s="2" t="s">
        <v>10</v>
      </c>
      <c r="E7824" s="2" t="s">
        <v>16</v>
      </c>
      <c r="F7824" s="2">
        <v>1</v>
      </c>
      <c r="G7824" s="2" t="s">
        <v>17</v>
      </c>
    </row>
    <row r="7825" spans="1:7" x14ac:dyDescent="0.2">
      <c r="A7825" s="2" t="s">
        <v>9315</v>
      </c>
      <c r="B7825" s="2" t="s">
        <v>9320</v>
      </c>
      <c r="C7825" s="2" t="s">
        <v>9321</v>
      </c>
      <c r="D7825" s="2" t="s">
        <v>10</v>
      </c>
      <c r="E7825" s="2" t="s">
        <v>1080</v>
      </c>
      <c r="F7825" s="2">
        <v>1</v>
      </c>
      <c r="G7825" s="2" t="s">
        <v>17</v>
      </c>
    </row>
    <row r="7826" spans="1:7" x14ac:dyDescent="0.2">
      <c r="A7826" s="2" t="s">
        <v>9315</v>
      </c>
      <c r="B7826" s="2" t="s">
        <v>9322</v>
      </c>
      <c r="C7826" s="2" t="s">
        <v>9323</v>
      </c>
      <c r="D7826" s="2" t="s">
        <v>10</v>
      </c>
      <c r="E7826" s="2" t="s">
        <v>1080</v>
      </c>
      <c r="F7826" s="2">
        <v>1</v>
      </c>
      <c r="G7826" s="2" t="s">
        <v>17</v>
      </c>
    </row>
    <row r="7827" spans="1:7" x14ac:dyDescent="0.2">
      <c r="A7827" s="2" t="s">
        <v>9315</v>
      </c>
      <c r="B7827" s="2" t="s">
        <v>9324</v>
      </c>
      <c r="C7827" s="2" t="s">
        <v>9323</v>
      </c>
      <c r="D7827" s="2" t="s">
        <v>10</v>
      </c>
      <c r="E7827" s="2" t="s">
        <v>1080</v>
      </c>
      <c r="F7827" s="2">
        <v>1</v>
      </c>
      <c r="G7827" s="2" t="s">
        <v>17</v>
      </c>
    </row>
    <row r="7828" spans="1:7" x14ac:dyDescent="0.2">
      <c r="A7828" s="2" t="s">
        <v>9315</v>
      </c>
      <c r="B7828" s="2" t="s">
        <v>9325</v>
      </c>
      <c r="C7828" s="2" t="s">
        <v>9326</v>
      </c>
      <c r="D7828" s="2" t="s">
        <v>10</v>
      </c>
      <c r="E7828" s="2" t="s">
        <v>16</v>
      </c>
      <c r="F7828" s="2">
        <v>1</v>
      </c>
      <c r="G7828" s="2" t="s">
        <v>17</v>
      </c>
    </row>
    <row r="7829" spans="1:7" x14ac:dyDescent="0.2">
      <c r="A7829" s="2" t="s">
        <v>9315</v>
      </c>
      <c r="B7829" s="2" t="s">
        <v>9327</v>
      </c>
      <c r="C7829" s="2" t="s">
        <v>9326</v>
      </c>
      <c r="D7829" s="2" t="s">
        <v>10</v>
      </c>
      <c r="E7829" s="2" t="s">
        <v>16</v>
      </c>
      <c r="F7829" s="2">
        <v>1</v>
      </c>
      <c r="G7829" s="2" t="s">
        <v>17</v>
      </c>
    </row>
    <row r="7830" spans="1:7" x14ac:dyDescent="0.2">
      <c r="A7830" s="2" t="s">
        <v>9315</v>
      </c>
      <c r="B7830" s="2" t="s">
        <v>9328</v>
      </c>
      <c r="C7830" s="2" t="s">
        <v>9329</v>
      </c>
      <c r="D7830" s="2" t="s">
        <v>10</v>
      </c>
      <c r="E7830" s="2" t="s">
        <v>1080</v>
      </c>
      <c r="F7830" s="2">
        <v>1</v>
      </c>
      <c r="G7830" s="2" t="s">
        <v>17</v>
      </c>
    </row>
    <row r="7831" spans="1:7" x14ac:dyDescent="0.2">
      <c r="A7831" s="2" t="s">
        <v>9315</v>
      </c>
      <c r="B7831" s="2" t="s">
        <v>9330</v>
      </c>
      <c r="C7831" s="2" t="s">
        <v>9329</v>
      </c>
      <c r="D7831" s="2" t="s">
        <v>10</v>
      </c>
      <c r="E7831" s="2" t="s">
        <v>1080</v>
      </c>
      <c r="F7831" s="2">
        <v>1</v>
      </c>
      <c r="G7831" s="2" t="s">
        <v>17</v>
      </c>
    </row>
    <row r="7832" spans="1:7" x14ac:dyDescent="0.2">
      <c r="A7832" s="2" t="s">
        <v>9315</v>
      </c>
      <c r="B7832" s="2" t="s">
        <v>9331</v>
      </c>
      <c r="C7832" s="2" t="s">
        <v>9332</v>
      </c>
      <c r="D7832" s="2" t="s">
        <v>10</v>
      </c>
      <c r="E7832" s="2" t="s">
        <v>16</v>
      </c>
      <c r="F7832" s="2">
        <v>1</v>
      </c>
      <c r="G7832" s="2" t="s">
        <v>17</v>
      </c>
    </row>
    <row r="7833" spans="1:7" x14ac:dyDescent="0.2">
      <c r="A7833" s="2" t="s">
        <v>9315</v>
      </c>
      <c r="B7833" s="2" t="s">
        <v>9333</v>
      </c>
      <c r="C7833" s="2" t="s">
        <v>9317</v>
      </c>
      <c r="D7833" s="2" t="s">
        <v>10</v>
      </c>
      <c r="E7833" s="2" t="s">
        <v>1080</v>
      </c>
      <c r="F7833" s="2">
        <v>1</v>
      </c>
      <c r="G7833" s="2" t="s">
        <v>17</v>
      </c>
    </row>
    <row r="7834" spans="1:7" x14ac:dyDescent="0.2">
      <c r="A7834" s="2" t="s">
        <v>9315</v>
      </c>
      <c r="B7834" s="2" t="s">
        <v>9334</v>
      </c>
      <c r="C7834" s="2" t="s">
        <v>9335</v>
      </c>
      <c r="D7834" s="2" t="s">
        <v>10</v>
      </c>
      <c r="E7834" s="2" t="s">
        <v>16</v>
      </c>
      <c r="F7834" s="2">
        <v>1</v>
      </c>
      <c r="G7834" s="2" t="s">
        <v>17</v>
      </c>
    </row>
    <row r="7835" spans="1:7" x14ac:dyDescent="0.2">
      <c r="A7835" s="2" t="s">
        <v>9315</v>
      </c>
      <c r="B7835" s="2" t="s">
        <v>9336</v>
      </c>
      <c r="C7835" s="2" t="s">
        <v>9337</v>
      </c>
      <c r="D7835" s="2" t="s">
        <v>10</v>
      </c>
      <c r="E7835" s="2" t="s">
        <v>16</v>
      </c>
      <c r="F7835" s="2">
        <v>1</v>
      </c>
      <c r="G7835" s="2" t="s">
        <v>17</v>
      </c>
    </row>
    <row r="7836" spans="1:7" x14ac:dyDescent="0.2">
      <c r="A7836" s="2" t="s">
        <v>9338</v>
      </c>
      <c r="B7836" s="2" t="s">
        <v>9339</v>
      </c>
      <c r="C7836" s="2" t="s">
        <v>9340</v>
      </c>
      <c r="D7836" s="2" t="s">
        <v>64</v>
      </c>
      <c r="E7836" s="2" t="s">
        <v>16</v>
      </c>
      <c r="F7836" s="2">
        <v>1</v>
      </c>
      <c r="G7836" s="2" t="s">
        <v>17</v>
      </c>
    </row>
    <row r="7837" spans="1:7" x14ac:dyDescent="0.2">
      <c r="A7837" s="2" t="s">
        <v>9341</v>
      </c>
      <c r="B7837" s="2" t="s">
        <v>7309</v>
      </c>
      <c r="C7837" s="2" t="s">
        <v>7310</v>
      </c>
      <c r="D7837" s="2" t="s">
        <v>10</v>
      </c>
      <c r="E7837" s="2" t="s">
        <v>16</v>
      </c>
      <c r="F7837" s="2">
        <v>1</v>
      </c>
      <c r="G7837" s="2" t="s">
        <v>17</v>
      </c>
    </row>
    <row r="7838" spans="1:7" x14ac:dyDescent="0.2">
      <c r="A7838" s="2" t="s">
        <v>9341</v>
      </c>
      <c r="B7838" s="2" t="s">
        <v>1929</v>
      </c>
      <c r="C7838" s="2" t="s">
        <v>1930</v>
      </c>
      <c r="D7838" s="2" t="s">
        <v>10</v>
      </c>
      <c r="E7838" s="2" t="s">
        <v>16</v>
      </c>
      <c r="F7838" s="2">
        <v>1</v>
      </c>
      <c r="G7838" s="2" t="s">
        <v>17</v>
      </c>
    </row>
    <row r="7839" spans="1:7" x14ac:dyDescent="0.2">
      <c r="A7839" s="2" t="s">
        <v>9341</v>
      </c>
      <c r="B7839" s="2" t="s">
        <v>9342</v>
      </c>
      <c r="C7839" s="2" t="s">
        <v>743</v>
      </c>
      <c r="D7839" s="2" t="s">
        <v>10</v>
      </c>
      <c r="E7839" s="2" t="s">
        <v>16</v>
      </c>
      <c r="F7839" s="2">
        <v>1</v>
      </c>
      <c r="G7839" s="2" t="s">
        <v>17</v>
      </c>
    </row>
    <row r="7840" spans="1:7" x14ac:dyDescent="0.2">
      <c r="A7840" s="2" t="s">
        <v>9341</v>
      </c>
      <c r="B7840" s="2" t="s">
        <v>9343</v>
      </c>
      <c r="C7840" s="2" t="s">
        <v>745</v>
      </c>
      <c r="D7840" s="2" t="s">
        <v>10</v>
      </c>
      <c r="E7840" s="2" t="s">
        <v>16</v>
      </c>
      <c r="F7840" s="2">
        <v>1</v>
      </c>
      <c r="G7840" s="2" t="s">
        <v>17</v>
      </c>
    </row>
    <row r="7841" spans="1:7" x14ac:dyDescent="0.2">
      <c r="A7841" s="2" t="s">
        <v>9341</v>
      </c>
      <c r="B7841" s="2" t="s">
        <v>7313</v>
      </c>
      <c r="C7841" s="2" t="s">
        <v>7310</v>
      </c>
      <c r="D7841" s="2" t="s">
        <v>10</v>
      </c>
      <c r="E7841" s="2" t="s">
        <v>16</v>
      </c>
      <c r="F7841" s="2">
        <v>1</v>
      </c>
      <c r="G7841" s="2" t="s">
        <v>17</v>
      </c>
    </row>
    <row r="7842" spans="1:7" x14ac:dyDescent="0.2">
      <c r="A7842" s="2" t="s">
        <v>9341</v>
      </c>
      <c r="B7842" s="2" t="s">
        <v>7314</v>
      </c>
      <c r="C7842" s="2" t="s">
        <v>7310</v>
      </c>
      <c r="D7842" s="2" t="s">
        <v>10</v>
      </c>
      <c r="E7842" s="2" t="s">
        <v>16</v>
      </c>
      <c r="F7842" s="2">
        <v>1</v>
      </c>
      <c r="G7842" s="2" t="s">
        <v>17</v>
      </c>
    </row>
    <row r="7843" spans="1:7" x14ac:dyDescent="0.2">
      <c r="A7843" s="2" t="s">
        <v>9341</v>
      </c>
      <c r="B7843" s="2" t="s">
        <v>9344</v>
      </c>
      <c r="C7843" s="2" t="s">
        <v>743</v>
      </c>
      <c r="D7843" s="2" t="s">
        <v>10</v>
      </c>
      <c r="E7843" s="2" t="s">
        <v>16</v>
      </c>
      <c r="F7843" s="2">
        <v>1</v>
      </c>
      <c r="G7843" s="2" t="s">
        <v>17</v>
      </c>
    </row>
    <row r="7844" spans="1:7" x14ac:dyDescent="0.2">
      <c r="A7844" s="2" t="s">
        <v>9341</v>
      </c>
      <c r="B7844" s="2" t="s">
        <v>9345</v>
      </c>
      <c r="C7844" s="2" t="s">
        <v>745</v>
      </c>
      <c r="D7844" s="2" t="s">
        <v>10</v>
      </c>
      <c r="E7844" s="2" t="s">
        <v>16</v>
      </c>
      <c r="F7844" s="2">
        <v>1</v>
      </c>
      <c r="G7844" s="2" t="s">
        <v>17</v>
      </c>
    </row>
    <row r="7845" spans="1:7" x14ac:dyDescent="0.2">
      <c r="A7845" s="2" t="s">
        <v>9341</v>
      </c>
      <c r="B7845" s="2" t="s">
        <v>9346</v>
      </c>
      <c r="C7845" s="2" t="s">
        <v>1930</v>
      </c>
      <c r="D7845" s="2" t="s">
        <v>10</v>
      </c>
      <c r="E7845" s="2" t="s">
        <v>16</v>
      </c>
      <c r="F7845" s="2">
        <v>1</v>
      </c>
      <c r="G7845" s="2" t="s">
        <v>17</v>
      </c>
    </row>
    <row r="7846" spans="1:7" x14ac:dyDescent="0.2">
      <c r="A7846" s="2" t="s">
        <v>9341</v>
      </c>
      <c r="B7846" s="2" t="s">
        <v>9347</v>
      </c>
      <c r="C7846" s="2" t="s">
        <v>7310</v>
      </c>
      <c r="D7846" s="2" t="s">
        <v>10</v>
      </c>
      <c r="E7846" s="2" t="s">
        <v>16</v>
      </c>
      <c r="F7846" s="2">
        <v>1</v>
      </c>
      <c r="G7846" s="2" t="s">
        <v>17</v>
      </c>
    </row>
    <row r="7847" spans="1:7" x14ac:dyDescent="0.2">
      <c r="A7847" s="2" t="s">
        <v>9348</v>
      </c>
      <c r="B7847" s="2" t="s">
        <v>9349</v>
      </c>
      <c r="C7847" s="2" t="s">
        <v>9350</v>
      </c>
      <c r="D7847" s="2" t="s">
        <v>10</v>
      </c>
      <c r="E7847" s="2" t="s">
        <v>16</v>
      </c>
      <c r="F7847" s="2">
        <v>1</v>
      </c>
      <c r="G7847" s="2" t="s">
        <v>17</v>
      </c>
    </row>
    <row r="7848" spans="1:7" x14ac:dyDescent="0.2">
      <c r="A7848" s="2" t="s">
        <v>9348</v>
      </c>
      <c r="B7848" s="2" t="s">
        <v>9351</v>
      </c>
      <c r="C7848" s="2" t="s">
        <v>9350</v>
      </c>
      <c r="D7848" s="2" t="s">
        <v>10</v>
      </c>
      <c r="E7848" s="2" t="s">
        <v>16</v>
      </c>
      <c r="F7848" s="2">
        <v>1</v>
      </c>
      <c r="G7848" s="2" t="s">
        <v>17</v>
      </c>
    </row>
    <row r="7849" spans="1:7" x14ac:dyDescent="0.2">
      <c r="A7849" s="2" t="s">
        <v>9348</v>
      </c>
      <c r="B7849" s="2" t="s">
        <v>9352</v>
      </c>
      <c r="C7849" s="2" t="s">
        <v>9350</v>
      </c>
      <c r="D7849" s="2" t="s">
        <v>10</v>
      </c>
      <c r="E7849" s="2" t="s">
        <v>16</v>
      </c>
      <c r="F7849" s="2">
        <v>1</v>
      </c>
      <c r="G7849" s="2" t="s">
        <v>17</v>
      </c>
    </row>
    <row r="7850" spans="1:7" x14ac:dyDescent="0.2">
      <c r="A7850" s="2" t="s">
        <v>9353</v>
      </c>
      <c r="B7850" s="2" t="s">
        <v>9354</v>
      </c>
      <c r="C7850" s="2" t="s">
        <v>9355</v>
      </c>
      <c r="D7850" s="2" t="s">
        <v>10</v>
      </c>
      <c r="E7850" s="2" t="s">
        <v>16</v>
      </c>
      <c r="F7850" s="2">
        <v>1</v>
      </c>
      <c r="G7850" s="2" t="s">
        <v>17</v>
      </c>
    </row>
    <row r="7851" spans="1:7" x14ac:dyDescent="0.2">
      <c r="A7851" s="2" t="s">
        <v>9353</v>
      </c>
      <c r="B7851" s="2" t="s">
        <v>9356</v>
      </c>
      <c r="C7851" s="2" t="s">
        <v>9355</v>
      </c>
      <c r="D7851" s="2" t="s">
        <v>10</v>
      </c>
      <c r="E7851" s="2" t="s">
        <v>16</v>
      </c>
      <c r="F7851" s="2">
        <v>1</v>
      </c>
      <c r="G7851" s="2" t="s">
        <v>17</v>
      </c>
    </row>
    <row r="7852" spans="1:7" x14ac:dyDescent="0.2">
      <c r="A7852" s="2" t="s">
        <v>9357</v>
      </c>
      <c r="B7852" s="2" t="s">
        <v>70</v>
      </c>
      <c r="C7852" s="2" t="s">
        <v>71</v>
      </c>
      <c r="D7852" s="2" t="s">
        <v>10</v>
      </c>
      <c r="E7852" s="2" t="s">
        <v>16</v>
      </c>
      <c r="F7852" s="2">
        <v>1</v>
      </c>
      <c r="G7852" s="2" t="s">
        <v>17</v>
      </c>
    </row>
    <row r="7853" spans="1:7" x14ac:dyDescent="0.2">
      <c r="A7853" s="2" t="s">
        <v>9357</v>
      </c>
      <c r="B7853" s="2" t="s">
        <v>72</v>
      </c>
      <c r="C7853" s="2" t="s">
        <v>73</v>
      </c>
      <c r="D7853" s="2" t="s">
        <v>10</v>
      </c>
      <c r="E7853" s="2" t="s">
        <v>16</v>
      </c>
      <c r="F7853" s="2">
        <v>1</v>
      </c>
      <c r="G7853" s="2" t="s">
        <v>17</v>
      </c>
    </row>
    <row r="7854" spans="1:7" x14ac:dyDescent="0.2">
      <c r="A7854" s="2" t="s">
        <v>9358</v>
      </c>
      <c r="B7854" s="2" t="s">
        <v>9359</v>
      </c>
      <c r="C7854" s="2" t="s">
        <v>9360</v>
      </c>
      <c r="D7854" s="2" t="s">
        <v>10</v>
      </c>
      <c r="E7854" s="2" t="s">
        <v>16</v>
      </c>
      <c r="F7854" s="2">
        <v>1</v>
      </c>
      <c r="G7854" s="2" t="s">
        <v>17</v>
      </c>
    </row>
    <row r="7855" spans="1:7" x14ac:dyDescent="0.2">
      <c r="A7855" s="2" t="s">
        <v>9358</v>
      </c>
      <c r="B7855" s="2" t="s">
        <v>9361</v>
      </c>
      <c r="C7855" s="2" t="s">
        <v>9362</v>
      </c>
      <c r="D7855" s="2" t="s">
        <v>10</v>
      </c>
      <c r="E7855" s="2" t="s">
        <v>16</v>
      </c>
      <c r="F7855" s="2">
        <v>1</v>
      </c>
      <c r="G7855" s="2" t="s">
        <v>17</v>
      </c>
    </row>
    <row r="7856" spans="1:7" x14ac:dyDescent="0.2">
      <c r="A7856" s="2" t="s">
        <v>9358</v>
      </c>
      <c r="B7856" s="2" t="s">
        <v>9363</v>
      </c>
      <c r="C7856" s="2" t="s">
        <v>9364</v>
      </c>
      <c r="D7856" s="2" t="s">
        <v>10</v>
      </c>
      <c r="E7856" s="2" t="s">
        <v>16</v>
      </c>
      <c r="F7856" s="2">
        <v>1</v>
      </c>
      <c r="G7856" s="2" t="s">
        <v>17</v>
      </c>
    </row>
    <row r="7857" spans="1:7" x14ac:dyDescent="0.2">
      <c r="A7857" s="2" t="s">
        <v>9358</v>
      </c>
      <c r="B7857" s="2" t="s">
        <v>9365</v>
      </c>
      <c r="C7857" s="2" t="s">
        <v>9366</v>
      </c>
      <c r="D7857" s="2" t="s">
        <v>10</v>
      </c>
      <c r="E7857" s="2" t="s">
        <v>16</v>
      </c>
      <c r="F7857" s="2">
        <v>1</v>
      </c>
      <c r="G7857" s="2" t="s">
        <v>17</v>
      </c>
    </row>
    <row r="7858" spans="1:7" x14ac:dyDescent="0.2">
      <c r="A7858" s="2" t="s">
        <v>9358</v>
      </c>
      <c r="B7858" s="2" t="s">
        <v>723</v>
      </c>
      <c r="C7858" s="2" t="s">
        <v>9366</v>
      </c>
      <c r="D7858" s="2" t="s">
        <v>10</v>
      </c>
      <c r="E7858" s="2" t="s">
        <v>16</v>
      </c>
      <c r="F7858" s="2">
        <v>1</v>
      </c>
      <c r="G7858" s="2" t="s">
        <v>17</v>
      </c>
    </row>
    <row r="7859" spans="1:7" x14ac:dyDescent="0.2">
      <c r="A7859" s="2" t="s">
        <v>9358</v>
      </c>
      <c r="B7859" s="2" t="s">
        <v>9367</v>
      </c>
      <c r="C7859" s="2" t="s">
        <v>9368</v>
      </c>
      <c r="D7859" s="2" t="s">
        <v>10</v>
      </c>
      <c r="E7859" s="2" t="s">
        <v>16</v>
      </c>
      <c r="F7859" s="2">
        <v>1</v>
      </c>
      <c r="G7859" s="2" t="s">
        <v>17</v>
      </c>
    </row>
    <row r="7860" spans="1:7" x14ac:dyDescent="0.2">
      <c r="A7860" s="2" t="s">
        <v>9369</v>
      </c>
      <c r="B7860" s="2" t="s">
        <v>9370</v>
      </c>
      <c r="C7860" s="2" t="s">
        <v>9371</v>
      </c>
      <c r="D7860" s="2" t="s">
        <v>10</v>
      </c>
      <c r="E7860" s="2" t="s">
        <v>16</v>
      </c>
      <c r="F7860" s="2">
        <v>1</v>
      </c>
      <c r="G7860" s="2" t="s">
        <v>17</v>
      </c>
    </row>
    <row r="7861" spans="1:7" x14ac:dyDescent="0.2">
      <c r="A7861" s="2" t="s">
        <v>9369</v>
      </c>
      <c r="B7861" s="2" t="s">
        <v>9372</v>
      </c>
      <c r="C7861" s="2" t="s">
        <v>9373</v>
      </c>
      <c r="D7861" s="2" t="s">
        <v>10</v>
      </c>
      <c r="E7861" s="2" t="s">
        <v>16</v>
      </c>
      <c r="F7861" s="2">
        <v>1</v>
      </c>
      <c r="G7861" s="2" t="s">
        <v>17</v>
      </c>
    </row>
    <row r="7862" spans="1:7" x14ac:dyDescent="0.2">
      <c r="A7862" s="2" t="s">
        <v>9369</v>
      </c>
      <c r="B7862" s="2" t="s">
        <v>9374</v>
      </c>
      <c r="C7862" s="2" t="s">
        <v>9375</v>
      </c>
      <c r="D7862" s="2" t="s">
        <v>10</v>
      </c>
      <c r="E7862" s="2" t="s">
        <v>16</v>
      </c>
      <c r="F7862" s="2">
        <v>1</v>
      </c>
      <c r="G7862" s="2" t="s">
        <v>17</v>
      </c>
    </row>
    <row r="7863" spans="1:7" x14ac:dyDescent="0.2">
      <c r="A7863" s="2" t="s">
        <v>9369</v>
      </c>
      <c r="B7863" s="2" t="s">
        <v>9376</v>
      </c>
      <c r="C7863" s="2" t="s">
        <v>4264</v>
      </c>
      <c r="D7863" s="2" t="s">
        <v>10</v>
      </c>
      <c r="E7863" s="2" t="s">
        <v>16</v>
      </c>
      <c r="F7863" s="2">
        <v>1</v>
      </c>
      <c r="G7863" s="2" t="s">
        <v>17</v>
      </c>
    </row>
    <row r="7864" spans="1:7" x14ac:dyDescent="0.2">
      <c r="A7864" s="2" t="s">
        <v>9377</v>
      </c>
      <c r="B7864" s="2" t="s">
        <v>9378</v>
      </c>
      <c r="C7864" s="2" t="s">
        <v>9379</v>
      </c>
      <c r="D7864" s="2" t="s">
        <v>10</v>
      </c>
      <c r="E7864" s="2" t="s">
        <v>16</v>
      </c>
      <c r="F7864" s="2">
        <v>1</v>
      </c>
      <c r="G7864" s="2" t="s">
        <v>17</v>
      </c>
    </row>
    <row r="7865" spans="1:7" x14ac:dyDescent="0.2">
      <c r="A7865" s="2" t="s">
        <v>9380</v>
      </c>
      <c r="B7865" s="2" t="s">
        <v>9381</v>
      </c>
      <c r="C7865" s="2" t="s">
        <v>9382</v>
      </c>
      <c r="D7865" s="2" t="s">
        <v>10</v>
      </c>
      <c r="E7865" s="2" t="s">
        <v>16</v>
      </c>
      <c r="F7865" s="2">
        <v>1</v>
      </c>
      <c r="G7865" s="2" t="s">
        <v>17</v>
      </c>
    </row>
    <row r="7866" spans="1:7" x14ac:dyDescent="0.2">
      <c r="A7866" s="2" t="s">
        <v>9380</v>
      </c>
      <c r="B7866" s="2" t="s">
        <v>9383</v>
      </c>
      <c r="C7866" s="2" t="s">
        <v>9382</v>
      </c>
      <c r="D7866" s="2" t="s">
        <v>10</v>
      </c>
      <c r="E7866" s="2" t="s">
        <v>16</v>
      </c>
      <c r="F7866" s="2">
        <v>1</v>
      </c>
      <c r="G7866" s="2" t="s">
        <v>17</v>
      </c>
    </row>
    <row r="7867" spans="1:7" x14ac:dyDescent="0.2">
      <c r="A7867" s="2" t="s">
        <v>9384</v>
      </c>
      <c r="B7867" s="2" t="s">
        <v>9385</v>
      </c>
      <c r="C7867" s="2" t="s">
        <v>9386</v>
      </c>
      <c r="D7867" s="2" t="s">
        <v>10</v>
      </c>
      <c r="E7867" s="2" t="s">
        <v>16</v>
      </c>
      <c r="F7867" s="2">
        <v>1</v>
      </c>
      <c r="G7867" s="2" t="s">
        <v>17</v>
      </c>
    </row>
    <row r="7868" spans="1:7" x14ac:dyDescent="0.2">
      <c r="A7868" s="2" t="s">
        <v>9384</v>
      </c>
      <c r="B7868" s="2" t="s">
        <v>9387</v>
      </c>
      <c r="C7868" s="2" t="s">
        <v>9386</v>
      </c>
      <c r="D7868" s="2" t="s">
        <v>10</v>
      </c>
      <c r="E7868" s="2" t="s">
        <v>16</v>
      </c>
      <c r="F7868" s="2">
        <v>1</v>
      </c>
      <c r="G7868" s="2" t="s">
        <v>17</v>
      </c>
    </row>
    <row r="7869" spans="1:7" x14ac:dyDescent="0.2">
      <c r="A7869" s="2" t="s">
        <v>9388</v>
      </c>
      <c r="B7869" s="2" t="s">
        <v>9389</v>
      </c>
      <c r="C7869" s="2" t="s">
        <v>9390</v>
      </c>
      <c r="D7869" s="2" t="s">
        <v>10</v>
      </c>
      <c r="E7869" s="2" t="s">
        <v>16</v>
      </c>
      <c r="F7869" s="2">
        <v>1</v>
      </c>
      <c r="G7869" s="2" t="s">
        <v>17</v>
      </c>
    </row>
    <row r="7870" spans="1:7" x14ac:dyDescent="0.2">
      <c r="A7870" s="2" t="s">
        <v>9388</v>
      </c>
      <c r="B7870" s="2" t="s">
        <v>9391</v>
      </c>
      <c r="C7870" s="2" t="s">
        <v>9390</v>
      </c>
      <c r="D7870" s="2" t="s">
        <v>10</v>
      </c>
      <c r="E7870" s="2" t="s">
        <v>16</v>
      </c>
      <c r="F7870" s="2">
        <v>1</v>
      </c>
      <c r="G7870" s="2" t="s">
        <v>17</v>
      </c>
    </row>
    <row r="7871" spans="1:7" x14ac:dyDescent="0.2">
      <c r="A7871" s="2" t="s">
        <v>9388</v>
      </c>
      <c r="B7871" s="2" t="s">
        <v>625</v>
      </c>
      <c r="C7871" s="2" t="s">
        <v>626</v>
      </c>
      <c r="D7871" s="2" t="s">
        <v>10</v>
      </c>
      <c r="E7871" s="2" t="s">
        <v>11</v>
      </c>
      <c r="F7871" s="2">
        <v>2</v>
      </c>
      <c r="G7871" s="2" t="s">
        <v>17</v>
      </c>
    </row>
    <row r="7872" spans="1:7" x14ac:dyDescent="0.2">
      <c r="A7872" s="2" t="s">
        <v>9388</v>
      </c>
      <c r="B7872" s="2" t="s">
        <v>9392</v>
      </c>
      <c r="C7872" s="2" t="s">
        <v>626</v>
      </c>
      <c r="D7872" s="2" t="s">
        <v>10</v>
      </c>
      <c r="E7872" s="2" t="s">
        <v>11</v>
      </c>
      <c r="F7872" s="2">
        <v>2</v>
      </c>
      <c r="G7872" s="2" t="s">
        <v>17</v>
      </c>
    </row>
    <row r="7873" spans="1:7" x14ac:dyDescent="0.2">
      <c r="A7873" s="2" t="s">
        <v>9388</v>
      </c>
      <c r="B7873" s="2" t="s">
        <v>648</v>
      </c>
      <c r="C7873" s="2" t="s">
        <v>626</v>
      </c>
      <c r="D7873" s="2" t="s">
        <v>10</v>
      </c>
      <c r="E7873" s="2" t="s">
        <v>11</v>
      </c>
      <c r="F7873" s="2">
        <v>2</v>
      </c>
      <c r="G7873" s="2" t="s">
        <v>17</v>
      </c>
    </row>
    <row r="7874" spans="1:7" x14ac:dyDescent="0.2">
      <c r="A7874" s="2" t="s">
        <v>9388</v>
      </c>
      <c r="B7874" s="2" t="s">
        <v>9393</v>
      </c>
      <c r="C7874" s="2" t="s">
        <v>9390</v>
      </c>
      <c r="D7874" s="2" t="s">
        <v>10</v>
      </c>
      <c r="E7874" s="2" t="s">
        <v>16</v>
      </c>
      <c r="F7874" s="2">
        <v>1</v>
      </c>
      <c r="G7874" s="2" t="s">
        <v>17</v>
      </c>
    </row>
    <row r="7875" spans="1:7" x14ac:dyDescent="0.2">
      <c r="A7875" s="2" t="s">
        <v>9388</v>
      </c>
      <c r="B7875" s="2" t="s">
        <v>9394</v>
      </c>
      <c r="C7875" s="2" t="s">
        <v>626</v>
      </c>
      <c r="D7875" s="2" t="s">
        <v>10</v>
      </c>
      <c r="E7875" s="2" t="s">
        <v>11</v>
      </c>
      <c r="F7875" s="2">
        <v>2</v>
      </c>
      <c r="G7875" s="2" t="s">
        <v>17</v>
      </c>
    </row>
    <row r="7876" spans="1:7" x14ac:dyDescent="0.2">
      <c r="A7876" s="2" t="s">
        <v>9395</v>
      </c>
      <c r="B7876" s="2" t="s">
        <v>625</v>
      </c>
      <c r="C7876" s="2" t="s">
        <v>626</v>
      </c>
      <c r="D7876" s="2" t="s">
        <v>10</v>
      </c>
      <c r="E7876" s="2" t="s">
        <v>11</v>
      </c>
      <c r="F7876" s="2">
        <v>2</v>
      </c>
      <c r="G7876" s="2" t="s">
        <v>17</v>
      </c>
    </row>
    <row r="7877" spans="1:7" x14ac:dyDescent="0.2">
      <c r="A7877" s="2" t="s">
        <v>9395</v>
      </c>
      <c r="B7877" s="2" t="s">
        <v>9392</v>
      </c>
      <c r="C7877" s="2" t="s">
        <v>626</v>
      </c>
      <c r="D7877" s="2" t="s">
        <v>10</v>
      </c>
      <c r="E7877" s="2" t="s">
        <v>11</v>
      </c>
      <c r="F7877" s="2">
        <v>2</v>
      </c>
      <c r="G7877" s="2" t="s">
        <v>17</v>
      </c>
    </row>
    <row r="7878" spans="1:7" x14ac:dyDescent="0.2">
      <c r="A7878" s="2" t="s">
        <v>9395</v>
      </c>
      <c r="B7878" s="2" t="s">
        <v>648</v>
      </c>
      <c r="C7878" s="2" t="s">
        <v>626</v>
      </c>
      <c r="D7878" s="2" t="s">
        <v>10</v>
      </c>
      <c r="E7878" s="2" t="s">
        <v>11</v>
      </c>
      <c r="F7878" s="2">
        <v>2</v>
      </c>
      <c r="G7878" s="2" t="s">
        <v>17</v>
      </c>
    </row>
    <row r="7879" spans="1:7" x14ac:dyDescent="0.2">
      <c r="A7879" s="2" t="s">
        <v>9395</v>
      </c>
      <c r="B7879" s="2" t="s">
        <v>9394</v>
      </c>
      <c r="C7879" s="2" t="s">
        <v>626</v>
      </c>
      <c r="D7879" s="2" t="s">
        <v>10</v>
      </c>
      <c r="E7879" s="2" t="s">
        <v>11</v>
      </c>
      <c r="F7879" s="2">
        <v>2</v>
      </c>
      <c r="G7879" s="2" t="s">
        <v>17</v>
      </c>
    </row>
    <row r="7880" spans="1:7" x14ac:dyDescent="0.2">
      <c r="A7880" s="2" t="s">
        <v>9396</v>
      </c>
      <c r="B7880" s="2" t="s">
        <v>9397</v>
      </c>
      <c r="C7880" s="2" t="s">
        <v>9398</v>
      </c>
      <c r="D7880" s="2" t="s">
        <v>10</v>
      </c>
      <c r="E7880" s="2" t="s">
        <v>16</v>
      </c>
      <c r="F7880" s="2">
        <v>1</v>
      </c>
      <c r="G7880" s="2" t="s">
        <v>17</v>
      </c>
    </row>
    <row r="7881" spans="1:7" x14ac:dyDescent="0.2">
      <c r="A7881" s="2" t="s">
        <v>9396</v>
      </c>
      <c r="B7881" s="2" t="s">
        <v>9399</v>
      </c>
      <c r="C7881" s="2" t="s">
        <v>9400</v>
      </c>
      <c r="D7881" s="2" t="s">
        <v>10</v>
      </c>
      <c r="E7881" s="2" t="s">
        <v>16</v>
      </c>
      <c r="F7881" s="2">
        <v>1</v>
      </c>
      <c r="G7881" s="2" t="s">
        <v>17</v>
      </c>
    </row>
    <row r="7882" spans="1:7" x14ac:dyDescent="0.2">
      <c r="A7882" s="2" t="s">
        <v>9396</v>
      </c>
      <c r="B7882" s="2" t="s">
        <v>9401</v>
      </c>
      <c r="C7882" s="2" t="s">
        <v>9402</v>
      </c>
      <c r="D7882" s="2" t="s">
        <v>10</v>
      </c>
      <c r="E7882" s="2" t="s">
        <v>16</v>
      </c>
      <c r="F7882" s="2">
        <v>1</v>
      </c>
      <c r="G7882" s="2" t="s">
        <v>17</v>
      </c>
    </row>
    <row r="7883" spans="1:7" x14ac:dyDescent="0.2">
      <c r="A7883" s="2" t="s">
        <v>9396</v>
      </c>
      <c r="B7883" s="2" t="s">
        <v>9403</v>
      </c>
      <c r="C7883" s="2" t="s">
        <v>9404</v>
      </c>
      <c r="D7883" s="2" t="s">
        <v>10</v>
      </c>
      <c r="E7883" s="2" t="s">
        <v>16</v>
      </c>
      <c r="F7883" s="2">
        <v>1</v>
      </c>
      <c r="G7883" s="2" t="s">
        <v>17</v>
      </c>
    </row>
    <row r="7884" spans="1:7" x14ac:dyDescent="0.2">
      <c r="A7884" s="2" t="s">
        <v>9396</v>
      </c>
      <c r="B7884" s="2" t="s">
        <v>734</v>
      </c>
      <c r="C7884" s="2" t="s">
        <v>232</v>
      </c>
      <c r="D7884" s="2" t="s">
        <v>10</v>
      </c>
      <c r="E7884" s="2" t="s">
        <v>16</v>
      </c>
      <c r="F7884" s="2">
        <v>1</v>
      </c>
      <c r="G7884" s="2" t="s">
        <v>17</v>
      </c>
    </row>
    <row r="7885" spans="1:7" x14ac:dyDescent="0.2">
      <c r="A7885" s="2" t="s">
        <v>9396</v>
      </c>
      <c r="B7885" s="2" t="s">
        <v>9405</v>
      </c>
      <c r="C7885" s="2" t="s">
        <v>9406</v>
      </c>
      <c r="D7885" s="2" t="s">
        <v>10</v>
      </c>
      <c r="E7885" s="2" t="s">
        <v>16</v>
      </c>
      <c r="F7885" s="2">
        <v>1</v>
      </c>
      <c r="G7885" s="2" t="s">
        <v>17</v>
      </c>
    </row>
    <row r="7886" spans="1:7" x14ac:dyDescent="0.2">
      <c r="A7886" s="2" t="s">
        <v>9396</v>
      </c>
      <c r="B7886" s="2" t="s">
        <v>9407</v>
      </c>
      <c r="C7886" s="2" t="s">
        <v>9402</v>
      </c>
      <c r="D7886" s="2" t="s">
        <v>10</v>
      </c>
      <c r="E7886" s="2" t="s">
        <v>16</v>
      </c>
      <c r="F7886" s="2">
        <v>1</v>
      </c>
      <c r="G7886" s="2" t="s">
        <v>17</v>
      </c>
    </row>
    <row r="7887" spans="1:7" x14ac:dyDescent="0.2">
      <c r="A7887" s="2" t="s">
        <v>9396</v>
      </c>
      <c r="B7887" s="2" t="s">
        <v>9408</v>
      </c>
      <c r="C7887" s="2" t="s">
        <v>9406</v>
      </c>
      <c r="D7887" s="2" t="s">
        <v>10</v>
      </c>
      <c r="E7887" s="2" t="s">
        <v>16</v>
      </c>
      <c r="F7887" s="2">
        <v>1</v>
      </c>
      <c r="G7887" s="2" t="s">
        <v>17</v>
      </c>
    </row>
    <row r="7888" spans="1:7" x14ac:dyDescent="0.2">
      <c r="A7888" s="2" t="s">
        <v>9396</v>
      </c>
      <c r="B7888" s="2" t="s">
        <v>9409</v>
      </c>
      <c r="C7888" s="2" t="s">
        <v>9410</v>
      </c>
      <c r="D7888" s="2" t="s">
        <v>10</v>
      </c>
      <c r="E7888" s="2" t="s">
        <v>16</v>
      </c>
      <c r="F7888" s="2">
        <v>1</v>
      </c>
      <c r="G7888" s="2" t="s">
        <v>17</v>
      </c>
    </row>
    <row r="7889" spans="1:7" x14ac:dyDescent="0.2">
      <c r="A7889" s="2" t="s">
        <v>9396</v>
      </c>
      <c r="B7889" s="2" t="s">
        <v>9411</v>
      </c>
      <c r="C7889" s="2" t="s">
        <v>9412</v>
      </c>
      <c r="D7889" s="2" t="s">
        <v>10</v>
      </c>
      <c r="E7889" s="2" t="s">
        <v>16</v>
      </c>
      <c r="F7889" s="2">
        <v>1</v>
      </c>
      <c r="G7889" s="2" t="s">
        <v>17</v>
      </c>
    </row>
    <row r="7890" spans="1:7" x14ac:dyDescent="0.2">
      <c r="A7890" s="2" t="s">
        <v>9396</v>
      </c>
      <c r="B7890" s="2" t="s">
        <v>9413</v>
      </c>
      <c r="C7890" s="2" t="s">
        <v>9414</v>
      </c>
      <c r="D7890" s="2" t="s">
        <v>10</v>
      </c>
      <c r="E7890" s="2" t="s">
        <v>16</v>
      </c>
      <c r="F7890" s="2">
        <v>1</v>
      </c>
      <c r="G7890" s="2" t="s">
        <v>17</v>
      </c>
    </row>
    <row r="7891" spans="1:7" x14ac:dyDescent="0.2">
      <c r="A7891" s="2" t="s">
        <v>9396</v>
      </c>
      <c r="B7891" s="2" t="s">
        <v>9415</v>
      </c>
      <c r="C7891" s="2" t="s">
        <v>9400</v>
      </c>
      <c r="D7891" s="2" t="s">
        <v>10</v>
      </c>
      <c r="E7891" s="2" t="s">
        <v>16</v>
      </c>
      <c r="F7891" s="2">
        <v>1</v>
      </c>
      <c r="G7891" s="2" t="s">
        <v>17</v>
      </c>
    </row>
    <row r="7892" spans="1:7" x14ac:dyDescent="0.2">
      <c r="A7892" s="2" t="s">
        <v>9396</v>
      </c>
      <c r="B7892" s="2" t="s">
        <v>9416</v>
      </c>
      <c r="C7892" s="2" t="s">
        <v>9417</v>
      </c>
      <c r="D7892" s="2" t="s">
        <v>10</v>
      </c>
      <c r="E7892" s="2" t="s">
        <v>16</v>
      </c>
      <c r="F7892" s="2">
        <v>1</v>
      </c>
      <c r="G7892" s="2" t="s">
        <v>17</v>
      </c>
    </row>
    <row r="7893" spans="1:7" x14ac:dyDescent="0.2">
      <c r="A7893" s="2" t="s">
        <v>9396</v>
      </c>
      <c r="B7893" s="2" t="s">
        <v>9418</v>
      </c>
      <c r="C7893" s="2" t="s">
        <v>9419</v>
      </c>
      <c r="D7893" s="2" t="s">
        <v>10</v>
      </c>
      <c r="E7893" s="2" t="s">
        <v>16</v>
      </c>
      <c r="F7893" s="2">
        <v>1</v>
      </c>
      <c r="G7893" s="2" t="s">
        <v>17</v>
      </c>
    </row>
    <row r="7894" spans="1:7" x14ac:dyDescent="0.2">
      <c r="A7894" s="2" t="s">
        <v>9396</v>
      </c>
      <c r="B7894" s="2" t="s">
        <v>9420</v>
      </c>
      <c r="C7894" s="2" t="s">
        <v>9404</v>
      </c>
      <c r="D7894" s="2" t="s">
        <v>10</v>
      </c>
      <c r="E7894" s="2" t="s">
        <v>16</v>
      </c>
      <c r="F7894" s="2">
        <v>1</v>
      </c>
      <c r="G7894" s="2" t="s">
        <v>17</v>
      </c>
    </row>
    <row r="7895" spans="1:7" x14ac:dyDescent="0.2">
      <c r="A7895" s="2" t="s">
        <v>9396</v>
      </c>
      <c r="B7895" s="2" t="s">
        <v>738</v>
      </c>
      <c r="C7895" s="2" t="s">
        <v>232</v>
      </c>
      <c r="D7895" s="2" t="s">
        <v>10</v>
      </c>
      <c r="E7895" s="2" t="s">
        <v>16</v>
      </c>
      <c r="F7895" s="2">
        <v>1</v>
      </c>
      <c r="G7895" s="2" t="s">
        <v>17</v>
      </c>
    </row>
    <row r="7896" spans="1:7" x14ac:dyDescent="0.2">
      <c r="A7896" s="2" t="s">
        <v>9396</v>
      </c>
      <c r="B7896" s="2" t="s">
        <v>9421</v>
      </c>
      <c r="C7896" s="2" t="s">
        <v>9422</v>
      </c>
      <c r="D7896" s="2" t="s">
        <v>10</v>
      </c>
      <c r="E7896" s="2" t="s">
        <v>16</v>
      </c>
      <c r="F7896" s="2">
        <v>1</v>
      </c>
      <c r="G7896" s="2" t="s">
        <v>17</v>
      </c>
    </row>
    <row r="7897" spans="1:7" x14ac:dyDescent="0.2">
      <c r="A7897" s="2" t="s">
        <v>9396</v>
      </c>
      <c r="B7897" s="2" t="s">
        <v>9423</v>
      </c>
      <c r="C7897" s="2" t="s">
        <v>9398</v>
      </c>
      <c r="D7897" s="2" t="s">
        <v>10</v>
      </c>
      <c r="E7897" s="2" t="s">
        <v>16</v>
      </c>
      <c r="F7897" s="2">
        <v>1</v>
      </c>
      <c r="G7897" s="2" t="s">
        <v>17</v>
      </c>
    </row>
    <row r="7898" spans="1:7" x14ac:dyDescent="0.2">
      <c r="A7898" s="2" t="s">
        <v>9396</v>
      </c>
      <c r="B7898" s="2" t="s">
        <v>9424</v>
      </c>
      <c r="C7898" s="2" t="s">
        <v>9422</v>
      </c>
      <c r="D7898" s="2" t="s">
        <v>10</v>
      </c>
      <c r="E7898" s="2" t="s">
        <v>16</v>
      </c>
      <c r="F7898" s="2">
        <v>1</v>
      </c>
      <c r="G7898" s="2" t="s">
        <v>17</v>
      </c>
    </row>
    <row r="7899" spans="1:7" x14ac:dyDescent="0.2">
      <c r="A7899" s="2" t="s">
        <v>9425</v>
      </c>
      <c r="B7899" s="2" t="s">
        <v>9426</v>
      </c>
      <c r="C7899" s="2" t="s">
        <v>9427</v>
      </c>
      <c r="D7899" s="2" t="s">
        <v>10</v>
      </c>
      <c r="E7899" s="2" t="s">
        <v>16</v>
      </c>
      <c r="F7899" s="2">
        <v>1</v>
      </c>
      <c r="G7899" s="2" t="s">
        <v>17</v>
      </c>
    </row>
    <row r="7900" spans="1:7" x14ac:dyDescent="0.2">
      <c r="A7900" s="2" t="s">
        <v>9425</v>
      </c>
      <c r="B7900" s="2" t="s">
        <v>9428</v>
      </c>
      <c r="C7900" s="2" t="s">
        <v>9427</v>
      </c>
      <c r="D7900" s="2" t="s">
        <v>10</v>
      </c>
      <c r="E7900" s="2" t="s">
        <v>16</v>
      </c>
      <c r="F7900" s="2">
        <v>1</v>
      </c>
      <c r="G7900" s="2" t="s">
        <v>17</v>
      </c>
    </row>
    <row r="7901" spans="1:7" x14ac:dyDescent="0.2">
      <c r="A7901" s="2" t="s">
        <v>9429</v>
      </c>
      <c r="B7901" s="2" t="s">
        <v>9430</v>
      </c>
      <c r="C7901" s="2" t="s">
        <v>9431</v>
      </c>
      <c r="D7901" s="2" t="s">
        <v>10</v>
      </c>
      <c r="E7901" s="2" t="s">
        <v>16</v>
      </c>
      <c r="F7901" s="2">
        <v>1</v>
      </c>
      <c r="G7901" s="2" t="s">
        <v>17</v>
      </c>
    </row>
    <row r="7902" spans="1:7" x14ac:dyDescent="0.2">
      <c r="A7902" s="2" t="s">
        <v>9432</v>
      </c>
      <c r="B7902" s="2" t="s">
        <v>9433</v>
      </c>
      <c r="C7902" s="2" t="s">
        <v>9434</v>
      </c>
      <c r="D7902" s="2" t="s">
        <v>10</v>
      </c>
      <c r="E7902" s="2" t="s">
        <v>16</v>
      </c>
      <c r="F7902" s="2">
        <v>1</v>
      </c>
      <c r="G7902" s="2" t="s">
        <v>17</v>
      </c>
    </row>
    <row r="7903" spans="1:7" x14ac:dyDescent="0.2">
      <c r="A7903" s="2" t="s">
        <v>9435</v>
      </c>
      <c r="B7903" s="2" t="s">
        <v>9436</v>
      </c>
      <c r="C7903" s="2" t="s">
        <v>9437</v>
      </c>
      <c r="D7903" s="2" t="s">
        <v>10</v>
      </c>
      <c r="E7903" s="2" t="s">
        <v>16</v>
      </c>
      <c r="F7903" s="2">
        <v>1</v>
      </c>
      <c r="G7903" s="2" t="s">
        <v>17</v>
      </c>
    </row>
    <row r="7904" spans="1:7" x14ac:dyDescent="0.2">
      <c r="A7904" s="2" t="s">
        <v>9438</v>
      </c>
      <c r="B7904" s="2" t="s">
        <v>9439</v>
      </c>
      <c r="C7904" s="2" t="s">
        <v>9440</v>
      </c>
      <c r="D7904" s="2" t="s">
        <v>10</v>
      </c>
      <c r="E7904" s="2" t="s">
        <v>52</v>
      </c>
      <c r="F7904" s="2">
        <v>1</v>
      </c>
      <c r="G7904" s="2" t="s">
        <v>17</v>
      </c>
    </row>
    <row r="7905" spans="1:7" x14ac:dyDescent="0.2">
      <c r="A7905" s="2" t="s">
        <v>9438</v>
      </c>
      <c r="B7905" s="2" t="s">
        <v>9441</v>
      </c>
      <c r="C7905" s="2" t="s">
        <v>9442</v>
      </c>
      <c r="D7905" s="2" t="s">
        <v>10</v>
      </c>
      <c r="E7905" s="2" t="s">
        <v>16</v>
      </c>
      <c r="F7905" s="2">
        <v>1</v>
      </c>
      <c r="G7905" s="2" t="s">
        <v>17</v>
      </c>
    </row>
    <row r="7906" spans="1:7" x14ac:dyDescent="0.2">
      <c r="A7906" s="2" t="s">
        <v>9443</v>
      </c>
      <c r="B7906" s="2" t="s">
        <v>9444</v>
      </c>
      <c r="C7906" s="2" t="s">
        <v>9445</v>
      </c>
      <c r="D7906" s="2" t="s">
        <v>10</v>
      </c>
      <c r="E7906" s="2" t="s">
        <v>16</v>
      </c>
      <c r="F7906" s="2">
        <v>1</v>
      </c>
      <c r="G7906" s="2" t="s">
        <v>17</v>
      </c>
    </row>
    <row r="7907" spans="1:7" x14ac:dyDescent="0.2">
      <c r="A7907" s="2" t="s">
        <v>9443</v>
      </c>
      <c r="B7907" s="2" t="s">
        <v>548</v>
      </c>
      <c r="C7907" s="2" t="s">
        <v>9446</v>
      </c>
      <c r="D7907" s="2" t="s">
        <v>10</v>
      </c>
      <c r="E7907" s="2" t="s">
        <v>16</v>
      </c>
      <c r="F7907" s="2">
        <v>1</v>
      </c>
      <c r="G7907" s="2" t="s">
        <v>17</v>
      </c>
    </row>
    <row r="7908" spans="1:7" x14ac:dyDescent="0.2">
      <c r="A7908" s="2" t="s">
        <v>9447</v>
      </c>
      <c r="B7908" s="2" t="s">
        <v>5877</v>
      </c>
      <c r="C7908" s="2" t="s">
        <v>5291</v>
      </c>
      <c r="D7908" s="2" t="s">
        <v>10</v>
      </c>
      <c r="E7908" s="2" t="s">
        <v>16</v>
      </c>
      <c r="F7908" s="2">
        <v>1</v>
      </c>
      <c r="G7908" s="2" t="s">
        <v>17</v>
      </c>
    </row>
    <row r="7909" spans="1:7" x14ac:dyDescent="0.2">
      <c r="A7909" s="2" t="s">
        <v>9447</v>
      </c>
      <c r="B7909" s="2" t="s">
        <v>5889</v>
      </c>
      <c r="C7909" s="2" t="s">
        <v>5291</v>
      </c>
      <c r="D7909" s="2" t="s">
        <v>10</v>
      </c>
      <c r="E7909" s="2" t="s">
        <v>16</v>
      </c>
      <c r="F7909" s="2">
        <v>1</v>
      </c>
      <c r="G7909" s="2" t="s">
        <v>17</v>
      </c>
    </row>
    <row r="7910" spans="1:7" x14ac:dyDescent="0.2">
      <c r="A7910" s="2" t="s">
        <v>9448</v>
      </c>
      <c r="B7910" s="2" t="s">
        <v>9449</v>
      </c>
      <c r="C7910" s="2" t="s">
        <v>2133</v>
      </c>
      <c r="D7910" s="2" t="s">
        <v>10</v>
      </c>
      <c r="E7910" s="2" t="s">
        <v>52</v>
      </c>
      <c r="F7910" s="2">
        <v>2</v>
      </c>
      <c r="G7910" s="2" t="s">
        <v>12</v>
      </c>
    </row>
    <row r="7911" spans="1:7" x14ac:dyDescent="0.2">
      <c r="A7911" s="2" t="s">
        <v>9448</v>
      </c>
      <c r="B7911" s="2" t="s">
        <v>9450</v>
      </c>
      <c r="C7911" s="2" t="s">
        <v>2133</v>
      </c>
      <c r="D7911" s="2" t="s">
        <v>10</v>
      </c>
      <c r="E7911" s="2" t="s">
        <v>52</v>
      </c>
      <c r="F7911" s="2">
        <v>2</v>
      </c>
      <c r="G7911" s="2" t="s">
        <v>12</v>
      </c>
    </row>
    <row r="7912" spans="1:7" x14ac:dyDescent="0.2">
      <c r="A7912" s="2" t="s">
        <v>9448</v>
      </c>
      <c r="B7912" s="2" t="s">
        <v>9451</v>
      </c>
      <c r="C7912" s="2" t="s">
        <v>2133</v>
      </c>
      <c r="D7912" s="2" t="s">
        <v>10</v>
      </c>
      <c r="E7912" s="2" t="s">
        <v>52</v>
      </c>
      <c r="F7912" s="2">
        <v>2</v>
      </c>
      <c r="G7912" s="2" t="s">
        <v>12</v>
      </c>
    </row>
    <row r="7913" spans="1:7" x14ac:dyDescent="0.2">
      <c r="A7913" s="2" t="s">
        <v>9452</v>
      </c>
      <c r="B7913" s="2" t="s">
        <v>9453</v>
      </c>
      <c r="C7913" s="2" t="s">
        <v>9454</v>
      </c>
      <c r="D7913" s="2" t="s">
        <v>10</v>
      </c>
      <c r="E7913" s="2" t="s">
        <v>52</v>
      </c>
      <c r="F7913" s="2">
        <v>2</v>
      </c>
      <c r="G7913" s="2" t="s">
        <v>17</v>
      </c>
    </row>
    <row r="7914" spans="1:7" x14ac:dyDescent="0.2">
      <c r="A7914" s="2" t="s">
        <v>9455</v>
      </c>
      <c r="B7914" s="2" t="s">
        <v>9456</v>
      </c>
      <c r="C7914" s="2" t="s">
        <v>9457</v>
      </c>
      <c r="D7914" s="2" t="s">
        <v>29</v>
      </c>
      <c r="E7914" s="2" t="s">
        <v>16</v>
      </c>
      <c r="F7914" s="2">
        <v>1</v>
      </c>
      <c r="G7914" s="2" t="s">
        <v>17</v>
      </c>
    </row>
    <row r="7915" spans="1:7" x14ac:dyDescent="0.2">
      <c r="A7915" s="2" t="s">
        <v>9458</v>
      </c>
      <c r="B7915" s="2" t="s">
        <v>5885</v>
      </c>
      <c r="C7915" s="2" t="s">
        <v>5886</v>
      </c>
      <c r="D7915" s="2" t="s">
        <v>10</v>
      </c>
      <c r="E7915" s="2" t="s">
        <v>11</v>
      </c>
      <c r="F7915" s="2">
        <v>1</v>
      </c>
      <c r="G7915" s="2" t="s">
        <v>17</v>
      </c>
    </row>
    <row r="7916" spans="1:7" x14ac:dyDescent="0.2">
      <c r="A7916" s="2" t="s">
        <v>9458</v>
      </c>
      <c r="B7916" s="2" t="s">
        <v>5887</v>
      </c>
      <c r="C7916" s="2" t="s">
        <v>5886</v>
      </c>
      <c r="D7916" s="2" t="s">
        <v>10</v>
      </c>
      <c r="E7916" s="2" t="s">
        <v>11</v>
      </c>
      <c r="F7916" s="2">
        <v>1</v>
      </c>
      <c r="G7916" s="2" t="s">
        <v>17</v>
      </c>
    </row>
    <row r="7917" spans="1:7" x14ac:dyDescent="0.2">
      <c r="A7917" s="2" t="s">
        <v>9459</v>
      </c>
      <c r="B7917" s="2" t="s">
        <v>9460</v>
      </c>
      <c r="C7917" s="2" t="s">
        <v>9461</v>
      </c>
      <c r="D7917" s="2" t="s">
        <v>10</v>
      </c>
      <c r="E7917" s="2" t="s">
        <v>16</v>
      </c>
      <c r="F7917" s="2">
        <v>1</v>
      </c>
      <c r="G7917" s="2" t="s">
        <v>17</v>
      </c>
    </row>
    <row r="7918" spans="1:7" x14ac:dyDescent="0.2">
      <c r="A7918" s="2" t="s">
        <v>9459</v>
      </c>
      <c r="B7918" s="2" t="s">
        <v>9462</v>
      </c>
      <c r="C7918" s="2" t="s">
        <v>9461</v>
      </c>
      <c r="D7918" s="2" t="s">
        <v>10</v>
      </c>
      <c r="E7918" s="2" t="s">
        <v>16</v>
      </c>
      <c r="F7918" s="2">
        <v>1</v>
      </c>
      <c r="G7918" s="2" t="s">
        <v>17</v>
      </c>
    </row>
    <row r="7919" spans="1:7" x14ac:dyDescent="0.2">
      <c r="A7919" s="2" t="s">
        <v>9459</v>
      </c>
      <c r="B7919" s="2" t="s">
        <v>9463</v>
      </c>
      <c r="C7919" s="2" t="s">
        <v>9461</v>
      </c>
      <c r="D7919" s="2" t="s">
        <v>10</v>
      </c>
      <c r="E7919" s="2" t="s">
        <v>16</v>
      </c>
      <c r="F7919" s="2">
        <v>1</v>
      </c>
      <c r="G7919" s="2" t="s">
        <v>17</v>
      </c>
    </row>
    <row r="7920" spans="1:7" x14ac:dyDescent="0.2">
      <c r="A7920" s="2" t="s">
        <v>9459</v>
      </c>
      <c r="B7920" s="2" t="s">
        <v>9464</v>
      </c>
      <c r="C7920" s="2" t="s">
        <v>9461</v>
      </c>
      <c r="D7920" s="2" t="s">
        <v>10</v>
      </c>
      <c r="E7920" s="2" t="s">
        <v>16</v>
      </c>
      <c r="F7920" s="2">
        <v>1</v>
      </c>
      <c r="G7920" s="2" t="s">
        <v>17</v>
      </c>
    </row>
    <row r="7921" spans="1:7" x14ac:dyDescent="0.2">
      <c r="A7921" s="2" t="s">
        <v>9465</v>
      </c>
      <c r="B7921" s="2" t="s">
        <v>6562</v>
      </c>
      <c r="C7921" s="2" t="s">
        <v>8436</v>
      </c>
      <c r="D7921" s="2" t="s">
        <v>10</v>
      </c>
      <c r="E7921" s="2" t="s">
        <v>16</v>
      </c>
      <c r="F7921" s="2">
        <v>1</v>
      </c>
      <c r="G7921" s="2" t="s">
        <v>17</v>
      </c>
    </row>
    <row r="7922" spans="1:7" x14ac:dyDescent="0.2">
      <c r="A7922" s="2" t="s">
        <v>9465</v>
      </c>
      <c r="B7922" s="2" t="s">
        <v>6151</v>
      </c>
      <c r="C7922" s="2" t="s">
        <v>8436</v>
      </c>
      <c r="D7922" s="2" t="s">
        <v>10</v>
      </c>
      <c r="E7922" s="2" t="s">
        <v>16</v>
      </c>
      <c r="F7922" s="2">
        <v>1</v>
      </c>
      <c r="G7922" s="2" t="s">
        <v>17</v>
      </c>
    </row>
    <row r="7923" spans="1:7" x14ac:dyDescent="0.2">
      <c r="A7923" s="2" t="s">
        <v>9466</v>
      </c>
      <c r="B7923" s="2" t="s">
        <v>279</v>
      </c>
      <c r="C7923" s="2" t="s">
        <v>280</v>
      </c>
      <c r="D7923" s="2" t="s">
        <v>10</v>
      </c>
      <c r="E7923" s="2" t="s">
        <v>16</v>
      </c>
      <c r="F7923" s="2">
        <v>1</v>
      </c>
      <c r="G7923" s="2" t="s">
        <v>17</v>
      </c>
    </row>
    <row r="7924" spans="1:7" x14ac:dyDescent="0.2">
      <c r="A7924" s="2" t="s">
        <v>9466</v>
      </c>
      <c r="B7924" s="2" t="s">
        <v>9467</v>
      </c>
      <c r="C7924" s="2" t="s">
        <v>9468</v>
      </c>
      <c r="D7924" s="2" t="s">
        <v>10</v>
      </c>
      <c r="E7924" s="2" t="s">
        <v>16</v>
      </c>
      <c r="F7924" s="2">
        <v>1</v>
      </c>
      <c r="G7924" s="2" t="s">
        <v>17</v>
      </c>
    </row>
    <row r="7925" spans="1:7" x14ac:dyDescent="0.2">
      <c r="A7925" s="2" t="s">
        <v>9466</v>
      </c>
      <c r="B7925" s="2" t="s">
        <v>542</v>
      </c>
      <c r="C7925" s="2" t="s">
        <v>9469</v>
      </c>
      <c r="D7925" s="2" t="s">
        <v>10</v>
      </c>
      <c r="E7925" s="2" t="s">
        <v>16</v>
      </c>
      <c r="F7925" s="2">
        <v>1</v>
      </c>
      <c r="G7925" s="2" t="s">
        <v>17</v>
      </c>
    </row>
    <row r="7926" spans="1:7" x14ac:dyDescent="0.2">
      <c r="A7926" s="2" t="s">
        <v>9466</v>
      </c>
      <c r="B7926" s="2" t="s">
        <v>9470</v>
      </c>
      <c r="C7926" s="2" t="s">
        <v>280</v>
      </c>
      <c r="D7926" s="2" t="s">
        <v>10</v>
      </c>
      <c r="E7926" s="2" t="s">
        <v>16</v>
      </c>
      <c r="F7926" s="2">
        <v>1</v>
      </c>
      <c r="G7926" s="2" t="s">
        <v>17</v>
      </c>
    </row>
    <row r="7927" spans="1:7" x14ac:dyDescent="0.2">
      <c r="A7927" s="2" t="s">
        <v>9466</v>
      </c>
      <c r="B7927" s="2" t="s">
        <v>9471</v>
      </c>
      <c r="C7927" s="2" t="s">
        <v>9472</v>
      </c>
      <c r="D7927" s="2" t="s">
        <v>10</v>
      </c>
      <c r="E7927" s="2" t="s">
        <v>16</v>
      </c>
      <c r="F7927" s="2">
        <v>1</v>
      </c>
      <c r="G7927" s="2" t="s">
        <v>17</v>
      </c>
    </row>
    <row r="7928" spans="1:7" x14ac:dyDescent="0.2">
      <c r="A7928" s="2" t="s">
        <v>9473</v>
      </c>
      <c r="B7928" s="2" t="s">
        <v>9474</v>
      </c>
      <c r="C7928" s="2" t="s">
        <v>9475</v>
      </c>
      <c r="D7928" s="2" t="s">
        <v>10</v>
      </c>
      <c r="E7928" s="2" t="s">
        <v>16</v>
      </c>
      <c r="F7928" s="2">
        <v>1</v>
      </c>
      <c r="G7928" s="2" t="s">
        <v>17</v>
      </c>
    </row>
    <row r="7929" spans="1:7" x14ac:dyDescent="0.2">
      <c r="A7929" s="2" t="s">
        <v>9476</v>
      </c>
      <c r="B7929" s="2" t="s">
        <v>9477</v>
      </c>
      <c r="C7929" s="2" t="s">
        <v>9478</v>
      </c>
      <c r="D7929" s="2" t="s">
        <v>10</v>
      </c>
      <c r="E7929" s="2" t="s">
        <v>16</v>
      </c>
      <c r="F7929" s="2">
        <v>1</v>
      </c>
      <c r="G7929" s="2" t="s">
        <v>17</v>
      </c>
    </row>
    <row r="7930" spans="1:7" x14ac:dyDescent="0.2">
      <c r="A7930" s="2" t="s">
        <v>9476</v>
      </c>
      <c r="B7930" s="2" t="s">
        <v>9479</v>
      </c>
      <c r="C7930" s="2" t="s">
        <v>898</v>
      </c>
      <c r="D7930" s="2" t="s">
        <v>10</v>
      </c>
      <c r="E7930" s="2" t="s">
        <v>16</v>
      </c>
      <c r="F7930" s="2">
        <v>1</v>
      </c>
      <c r="G7930" s="2" t="s">
        <v>17</v>
      </c>
    </row>
    <row r="7931" spans="1:7" x14ac:dyDescent="0.2">
      <c r="A7931" s="2" t="s">
        <v>9476</v>
      </c>
      <c r="B7931" s="2" t="s">
        <v>1626</v>
      </c>
      <c r="C7931" s="2" t="s">
        <v>1627</v>
      </c>
      <c r="D7931" s="2" t="s">
        <v>10</v>
      </c>
      <c r="E7931" s="2" t="s">
        <v>52</v>
      </c>
      <c r="F7931" s="2">
        <v>2</v>
      </c>
      <c r="G7931" s="2" t="s">
        <v>17</v>
      </c>
    </row>
    <row r="7932" spans="1:7" x14ac:dyDescent="0.2">
      <c r="A7932" s="2" t="s">
        <v>9476</v>
      </c>
      <c r="B7932" s="2" t="s">
        <v>9480</v>
      </c>
      <c r="C7932" s="2" t="s">
        <v>1627</v>
      </c>
      <c r="D7932" s="2" t="s">
        <v>10</v>
      </c>
      <c r="E7932" s="2" t="s">
        <v>52</v>
      </c>
      <c r="F7932" s="2">
        <v>2</v>
      </c>
      <c r="G7932" s="2" t="s">
        <v>17</v>
      </c>
    </row>
    <row r="7933" spans="1:7" x14ac:dyDescent="0.2">
      <c r="A7933" s="2" t="s">
        <v>9476</v>
      </c>
      <c r="B7933" s="2" t="s">
        <v>9481</v>
      </c>
      <c r="C7933" s="2" t="s">
        <v>898</v>
      </c>
      <c r="D7933" s="2" t="s">
        <v>10</v>
      </c>
      <c r="E7933" s="2" t="s">
        <v>16</v>
      </c>
      <c r="F7933" s="2">
        <v>1</v>
      </c>
      <c r="G7933" s="2" t="s">
        <v>17</v>
      </c>
    </row>
    <row r="7934" spans="1:7" x14ac:dyDescent="0.2">
      <c r="A7934" s="2" t="s">
        <v>9476</v>
      </c>
      <c r="B7934" s="2" t="s">
        <v>9482</v>
      </c>
      <c r="C7934" s="2" t="s">
        <v>9483</v>
      </c>
      <c r="D7934" s="2" t="s">
        <v>10</v>
      </c>
      <c r="E7934" s="2" t="s">
        <v>11</v>
      </c>
      <c r="F7934" s="2">
        <v>1</v>
      </c>
      <c r="G7934" s="2" t="s">
        <v>17</v>
      </c>
    </row>
    <row r="7935" spans="1:7" x14ac:dyDescent="0.2">
      <c r="A7935" s="2" t="s">
        <v>9476</v>
      </c>
      <c r="B7935" s="2" t="s">
        <v>9484</v>
      </c>
      <c r="C7935" s="2" t="s">
        <v>9485</v>
      </c>
      <c r="D7935" s="2" t="s">
        <v>10</v>
      </c>
      <c r="E7935" s="2" t="s">
        <v>16</v>
      </c>
      <c r="F7935" s="2">
        <v>1</v>
      </c>
      <c r="G7935" s="2" t="s">
        <v>17</v>
      </c>
    </row>
    <row r="7936" spans="1:7" x14ac:dyDescent="0.2">
      <c r="A7936" s="2" t="s">
        <v>9476</v>
      </c>
      <c r="B7936" s="2" t="s">
        <v>4263</v>
      </c>
      <c r="C7936" s="2" t="s">
        <v>4264</v>
      </c>
      <c r="D7936" s="2" t="s">
        <v>10</v>
      </c>
      <c r="E7936" s="2" t="s">
        <v>16</v>
      </c>
      <c r="F7936" s="2">
        <v>1</v>
      </c>
      <c r="G7936" s="2" t="s">
        <v>17</v>
      </c>
    </row>
    <row r="7937" spans="1:7" x14ac:dyDescent="0.2">
      <c r="A7937" s="2" t="s">
        <v>9476</v>
      </c>
      <c r="B7937" s="2" t="s">
        <v>9486</v>
      </c>
      <c r="C7937" s="2" t="s">
        <v>1009</v>
      </c>
      <c r="D7937" s="2" t="s">
        <v>10</v>
      </c>
      <c r="E7937" s="2" t="s">
        <v>16</v>
      </c>
      <c r="F7937" s="2">
        <v>1</v>
      </c>
      <c r="G7937" s="2" t="s">
        <v>17</v>
      </c>
    </row>
    <row r="7938" spans="1:7" x14ac:dyDescent="0.2">
      <c r="A7938" s="2" t="s">
        <v>9476</v>
      </c>
      <c r="B7938" s="2" t="s">
        <v>9487</v>
      </c>
      <c r="C7938" s="2" t="s">
        <v>9488</v>
      </c>
      <c r="D7938" s="2" t="s">
        <v>10</v>
      </c>
      <c r="E7938" s="2" t="s">
        <v>16</v>
      </c>
      <c r="F7938" s="2">
        <v>1</v>
      </c>
      <c r="G7938" s="2" t="s">
        <v>17</v>
      </c>
    </row>
    <row r="7939" spans="1:7" x14ac:dyDescent="0.2">
      <c r="A7939" s="2" t="s">
        <v>9476</v>
      </c>
      <c r="B7939" s="2" t="s">
        <v>9489</v>
      </c>
      <c r="C7939" s="2" t="s">
        <v>9490</v>
      </c>
      <c r="D7939" s="2" t="s">
        <v>10</v>
      </c>
      <c r="E7939" s="2" t="s">
        <v>16</v>
      </c>
      <c r="F7939" s="2">
        <v>1</v>
      </c>
      <c r="G7939" s="2" t="s">
        <v>17</v>
      </c>
    </row>
    <row r="7940" spans="1:7" x14ac:dyDescent="0.2">
      <c r="A7940" s="2" t="s">
        <v>9476</v>
      </c>
      <c r="B7940" s="2" t="s">
        <v>8196</v>
      </c>
      <c r="C7940" s="2" t="s">
        <v>960</v>
      </c>
      <c r="D7940" s="2" t="s">
        <v>10</v>
      </c>
      <c r="E7940" s="2" t="s">
        <v>16</v>
      </c>
      <c r="F7940" s="2">
        <v>2</v>
      </c>
      <c r="G7940" s="2" t="s">
        <v>17</v>
      </c>
    </row>
    <row r="7941" spans="1:7" x14ac:dyDescent="0.2">
      <c r="A7941" s="2" t="s">
        <v>9476</v>
      </c>
      <c r="B7941" s="2" t="s">
        <v>6898</v>
      </c>
      <c r="C7941" s="2" t="s">
        <v>6899</v>
      </c>
      <c r="D7941" s="2" t="s">
        <v>10</v>
      </c>
      <c r="E7941" s="2" t="s">
        <v>11</v>
      </c>
      <c r="F7941" s="2">
        <v>1</v>
      </c>
      <c r="G7941" s="2" t="s">
        <v>12</v>
      </c>
    </row>
    <row r="7942" spans="1:7" x14ac:dyDescent="0.2">
      <c r="A7942" s="2" t="s">
        <v>9476</v>
      </c>
      <c r="B7942" s="2" t="s">
        <v>6902</v>
      </c>
      <c r="C7942" s="2" t="s">
        <v>6899</v>
      </c>
      <c r="D7942" s="2" t="s">
        <v>10</v>
      </c>
      <c r="E7942" s="2" t="s">
        <v>11</v>
      </c>
      <c r="F7942" s="2">
        <v>1</v>
      </c>
      <c r="G7942" s="2" t="s">
        <v>12</v>
      </c>
    </row>
    <row r="7943" spans="1:7" x14ac:dyDescent="0.2">
      <c r="A7943" s="2" t="s">
        <v>9476</v>
      </c>
      <c r="B7943" s="2" t="s">
        <v>9491</v>
      </c>
      <c r="C7943" s="2" t="s">
        <v>9478</v>
      </c>
      <c r="D7943" s="2" t="s">
        <v>10</v>
      </c>
      <c r="E7943" s="2" t="s">
        <v>16</v>
      </c>
      <c r="F7943" s="2">
        <v>1</v>
      </c>
      <c r="G7943" s="2" t="s">
        <v>17</v>
      </c>
    </row>
    <row r="7944" spans="1:7" x14ac:dyDescent="0.2">
      <c r="A7944" s="2" t="s">
        <v>9476</v>
      </c>
      <c r="B7944" s="2" t="s">
        <v>9492</v>
      </c>
      <c r="C7944" s="2" t="s">
        <v>9493</v>
      </c>
      <c r="D7944" s="2" t="s">
        <v>10</v>
      </c>
      <c r="E7944" s="2" t="s">
        <v>11</v>
      </c>
      <c r="F7944" s="2">
        <v>1</v>
      </c>
      <c r="G7944" s="2" t="s">
        <v>17</v>
      </c>
    </row>
    <row r="7945" spans="1:7" x14ac:dyDescent="0.2">
      <c r="A7945" s="2" t="s">
        <v>9476</v>
      </c>
      <c r="B7945" s="2" t="s">
        <v>9494</v>
      </c>
      <c r="C7945" s="2" t="s">
        <v>209</v>
      </c>
      <c r="D7945" s="2" t="s">
        <v>10</v>
      </c>
      <c r="E7945" s="2" t="s">
        <v>11</v>
      </c>
      <c r="F7945" s="2">
        <v>1</v>
      </c>
      <c r="G7945" s="2" t="s">
        <v>17</v>
      </c>
    </row>
    <row r="7946" spans="1:7" x14ac:dyDescent="0.2">
      <c r="A7946" s="2" t="s">
        <v>9476</v>
      </c>
      <c r="B7946" s="2" t="s">
        <v>9495</v>
      </c>
      <c r="C7946" s="2" t="s">
        <v>209</v>
      </c>
      <c r="D7946" s="2" t="s">
        <v>10</v>
      </c>
      <c r="E7946" s="2" t="s">
        <v>11</v>
      </c>
      <c r="F7946" s="2">
        <v>1</v>
      </c>
      <c r="G7946" s="2" t="s">
        <v>17</v>
      </c>
    </row>
    <row r="7947" spans="1:7" x14ac:dyDescent="0.2">
      <c r="A7947" s="2" t="s">
        <v>9476</v>
      </c>
      <c r="B7947" s="2" t="s">
        <v>9496</v>
      </c>
      <c r="C7947" s="2" t="s">
        <v>3914</v>
      </c>
      <c r="D7947" s="2" t="s">
        <v>10</v>
      </c>
      <c r="E7947" s="2" t="s">
        <v>11</v>
      </c>
      <c r="F7947" s="2">
        <v>1</v>
      </c>
      <c r="G7947" s="2" t="s">
        <v>17</v>
      </c>
    </row>
    <row r="7948" spans="1:7" x14ac:dyDescent="0.2">
      <c r="A7948" s="2" t="s">
        <v>9476</v>
      </c>
      <c r="B7948" s="2" t="s">
        <v>9497</v>
      </c>
      <c r="C7948" s="2" t="s">
        <v>3914</v>
      </c>
      <c r="D7948" s="2" t="s">
        <v>10</v>
      </c>
      <c r="E7948" s="2" t="s">
        <v>11</v>
      </c>
      <c r="F7948" s="2">
        <v>1</v>
      </c>
      <c r="G7948" s="2" t="s">
        <v>17</v>
      </c>
    </row>
    <row r="7949" spans="1:7" x14ac:dyDescent="0.2">
      <c r="A7949" s="2" t="s">
        <v>9476</v>
      </c>
      <c r="B7949" s="2" t="s">
        <v>9498</v>
      </c>
      <c r="C7949" s="2" t="s">
        <v>9483</v>
      </c>
      <c r="D7949" s="2" t="s">
        <v>10</v>
      </c>
      <c r="E7949" s="2" t="s">
        <v>11</v>
      </c>
      <c r="F7949" s="2">
        <v>1</v>
      </c>
      <c r="G7949" s="2" t="s">
        <v>17</v>
      </c>
    </row>
    <row r="7950" spans="1:7" x14ac:dyDescent="0.2">
      <c r="A7950" s="2" t="s">
        <v>9476</v>
      </c>
      <c r="B7950" s="2" t="s">
        <v>9499</v>
      </c>
      <c r="C7950" s="2" t="s">
        <v>1009</v>
      </c>
      <c r="D7950" s="2" t="s">
        <v>10</v>
      </c>
      <c r="E7950" s="2" t="s">
        <v>16</v>
      </c>
      <c r="F7950" s="2">
        <v>1</v>
      </c>
      <c r="G7950" s="2" t="s">
        <v>17</v>
      </c>
    </row>
    <row r="7951" spans="1:7" x14ac:dyDescent="0.2">
      <c r="A7951" s="2" t="s">
        <v>9476</v>
      </c>
      <c r="B7951" s="2" t="s">
        <v>9500</v>
      </c>
      <c r="C7951" s="2" t="s">
        <v>8106</v>
      </c>
      <c r="D7951" s="2" t="s">
        <v>10</v>
      </c>
      <c r="E7951" s="2" t="s">
        <v>52</v>
      </c>
      <c r="F7951" s="2">
        <v>1</v>
      </c>
      <c r="G7951" s="2" t="s">
        <v>17</v>
      </c>
    </row>
    <row r="7952" spans="1:7" x14ac:dyDescent="0.2">
      <c r="A7952" s="2" t="s">
        <v>9476</v>
      </c>
      <c r="B7952" s="2" t="s">
        <v>9501</v>
      </c>
      <c r="C7952" s="2" t="s">
        <v>960</v>
      </c>
      <c r="D7952" s="2" t="s">
        <v>10</v>
      </c>
      <c r="E7952" s="2" t="s">
        <v>16</v>
      </c>
      <c r="F7952" s="2">
        <v>2</v>
      </c>
      <c r="G7952" s="2" t="s">
        <v>17</v>
      </c>
    </row>
    <row r="7953" spans="1:7" x14ac:dyDescent="0.2">
      <c r="A7953" s="2" t="s">
        <v>9476</v>
      </c>
      <c r="B7953" s="2" t="s">
        <v>9502</v>
      </c>
      <c r="C7953" s="2" t="s">
        <v>960</v>
      </c>
      <c r="D7953" s="2" t="s">
        <v>10</v>
      </c>
      <c r="E7953" s="2" t="s">
        <v>16</v>
      </c>
      <c r="F7953" s="2">
        <v>2</v>
      </c>
      <c r="G7953" s="2" t="s">
        <v>17</v>
      </c>
    </row>
    <row r="7954" spans="1:7" x14ac:dyDescent="0.2">
      <c r="A7954" s="2" t="s">
        <v>9476</v>
      </c>
      <c r="B7954" s="2" t="s">
        <v>9503</v>
      </c>
      <c r="C7954" s="2" t="s">
        <v>9488</v>
      </c>
      <c r="D7954" s="2" t="s">
        <v>10</v>
      </c>
      <c r="E7954" s="2" t="s">
        <v>16</v>
      </c>
      <c r="F7954" s="2">
        <v>1</v>
      </c>
      <c r="G7954" s="2" t="s">
        <v>17</v>
      </c>
    </row>
    <row r="7955" spans="1:7" x14ac:dyDescent="0.2">
      <c r="A7955" s="2" t="s">
        <v>9476</v>
      </c>
      <c r="B7955" s="2" t="s">
        <v>9504</v>
      </c>
      <c r="C7955" s="2" t="s">
        <v>9490</v>
      </c>
      <c r="D7955" s="2" t="s">
        <v>10</v>
      </c>
      <c r="E7955" s="2" t="s">
        <v>16</v>
      </c>
      <c r="F7955" s="2">
        <v>1</v>
      </c>
      <c r="G7955" s="2" t="s">
        <v>17</v>
      </c>
    </row>
    <row r="7956" spans="1:7" x14ac:dyDescent="0.2">
      <c r="A7956" s="2" t="s">
        <v>9476</v>
      </c>
      <c r="B7956" s="2" t="s">
        <v>9505</v>
      </c>
      <c r="C7956" s="2" t="s">
        <v>9478</v>
      </c>
      <c r="D7956" s="2" t="s">
        <v>10</v>
      </c>
      <c r="E7956" s="2" t="s">
        <v>16</v>
      </c>
      <c r="F7956" s="2">
        <v>1</v>
      </c>
      <c r="G7956" s="2" t="s">
        <v>17</v>
      </c>
    </row>
    <row r="7957" spans="1:7" x14ac:dyDescent="0.2">
      <c r="A7957" s="2" t="s">
        <v>9476</v>
      </c>
      <c r="B7957" s="2" t="s">
        <v>9506</v>
      </c>
      <c r="C7957" s="2" t="s">
        <v>9478</v>
      </c>
      <c r="D7957" s="2" t="s">
        <v>10</v>
      </c>
      <c r="E7957" s="2" t="s">
        <v>16</v>
      </c>
      <c r="F7957" s="2">
        <v>1</v>
      </c>
      <c r="G7957" s="2" t="s">
        <v>17</v>
      </c>
    </row>
    <row r="7958" spans="1:7" x14ac:dyDescent="0.2">
      <c r="A7958" s="2" t="s">
        <v>9476</v>
      </c>
      <c r="B7958" s="2" t="s">
        <v>9507</v>
      </c>
      <c r="C7958" s="2" t="s">
        <v>1627</v>
      </c>
      <c r="D7958" s="2" t="s">
        <v>10</v>
      </c>
      <c r="E7958" s="2" t="s">
        <v>52</v>
      </c>
      <c r="F7958" s="2">
        <v>2</v>
      </c>
      <c r="G7958" s="2" t="s">
        <v>17</v>
      </c>
    </row>
    <row r="7959" spans="1:7" x14ac:dyDescent="0.2">
      <c r="A7959" s="2" t="s">
        <v>9476</v>
      </c>
      <c r="B7959" s="2" t="s">
        <v>9508</v>
      </c>
      <c r="C7959" s="2" t="s">
        <v>6899</v>
      </c>
      <c r="D7959" s="2" t="s">
        <v>10</v>
      </c>
      <c r="E7959" s="2" t="s">
        <v>11</v>
      </c>
      <c r="F7959" s="2">
        <v>1</v>
      </c>
      <c r="G7959" s="2" t="s">
        <v>12</v>
      </c>
    </row>
    <row r="7960" spans="1:7" x14ac:dyDescent="0.2">
      <c r="A7960" s="2" t="s">
        <v>9476</v>
      </c>
      <c r="B7960" s="2" t="s">
        <v>9509</v>
      </c>
      <c r="C7960" s="2" t="s">
        <v>6899</v>
      </c>
      <c r="D7960" s="2" t="s">
        <v>10</v>
      </c>
      <c r="E7960" s="2" t="s">
        <v>11</v>
      </c>
      <c r="F7960" s="2">
        <v>1</v>
      </c>
      <c r="G7960" s="2" t="s">
        <v>12</v>
      </c>
    </row>
    <row r="7961" spans="1:7" x14ac:dyDescent="0.2">
      <c r="A7961" s="2" t="s">
        <v>9476</v>
      </c>
      <c r="B7961" s="2" t="s">
        <v>9510</v>
      </c>
      <c r="C7961" s="2" t="s">
        <v>960</v>
      </c>
      <c r="D7961" s="2" t="s">
        <v>10</v>
      </c>
      <c r="E7961" s="2" t="s">
        <v>16</v>
      </c>
      <c r="F7961" s="2">
        <v>2</v>
      </c>
      <c r="G7961" s="2" t="s">
        <v>17</v>
      </c>
    </row>
    <row r="7962" spans="1:7" x14ac:dyDescent="0.2">
      <c r="A7962" s="2" t="s">
        <v>9476</v>
      </c>
      <c r="B7962" s="2" t="s">
        <v>9511</v>
      </c>
      <c r="C7962" s="2" t="s">
        <v>209</v>
      </c>
      <c r="D7962" s="2" t="s">
        <v>10</v>
      </c>
      <c r="E7962" s="2" t="s">
        <v>11</v>
      </c>
      <c r="F7962" s="2">
        <v>1</v>
      </c>
      <c r="G7962" s="2" t="s">
        <v>17</v>
      </c>
    </row>
    <row r="7963" spans="1:7" x14ac:dyDescent="0.2">
      <c r="A7963" s="2" t="s">
        <v>9476</v>
      </c>
      <c r="B7963" s="2" t="s">
        <v>9512</v>
      </c>
      <c r="C7963" s="2" t="s">
        <v>209</v>
      </c>
      <c r="D7963" s="2" t="s">
        <v>10</v>
      </c>
      <c r="E7963" s="2" t="s">
        <v>11</v>
      </c>
      <c r="F7963" s="2">
        <v>1</v>
      </c>
      <c r="G7963" s="2" t="s">
        <v>17</v>
      </c>
    </row>
    <row r="7964" spans="1:7" x14ac:dyDescent="0.2">
      <c r="A7964" s="2" t="s">
        <v>9476</v>
      </c>
      <c r="B7964" s="2" t="s">
        <v>9513</v>
      </c>
      <c r="C7964" s="2" t="s">
        <v>9485</v>
      </c>
      <c r="D7964" s="2" t="s">
        <v>10</v>
      </c>
      <c r="E7964" s="2" t="s">
        <v>16</v>
      </c>
      <c r="F7964" s="2">
        <v>1</v>
      </c>
      <c r="G7964" s="2" t="s">
        <v>17</v>
      </c>
    </row>
    <row r="7965" spans="1:7" x14ac:dyDescent="0.2">
      <c r="A7965" s="2" t="s">
        <v>9476</v>
      </c>
      <c r="B7965" s="2" t="s">
        <v>9514</v>
      </c>
      <c r="C7965" s="2" t="s">
        <v>9493</v>
      </c>
      <c r="D7965" s="2" t="s">
        <v>10</v>
      </c>
      <c r="E7965" s="2" t="s">
        <v>11</v>
      </c>
      <c r="F7965" s="2">
        <v>1</v>
      </c>
      <c r="G7965" s="2" t="s">
        <v>17</v>
      </c>
    </row>
    <row r="7966" spans="1:7" x14ac:dyDescent="0.2">
      <c r="A7966" s="2" t="s">
        <v>9476</v>
      </c>
      <c r="B7966" s="2" t="s">
        <v>8107</v>
      </c>
      <c r="C7966" s="2" t="s">
        <v>8106</v>
      </c>
      <c r="D7966" s="2" t="s">
        <v>10</v>
      </c>
      <c r="E7966" s="2" t="s">
        <v>52</v>
      </c>
      <c r="F7966" s="2">
        <v>1</v>
      </c>
      <c r="G7966" s="2" t="s">
        <v>17</v>
      </c>
    </row>
    <row r="7967" spans="1:7" x14ac:dyDescent="0.2">
      <c r="A7967" s="2" t="s">
        <v>9476</v>
      </c>
      <c r="B7967" s="2" t="s">
        <v>9515</v>
      </c>
      <c r="C7967" s="2" t="s">
        <v>9516</v>
      </c>
      <c r="D7967" s="2" t="s">
        <v>10</v>
      </c>
      <c r="E7967" s="2" t="s">
        <v>52</v>
      </c>
      <c r="F7967" s="2">
        <v>2</v>
      </c>
      <c r="G7967" s="2" t="s">
        <v>1058</v>
      </c>
    </row>
    <row r="7968" spans="1:7" x14ac:dyDescent="0.2">
      <c r="A7968" s="2" t="s">
        <v>9476</v>
      </c>
      <c r="B7968" s="2" t="s">
        <v>9517</v>
      </c>
      <c r="C7968" s="2" t="s">
        <v>9516</v>
      </c>
      <c r="D7968" s="2" t="s">
        <v>10</v>
      </c>
      <c r="E7968" s="2" t="s">
        <v>52</v>
      </c>
      <c r="F7968" s="2">
        <v>2</v>
      </c>
      <c r="G7968" s="2" t="s">
        <v>1058</v>
      </c>
    </row>
    <row r="7969" spans="1:7" x14ac:dyDescent="0.2">
      <c r="A7969" s="2" t="s">
        <v>9476</v>
      </c>
      <c r="B7969" s="2" t="s">
        <v>9518</v>
      </c>
      <c r="C7969" s="2" t="s">
        <v>1627</v>
      </c>
      <c r="D7969" s="2" t="s">
        <v>10</v>
      </c>
      <c r="E7969" s="2" t="s">
        <v>52</v>
      </c>
      <c r="F7969" s="2">
        <v>2</v>
      </c>
      <c r="G7969" s="2" t="s">
        <v>17</v>
      </c>
    </row>
    <row r="7970" spans="1:7" x14ac:dyDescent="0.2">
      <c r="A7970" s="2" t="s">
        <v>9476</v>
      </c>
      <c r="B7970" s="2" t="s">
        <v>9519</v>
      </c>
      <c r="C7970" s="2" t="s">
        <v>9516</v>
      </c>
      <c r="D7970" s="2" t="s">
        <v>10</v>
      </c>
      <c r="E7970" s="2" t="s">
        <v>52</v>
      </c>
      <c r="F7970" s="2">
        <v>2</v>
      </c>
      <c r="G7970" s="2" t="s">
        <v>1058</v>
      </c>
    </row>
    <row r="7971" spans="1:7" x14ac:dyDescent="0.2">
      <c r="A7971" s="2" t="s">
        <v>9476</v>
      </c>
      <c r="B7971" s="2" t="s">
        <v>9520</v>
      </c>
      <c r="C7971" s="2" t="s">
        <v>9516</v>
      </c>
      <c r="D7971" s="2" t="s">
        <v>10</v>
      </c>
      <c r="E7971" s="2" t="s">
        <v>52</v>
      </c>
      <c r="F7971" s="2">
        <v>2</v>
      </c>
      <c r="G7971" s="2" t="s">
        <v>1058</v>
      </c>
    </row>
    <row r="7972" spans="1:7" x14ac:dyDescent="0.2">
      <c r="A7972" s="2" t="s">
        <v>9476</v>
      </c>
      <c r="B7972" s="2" t="s">
        <v>9521</v>
      </c>
      <c r="C7972" s="2" t="s">
        <v>9516</v>
      </c>
      <c r="D7972" s="2" t="s">
        <v>10</v>
      </c>
      <c r="E7972" s="2" t="s">
        <v>52</v>
      </c>
      <c r="F7972" s="2">
        <v>2</v>
      </c>
      <c r="G7972" s="2" t="s">
        <v>1058</v>
      </c>
    </row>
    <row r="7973" spans="1:7" x14ac:dyDescent="0.2">
      <c r="A7973" s="2" t="s">
        <v>9522</v>
      </c>
      <c r="B7973" s="2" t="s">
        <v>9523</v>
      </c>
      <c r="C7973" s="2" t="s">
        <v>9524</v>
      </c>
      <c r="D7973" s="2" t="s">
        <v>10</v>
      </c>
      <c r="E7973" s="2" t="s">
        <v>16</v>
      </c>
      <c r="F7973" s="2">
        <v>1</v>
      </c>
      <c r="G7973" s="2" t="s">
        <v>17</v>
      </c>
    </row>
    <row r="7974" spans="1:7" x14ac:dyDescent="0.2">
      <c r="A7974" s="2" t="s">
        <v>9522</v>
      </c>
      <c r="B7974" s="2" t="s">
        <v>9525</v>
      </c>
      <c r="C7974" s="2" t="s">
        <v>9526</v>
      </c>
      <c r="D7974" s="2" t="s">
        <v>10</v>
      </c>
      <c r="E7974" s="2" t="s">
        <v>16</v>
      </c>
      <c r="F7974" s="2">
        <v>1</v>
      </c>
      <c r="G7974" s="2" t="s">
        <v>17</v>
      </c>
    </row>
    <row r="7975" spans="1:7" x14ac:dyDescent="0.2">
      <c r="A7975" s="2" t="s">
        <v>9522</v>
      </c>
      <c r="B7975" s="2" t="s">
        <v>9527</v>
      </c>
      <c r="C7975" s="2" t="s">
        <v>9528</v>
      </c>
      <c r="D7975" s="2" t="s">
        <v>10</v>
      </c>
      <c r="E7975" s="2" t="s">
        <v>16</v>
      </c>
      <c r="F7975" s="2">
        <v>1</v>
      </c>
      <c r="G7975" s="2" t="s">
        <v>17</v>
      </c>
    </row>
    <row r="7976" spans="1:7" x14ac:dyDescent="0.2">
      <c r="A7976" s="2" t="s">
        <v>9522</v>
      </c>
      <c r="B7976" s="2" t="s">
        <v>9529</v>
      </c>
      <c r="C7976" s="2" t="s">
        <v>9528</v>
      </c>
      <c r="D7976" s="2" t="s">
        <v>10</v>
      </c>
      <c r="E7976" s="2" t="s">
        <v>16</v>
      </c>
      <c r="F7976" s="2">
        <v>1</v>
      </c>
      <c r="G7976" s="2" t="s">
        <v>17</v>
      </c>
    </row>
    <row r="7977" spans="1:7" x14ac:dyDescent="0.2">
      <c r="A7977" s="2" t="s">
        <v>9522</v>
      </c>
      <c r="B7977" s="2" t="s">
        <v>9530</v>
      </c>
      <c r="C7977" s="2" t="s">
        <v>9528</v>
      </c>
      <c r="D7977" s="2" t="s">
        <v>10</v>
      </c>
      <c r="E7977" s="2" t="s">
        <v>16</v>
      </c>
      <c r="F7977" s="2">
        <v>1</v>
      </c>
      <c r="G7977" s="2" t="s">
        <v>17</v>
      </c>
    </row>
    <row r="7978" spans="1:7" x14ac:dyDescent="0.2">
      <c r="A7978" s="2" t="s">
        <v>9522</v>
      </c>
      <c r="B7978" s="2" t="s">
        <v>9531</v>
      </c>
      <c r="C7978" s="2" t="s">
        <v>9532</v>
      </c>
      <c r="D7978" s="2" t="s">
        <v>10</v>
      </c>
      <c r="E7978" s="2" t="s">
        <v>52</v>
      </c>
      <c r="F7978" s="2">
        <v>1</v>
      </c>
      <c r="G7978" s="2" t="s">
        <v>17</v>
      </c>
    </row>
    <row r="7979" spans="1:7" x14ac:dyDescent="0.2">
      <c r="A7979" s="2" t="s">
        <v>9522</v>
      </c>
      <c r="B7979" s="2" t="s">
        <v>9533</v>
      </c>
      <c r="C7979" s="2" t="s">
        <v>9532</v>
      </c>
      <c r="D7979" s="2" t="s">
        <v>10</v>
      </c>
      <c r="E7979" s="2" t="s">
        <v>52</v>
      </c>
      <c r="F7979" s="2">
        <v>1</v>
      </c>
      <c r="G7979" s="2" t="s">
        <v>17</v>
      </c>
    </row>
    <row r="7980" spans="1:7" x14ac:dyDescent="0.2">
      <c r="A7980" s="2" t="s">
        <v>9522</v>
      </c>
      <c r="B7980" s="2" t="s">
        <v>9534</v>
      </c>
      <c r="C7980" s="2" t="s">
        <v>9528</v>
      </c>
      <c r="D7980" s="2" t="s">
        <v>10</v>
      </c>
      <c r="E7980" s="2" t="s">
        <v>16</v>
      </c>
      <c r="F7980" s="2">
        <v>1</v>
      </c>
      <c r="G7980" s="2" t="s">
        <v>17</v>
      </c>
    </row>
    <row r="7981" spans="1:7" x14ac:dyDescent="0.2">
      <c r="A7981" s="2" t="s">
        <v>9522</v>
      </c>
      <c r="B7981" s="2" t="s">
        <v>9535</v>
      </c>
      <c r="C7981" s="2" t="s">
        <v>9528</v>
      </c>
      <c r="D7981" s="2" t="s">
        <v>10</v>
      </c>
      <c r="E7981" s="2" t="s">
        <v>16</v>
      </c>
      <c r="F7981" s="2">
        <v>1</v>
      </c>
      <c r="G7981" s="2" t="s">
        <v>17</v>
      </c>
    </row>
    <row r="7982" spans="1:7" x14ac:dyDescent="0.2">
      <c r="A7982" s="2" t="s">
        <v>9522</v>
      </c>
      <c r="B7982" s="2" t="s">
        <v>9536</v>
      </c>
      <c r="C7982" s="2" t="s">
        <v>9528</v>
      </c>
      <c r="D7982" s="2" t="s">
        <v>10</v>
      </c>
      <c r="E7982" s="2" t="s">
        <v>16</v>
      </c>
      <c r="F7982" s="2">
        <v>1</v>
      </c>
      <c r="G7982" s="2" t="s">
        <v>17</v>
      </c>
    </row>
    <row r="7983" spans="1:7" x14ac:dyDescent="0.2">
      <c r="A7983" s="2" t="s">
        <v>9522</v>
      </c>
      <c r="B7983" s="2" t="s">
        <v>9537</v>
      </c>
      <c r="C7983" s="2" t="s">
        <v>9532</v>
      </c>
      <c r="D7983" s="2" t="s">
        <v>10</v>
      </c>
      <c r="E7983" s="2" t="s">
        <v>52</v>
      </c>
      <c r="F7983" s="2">
        <v>1</v>
      </c>
      <c r="G7983" s="2" t="s">
        <v>17</v>
      </c>
    </row>
    <row r="7984" spans="1:7" x14ac:dyDescent="0.2">
      <c r="A7984" s="2" t="s">
        <v>9522</v>
      </c>
      <c r="B7984" s="2" t="s">
        <v>9538</v>
      </c>
      <c r="C7984" s="2" t="s">
        <v>9532</v>
      </c>
      <c r="D7984" s="2" t="s">
        <v>10</v>
      </c>
      <c r="E7984" s="2" t="s">
        <v>52</v>
      </c>
      <c r="F7984" s="2">
        <v>1</v>
      </c>
      <c r="G7984" s="2" t="s">
        <v>17</v>
      </c>
    </row>
    <row r="7985" spans="1:7" x14ac:dyDescent="0.2">
      <c r="A7985" s="2" t="s">
        <v>9522</v>
      </c>
      <c r="B7985" s="2" t="s">
        <v>9539</v>
      </c>
      <c r="C7985" s="2" t="s">
        <v>8374</v>
      </c>
      <c r="D7985" s="2" t="s">
        <v>10</v>
      </c>
      <c r="E7985" s="2" t="s">
        <v>16</v>
      </c>
      <c r="F7985" s="2">
        <v>1</v>
      </c>
      <c r="G7985" s="2" t="s">
        <v>17</v>
      </c>
    </row>
    <row r="7986" spans="1:7" x14ac:dyDescent="0.2">
      <c r="A7986" s="2" t="s">
        <v>9522</v>
      </c>
      <c r="B7986" s="2" t="s">
        <v>9540</v>
      </c>
      <c r="C7986" s="2" t="s">
        <v>8374</v>
      </c>
      <c r="D7986" s="2" t="s">
        <v>10</v>
      </c>
      <c r="E7986" s="2" t="s">
        <v>16</v>
      </c>
      <c r="F7986" s="2">
        <v>1</v>
      </c>
      <c r="G7986" s="2" t="s">
        <v>17</v>
      </c>
    </row>
    <row r="7987" spans="1:7" x14ac:dyDescent="0.2">
      <c r="A7987" s="2" t="s">
        <v>9522</v>
      </c>
      <c r="B7987" s="2" t="s">
        <v>9541</v>
      </c>
      <c r="C7987" s="2" t="s">
        <v>8374</v>
      </c>
      <c r="D7987" s="2" t="s">
        <v>10</v>
      </c>
      <c r="E7987" s="2" t="s">
        <v>16</v>
      </c>
      <c r="F7987" s="2">
        <v>1</v>
      </c>
      <c r="G7987" s="2" t="s">
        <v>17</v>
      </c>
    </row>
    <row r="7988" spans="1:7" x14ac:dyDescent="0.2">
      <c r="A7988" s="2" t="s">
        <v>9522</v>
      </c>
      <c r="B7988" s="2" t="s">
        <v>9542</v>
      </c>
      <c r="C7988" s="2" t="s">
        <v>8374</v>
      </c>
      <c r="D7988" s="2" t="s">
        <v>10</v>
      </c>
      <c r="E7988" s="2" t="s">
        <v>16</v>
      </c>
      <c r="F7988" s="2">
        <v>1</v>
      </c>
      <c r="G7988" s="2" t="s">
        <v>17</v>
      </c>
    </row>
    <row r="7989" spans="1:7" x14ac:dyDescent="0.2">
      <c r="A7989" s="2" t="s">
        <v>9522</v>
      </c>
      <c r="B7989" s="2" t="s">
        <v>9543</v>
      </c>
      <c r="C7989" s="2" t="s">
        <v>8374</v>
      </c>
      <c r="D7989" s="2" t="s">
        <v>10</v>
      </c>
      <c r="E7989" s="2" t="s">
        <v>16</v>
      </c>
      <c r="F7989" s="2">
        <v>1</v>
      </c>
      <c r="G7989" s="2" t="s">
        <v>17</v>
      </c>
    </row>
    <row r="7990" spans="1:7" x14ac:dyDescent="0.2">
      <c r="A7990" s="2" t="s">
        <v>9522</v>
      </c>
      <c r="B7990" s="2" t="s">
        <v>9544</v>
      </c>
      <c r="C7990" s="2" t="s">
        <v>9545</v>
      </c>
      <c r="D7990" s="2" t="s">
        <v>10</v>
      </c>
      <c r="E7990" s="2" t="s">
        <v>16</v>
      </c>
      <c r="F7990" s="2">
        <v>1</v>
      </c>
      <c r="G7990" s="2" t="s">
        <v>17</v>
      </c>
    </row>
    <row r="7991" spans="1:7" x14ac:dyDescent="0.2">
      <c r="A7991" s="2" t="s">
        <v>9522</v>
      </c>
      <c r="B7991" s="2" t="s">
        <v>9546</v>
      </c>
      <c r="C7991" s="2" t="s">
        <v>9545</v>
      </c>
      <c r="D7991" s="2" t="s">
        <v>10</v>
      </c>
      <c r="E7991" s="2" t="s">
        <v>16</v>
      </c>
      <c r="F7991" s="2">
        <v>1</v>
      </c>
      <c r="G7991" s="2" t="s">
        <v>17</v>
      </c>
    </row>
    <row r="7992" spans="1:7" x14ac:dyDescent="0.2">
      <c r="A7992" s="2" t="s">
        <v>9522</v>
      </c>
      <c r="B7992" s="2" t="s">
        <v>779</v>
      </c>
      <c r="C7992" s="2" t="s">
        <v>778</v>
      </c>
      <c r="D7992" s="2" t="s">
        <v>10</v>
      </c>
      <c r="E7992" s="2" t="s">
        <v>16</v>
      </c>
      <c r="F7992" s="2">
        <v>1</v>
      </c>
      <c r="G7992" s="2" t="s">
        <v>17</v>
      </c>
    </row>
    <row r="7993" spans="1:7" x14ac:dyDescent="0.2">
      <c r="A7993" s="2" t="s">
        <v>9522</v>
      </c>
      <c r="B7993" s="2" t="s">
        <v>9547</v>
      </c>
      <c r="C7993" s="2" t="s">
        <v>9548</v>
      </c>
      <c r="D7993" s="2" t="s">
        <v>10</v>
      </c>
      <c r="E7993" s="2" t="s">
        <v>52</v>
      </c>
      <c r="F7993" s="2">
        <v>1</v>
      </c>
      <c r="G7993" s="2" t="s">
        <v>17</v>
      </c>
    </row>
    <row r="7994" spans="1:7" x14ac:dyDescent="0.2">
      <c r="A7994" s="2" t="s">
        <v>9522</v>
      </c>
      <c r="B7994" s="2" t="s">
        <v>9549</v>
      </c>
      <c r="C7994" s="2" t="s">
        <v>9532</v>
      </c>
      <c r="D7994" s="2" t="s">
        <v>10</v>
      </c>
      <c r="E7994" s="2" t="s">
        <v>52</v>
      </c>
      <c r="F7994" s="2">
        <v>1</v>
      </c>
      <c r="G7994" s="2" t="s">
        <v>17</v>
      </c>
    </row>
    <row r="7995" spans="1:7" x14ac:dyDescent="0.2">
      <c r="A7995" s="2" t="s">
        <v>9522</v>
      </c>
      <c r="B7995" s="2" t="s">
        <v>9550</v>
      </c>
      <c r="C7995" s="2" t="s">
        <v>9532</v>
      </c>
      <c r="D7995" s="2" t="s">
        <v>10</v>
      </c>
      <c r="E7995" s="2" t="s">
        <v>52</v>
      </c>
      <c r="F7995" s="2">
        <v>1</v>
      </c>
      <c r="G7995" s="2" t="s">
        <v>17</v>
      </c>
    </row>
    <row r="7996" spans="1:7" x14ac:dyDescent="0.2">
      <c r="A7996" s="2" t="s">
        <v>9522</v>
      </c>
      <c r="B7996" s="2" t="s">
        <v>9551</v>
      </c>
      <c r="C7996" s="2" t="s">
        <v>7582</v>
      </c>
      <c r="D7996" s="2" t="s">
        <v>10</v>
      </c>
      <c r="E7996" s="2" t="s">
        <v>16</v>
      </c>
      <c r="F7996" s="2">
        <v>1</v>
      </c>
      <c r="G7996" s="2" t="s">
        <v>17</v>
      </c>
    </row>
    <row r="7997" spans="1:7" x14ac:dyDescent="0.2">
      <c r="A7997" s="2" t="s">
        <v>9522</v>
      </c>
      <c r="B7997" s="2" t="s">
        <v>9552</v>
      </c>
      <c r="C7997" s="2" t="s">
        <v>7582</v>
      </c>
      <c r="D7997" s="2" t="s">
        <v>10</v>
      </c>
      <c r="E7997" s="2" t="s">
        <v>16</v>
      </c>
      <c r="F7997" s="2">
        <v>1</v>
      </c>
      <c r="G7997" s="2" t="s">
        <v>17</v>
      </c>
    </row>
    <row r="7998" spans="1:7" x14ac:dyDescent="0.2">
      <c r="A7998" s="2" t="s">
        <v>9522</v>
      </c>
      <c r="B7998" s="2" t="s">
        <v>9553</v>
      </c>
      <c r="C7998" s="2" t="s">
        <v>9524</v>
      </c>
      <c r="D7998" s="2" t="s">
        <v>10</v>
      </c>
      <c r="E7998" s="2" t="s">
        <v>16</v>
      </c>
      <c r="F7998" s="2">
        <v>1</v>
      </c>
      <c r="G7998" s="2" t="s">
        <v>17</v>
      </c>
    </row>
    <row r="7999" spans="1:7" x14ac:dyDescent="0.2">
      <c r="A7999" s="2" t="s">
        <v>9522</v>
      </c>
      <c r="B7999" s="2" t="s">
        <v>9554</v>
      </c>
      <c r="C7999" s="2" t="s">
        <v>9555</v>
      </c>
      <c r="D7999" s="2" t="s">
        <v>10</v>
      </c>
      <c r="E7999" s="2" t="s">
        <v>16</v>
      </c>
      <c r="F7999" s="2">
        <v>1</v>
      </c>
      <c r="G7999" s="2" t="s">
        <v>17</v>
      </c>
    </row>
    <row r="8000" spans="1:7" x14ac:dyDescent="0.2">
      <c r="A8000" s="2" t="s">
        <v>9522</v>
      </c>
      <c r="B8000" s="2" t="s">
        <v>4263</v>
      </c>
      <c r="C8000" s="2" t="s">
        <v>4264</v>
      </c>
      <c r="D8000" s="2" t="s">
        <v>10</v>
      </c>
      <c r="E8000" s="2" t="s">
        <v>16</v>
      </c>
      <c r="F8000" s="2">
        <v>1</v>
      </c>
      <c r="G8000" s="2" t="s">
        <v>17</v>
      </c>
    </row>
    <row r="8001" spans="1:7" x14ac:dyDescent="0.2">
      <c r="A8001" s="2" t="s">
        <v>9522</v>
      </c>
      <c r="B8001" s="2" t="s">
        <v>9556</v>
      </c>
      <c r="C8001" s="2" t="s">
        <v>9526</v>
      </c>
      <c r="D8001" s="2" t="s">
        <v>10</v>
      </c>
      <c r="E8001" s="2" t="s">
        <v>16</v>
      </c>
      <c r="F8001" s="2">
        <v>1</v>
      </c>
      <c r="G8001" s="2" t="s">
        <v>17</v>
      </c>
    </row>
    <row r="8002" spans="1:7" x14ac:dyDescent="0.2">
      <c r="A8002" s="2" t="s">
        <v>9522</v>
      </c>
      <c r="B8002" s="2" t="s">
        <v>7579</v>
      </c>
      <c r="C8002" s="2" t="s">
        <v>7580</v>
      </c>
      <c r="D8002" s="2" t="s">
        <v>10</v>
      </c>
      <c r="E8002" s="2" t="s">
        <v>16</v>
      </c>
      <c r="F8002" s="2">
        <v>1</v>
      </c>
      <c r="G8002" s="2" t="s">
        <v>17</v>
      </c>
    </row>
    <row r="8003" spans="1:7" x14ac:dyDescent="0.2">
      <c r="A8003" s="2" t="s">
        <v>9522</v>
      </c>
      <c r="B8003" s="2" t="s">
        <v>2574</v>
      </c>
      <c r="C8003" s="2" t="s">
        <v>9545</v>
      </c>
      <c r="D8003" s="2" t="s">
        <v>10</v>
      </c>
      <c r="E8003" s="2" t="s">
        <v>16</v>
      </c>
      <c r="F8003" s="2">
        <v>1</v>
      </c>
      <c r="G8003" s="2" t="s">
        <v>17</v>
      </c>
    </row>
    <row r="8004" spans="1:7" x14ac:dyDescent="0.2">
      <c r="A8004" s="2" t="s">
        <v>9522</v>
      </c>
      <c r="B8004" s="2" t="s">
        <v>9557</v>
      </c>
      <c r="C8004" s="2" t="s">
        <v>8374</v>
      </c>
      <c r="D8004" s="2" t="s">
        <v>10</v>
      </c>
      <c r="E8004" s="2" t="s">
        <v>16</v>
      </c>
      <c r="F8004" s="2">
        <v>1</v>
      </c>
      <c r="G8004" s="2" t="s">
        <v>17</v>
      </c>
    </row>
    <row r="8005" spans="1:7" x14ac:dyDescent="0.2">
      <c r="A8005" s="2" t="s">
        <v>9522</v>
      </c>
      <c r="B8005" s="2" t="s">
        <v>9558</v>
      </c>
      <c r="C8005" s="2" t="s">
        <v>8374</v>
      </c>
      <c r="D8005" s="2" t="s">
        <v>10</v>
      </c>
      <c r="E8005" s="2" t="s">
        <v>16</v>
      </c>
      <c r="F8005" s="2">
        <v>1</v>
      </c>
      <c r="G8005" s="2" t="s">
        <v>17</v>
      </c>
    </row>
    <row r="8006" spans="1:7" x14ac:dyDescent="0.2">
      <c r="A8006" s="2" t="s">
        <v>9522</v>
      </c>
      <c r="B8006" s="2" t="s">
        <v>9559</v>
      </c>
      <c r="C8006" s="2" t="s">
        <v>8374</v>
      </c>
      <c r="D8006" s="2" t="s">
        <v>10</v>
      </c>
      <c r="E8006" s="2" t="s">
        <v>16</v>
      </c>
      <c r="F8006" s="2">
        <v>1</v>
      </c>
      <c r="G8006" s="2" t="s">
        <v>17</v>
      </c>
    </row>
    <row r="8007" spans="1:7" x14ac:dyDescent="0.2">
      <c r="A8007" s="2" t="s">
        <v>9522</v>
      </c>
      <c r="B8007" s="2" t="s">
        <v>9560</v>
      </c>
      <c r="C8007" s="2" t="s">
        <v>9545</v>
      </c>
      <c r="D8007" s="2" t="s">
        <v>10</v>
      </c>
      <c r="E8007" s="2" t="s">
        <v>16</v>
      </c>
      <c r="F8007" s="2">
        <v>1</v>
      </c>
      <c r="G8007" s="2" t="s">
        <v>17</v>
      </c>
    </row>
    <row r="8008" spans="1:7" x14ac:dyDescent="0.2">
      <c r="A8008" s="2" t="s">
        <v>9522</v>
      </c>
      <c r="B8008" s="2" t="s">
        <v>9561</v>
      </c>
      <c r="C8008" s="2" t="s">
        <v>8374</v>
      </c>
      <c r="D8008" s="2" t="s">
        <v>10</v>
      </c>
      <c r="E8008" s="2" t="s">
        <v>16</v>
      </c>
      <c r="F8008" s="2">
        <v>1</v>
      </c>
      <c r="G8008" s="2" t="s">
        <v>17</v>
      </c>
    </row>
    <row r="8009" spans="1:7" x14ac:dyDescent="0.2">
      <c r="A8009" s="2" t="s">
        <v>9522</v>
      </c>
      <c r="B8009" s="2" t="s">
        <v>4923</v>
      </c>
      <c r="C8009" s="2" t="s">
        <v>9562</v>
      </c>
      <c r="D8009" s="2" t="s">
        <v>10</v>
      </c>
      <c r="E8009" s="2" t="s">
        <v>16</v>
      </c>
      <c r="F8009" s="2">
        <v>1</v>
      </c>
      <c r="G8009" s="2" t="s">
        <v>17</v>
      </c>
    </row>
    <row r="8010" spans="1:7" x14ac:dyDescent="0.2">
      <c r="A8010" s="2" t="s">
        <v>9522</v>
      </c>
      <c r="B8010" s="2" t="s">
        <v>9563</v>
      </c>
      <c r="C8010" s="2" t="s">
        <v>9528</v>
      </c>
      <c r="D8010" s="2" t="s">
        <v>10</v>
      </c>
      <c r="E8010" s="2" t="s">
        <v>16</v>
      </c>
      <c r="F8010" s="2">
        <v>1</v>
      </c>
      <c r="G8010" s="2" t="s">
        <v>17</v>
      </c>
    </row>
    <row r="8011" spans="1:7" x14ac:dyDescent="0.2">
      <c r="A8011" s="2" t="s">
        <v>9522</v>
      </c>
      <c r="B8011" s="2" t="s">
        <v>777</v>
      </c>
      <c r="C8011" s="2" t="s">
        <v>778</v>
      </c>
      <c r="D8011" s="2" t="s">
        <v>10</v>
      </c>
      <c r="E8011" s="2" t="s">
        <v>16</v>
      </c>
      <c r="F8011" s="2">
        <v>1</v>
      </c>
      <c r="G8011" s="2" t="s">
        <v>17</v>
      </c>
    </row>
    <row r="8012" spans="1:7" x14ac:dyDescent="0.2">
      <c r="A8012" s="2" t="s">
        <v>9522</v>
      </c>
      <c r="B8012" s="2" t="s">
        <v>9564</v>
      </c>
      <c r="C8012" s="2" t="s">
        <v>9548</v>
      </c>
      <c r="D8012" s="2" t="s">
        <v>10</v>
      </c>
      <c r="E8012" s="2" t="s">
        <v>52</v>
      </c>
      <c r="F8012" s="2">
        <v>1</v>
      </c>
      <c r="G8012" s="2" t="s">
        <v>17</v>
      </c>
    </row>
    <row r="8013" spans="1:7" x14ac:dyDescent="0.2">
      <c r="A8013" s="2" t="s">
        <v>9522</v>
      </c>
      <c r="B8013" s="2" t="s">
        <v>7583</v>
      </c>
      <c r="C8013" s="2" t="s">
        <v>7580</v>
      </c>
      <c r="D8013" s="2" t="s">
        <v>10</v>
      </c>
      <c r="E8013" s="2" t="s">
        <v>16</v>
      </c>
      <c r="F8013" s="2">
        <v>1</v>
      </c>
      <c r="G8013" s="2" t="s">
        <v>17</v>
      </c>
    </row>
    <row r="8014" spans="1:7" x14ac:dyDescent="0.2">
      <c r="A8014" s="2" t="s">
        <v>9522</v>
      </c>
      <c r="B8014" s="2" t="s">
        <v>9565</v>
      </c>
      <c r="C8014" s="2" t="s">
        <v>9562</v>
      </c>
      <c r="D8014" s="2" t="s">
        <v>10</v>
      </c>
      <c r="E8014" s="2" t="s">
        <v>16</v>
      </c>
      <c r="F8014" s="2">
        <v>1</v>
      </c>
      <c r="G8014" s="2" t="s">
        <v>17</v>
      </c>
    </row>
    <row r="8015" spans="1:7" x14ac:dyDescent="0.2">
      <c r="A8015" s="2" t="s">
        <v>9522</v>
      </c>
      <c r="B8015" s="2" t="s">
        <v>9566</v>
      </c>
      <c r="C8015" s="2" t="s">
        <v>7582</v>
      </c>
      <c r="D8015" s="2" t="s">
        <v>10</v>
      </c>
      <c r="E8015" s="2" t="s">
        <v>16</v>
      </c>
      <c r="F8015" s="2">
        <v>1</v>
      </c>
      <c r="G8015" s="2" t="s">
        <v>17</v>
      </c>
    </row>
    <row r="8016" spans="1:7" x14ac:dyDescent="0.2">
      <c r="A8016" s="2" t="s">
        <v>9522</v>
      </c>
      <c r="B8016" s="2" t="s">
        <v>9567</v>
      </c>
      <c r="C8016" s="2" t="s">
        <v>7582</v>
      </c>
      <c r="D8016" s="2" t="s">
        <v>10</v>
      </c>
      <c r="E8016" s="2" t="s">
        <v>16</v>
      </c>
      <c r="F8016" s="2">
        <v>1</v>
      </c>
      <c r="G8016" s="2" t="s">
        <v>17</v>
      </c>
    </row>
    <row r="8017" spans="1:7" x14ac:dyDescent="0.2">
      <c r="A8017" s="2" t="s">
        <v>9568</v>
      </c>
      <c r="B8017" s="2" t="s">
        <v>9569</v>
      </c>
      <c r="C8017" s="2" t="s">
        <v>9570</v>
      </c>
      <c r="D8017" s="2" t="s">
        <v>56</v>
      </c>
      <c r="E8017" s="2" t="s">
        <v>52</v>
      </c>
      <c r="F8017" s="2">
        <v>2</v>
      </c>
      <c r="G8017" s="2" t="s">
        <v>17</v>
      </c>
    </row>
    <row r="8018" spans="1:7" x14ac:dyDescent="0.2">
      <c r="A8018" s="2" t="s">
        <v>9568</v>
      </c>
      <c r="B8018" s="2" t="s">
        <v>9571</v>
      </c>
      <c r="C8018" s="2" t="s">
        <v>8166</v>
      </c>
      <c r="D8018" s="2" t="s">
        <v>56</v>
      </c>
      <c r="E8018" s="2" t="s">
        <v>52</v>
      </c>
      <c r="F8018" s="2">
        <v>2</v>
      </c>
      <c r="G8018" s="2" t="s">
        <v>17</v>
      </c>
    </row>
    <row r="8019" spans="1:7" x14ac:dyDescent="0.2">
      <c r="A8019" s="2" t="s">
        <v>9568</v>
      </c>
      <c r="B8019" s="2" t="s">
        <v>9572</v>
      </c>
      <c r="C8019" s="2" t="s">
        <v>9570</v>
      </c>
      <c r="D8019" s="2" t="s">
        <v>56</v>
      </c>
      <c r="E8019" s="2" t="s">
        <v>52</v>
      </c>
      <c r="F8019" s="2">
        <v>2</v>
      </c>
      <c r="G8019" s="2" t="s">
        <v>17</v>
      </c>
    </row>
    <row r="8020" spans="1:7" x14ac:dyDescent="0.2">
      <c r="A8020" s="2" t="s">
        <v>9568</v>
      </c>
      <c r="B8020" s="2" t="s">
        <v>9573</v>
      </c>
      <c r="C8020" s="2" t="s">
        <v>9570</v>
      </c>
      <c r="D8020" s="2" t="s">
        <v>56</v>
      </c>
      <c r="E8020" s="2" t="s">
        <v>52</v>
      </c>
      <c r="F8020" s="2">
        <v>2</v>
      </c>
      <c r="G8020" s="2" t="s">
        <v>17</v>
      </c>
    </row>
    <row r="8021" spans="1:7" x14ac:dyDescent="0.2">
      <c r="A8021" s="2" t="s">
        <v>9568</v>
      </c>
      <c r="B8021" s="2" t="s">
        <v>9574</v>
      </c>
      <c r="C8021" s="2" t="s">
        <v>9570</v>
      </c>
      <c r="D8021" s="2" t="s">
        <v>56</v>
      </c>
      <c r="E8021" s="2" t="s">
        <v>52</v>
      </c>
      <c r="F8021" s="2">
        <v>2</v>
      </c>
      <c r="G8021" s="2" t="s">
        <v>17</v>
      </c>
    </row>
    <row r="8022" spans="1:7" x14ac:dyDescent="0.2">
      <c r="A8022" s="2" t="s">
        <v>9568</v>
      </c>
      <c r="B8022" s="2" t="s">
        <v>6900</v>
      </c>
      <c r="C8022" s="2" t="s">
        <v>6901</v>
      </c>
      <c r="D8022" s="2" t="s">
        <v>10</v>
      </c>
      <c r="E8022" s="2" t="s">
        <v>16</v>
      </c>
      <c r="F8022" s="2">
        <v>1</v>
      </c>
      <c r="G8022" s="2" t="s">
        <v>17</v>
      </c>
    </row>
    <row r="8023" spans="1:7" x14ac:dyDescent="0.2">
      <c r="A8023" s="2" t="s">
        <v>9568</v>
      </c>
      <c r="B8023" s="2" t="s">
        <v>9575</v>
      </c>
      <c r="C8023" s="2" t="s">
        <v>8166</v>
      </c>
      <c r="D8023" s="2" t="s">
        <v>56</v>
      </c>
      <c r="E8023" s="2" t="s">
        <v>52</v>
      </c>
      <c r="F8023" s="2">
        <v>2</v>
      </c>
      <c r="G8023" s="2" t="s">
        <v>17</v>
      </c>
    </row>
    <row r="8024" spans="1:7" x14ac:dyDescent="0.2">
      <c r="A8024" s="2" t="s">
        <v>9568</v>
      </c>
      <c r="B8024" s="2" t="s">
        <v>3033</v>
      </c>
      <c r="C8024" s="2" t="s">
        <v>8166</v>
      </c>
      <c r="D8024" s="2" t="s">
        <v>56</v>
      </c>
      <c r="E8024" s="2" t="s">
        <v>52</v>
      </c>
      <c r="F8024" s="2">
        <v>2</v>
      </c>
      <c r="G8024" s="2" t="s">
        <v>17</v>
      </c>
    </row>
    <row r="8025" spans="1:7" x14ac:dyDescent="0.2">
      <c r="A8025" s="2" t="s">
        <v>9568</v>
      </c>
      <c r="B8025" s="2" t="s">
        <v>9576</v>
      </c>
      <c r="C8025" s="2" t="s">
        <v>9577</v>
      </c>
      <c r="D8025" s="2" t="s">
        <v>56</v>
      </c>
      <c r="E8025" s="2" t="s">
        <v>52</v>
      </c>
      <c r="F8025" s="2">
        <v>1</v>
      </c>
      <c r="G8025" s="2" t="s">
        <v>17</v>
      </c>
    </row>
    <row r="8026" spans="1:7" x14ac:dyDescent="0.2">
      <c r="A8026" s="2" t="s">
        <v>9568</v>
      </c>
      <c r="B8026" s="2" t="s">
        <v>6905</v>
      </c>
      <c r="C8026" s="2" t="s">
        <v>6901</v>
      </c>
      <c r="D8026" s="2" t="s">
        <v>10</v>
      </c>
      <c r="E8026" s="2" t="s">
        <v>16</v>
      </c>
      <c r="F8026" s="2">
        <v>1</v>
      </c>
      <c r="G8026" s="2" t="s">
        <v>17</v>
      </c>
    </row>
    <row r="8027" spans="1:7" x14ac:dyDescent="0.2">
      <c r="A8027" s="2" t="s">
        <v>9568</v>
      </c>
      <c r="B8027" s="2" t="s">
        <v>8165</v>
      </c>
      <c r="C8027" s="2" t="s">
        <v>8166</v>
      </c>
      <c r="D8027" s="2" t="s">
        <v>56</v>
      </c>
      <c r="E8027" s="2" t="s">
        <v>52</v>
      </c>
      <c r="F8027" s="2">
        <v>2</v>
      </c>
      <c r="G8027" s="2" t="s">
        <v>17</v>
      </c>
    </row>
    <row r="8028" spans="1:7" x14ac:dyDescent="0.2">
      <c r="A8028" s="2" t="s">
        <v>9568</v>
      </c>
      <c r="B8028" s="2" t="s">
        <v>9578</v>
      </c>
      <c r="C8028" s="2" t="s">
        <v>8166</v>
      </c>
      <c r="D8028" s="2" t="s">
        <v>56</v>
      </c>
      <c r="E8028" s="2" t="s">
        <v>52</v>
      </c>
      <c r="F8028" s="2">
        <v>2</v>
      </c>
      <c r="G8028" s="2" t="s">
        <v>17</v>
      </c>
    </row>
    <row r="8029" spans="1:7" x14ac:dyDescent="0.2">
      <c r="A8029" s="2" t="s">
        <v>9568</v>
      </c>
      <c r="B8029" s="2" t="s">
        <v>9579</v>
      </c>
      <c r="C8029" s="2" t="s">
        <v>8166</v>
      </c>
      <c r="D8029" s="2" t="s">
        <v>56</v>
      </c>
      <c r="E8029" s="2" t="s">
        <v>52</v>
      </c>
      <c r="F8029" s="2">
        <v>2</v>
      </c>
      <c r="G8029" s="2" t="s">
        <v>17</v>
      </c>
    </row>
    <row r="8030" spans="1:7" x14ac:dyDescent="0.2">
      <c r="A8030" s="2" t="s">
        <v>9568</v>
      </c>
      <c r="B8030" s="2" t="s">
        <v>9580</v>
      </c>
      <c r="C8030" s="2" t="s">
        <v>8166</v>
      </c>
      <c r="D8030" s="2" t="s">
        <v>56</v>
      </c>
      <c r="E8030" s="2" t="s">
        <v>52</v>
      </c>
      <c r="F8030" s="2">
        <v>2</v>
      </c>
      <c r="G8030" s="2" t="s">
        <v>17</v>
      </c>
    </row>
    <row r="8031" spans="1:7" x14ac:dyDescent="0.2">
      <c r="A8031" s="2" t="s">
        <v>9568</v>
      </c>
      <c r="B8031" s="2" t="s">
        <v>9581</v>
      </c>
      <c r="C8031" s="2" t="s">
        <v>9570</v>
      </c>
      <c r="D8031" s="2" t="s">
        <v>56</v>
      </c>
      <c r="E8031" s="2" t="s">
        <v>52</v>
      </c>
      <c r="F8031" s="2">
        <v>2</v>
      </c>
      <c r="G8031" s="2" t="s">
        <v>17</v>
      </c>
    </row>
    <row r="8032" spans="1:7" x14ac:dyDescent="0.2">
      <c r="A8032" s="2" t="s">
        <v>9568</v>
      </c>
      <c r="B8032" s="2" t="s">
        <v>9582</v>
      </c>
      <c r="C8032" s="2" t="s">
        <v>9570</v>
      </c>
      <c r="D8032" s="2" t="s">
        <v>56</v>
      </c>
      <c r="E8032" s="2" t="s">
        <v>52</v>
      </c>
      <c r="F8032" s="2">
        <v>2</v>
      </c>
      <c r="G8032" s="2" t="s">
        <v>17</v>
      </c>
    </row>
    <row r="8033" spans="1:7" x14ac:dyDescent="0.2">
      <c r="A8033" s="2" t="s">
        <v>9568</v>
      </c>
      <c r="B8033" s="2" t="s">
        <v>9583</v>
      </c>
      <c r="C8033" s="2" t="s">
        <v>9570</v>
      </c>
      <c r="D8033" s="2" t="s">
        <v>56</v>
      </c>
      <c r="E8033" s="2" t="s">
        <v>52</v>
      </c>
      <c r="F8033" s="2">
        <v>2</v>
      </c>
      <c r="G8033" s="2" t="s">
        <v>17</v>
      </c>
    </row>
    <row r="8034" spans="1:7" x14ac:dyDescent="0.2">
      <c r="A8034" s="2" t="s">
        <v>9568</v>
      </c>
      <c r="B8034" s="2" t="s">
        <v>9584</v>
      </c>
      <c r="C8034" s="2" t="s">
        <v>9570</v>
      </c>
      <c r="D8034" s="2" t="s">
        <v>56</v>
      </c>
      <c r="E8034" s="2" t="s">
        <v>52</v>
      </c>
      <c r="F8034" s="2">
        <v>2</v>
      </c>
      <c r="G8034" s="2" t="s">
        <v>17</v>
      </c>
    </row>
    <row r="8035" spans="1:7" x14ac:dyDescent="0.2">
      <c r="A8035" s="2" t="s">
        <v>9568</v>
      </c>
      <c r="B8035" s="2" t="s">
        <v>9585</v>
      </c>
      <c r="C8035" s="2" t="s">
        <v>9577</v>
      </c>
      <c r="D8035" s="2" t="s">
        <v>56</v>
      </c>
      <c r="E8035" s="2" t="s">
        <v>52</v>
      </c>
      <c r="F8035" s="2">
        <v>1</v>
      </c>
      <c r="G8035" s="2" t="s">
        <v>17</v>
      </c>
    </row>
    <row r="8036" spans="1:7" x14ac:dyDescent="0.2">
      <c r="A8036" s="2" t="s">
        <v>9568</v>
      </c>
      <c r="B8036" s="2" t="s">
        <v>9586</v>
      </c>
      <c r="C8036" s="2" t="s">
        <v>9570</v>
      </c>
      <c r="D8036" s="2" t="s">
        <v>56</v>
      </c>
      <c r="E8036" s="2" t="s">
        <v>52</v>
      </c>
      <c r="F8036" s="2">
        <v>2</v>
      </c>
      <c r="G8036" s="2" t="s">
        <v>17</v>
      </c>
    </row>
    <row r="8037" spans="1:7" x14ac:dyDescent="0.2">
      <c r="A8037" s="2" t="s">
        <v>9568</v>
      </c>
      <c r="B8037" s="2" t="s">
        <v>9587</v>
      </c>
      <c r="C8037" s="2" t="s">
        <v>9570</v>
      </c>
      <c r="D8037" s="2" t="s">
        <v>56</v>
      </c>
      <c r="E8037" s="2" t="s">
        <v>52</v>
      </c>
      <c r="F8037" s="2">
        <v>2</v>
      </c>
      <c r="G8037" s="2" t="s">
        <v>17</v>
      </c>
    </row>
    <row r="8038" spans="1:7" x14ac:dyDescent="0.2">
      <c r="A8038" s="2" t="s">
        <v>9568</v>
      </c>
      <c r="B8038" s="2" t="s">
        <v>9588</v>
      </c>
      <c r="C8038" s="2" t="s">
        <v>9570</v>
      </c>
      <c r="D8038" s="2" t="s">
        <v>56</v>
      </c>
      <c r="E8038" s="2" t="s">
        <v>52</v>
      </c>
      <c r="F8038" s="2">
        <v>2</v>
      </c>
      <c r="G8038" s="2" t="s">
        <v>17</v>
      </c>
    </row>
    <row r="8039" spans="1:7" x14ac:dyDescent="0.2">
      <c r="A8039" s="2" t="s">
        <v>9568</v>
      </c>
      <c r="B8039" s="2" t="s">
        <v>9589</v>
      </c>
      <c r="C8039" s="2" t="s">
        <v>9570</v>
      </c>
      <c r="D8039" s="2" t="s">
        <v>56</v>
      </c>
      <c r="E8039" s="2" t="s">
        <v>52</v>
      </c>
      <c r="F8039" s="2">
        <v>2</v>
      </c>
      <c r="G8039" s="2" t="s">
        <v>17</v>
      </c>
    </row>
    <row r="8040" spans="1:7" x14ac:dyDescent="0.2">
      <c r="A8040" s="2" t="s">
        <v>9568</v>
      </c>
      <c r="B8040" s="2" t="s">
        <v>9590</v>
      </c>
      <c r="C8040" s="2" t="s">
        <v>9570</v>
      </c>
      <c r="D8040" s="2" t="s">
        <v>56</v>
      </c>
      <c r="E8040" s="2" t="s">
        <v>52</v>
      </c>
      <c r="F8040" s="2">
        <v>2</v>
      </c>
      <c r="G8040" s="2" t="s">
        <v>17</v>
      </c>
    </row>
    <row r="8041" spans="1:7" x14ac:dyDescent="0.2">
      <c r="A8041" s="2" t="s">
        <v>9568</v>
      </c>
      <c r="B8041" s="2" t="s">
        <v>9591</v>
      </c>
      <c r="C8041" s="2" t="s">
        <v>9570</v>
      </c>
      <c r="D8041" s="2" t="s">
        <v>56</v>
      </c>
      <c r="E8041" s="2" t="s">
        <v>52</v>
      </c>
      <c r="F8041" s="2">
        <v>2</v>
      </c>
      <c r="G8041" s="2" t="s">
        <v>17</v>
      </c>
    </row>
    <row r="8042" spans="1:7" x14ac:dyDescent="0.2">
      <c r="A8042" s="2" t="s">
        <v>9568</v>
      </c>
      <c r="B8042" s="2" t="s">
        <v>9592</v>
      </c>
      <c r="C8042" s="2" t="s">
        <v>9570</v>
      </c>
      <c r="D8042" s="2" t="s">
        <v>56</v>
      </c>
      <c r="E8042" s="2" t="s">
        <v>52</v>
      </c>
      <c r="F8042" s="2">
        <v>2</v>
      </c>
      <c r="G8042" s="2" t="s">
        <v>17</v>
      </c>
    </row>
    <row r="8043" spans="1:7" x14ac:dyDescent="0.2">
      <c r="A8043" s="2" t="s">
        <v>9568</v>
      </c>
      <c r="B8043" s="2" t="s">
        <v>9593</v>
      </c>
      <c r="C8043" s="2" t="s">
        <v>9577</v>
      </c>
      <c r="D8043" s="2" t="s">
        <v>56</v>
      </c>
      <c r="E8043" s="2" t="s">
        <v>52</v>
      </c>
      <c r="F8043" s="2">
        <v>1</v>
      </c>
      <c r="G8043" s="2" t="s">
        <v>17</v>
      </c>
    </row>
    <row r="8044" spans="1:7" x14ac:dyDescent="0.2">
      <c r="A8044" s="2" t="s">
        <v>9568</v>
      </c>
      <c r="B8044" s="2" t="s">
        <v>9594</v>
      </c>
      <c r="C8044" s="2" t="s">
        <v>9577</v>
      </c>
      <c r="D8044" s="2" t="s">
        <v>56</v>
      </c>
      <c r="E8044" s="2" t="s">
        <v>52</v>
      </c>
      <c r="F8044" s="2">
        <v>1</v>
      </c>
      <c r="G8044" s="2" t="s">
        <v>17</v>
      </c>
    </row>
    <row r="8045" spans="1:7" x14ac:dyDescent="0.2">
      <c r="A8045" s="2" t="s">
        <v>9568</v>
      </c>
      <c r="B8045" s="2" t="s">
        <v>9595</v>
      </c>
      <c r="C8045" s="2" t="s">
        <v>9577</v>
      </c>
      <c r="D8045" s="2" t="s">
        <v>56</v>
      </c>
      <c r="E8045" s="2" t="s">
        <v>52</v>
      </c>
      <c r="F8045" s="2">
        <v>1</v>
      </c>
      <c r="G8045" s="2" t="s">
        <v>17</v>
      </c>
    </row>
    <row r="8046" spans="1:7" x14ac:dyDescent="0.2">
      <c r="A8046" s="2" t="s">
        <v>9568</v>
      </c>
      <c r="B8046" s="2" t="s">
        <v>9596</v>
      </c>
      <c r="C8046" s="2" t="s">
        <v>9577</v>
      </c>
      <c r="D8046" s="2" t="s">
        <v>56</v>
      </c>
      <c r="E8046" s="2" t="s">
        <v>52</v>
      </c>
      <c r="F8046" s="2">
        <v>1</v>
      </c>
      <c r="G8046" s="2" t="s">
        <v>17</v>
      </c>
    </row>
    <row r="8047" spans="1:7" x14ac:dyDescent="0.2">
      <c r="A8047" s="2" t="s">
        <v>9597</v>
      </c>
      <c r="B8047" s="2" t="s">
        <v>3050</v>
      </c>
      <c r="C8047" s="2" t="s">
        <v>3051</v>
      </c>
      <c r="D8047" s="2" t="s">
        <v>56</v>
      </c>
      <c r="E8047" s="2" t="s">
        <v>16</v>
      </c>
      <c r="F8047" s="2">
        <v>1</v>
      </c>
      <c r="G8047" s="2" t="s">
        <v>17</v>
      </c>
    </row>
    <row r="8048" spans="1:7" x14ac:dyDescent="0.2">
      <c r="A8048" s="2" t="s">
        <v>9598</v>
      </c>
      <c r="B8048" s="2" t="s">
        <v>7852</v>
      </c>
      <c r="C8048" s="2" t="s">
        <v>7853</v>
      </c>
      <c r="D8048" s="2" t="s">
        <v>10</v>
      </c>
      <c r="E8048" s="2" t="s">
        <v>16</v>
      </c>
      <c r="F8048" s="2">
        <v>1</v>
      </c>
      <c r="G8048" s="2" t="s">
        <v>17</v>
      </c>
    </row>
    <row r="8049" spans="1:7" x14ac:dyDescent="0.2">
      <c r="A8049" s="2" t="s">
        <v>9599</v>
      </c>
      <c r="B8049" s="2" t="s">
        <v>346</v>
      </c>
      <c r="C8049" s="2" t="s">
        <v>347</v>
      </c>
      <c r="D8049" s="2" t="s">
        <v>10</v>
      </c>
      <c r="E8049" s="2" t="s">
        <v>16</v>
      </c>
      <c r="F8049" s="2">
        <v>1</v>
      </c>
      <c r="G8049" s="2" t="s">
        <v>17</v>
      </c>
    </row>
    <row r="8050" spans="1:7" x14ac:dyDescent="0.2">
      <c r="A8050" s="2" t="s">
        <v>9600</v>
      </c>
      <c r="B8050" s="2" t="s">
        <v>9601</v>
      </c>
      <c r="C8050" s="2" t="s">
        <v>9602</v>
      </c>
      <c r="D8050" s="2" t="s">
        <v>10</v>
      </c>
      <c r="E8050" s="2" t="s">
        <v>16</v>
      </c>
      <c r="F8050" s="2">
        <v>1</v>
      </c>
      <c r="G8050" s="2" t="s">
        <v>17</v>
      </c>
    </row>
    <row r="8051" spans="1:7" x14ac:dyDescent="0.2">
      <c r="A8051" s="2" t="s">
        <v>9603</v>
      </c>
      <c r="B8051" s="2" t="s">
        <v>4366</v>
      </c>
      <c r="C8051" s="2" t="s">
        <v>4367</v>
      </c>
      <c r="D8051" s="2" t="s">
        <v>10</v>
      </c>
      <c r="E8051" s="2" t="s">
        <v>52</v>
      </c>
      <c r="F8051" s="2">
        <v>1</v>
      </c>
      <c r="G8051" s="2" t="s">
        <v>17</v>
      </c>
    </row>
    <row r="8052" spans="1:7" x14ac:dyDescent="0.2">
      <c r="A8052" s="2" t="s">
        <v>9603</v>
      </c>
      <c r="B8052" s="2" t="s">
        <v>4368</v>
      </c>
      <c r="C8052" s="2" t="s">
        <v>4369</v>
      </c>
      <c r="D8052" s="2" t="s">
        <v>10</v>
      </c>
      <c r="E8052" s="2" t="s">
        <v>52</v>
      </c>
      <c r="F8052" s="2">
        <v>1</v>
      </c>
      <c r="G8052" s="2" t="s">
        <v>17</v>
      </c>
    </row>
    <row r="8053" spans="1:7" x14ac:dyDescent="0.2">
      <c r="A8053" s="2" t="s">
        <v>9604</v>
      </c>
      <c r="B8053" s="2" t="s">
        <v>9605</v>
      </c>
      <c r="C8053" s="2" t="s">
        <v>8803</v>
      </c>
      <c r="D8053" s="2" t="s">
        <v>10</v>
      </c>
      <c r="E8053" s="2" t="s">
        <v>16</v>
      </c>
      <c r="F8053" s="2">
        <v>1</v>
      </c>
      <c r="G8053" s="2" t="s">
        <v>17</v>
      </c>
    </row>
    <row r="8054" spans="1:7" x14ac:dyDescent="0.2">
      <c r="A8054" s="2" t="s">
        <v>9604</v>
      </c>
      <c r="B8054" s="2" t="s">
        <v>8766</v>
      </c>
      <c r="C8054" s="2" t="s">
        <v>9606</v>
      </c>
      <c r="D8054" s="2" t="s">
        <v>10</v>
      </c>
      <c r="E8054" s="2" t="s">
        <v>16</v>
      </c>
      <c r="F8054" s="2">
        <v>1</v>
      </c>
      <c r="G8054" s="2" t="s">
        <v>17</v>
      </c>
    </row>
    <row r="8055" spans="1:7" x14ac:dyDescent="0.2">
      <c r="A8055" s="2" t="s">
        <v>9604</v>
      </c>
      <c r="B8055" s="2" t="s">
        <v>8802</v>
      </c>
      <c r="C8055" s="2" t="s">
        <v>8803</v>
      </c>
      <c r="D8055" s="2" t="s">
        <v>10</v>
      </c>
      <c r="E8055" s="2" t="s">
        <v>16</v>
      </c>
      <c r="F8055" s="2">
        <v>1</v>
      </c>
      <c r="G8055" s="2" t="s">
        <v>17</v>
      </c>
    </row>
    <row r="8056" spans="1:7" x14ac:dyDescent="0.2">
      <c r="A8056" s="2" t="s">
        <v>9607</v>
      </c>
      <c r="B8056" s="2" t="s">
        <v>9608</v>
      </c>
      <c r="C8056" s="2" t="s">
        <v>9609</v>
      </c>
      <c r="D8056" s="2" t="s">
        <v>10</v>
      </c>
      <c r="E8056" s="2" t="s">
        <v>16</v>
      </c>
      <c r="F8056" s="2">
        <v>1</v>
      </c>
      <c r="G8056" s="2" t="s">
        <v>17</v>
      </c>
    </row>
    <row r="8057" spans="1:7" x14ac:dyDescent="0.2">
      <c r="A8057" s="2" t="s">
        <v>9607</v>
      </c>
      <c r="B8057" s="2" t="s">
        <v>9610</v>
      </c>
      <c r="C8057" s="2" t="s">
        <v>9611</v>
      </c>
      <c r="D8057" s="2" t="s">
        <v>10</v>
      </c>
      <c r="E8057" s="2" t="s">
        <v>16</v>
      </c>
      <c r="F8057" s="2">
        <v>1</v>
      </c>
      <c r="G8057" s="2" t="s">
        <v>17</v>
      </c>
    </row>
    <row r="8058" spans="1:7" x14ac:dyDescent="0.2">
      <c r="A8058" s="2" t="s">
        <v>9607</v>
      </c>
      <c r="B8058" s="2" t="s">
        <v>9612</v>
      </c>
      <c r="C8058" s="2" t="s">
        <v>9611</v>
      </c>
      <c r="D8058" s="2" t="s">
        <v>10</v>
      </c>
      <c r="E8058" s="2" t="s">
        <v>16</v>
      </c>
      <c r="F8058" s="2">
        <v>1</v>
      </c>
      <c r="G8058" s="2" t="s">
        <v>17</v>
      </c>
    </row>
    <row r="8059" spans="1:7" x14ac:dyDescent="0.2">
      <c r="A8059" s="2" t="s">
        <v>9613</v>
      </c>
      <c r="B8059" s="2" t="s">
        <v>9614</v>
      </c>
      <c r="C8059" s="2" t="s">
        <v>9615</v>
      </c>
      <c r="D8059" s="2" t="s">
        <v>29</v>
      </c>
      <c r="E8059" s="2" t="s">
        <v>16</v>
      </c>
      <c r="F8059" s="2">
        <v>1</v>
      </c>
      <c r="G8059" s="2" t="s">
        <v>17</v>
      </c>
    </row>
    <row r="8060" spans="1:7" x14ac:dyDescent="0.2">
      <c r="A8060" s="2" t="s">
        <v>9616</v>
      </c>
      <c r="B8060" s="2" t="s">
        <v>2035</v>
      </c>
      <c r="C8060" s="2" t="s">
        <v>2036</v>
      </c>
      <c r="D8060" s="2" t="s">
        <v>10</v>
      </c>
      <c r="E8060" s="2" t="s">
        <v>16</v>
      </c>
      <c r="F8060" s="2">
        <v>1</v>
      </c>
      <c r="G8060" s="2" t="s">
        <v>17</v>
      </c>
    </row>
    <row r="8061" spans="1:7" x14ac:dyDescent="0.2">
      <c r="A8061" s="2" t="s">
        <v>9616</v>
      </c>
      <c r="B8061" s="2" t="s">
        <v>9617</v>
      </c>
      <c r="C8061" s="2" t="s">
        <v>9618</v>
      </c>
      <c r="D8061" s="2" t="s">
        <v>10</v>
      </c>
      <c r="E8061" s="2" t="s">
        <v>16</v>
      </c>
      <c r="F8061" s="2">
        <v>1</v>
      </c>
      <c r="G8061" s="2" t="s">
        <v>17</v>
      </c>
    </row>
    <row r="8062" spans="1:7" x14ac:dyDescent="0.2">
      <c r="A8062" s="2" t="s">
        <v>9616</v>
      </c>
      <c r="B8062" s="2" t="s">
        <v>2037</v>
      </c>
      <c r="C8062" s="2" t="s">
        <v>2036</v>
      </c>
      <c r="D8062" s="2" t="s">
        <v>10</v>
      </c>
      <c r="E8062" s="2" t="s">
        <v>16</v>
      </c>
      <c r="F8062" s="2">
        <v>1</v>
      </c>
      <c r="G8062" s="2" t="s">
        <v>17</v>
      </c>
    </row>
    <row r="8063" spans="1:7" x14ac:dyDescent="0.2">
      <c r="A8063" s="2" t="s">
        <v>9619</v>
      </c>
      <c r="B8063" s="2">
        <v>500</v>
      </c>
      <c r="C8063" s="2" t="s">
        <v>828</v>
      </c>
      <c r="D8063" s="2" t="s">
        <v>56</v>
      </c>
      <c r="E8063" s="2" t="s">
        <v>52</v>
      </c>
      <c r="F8063" s="2">
        <v>1</v>
      </c>
      <c r="G8063" s="2" t="s">
        <v>17</v>
      </c>
    </row>
    <row r="8064" spans="1:7" x14ac:dyDescent="0.2">
      <c r="A8064" s="2" t="s">
        <v>9620</v>
      </c>
      <c r="B8064" s="2" t="s">
        <v>9621</v>
      </c>
      <c r="C8064" s="2" t="s">
        <v>9622</v>
      </c>
      <c r="D8064" s="2" t="s">
        <v>10</v>
      </c>
      <c r="E8064" s="2" t="s">
        <v>16</v>
      </c>
      <c r="F8064" s="2">
        <v>1</v>
      </c>
      <c r="G8064" s="2" t="s">
        <v>17</v>
      </c>
    </row>
    <row r="8065" spans="1:7" x14ac:dyDescent="0.2">
      <c r="A8065" s="2" t="s">
        <v>9623</v>
      </c>
      <c r="B8065" s="2" t="s">
        <v>9624</v>
      </c>
      <c r="C8065" s="2" t="s">
        <v>9625</v>
      </c>
      <c r="D8065" s="2" t="s">
        <v>10</v>
      </c>
      <c r="E8065" s="2" t="s">
        <v>16</v>
      </c>
      <c r="F8065" s="2">
        <v>1</v>
      </c>
      <c r="G8065" s="2" t="s">
        <v>17</v>
      </c>
    </row>
    <row r="8066" spans="1:7" x14ac:dyDescent="0.2">
      <c r="A8066" s="2" t="s">
        <v>9623</v>
      </c>
      <c r="B8066" s="2" t="s">
        <v>9626</v>
      </c>
      <c r="C8066" s="2" t="s">
        <v>9625</v>
      </c>
      <c r="D8066" s="2" t="s">
        <v>10</v>
      </c>
      <c r="E8066" s="2" t="s">
        <v>16</v>
      </c>
      <c r="F8066" s="2">
        <v>1</v>
      </c>
      <c r="G8066" s="2" t="s">
        <v>17</v>
      </c>
    </row>
    <row r="8067" spans="1:7" x14ac:dyDescent="0.2">
      <c r="A8067" s="2" t="s">
        <v>9627</v>
      </c>
      <c r="B8067" s="2" t="s">
        <v>9628</v>
      </c>
      <c r="C8067" s="2" t="s">
        <v>9629</v>
      </c>
      <c r="D8067" s="2" t="s">
        <v>10</v>
      </c>
      <c r="E8067" s="2" t="s">
        <v>16</v>
      </c>
      <c r="F8067" s="2">
        <v>1</v>
      </c>
      <c r="G8067" s="2" t="s">
        <v>17</v>
      </c>
    </row>
    <row r="8068" spans="1:7" x14ac:dyDescent="0.2">
      <c r="A8068" s="2" t="s">
        <v>9627</v>
      </c>
      <c r="B8068" s="2" t="s">
        <v>9630</v>
      </c>
      <c r="C8068" s="2" t="s">
        <v>9631</v>
      </c>
      <c r="D8068" s="2" t="s">
        <v>10</v>
      </c>
      <c r="E8068" s="2" t="s">
        <v>16</v>
      </c>
      <c r="F8068" s="2">
        <v>1</v>
      </c>
      <c r="G8068" s="2" t="s">
        <v>17</v>
      </c>
    </row>
    <row r="8069" spans="1:7" x14ac:dyDescent="0.2">
      <c r="A8069" s="2" t="s">
        <v>9627</v>
      </c>
      <c r="B8069" s="2" t="s">
        <v>9632</v>
      </c>
      <c r="C8069" s="2" t="s">
        <v>9633</v>
      </c>
      <c r="D8069" s="2" t="s">
        <v>10</v>
      </c>
      <c r="E8069" s="2" t="s">
        <v>16</v>
      </c>
      <c r="F8069" s="2">
        <v>1</v>
      </c>
      <c r="G8069" s="2" t="s">
        <v>17</v>
      </c>
    </row>
    <row r="8070" spans="1:7" x14ac:dyDescent="0.2">
      <c r="A8070" s="2" t="s">
        <v>9627</v>
      </c>
      <c r="B8070" s="2" t="s">
        <v>9634</v>
      </c>
      <c r="C8070" s="2" t="s">
        <v>9635</v>
      </c>
      <c r="D8070" s="2" t="s">
        <v>10</v>
      </c>
      <c r="E8070" s="2" t="s">
        <v>16</v>
      </c>
      <c r="F8070" s="2">
        <v>1</v>
      </c>
      <c r="G8070" s="2" t="s">
        <v>17</v>
      </c>
    </row>
    <row r="8071" spans="1:7" x14ac:dyDescent="0.2">
      <c r="A8071" s="2" t="s">
        <v>9627</v>
      </c>
      <c r="B8071" s="2" t="s">
        <v>9636</v>
      </c>
      <c r="C8071" s="2" t="s">
        <v>9635</v>
      </c>
      <c r="D8071" s="2" t="s">
        <v>10</v>
      </c>
      <c r="E8071" s="2" t="s">
        <v>16</v>
      </c>
      <c r="F8071" s="2">
        <v>1</v>
      </c>
      <c r="G8071" s="2" t="s">
        <v>17</v>
      </c>
    </row>
    <row r="8072" spans="1:7" x14ac:dyDescent="0.2">
      <c r="A8072" s="2" t="s">
        <v>9627</v>
      </c>
      <c r="B8072" s="2" t="s">
        <v>9637</v>
      </c>
      <c r="C8072" s="2" t="s">
        <v>9629</v>
      </c>
      <c r="D8072" s="2" t="s">
        <v>10</v>
      </c>
      <c r="E8072" s="2" t="s">
        <v>16</v>
      </c>
      <c r="F8072" s="2">
        <v>1</v>
      </c>
      <c r="G8072" s="2" t="s">
        <v>17</v>
      </c>
    </row>
    <row r="8073" spans="1:7" x14ac:dyDescent="0.2">
      <c r="A8073" s="2" t="s">
        <v>9627</v>
      </c>
      <c r="B8073" s="2" t="s">
        <v>9638</v>
      </c>
      <c r="C8073" s="2" t="s">
        <v>9631</v>
      </c>
      <c r="D8073" s="2" t="s">
        <v>10</v>
      </c>
      <c r="E8073" s="2" t="s">
        <v>16</v>
      </c>
      <c r="F8073" s="2">
        <v>1</v>
      </c>
      <c r="G8073" s="2" t="s">
        <v>17</v>
      </c>
    </row>
    <row r="8074" spans="1:7" x14ac:dyDescent="0.2">
      <c r="A8074" s="2" t="s">
        <v>9627</v>
      </c>
      <c r="B8074" s="2" t="s">
        <v>4505</v>
      </c>
      <c r="C8074" s="2" t="s">
        <v>9633</v>
      </c>
      <c r="D8074" s="2" t="s">
        <v>10</v>
      </c>
      <c r="E8074" s="2" t="s">
        <v>16</v>
      </c>
      <c r="F8074" s="2">
        <v>1</v>
      </c>
      <c r="G8074" s="2" t="s">
        <v>17</v>
      </c>
    </row>
    <row r="8075" spans="1:7" x14ac:dyDescent="0.2">
      <c r="A8075" s="2" t="s">
        <v>9639</v>
      </c>
      <c r="B8075" s="2" t="s">
        <v>1757</v>
      </c>
      <c r="C8075" s="2" t="s">
        <v>9640</v>
      </c>
      <c r="D8075" s="2" t="s">
        <v>10</v>
      </c>
      <c r="E8075" s="2" t="s">
        <v>16</v>
      </c>
      <c r="F8075" s="2">
        <v>1</v>
      </c>
      <c r="G8075" s="2" t="s">
        <v>17</v>
      </c>
    </row>
    <row r="8076" spans="1:7" x14ac:dyDescent="0.2">
      <c r="A8076" s="2" t="s">
        <v>9641</v>
      </c>
      <c r="B8076" s="2" t="s">
        <v>1757</v>
      </c>
      <c r="C8076" s="2" t="s">
        <v>9640</v>
      </c>
      <c r="D8076" s="2" t="s">
        <v>10</v>
      </c>
      <c r="E8076" s="2" t="s">
        <v>16</v>
      </c>
      <c r="F8076" s="2">
        <v>1</v>
      </c>
      <c r="G8076" s="2" t="s">
        <v>17</v>
      </c>
    </row>
    <row r="8077" spans="1:7" x14ac:dyDescent="0.2">
      <c r="A8077" s="2" t="s">
        <v>9641</v>
      </c>
      <c r="B8077" s="2" t="s">
        <v>9642</v>
      </c>
      <c r="C8077" s="2" t="s">
        <v>9643</v>
      </c>
      <c r="D8077" s="2" t="s">
        <v>10</v>
      </c>
      <c r="E8077" s="2" t="s">
        <v>16</v>
      </c>
      <c r="F8077" s="2">
        <v>1</v>
      </c>
      <c r="G8077" s="2" t="s">
        <v>17</v>
      </c>
    </row>
    <row r="8078" spans="1:7" x14ac:dyDescent="0.2">
      <c r="A8078" s="2" t="s">
        <v>9644</v>
      </c>
      <c r="B8078" s="2" t="s">
        <v>9645</v>
      </c>
      <c r="C8078" s="2" t="s">
        <v>9646</v>
      </c>
      <c r="D8078" s="2" t="s">
        <v>10</v>
      </c>
      <c r="E8078" s="2" t="s">
        <v>16</v>
      </c>
      <c r="F8078" s="2">
        <v>1</v>
      </c>
      <c r="G8078" s="2" t="s">
        <v>17</v>
      </c>
    </row>
    <row r="8079" spans="1:7" x14ac:dyDescent="0.2">
      <c r="A8079" s="2" t="s">
        <v>9644</v>
      </c>
      <c r="B8079" s="2" t="s">
        <v>9647</v>
      </c>
      <c r="C8079" s="2" t="s">
        <v>9646</v>
      </c>
      <c r="D8079" s="2" t="s">
        <v>10</v>
      </c>
      <c r="E8079" s="2" t="s">
        <v>16</v>
      </c>
      <c r="F8079" s="2">
        <v>1</v>
      </c>
      <c r="G8079" s="2" t="s">
        <v>17</v>
      </c>
    </row>
    <row r="8080" spans="1:7" x14ac:dyDescent="0.2">
      <c r="A8080" s="2" t="s">
        <v>9644</v>
      </c>
      <c r="B8080" s="2" t="s">
        <v>9648</v>
      </c>
      <c r="C8080" s="2" t="s">
        <v>9649</v>
      </c>
      <c r="D8080" s="2" t="s">
        <v>10</v>
      </c>
      <c r="E8080" s="2" t="s">
        <v>16</v>
      </c>
      <c r="F8080" s="2">
        <v>1</v>
      </c>
      <c r="G8080" s="2" t="s">
        <v>17</v>
      </c>
    </row>
    <row r="8081" spans="1:7" x14ac:dyDescent="0.2">
      <c r="A8081" s="2" t="s">
        <v>9644</v>
      </c>
      <c r="B8081" s="2" t="s">
        <v>9650</v>
      </c>
      <c r="C8081" s="2" t="s">
        <v>9649</v>
      </c>
      <c r="D8081" s="2" t="s">
        <v>10</v>
      </c>
      <c r="E8081" s="2" t="s">
        <v>16</v>
      </c>
      <c r="F8081" s="2">
        <v>1</v>
      </c>
      <c r="G8081" s="2" t="s">
        <v>17</v>
      </c>
    </row>
    <row r="8082" spans="1:7" x14ac:dyDescent="0.2">
      <c r="A8082" s="2" t="s">
        <v>9644</v>
      </c>
      <c r="B8082" s="2" t="s">
        <v>9651</v>
      </c>
      <c r="C8082" s="2" t="s">
        <v>9649</v>
      </c>
      <c r="D8082" s="2" t="s">
        <v>10</v>
      </c>
      <c r="E8082" s="2" t="s">
        <v>16</v>
      </c>
      <c r="F8082" s="2">
        <v>1</v>
      </c>
      <c r="G8082" s="2" t="s">
        <v>17</v>
      </c>
    </row>
    <row r="8083" spans="1:7" x14ac:dyDescent="0.2">
      <c r="A8083" s="2" t="s">
        <v>9644</v>
      </c>
      <c r="B8083" s="2" t="s">
        <v>9652</v>
      </c>
      <c r="C8083" s="2" t="s">
        <v>9646</v>
      </c>
      <c r="D8083" s="2" t="s">
        <v>10</v>
      </c>
      <c r="E8083" s="2" t="s">
        <v>16</v>
      </c>
      <c r="F8083" s="2">
        <v>1</v>
      </c>
      <c r="G8083" s="2" t="s">
        <v>17</v>
      </c>
    </row>
    <row r="8084" spans="1:7" x14ac:dyDescent="0.2">
      <c r="A8084" s="2" t="s">
        <v>9644</v>
      </c>
      <c r="B8084" s="2" t="s">
        <v>9653</v>
      </c>
      <c r="C8084" s="2" t="s">
        <v>9646</v>
      </c>
      <c r="D8084" s="2" t="s">
        <v>10</v>
      </c>
      <c r="E8084" s="2" t="s">
        <v>16</v>
      </c>
      <c r="F8084" s="2">
        <v>1</v>
      </c>
      <c r="G8084" s="2" t="s">
        <v>17</v>
      </c>
    </row>
    <row r="8085" spans="1:7" x14ac:dyDescent="0.2">
      <c r="A8085" s="2" t="s">
        <v>9654</v>
      </c>
      <c r="B8085" s="2" t="s">
        <v>9655</v>
      </c>
      <c r="C8085" s="2" t="s">
        <v>9656</v>
      </c>
      <c r="D8085" s="2" t="s">
        <v>10</v>
      </c>
      <c r="E8085" s="2" t="s">
        <v>16</v>
      </c>
      <c r="F8085" s="2">
        <v>1</v>
      </c>
      <c r="G8085" s="2" t="s">
        <v>17</v>
      </c>
    </row>
    <row r="8086" spans="1:7" x14ac:dyDescent="0.2">
      <c r="A8086" s="2" t="s">
        <v>9654</v>
      </c>
      <c r="B8086" s="2" t="s">
        <v>9657</v>
      </c>
      <c r="C8086" s="2" t="s">
        <v>9658</v>
      </c>
      <c r="D8086" s="2" t="s">
        <v>10</v>
      </c>
      <c r="E8086" s="2" t="s">
        <v>16</v>
      </c>
      <c r="F8086" s="2">
        <v>1</v>
      </c>
      <c r="G8086" s="2" t="s">
        <v>17</v>
      </c>
    </row>
    <row r="8087" spans="1:7" x14ac:dyDescent="0.2">
      <c r="A8087" s="2" t="s">
        <v>9659</v>
      </c>
      <c r="B8087" s="2" t="s">
        <v>9660</v>
      </c>
      <c r="C8087" s="2" t="s">
        <v>9661</v>
      </c>
      <c r="D8087" s="2" t="s">
        <v>10</v>
      </c>
      <c r="E8087" s="2" t="s">
        <v>16</v>
      </c>
      <c r="F8087" s="2">
        <v>1</v>
      </c>
      <c r="G8087" s="2" t="s">
        <v>17</v>
      </c>
    </row>
    <row r="8088" spans="1:7" x14ac:dyDescent="0.2">
      <c r="A8088" s="2" t="s">
        <v>9659</v>
      </c>
      <c r="B8088" s="2" t="s">
        <v>6465</v>
      </c>
      <c r="C8088" s="2" t="s">
        <v>9662</v>
      </c>
      <c r="D8088" s="2" t="s">
        <v>10</v>
      </c>
      <c r="E8088" s="2" t="s">
        <v>16</v>
      </c>
      <c r="F8088" s="2">
        <v>1</v>
      </c>
      <c r="G8088" s="2" t="s">
        <v>17</v>
      </c>
    </row>
    <row r="8089" spans="1:7" x14ac:dyDescent="0.2">
      <c r="A8089" s="2" t="s">
        <v>9659</v>
      </c>
      <c r="B8089" s="2" t="s">
        <v>9663</v>
      </c>
      <c r="C8089" s="2" t="s">
        <v>9664</v>
      </c>
      <c r="D8089" s="2" t="s">
        <v>10</v>
      </c>
      <c r="E8089" s="2" t="s">
        <v>16</v>
      </c>
      <c r="F8089" s="2">
        <v>1</v>
      </c>
      <c r="G8089" s="2" t="s">
        <v>17</v>
      </c>
    </row>
    <row r="8090" spans="1:7" x14ac:dyDescent="0.2">
      <c r="A8090" s="2" t="s">
        <v>9659</v>
      </c>
      <c r="B8090" s="2" t="s">
        <v>9665</v>
      </c>
      <c r="C8090" s="2" t="s">
        <v>9666</v>
      </c>
      <c r="D8090" s="2" t="s">
        <v>10</v>
      </c>
      <c r="E8090" s="2" t="s">
        <v>16</v>
      </c>
      <c r="F8090" s="2">
        <v>1</v>
      </c>
      <c r="G8090" s="2" t="s">
        <v>17</v>
      </c>
    </row>
    <row r="8091" spans="1:7" x14ac:dyDescent="0.2">
      <c r="A8091" s="2" t="s">
        <v>9659</v>
      </c>
      <c r="B8091" s="2" t="s">
        <v>9667</v>
      </c>
      <c r="C8091" s="2" t="s">
        <v>9664</v>
      </c>
      <c r="D8091" s="2" t="s">
        <v>10</v>
      </c>
      <c r="E8091" s="2" t="s">
        <v>16</v>
      </c>
      <c r="F8091" s="2">
        <v>1</v>
      </c>
      <c r="G8091" s="2" t="s">
        <v>17</v>
      </c>
    </row>
    <row r="8092" spans="1:7" x14ac:dyDescent="0.2">
      <c r="A8092" s="2" t="s">
        <v>9659</v>
      </c>
      <c r="B8092" s="2" t="s">
        <v>9668</v>
      </c>
      <c r="C8092" s="2" t="s">
        <v>9662</v>
      </c>
      <c r="D8092" s="2" t="s">
        <v>10</v>
      </c>
      <c r="E8092" s="2" t="s">
        <v>16</v>
      </c>
      <c r="F8092" s="2">
        <v>1</v>
      </c>
      <c r="G8092" s="2" t="s">
        <v>17</v>
      </c>
    </row>
    <row r="8093" spans="1:7" x14ac:dyDescent="0.2">
      <c r="A8093" s="2" t="s">
        <v>9659</v>
      </c>
      <c r="B8093" s="2" t="s">
        <v>9669</v>
      </c>
      <c r="C8093" s="2" t="s">
        <v>9670</v>
      </c>
      <c r="D8093" s="2" t="s">
        <v>10</v>
      </c>
      <c r="E8093" s="2" t="s">
        <v>16</v>
      </c>
      <c r="F8093" s="2">
        <v>1</v>
      </c>
      <c r="G8093" s="2" t="s">
        <v>17</v>
      </c>
    </row>
    <row r="8094" spans="1:7" x14ac:dyDescent="0.2">
      <c r="A8094" s="2" t="s">
        <v>9659</v>
      </c>
      <c r="B8094" s="2" t="s">
        <v>9671</v>
      </c>
      <c r="C8094" s="2" t="s">
        <v>9666</v>
      </c>
      <c r="D8094" s="2" t="s">
        <v>10</v>
      </c>
      <c r="E8094" s="2" t="s">
        <v>16</v>
      </c>
      <c r="F8094" s="2">
        <v>1</v>
      </c>
      <c r="G8094" s="2" t="s">
        <v>17</v>
      </c>
    </row>
    <row r="8095" spans="1:7" x14ac:dyDescent="0.2">
      <c r="A8095" s="2" t="s">
        <v>9659</v>
      </c>
      <c r="B8095" s="2" t="s">
        <v>9672</v>
      </c>
      <c r="C8095" s="2" t="s">
        <v>9661</v>
      </c>
      <c r="D8095" s="2" t="s">
        <v>10</v>
      </c>
      <c r="E8095" s="2" t="s">
        <v>16</v>
      </c>
      <c r="F8095" s="2">
        <v>1</v>
      </c>
      <c r="G8095" s="2" t="s">
        <v>17</v>
      </c>
    </row>
    <row r="8096" spans="1:7" x14ac:dyDescent="0.2">
      <c r="A8096" s="2" t="s">
        <v>9659</v>
      </c>
      <c r="B8096" s="2" t="s">
        <v>9673</v>
      </c>
      <c r="C8096" s="2" t="s">
        <v>9661</v>
      </c>
      <c r="D8096" s="2" t="s">
        <v>10</v>
      </c>
      <c r="E8096" s="2" t="s">
        <v>16</v>
      </c>
      <c r="F8096" s="2">
        <v>1</v>
      </c>
      <c r="G8096" s="2" t="s">
        <v>17</v>
      </c>
    </row>
    <row r="8097" spans="1:7" x14ac:dyDescent="0.2">
      <c r="A8097" s="2" t="s">
        <v>9659</v>
      </c>
      <c r="B8097" s="2" t="s">
        <v>9674</v>
      </c>
      <c r="C8097" s="2" t="s">
        <v>9675</v>
      </c>
      <c r="D8097" s="2" t="s">
        <v>10</v>
      </c>
      <c r="E8097" s="2" t="s">
        <v>16</v>
      </c>
      <c r="F8097" s="2">
        <v>1</v>
      </c>
      <c r="G8097" s="2" t="s">
        <v>17</v>
      </c>
    </row>
    <row r="8098" spans="1:7" x14ac:dyDescent="0.2">
      <c r="A8098" s="2" t="s">
        <v>9659</v>
      </c>
      <c r="B8098" s="2" t="s">
        <v>9676</v>
      </c>
      <c r="C8098" s="2" t="s">
        <v>9670</v>
      </c>
      <c r="D8098" s="2" t="s">
        <v>10</v>
      </c>
      <c r="E8098" s="2" t="s">
        <v>16</v>
      </c>
      <c r="F8098" s="2">
        <v>1</v>
      </c>
      <c r="G8098" s="2" t="s">
        <v>17</v>
      </c>
    </row>
    <row r="8099" spans="1:7" x14ac:dyDescent="0.2">
      <c r="A8099" s="2" t="s">
        <v>9659</v>
      </c>
      <c r="B8099" s="2" t="s">
        <v>9677</v>
      </c>
      <c r="C8099" s="2" t="s">
        <v>9675</v>
      </c>
      <c r="D8099" s="2" t="s">
        <v>10</v>
      </c>
      <c r="E8099" s="2" t="s">
        <v>16</v>
      </c>
      <c r="F8099" s="2">
        <v>1</v>
      </c>
      <c r="G8099" s="2" t="s">
        <v>17</v>
      </c>
    </row>
    <row r="8100" spans="1:7" x14ac:dyDescent="0.2">
      <c r="A8100" s="2" t="s">
        <v>9659</v>
      </c>
      <c r="B8100" s="2" t="s">
        <v>9678</v>
      </c>
      <c r="C8100" s="2" t="s">
        <v>9661</v>
      </c>
      <c r="D8100" s="2" t="s">
        <v>10</v>
      </c>
      <c r="E8100" s="2" t="s">
        <v>16</v>
      </c>
      <c r="F8100" s="2">
        <v>1</v>
      </c>
      <c r="G8100" s="2" t="s">
        <v>17</v>
      </c>
    </row>
    <row r="8101" spans="1:7" x14ac:dyDescent="0.2">
      <c r="A8101" s="2" t="s">
        <v>9659</v>
      </c>
      <c r="B8101" s="2" t="s">
        <v>9679</v>
      </c>
      <c r="C8101" s="2" t="s">
        <v>9680</v>
      </c>
      <c r="D8101" s="2" t="s">
        <v>10</v>
      </c>
      <c r="E8101" s="2" t="s">
        <v>16</v>
      </c>
      <c r="F8101" s="2">
        <v>1</v>
      </c>
      <c r="G8101" s="2" t="s">
        <v>17</v>
      </c>
    </row>
    <row r="8102" spans="1:7" x14ac:dyDescent="0.2">
      <c r="A8102" s="2" t="s">
        <v>9659</v>
      </c>
      <c r="B8102" s="2" t="s">
        <v>9681</v>
      </c>
      <c r="C8102" s="2" t="s">
        <v>9680</v>
      </c>
      <c r="D8102" s="2" t="s">
        <v>10</v>
      </c>
      <c r="E8102" s="2" t="s">
        <v>16</v>
      </c>
      <c r="F8102" s="2">
        <v>1</v>
      </c>
      <c r="G8102" s="2" t="s">
        <v>17</v>
      </c>
    </row>
    <row r="8103" spans="1:7" x14ac:dyDescent="0.2">
      <c r="A8103" s="2" t="s">
        <v>9659</v>
      </c>
      <c r="B8103" s="2" t="s">
        <v>9682</v>
      </c>
      <c r="C8103" s="2" t="s">
        <v>9683</v>
      </c>
      <c r="D8103" s="2" t="s">
        <v>10</v>
      </c>
      <c r="E8103" s="2" t="s">
        <v>16</v>
      </c>
      <c r="F8103" s="2">
        <v>1</v>
      </c>
      <c r="G8103" s="2" t="s">
        <v>17</v>
      </c>
    </row>
    <row r="8104" spans="1:7" x14ac:dyDescent="0.2">
      <c r="A8104" s="2" t="s">
        <v>9659</v>
      </c>
      <c r="B8104" s="2" t="s">
        <v>2033</v>
      </c>
      <c r="C8104" s="2" t="s">
        <v>9683</v>
      </c>
      <c r="D8104" s="2" t="s">
        <v>10</v>
      </c>
      <c r="E8104" s="2" t="s">
        <v>16</v>
      </c>
      <c r="F8104" s="2">
        <v>1</v>
      </c>
      <c r="G8104" s="2" t="s">
        <v>17</v>
      </c>
    </row>
    <row r="8105" spans="1:7" x14ac:dyDescent="0.2">
      <c r="A8105" s="2" t="s">
        <v>9659</v>
      </c>
      <c r="B8105" s="2" t="s">
        <v>9684</v>
      </c>
      <c r="C8105" s="2" t="s">
        <v>9685</v>
      </c>
      <c r="D8105" s="2" t="s">
        <v>10</v>
      </c>
      <c r="E8105" s="2" t="s">
        <v>16</v>
      </c>
      <c r="F8105" s="2">
        <v>1</v>
      </c>
      <c r="G8105" s="2" t="s">
        <v>17</v>
      </c>
    </row>
    <row r="8106" spans="1:7" x14ac:dyDescent="0.2">
      <c r="A8106" s="2" t="s">
        <v>9659</v>
      </c>
      <c r="B8106" s="2" t="s">
        <v>9686</v>
      </c>
      <c r="C8106" s="2" t="s">
        <v>9685</v>
      </c>
      <c r="D8106" s="2" t="s">
        <v>10</v>
      </c>
      <c r="E8106" s="2" t="s">
        <v>16</v>
      </c>
      <c r="F8106" s="2">
        <v>1</v>
      </c>
      <c r="G8106" s="2" t="s">
        <v>17</v>
      </c>
    </row>
    <row r="8107" spans="1:7" x14ac:dyDescent="0.2">
      <c r="A8107" s="2" t="s">
        <v>9687</v>
      </c>
      <c r="B8107" s="2" t="s">
        <v>9688</v>
      </c>
      <c r="C8107" s="2" t="s">
        <v>9689</v>
      </c>
      <c r="D8107" s="2" t="s">
        <v>10</v>
      </c>
      <c r="E8107" s="2" t="s">
        <v>16</v>
      </c>
      <c r="F8107" s="2">
        <v>1</v>
      </c>
      <c r="G8107" s="2" t="s">
        <v>17</v>
      </c>
    </row>
    <row r="8108" spans="1:7" x14ac:dyDescent="0.2">
      <c r="A8108" s="2" t="s">
        <v>9687</v>
      </c>
      <c r="B8108" s="2" t="s">
        <v>9690</v>
      </c>
      <c r="C8108" s="2" t="s">
        <v>9691</v>
      </c>
      <c r="D8108" s="2" t="s">
        <v>10</v>
      </c>
      <c r="E8108" s="2" t="s">
        <v>16</v>
      </c>
      <c r="F8108" s="2">
        <v>1</v>
      </c>
      <c r="G8108" s="2" t="s">
        <v>17</v>
      </c>
    </row>
    <row r="8109" spans="1:7" x14ac:dyDescent="0.2">
      <c r="A8109" s="2" t="s">
        <v>9692</v>
      </c>
      <c r="B8109" s="2" t="s">
        <v>2197</v>
      </c>
      <c r="C8109" s="2" t="s">
        <v>2198</v>
      </c>
      <c r="D8109" s="2" t="s">
        <v>10</v>
      </c>
      <c r="E8109" s="2" t="s">
        <v>16</v>
      </c>
      <c r="F8109" s="2">
        <v>1</v>
      </c>
      <c r="G8109" s="2" t="s">
        <v>17</v>
      </c>
    </row>
    <row r="8110" spans="1:7" x14ac:dyDescent="0.2">
      <c r="A8110" s="2" t="s">
        <v>9692</v>
      </c>
      <c r="B8110" s="2" t="s">
        <v>2202</v>
      </c>
      <c r="C8110" s="2" t="s">
        <v>1413</v>
      </c>
      <c r="D8110" s="2" t="s">
        <v>10</v>
      </c>
      <c r="E8110" s="2" t="s">
        <v>52</v>
      </c>
      <c r="F8110" s="2">
        <v>1</v>
      </c>
      <c r="G8110" s="2" t="s">
        <v>17</v>
      </c>
    </row>
    <row r="8111" spans="1:7" x14ac:dyDescent="0.2">
      <c r="A8111" s="2" t="s">
        <v>9692</v>
      </c>
      <c r="B8111" s="2" t="s">
        <v>2211</v>
      </c>
      <c r="C8111" s="2" t="s">
        <v>2212</v>
      </c>
      <c r="D8111" s="2" t="s">
        <v>10</v>
      </c>
      <c r="E8111" s="2" t="s">
        <v>16</v>
      </c>
      <c r="F8111" s="2">
        <v>2</v>
      </c>
      <c r="G8111" s="2" t="s">
        <v>17</v>
      </c>
    </row>
    <row r="8112" spans="1:7" x14ac:dyDescent="0.2">
      <c r="A8112" s="2" t="s">
        <v>9692</v>
      </c>
      <c r="B8112" s="2" t="s">
        <v>2241</v>
      </c>
      <c r="C8112" s="2" t="s">
        <v>2234</v>
      </c>
      <c r="D8112" s="2" t="s">
        <v>10</v>
      </c>
      <c r="E8112" s="2" t="s">
        <v>52</v>
      </c>
      <c r="F8112" s="2">
        <v>2</v>
      </c>
      <c r="G8112" s="2" t="s">
        <v>17</v>
      </c>
    </row>
    <row r="8113" spans="1:7" x14ac:dyDescent="0.2">
      <c r="A8113" s="2" t="s">
        <v>9692</v>
      </c>
      <c r="B8113" s="2" t="s">
        <v>2248</v>
      </c>
      <c r="C8113" s="2" t="s">
        <v>2249</v>
      </c>
      <c r="D8113" s="2" t="s">
        <v>10</v>
      </c>
      <c r="E8113" s="2" t="s">
        <v>52</v>
      </c>
      <c r="F8113" s="2">
        <v>2</v>
      </c>
      <c r="G8113" s="2" t="s">
        <v>1058</v>
      </c>
    </row>
    <row r="8114" spans="1:7" x14ac:dyDescent="0.2">
      <c r="A8114" s="2" t="s">
        <v>9692</v>
      </c>
      <c r="B8114" s="2" t="s">
        <v>2250</v>
      </c>
      <c r="C8114" s="2" t="s">
        <v>2251</v>
      </c>
      <c r="D8114" s="2" t="s">
        <v>10</v>
      </c>
      <c r="E8114" s="2" t="s">
        <v>52</v>
      </c>
      <c r="F8114" s="2">
        <v>2</v>
      </c>
      <c r="G8114" s="2" t="s">
        <v>1058</v>
      </c>
    </row>
    <row r="8115" spans="1:7" x14ac:dyDescent="0.2">
      <c r="A8115" s="2" t="s">
        <v>9692</v>
      </c>
      <c r="B8115" s="2" t="s">
        <v>2252</v>
      </c>
      <c r="C8115" s="2" t="s">
        <v>2253</v>
      </c>
      <c r="D8115" s="2" t="s">
        <v>10</v>
      </c>
      <c r="E8115" s="2" t="s">
        <v>52</v>
      </c>
      <c r="F8115" s="2">
        <v>2</v>
      </c>
      <c r="G8115" s="2" t="s">
        <v>17</v>
      </c>
    </row>
    <row r="8116" spans="1:7" x14ac:dyDescent="0.2">
      <c r="A8116" s="2" t="s">
        <v>9692</v>
      </c>
      <c r="B8116" s="2" t="s">
        <v>6380</v>
      </c>
      <c r="C8116" s="2" t="s">
        <v>6381</v>
      </c>
      <c r="D8116" s="2" t="s">
        <v>10</v>
      </c>
      <c r="E8116" s="2" t="s">
        <v>11</v>
      </c>
      <c r="F8116" s="2">
        <v>2</v>
      </c>
      <c r="G8116" s="2" t="s">
        <v>17</v>
      </c>
    </row>
    <row r="8117" spans="1:7" x14ac:dyDescent="0.2">
      <c r="A8117" s="2" t="s">
        <v>9692</v>
      </c>
      <c r="B8117" s="2">
        <v>1900</v>
      </c>
      <c r="C8117" s="2" t="s">
        <v>2258</v>
      </c>
      <c r="D8117" s="2" t="s">
        <v>10</v>
      </c>
      <c r="E8117" s="2" t="s">
        <v>52</v>
      </c>
      <c r="F8117" s="2">
        <v>2</v>
      </c>
      <c r="G8117" s="2" t="s">
        <v>12</v>
      </c>
    </row>
    <row r="8118" spans="1:7" x14ac:dyDescent="0.2">
      <c r="A8118" s="2" t="s">
        <v>9692</v>
      </c>
      <c r="B8118" s="2" t="s">
        <v>2259</v>
      </c>
      <c r="C8118" s="2" t="s">
        <v>2260</v>
      </c>
      <c r="D8118" s="2" t="s">
        <v>10</v>
      </c>
      <c r="E8118" s="2" t="s">
        <v>52</v>
      </c>
      <c r="F8118" s="2">
        <v>2</v>
      </c>
      <c r="G8118" s="2" t="s">
        <v>17</v>
      </c>
    </row>
    <row r="8119" spans="1:7" x14ac:dyDescent="0.2">
      <c r="A8119" s="2" t="s">
        <v>9692</v>
      </c>
      <c r="B8119" s="2" t="s">
        <v>9693</v>
      </c>
      <c r="C8119" s="2" t="s">
        <v>2396</v>
      </c>
      <c r="D8119" s="2" t="s">
        <v>10</v>
      </c>
      <c r="E8119" s="2" t="s">
        <v>52</v>
      </c>
      <c r="F8119" s="2">
        <v>1</v>
      </c>
      <c r="G8119" s="2" t="s">
        <v>17</v>
      </c>
    </row>
    <row r="8120" spans="1:7" x14ac:dyDescent="0.2">
      <c r="A8120" s="2" t="s">
        <v>9692</v>
      </c>
      <c r="B8120" s="2" t="s">
        <v>2398</v>
      </c>
      <c r="C8120" s="2" t="s">
        <v>2396</v>
      </c>
      <c r="D8120" s="2" t="s">
        <v>10</v>
      </c>
      <c r="E8120" s="2" t="s">
        <v>52</v>
      </c>
      <c r="F8120" s="2">
        <v>1</v>
      </c>
      <c r="G8120" s="2" t="s">
        <v>17</v>
      </c>
    </row>
    <row r="8121" spans="1:7" x14ac:dyDescent="0.2">
      <c r="A8121" s="2" t="s">
        <v>9692</v>
      </c>
      <c r="B8121" s="2" t="s">
        <v>6382</v>
      </c>
      <c r="C8121" s="2" t="s">
        <v>6383</v>
      </c>
      <c r="D8121" s="2" t="s">
        <v>10</v>
      </c>
      <c r="E8121" s="2" t="s">
        <v>11</v>
      </c>
      <c r="F8121" s="2">
        <v>2</v>
      </c>
      <c r="G8121" s="2" t="s">
        <v>12</v>
      </c>
    </row>
    <row r="8122" spans="1:7" x14ac:dyDescent="0.2">
      <c r="A8122" s="2" t="s">
        <v>9692</v>
      </c>
      <c r="B8122" s="2" t="s">
        <v>9694</v>
      </c>
      <c r="C8122" s="2" t="s">
        <v>6383</v>
      </c>
      <c r="D8122" s="2" t="s">
        <v>10</v>
      </c>
      <c r="E8122" s="2" t="s">
        <v>11</v>
      </c>
      <c r="F8122" s="2">
        <v>2</v>
      </c>
      <c r="G8122" s="2" t="s">
        <v>12</v>
      </c>
    </row>
    <row r="8123" spans="1:7" x14ac:dyDescent="0.2">
      <c r="A8123" s="2" t="s">
        <v>9692</v>
      </c>
      <c r="B8123" s="2" t="s">
        <v>2388</v>
      </c>
      <c r="C8123" s="2" t="s">
        <v>2212</v>
      </c>
      <c r="D8123" s="2" t="s">
        <v>10</v>
      </c>
      <c r="E8123" s="2" t="s">
        <v>16</v>
      </c>
      <c r="F8123" s="2">
        <v>2</v>
      </c>
      <c r="G8123" s="2" t="s">
        <v>17</v>
      </c>
    </row>
    <row r="8124" spans="1:7" x14ac:dyDescent="0.2">
      <c r="A8124" s="2" t="s">
        <v>9692</v>
      </c>
      <c r="B8124" s="2" t="s">
        <v>2266</v>
      </c>
      <c r="C8124" s="2" t="s">
        <v>2198</v>
      </c>
      <c r="D8124" s="2" t="s">
        <v>10</v>
      </c>
      <c r="E8124" s="2" t="s">
        <v>16</v>
      </c>
      <c r="F8124" s="2">
        <v>1</v>
      </c>
      <c r="G8124" s="2" t="s">
        <v>17</v>
      </c>
    </row>
    <row r="8125" spans="1:7" x14ac:dyDescent="0.2">
      <c r="A8125" s="2" t="s">
        <v>9692</v>
      </c>
      <c r="B8125" s="2" t="s">
        <v>2271</v>
      </c>
      <c r="C8125" s="2" t="s">
        <v>1413</v>
      </c>
      <c r="D8125" s="2" t="s">
        <v>10</v>
      </c>
      <c r="E8125" s="2" t="s">
        <v>52</v>
      </c>
      <c r="F8125" s="2">
        <v>1</v>
      </c>
      <c r="G8125" s="2" t="s">
        <v>17</v>
      </c>
    </row>
    <row r="8126" spans="1:7" x14ac:dyDescent="0.2">
      <c r="A8126" s="2" t="s">
        <v>9692</v>
      </c>
      <c r="B8126" s="2" t="s">
        <v>9695</v>
      </c>
      <c r="C8126" s="2" t="s">
        <v>2249</v>
      </c>
      <c r="D8126" s="2" t="s">
        <v>10</v>
      </c>
      <c r="E8126" s="2" t="s">
        <v>52</v>
      </c>
      <c r="F8126" s="2">
        <v>2</v>
      </c>
      <c r="G8126" s="2" t="s">
        <v>1058</v>
      </c>
    </row>
    <row r="8127" spans="1:7" x14ac:dyDescent="0.2">
      <c r="A8127" s="2" t="s">
        <v>9692</v>
      </c>
      <c r="B8127" s="2" t="s">
        <v>9696</v>
      </c>
      <c r="C8127" s="2" t="s">
        <v>2396</v>
      </c>
      <c r="D8127" s="2" t="s">
        <v>10</v>
      </c>
      <c r="E8127" s="2" t="s">
        <v>52</v>
      </c>
      <c r="F8127" s="2">
        <v>1</v>
      </c>
      <c r="G8127" s="2" t="s">
        <v>17</v>
      </c>
    </row>
    <row r="8128" spans="1:7" x14ac:dyDescent="0.2">
      <c r="A8128" s="2" t="s">
        <v>9692</v>
      </c>
      <c r="B8128" s="2" t="s">
        <v>9697</v>
      </c>
      <c r="C8128" s="2" t="s">
        <v>2396</v>
      </c>
      <c r="D8128" s="2" t="s">
        <v>10</v>
      </c>
      <c r="E8128" s="2" t="s">
        <v>52</v>
      </c>
      <c r="F8128" s="2">
        <v>1</v>
      </c>
      <c r="G8128" s="2" t="s">
        <v>17</v>
      </c>
    </row>
    <row r="8129" spans="1:7" x14ac:dyDescent="0.2">
      <c r="A8129" s="2" t="s">
        <v>9692</v>
      </c>
      <c r="B8129" s="2" t="s">
        <v>6390</v>
      </c>
      <c r="C8129" s="2" t="s">
        <v>3098</v>
      </c>
      <c r="D8129" s="2" t="s">
        <v>10</v>
      </c>
      <c r="E8129" s="2" t="s">
        <v>11</v>
      </c>
      <c r="F8129" s="2">
        <v>2</v>
      </c>
      <c r="G8129" s="2" t="s">
        <v>12</v>
      </c>
    </row>
    <row r="8130" spans="1:7" x14ac:dyDescent="0.2">
      <c r="A8130" s="2" t="s">
        <v>9692</v>
      </c>
      <c r="B8130" s="2" t="s">
        <v>6385</v>
      </c>
      <c r="C8130" s="2" t="s">
        <v>3098</v>
      </c>
      <c r="D8130" s="2" t="s">
        <v>10</v>
      </c>
      <c r="E8130" s="2" t="s">
        <v>11</v>
      </c>
      <c r="F8130" s="2">
        <v>2</v>
      </c>
      <c r="G8130" s="2" t="s">
        <v>12</v>
      </c>
    </row>
    <row r="8131" spans="1:7" x14ac:dyDescent="0.2">
      <c r="A8131" s="2" t="s">
        <v>9692</v>
      </c>
      <c r="B8131" s="2" t="s">
        <v>9698</v>
      </c>
      <c r="C8131" s="2" t="s">
        <v>3101</v>
      </c>
      <c r="D8131" s="2" t="s">
        <v>10</v>
      </c>
      <c r="E8131" s="2" t="s">
        <v>11</v>
      </c>
      <c r="F8131" s="2">
        <v>2</v>
      </c>
      <c r="G8131" s="2" t="s">
        <v>12</v>
      </c>
    </row>
    <row r="8132" spans="1:7" x14ac:dyDescent="0.2">
      <c r="A8132" s="2" t="s">
        <v>9692</v>
      </c>
      <c r="B8132" s="2" t="s">
        <v>9699</v>
      </c>
      <c r="C8132" s="2" t="s">
        <v>2269</v>
      </c>
      <c r="D8132" s="2" t="s">
        <v>10</v>
      </c>
      <c r="E8132" s="2" t="s">
        <v>16</v>
      </c>
      <c r="F8132" s="2">
        <v>1</v>
      </c>
      <c r="G8132" s="2" t="s">
        <v>17</v>
      </c>
    </row>
    <row r="8133" spans="1:7" x14ac:dyDescent="0.2">
      <c r="A8133" s="2" t="s">
        <v>9692</v>
      </c>
      <c r="B8133" s="2" t="s">
        <v>6387</v>
      </c>
      <c r="C8133" s="2" t="s">
        <v>6383</v>
      </c>
      <c r="D8133" s="2" t="s">
        <v>10</v>
      </c>
      <c r="E8133" s="2" t="s">
        <v>11</v>
      </c>
      <c r="F8133" s="2">
        <v>2</v>
      </c>
      <c r="G8133" s="2" t="s">
        <v>12</v>
      </c>
    </row>
    <row r="8134" spans="1:7" x14ac:dyDescent="0.2">
      <c r="A8134" s="2" t="s">
        <v>9692</v>
      </c>
      <c r="B8134" s="2" t="s">
        <v>9700</v>
      </c>
      <c r="C8134" s="2" t="s">
        <v>6383</v>
      </c>
      <c r="D8134" s="2" t="s">
        <v>10</v>
      </c>
      <c r="E8134" s="2" t="s">
        <v>11</v>
      </c>
      <c r="F8134" s="2">
        <v>2</v>
      </c>
      <c r="G8134" s="2" t="s">
        <v>12</v>
      </c>
    </row>
    <row r="8135" spans="1:7" x14ac:dyDescent="0.2">
      <c r="A8135" s="2" t="s">
        <v>9692</v>
      </c>
      <c r="B8135" s="2" t="s">
        <v>2291</v>
      </c>
      <c r="C8135" s="2" t="s">
        <v>2255</v>
      </c>
      <c r="D8135" s="2" t="s">
        <v>10</v>
      </c>
      <c r="E8135" s="2" t="s">
        <v>11</v>
      </c>
      <c r="F8135" s="2">
        <v>2</v>
      </c>
      <c r="G8135" s="2" t="s">
        <v>12</v>
      </c>
    </row>
    <row r="8136" spans="1:7" x14ac:dyDescent="0.2">
      <c r="A8136" s="2" t="s">
        <v>9692</v>
      </c>
      <c r="B8136" s="2" t="s">
        <v>9701</v>
      </c>
      <c r="C8136" s="2" t="s">
        <v>2234</v>
      </c>
      <c r="D8136" s="2" t="s">
        <v>10</v>
      </c>
      <c r="E8136" s="2" t="s">
        <v>52</v>
      </c>
      <c r="F8136" s="2">
        <v>2</v>
      </c>
      <c r="G8136" s="2" t="s">
        <v>17</v>
      </c>
    </row>
    <row r="8137" spans="1:7" x14ac:dyDescent="0.2">
      <c r="A8137" s="2" t="s">
        <v>9692</v>
      </c>
      <c r="B8137" s="2" t="s">
        <v>9702</v>
      </c>
      <c r="C8137" s="2" t="s">
        <v>2251</v>
      </c>
      <c r="D8137" s="2" t="s">
        <v>10</v>
      </c>
      <c r="E8137" s="2" t="s">
        <v>52</v>
      </c>
      <c r="F8137" s="2">
        <v>2</v>
      </c>
      <c r="G8137" s="2" t="s">
        <v>1058</v>
      </c>
    </row>
    <row r="8138" spans="1:7" x14ac:dyDescent="0.2">
      <c r="A8138" s="2" t="s">
        <v>9692</v>
      </c>
      <c r="B8138" s="2" t="s">
        <v>6389</v>
      </c>
      <c r="C8138" s="2" t="s">
        <v>6381</v>
      </c>
      <c r="D8138" s="2" t="s">
        <v>10</v>
      </c>
      <c r="E8138" s="2" t="s">
        <v>11</v>
      </c>
      <c r="F8138" s="2">
        <v>2</v>
      </c>
      <c r="G8138" s="2" t="s">
        <v>17</v>
      </c>
    </row>
    <row r="8139" spans="1:7" x14ac:dyDescent="0.2">
      <c r="A8139" s="2" t="s">
        <v>9692</v>
      </c>
      <c r="B8139" s="2" t="s">
        <v>2485</v>
      </c>
      <c r="C8139" s="2" t="s">
        <v>2988</v>
      </c>
      <c r="D8139" s="2" t="s">
        <v>10</v>
      </c>
      <c r="E8139" s="2" t="s">
        <v>11</v>
      </c>
      <c r="F8139" s="2">
        <v>2</v>
      </c>
      <c r="G8139" s="2" t="s">
        <v>12</v>
      </c>
    </row>
    <row r="8140" spans="1:7" x14ac:dyDescent="0.2">
      <c r="A8140" s="2" t="s">
        <v>9692</v>
      </c>
      <c r="B8140" s="2" t="s">
        <v>2320</v>
      </c>
      <c r="C8140" s="2" t="s">
        <v>2260</v>
      </c>
      <c r="D8140" s="2" t="s">
        <v>10</v>
      </c>
      <c r="E8140" s="2" t="s">
        <v>52</v>
      </c>
      <c r="F8140" s="2">
        <v>2</v>
      </c>
      <c r="G8140" s="2" t="s">
        <v>17</v>
      </c>
    </row>
    <row r="8141" spans="1:7" x14ac:dyDescent="0.2">
      <c r="A8141" s="2" t="s">
        <v>9692</v>
      </c>
      <c r="B8141" s="2" t="s">
        <v>2322</v>
      </c>
      <c r="C8141" s="2" t="s">
        <v>2251</v>
      </c>
      <c r="D8141" s="2" t="s">
        <v>10</v>
      </c>
      <c r="E8141" s="2" t="s">
        <v>52</v>
      </c>
      <c r="F8141" s="2">
        <v>2</v>
      </c>
      <c r="G8141" s="2" t="s">
        <v>1058</v>
      </c>
    </row>
    <row r="8142" spans="1:7" x14ac:dyDescent="0.2">
      <c r="A8142" s="2" t="s">
        <v>9692</v>
      </c>
      <c r="B8142" s="2" t="s">
        <v>2323</v>
      </c>
      <c r="C8142" s="2" t="s">
        <v>2249</v>
      </c>
      <c r="D8142" s="2" t="s">
        <v>10</v>
      </c>
      <c r="E8142" s="2" t="s">
        <v>52</v>
      </c>
      <c r="F8142" s="2">
        <v>2</v>
      </c>
      <c r="G8142" s="2" t="s">
        <v>1058</v>
      </c>
    </row>
    <row r="8143" spans="1:7" x14ac:dyDescent="0.2">
      <c r="A8143" s="2" t="s">
        <v>9692</v>
      </c>
      <c r="B8143" s="2" t="s">
        <v>2324</v>
      </c>
      <c r="C8143" s="2" t="s">
        <v>2253</v>
      </c>
      <c r="D8143" s="2" t="s">
        <v>10</v>
      </c>
      <c r="E8143" s="2" t="s">
        <v>52</v>
      </c>
      <c r="F8143" s="2">
        <v>2</v>
      </c>
      <c r="G8143" s="2" t="s">
        <v>17</v>
      </c>
    </row>
    <row r="8144" spans="1:7" x14ac:dyDescent="0.2">
      <c r="A8144" s="2" t="s">
        <v>9692</v>
      </c>
      <c r="B8144" s="2" t="s">
        <v>2325</v>
      </c>
      <c r="C8144" s="2" t="s">
        <v>2255</v>
      </c>
      <c r="D8144" s="2" t="s">
        <v>10</v>
      </c>
      <c r="E8144" s="2" t="s">
        <v>11</v>
      </c>
      <c r="F8144" s="2">
        <v>2</v>
      </c>
      <c r="G8144" s="2" t="s">
        <v>12</v>
      </c>
    </row>
    <row r="8145" spans="1:7" x14ac:dyDescent="0.2">
      <c r="A8145" s="2" t="s">
        <v>9692</v>
      </c>
      <c r="B8145" s="2" t="s">
        <v>2395</v>
      </c>
      <c r="C8145" s="2" t="s">
        <v>2396</v>
      </c>
      <c r="D8145" s="2" t="s">
        <v>10</v>
      </c>
      <c r="E8145" s="2" t="s">
        <v>52</v>
      </c>
      <c r="F8145" s="2">
        <v>1</v>
      </c>
      <c r="G8145" s="2" t="s">
        <v>17</v>
      </c>
    </row>
    <row r="8146" spans="1:7" x14ac:dyDescent="0.2">
      <c r="A8146" s="2" t="s">
        <v>9692</v>
      </c>
      <c r="B8146" s="2" t="s">
        <v>2399</v>
      </c>
      <c r="C8146" s="2" t="s">
        <v>2396</v>
      </c>
      <c r="D8146" s="2" t="s">
        <v>10</v>
      </c>
      <c r="E8146" s="2" t="s">
        <v>52</v>
      </c>
      <c r="F8146" s="2">
        <v>1</v>
      </c>
      <c r="G8146" s="2" t="s">
        <v>17</v>
      </c>
    </row>
    <row r="8147" spans="1:7" x14ac:dyDescent="0.2">
      <c r="A8147" s="2" t="s">
        <v>9692</v>
      </c>
      <c r="B8147" s="2" t="s">
        <v>3128</v>
      </c>
      <c r="C8147" s="2" t="s">
        <v>3098</v>
      </c>
      <c r="D8147" s="2" t="s">
        <v>10</v>
      </c>
      <c r="E8147" s="2" t="s">
        <v>11</v>
      </c>
      <c r="F8147" s="2">
        <v>2</v>
      </c>
      <c r="G8147" s="2" t="s">
        <v>12</v>
      </c>
    </row>
    <row r="8148" spans="1:7" x14ac:dyDescent="0.2">
      <c r="A8148" s="2" t="s">
        <v>9692</v>
      </c>
      <c r="B8148" s="2" t="s">
        <v>2268</v>
      </c>
      <c r="C8148" s="2" t="s">
        <v>2269</v>
      </c>
      <c r="D8148" s="2" t="s">
        <v>10</v>
      </c>
      <c r="E8148" s="2" t="s">
        <v>16</v>
      </c>
      <c r="F8148" s="2">
        <v>1</v>
      </c>
      <c r="G8148" s="2" t="s">
        <v>17</v>
      </c>
    </row>
    <row r="8149" spans="1:7" x14ac:dyDescent="0.2">
      <c r="A8149" s="2" t="s">
        <v>9692</v>
      </c>
      <c r="B8149" s="2" t="s">
        <v>2402</v>
      </c>
      <c r="C8149" s="2" t="s">
        <v>2269</v>
      </c>
      <c r="D8149" s="2" t="s">
        <v>10</v>
      </c>
      <c r="E8149" s="2" t="s">
        <v>16</v>
      </c>
      <c r="F8149" s="2">
        <v>1</v>
      </c>
      <c r="G8149" s="2" t="s">
        <v>17</v>
      </c>
    </row>
    <row r="8150" spans="1:7" x14ac:dyDescent="0.2">
      <c r="A8150" s="2" t="s">
        <v>9692</v>
      </c>
      <c r="B8150" s="2" t="s">
        <v>9703</v>
      </c>
      <c r="C8150" s="2" t="s">
        <v>2269</v>
      </c>
      <c r="D8150" s="2" t="s">
        <v>10</v>
      </c>
      <c r="E8150" s="2" t="s">
        <v>16</v>
      </c>
      <c r="F8150" s="2">
        <v>1</v>
      </c>
      <c r="G8150" s="2" t="s">
        <v>17</v>
      </c>
    </row>
    <row r="8151" spans="1:7" x14ac:dyDescent="0.2">
      <c r="A8151" s="2" t="s">
        <v>9692</v>
      </c>
      <c r="B8151" s="2" t="s">
        <v>2403</v>
      </c>
      <c r="C8151" s="2" t="s">
        <v>2269</v>
      </c>
      <c r="D8151" s="2" t="s">
        <v>10</v>
      </c>
      <c r="E8151" s="2" t="s">
        <v>16</v>
      </c>
      <c r="F8151" s="2">
        <v>1</v>
      </c>
      <c r="G8151" s="2" t="s">
        <v>17</v>
      </c>
    </row>
    <row r="8152" spans="1:7" x14ac:dyDescent="0.2">
      <c r="A8152" s="2" t="s">
        <v>9692</v>
      </c>
      <c r="B8152" s="2" t="s">
        <v>2360</v>
      </c>
      <c r="C8152" s="2" t="s">
        <v>2359</v>
      </c>
      <c r="D8152" s="2" t="s">
        <v>10</v>
      </c>
      <c r="E8152" s="2" t="s">
        <v>16</v>
      </c>
      <c r="F8152" s="2">
        <v>1</v>
      </c>
      <c r="G8152" s="2" t="s">
        <v>17</v>
      </c>
    </row>
    <row r="8153" spans="1:7" x14ac:dyDescent="0.2">
      <c r="A8153" s="2" t="s">
        <v>9692</v>
      </c>
      <c r="B8153" s="2" t="s">
        <v>9704</v>
      </c>
      <c r="C8153" s="2" t="s">
        <v>2359</v>
      </c>
      <c r="D8153" s="2" t="s">
        <v>10</v>
      </c>
      <c r="E8153" s="2" t="s">
        <v>16</v>
      </c>
      <c r="F8153" s="2">
        <v>1</v>
      </c>
      <c r="G8153" s="2" t="s">
        <v>17</v>
      </c>
    </row>
    <row r="8154" spans="1:7" x14ac:dyDescent="0.2">
      <c r="A8154" s="2" t="s">
        <v>9692</v>
      </c>
      <c r="B8154" s="2" t="s">
        <v>2367</v>
      </c>
      <c r="C8154" s="2" t="s">
        <v>2255</v>
      </c>
      <c r="D8154" s="2" t="s">
        <v>10</v>
      </c>
      <c r="E8154" s="2" t="s">
        <v>11</v>
      </c>
      <c r="F8154" s="2">
        <v>2</v>
      </c>
      <c r="G8154" s="2" t="s">
        <v>12</v>
      </c>
    </row>
    <row r="8155" spans="1:7" x14ac:dyDescent="0.2">
      <c r="A8155" s="2" t="s">
        <v>9692</v>
      </c>
      <c r="B8155" s="2" t="s">
        <v>6397</v>
      </c>
      <c r="C8155" s="2" t="s">
        <v>2255</v>
      </c>
      <c r="D8155" s="2" t="s">
        <v>10</v>
      </c>
      <c r="E8155" s="2" t="s">
        <v>11</v>
      </c>
      <c r="F8155" s="2">
        <v>2</v>
      </c>
      <c r="G8155" s="2" t="s">
        <v>12</v>
      </c>
    </row>
    <row r="8156" spans="1:7" x14ac:dyDescent="0.2">
      <c r="A8156" s="2" t="s">
        <v>9692</v>
      </c>
      <c r="B8156" s="2" t="s">
        <v>2368</v>
      </c>
      <c r="C8156" s="2" t="s">
        <v>2255</v>
      </c>
      <c r="D8156" s="2" t="s">
        <v>10</v>
      </c>
      <c r="E8156" s="2" t="s">
        <v>11</v>
      </c>
      <c r="F8156" s="2">
        <v>2</v>
      </c>
      <c r="G8156" s="2" t="s">
        <v>12</v>
      </c>
    </row>
    <row r="8157" spans="1:7" x14ac:dyDescent="0.2">
      <c r="A8157" s="2" t="s">
        <v>9692</v>
      </c>
      <c r="B8157" s="2" t="s">
        <v>2369</v>
      </c>
      <c r="C8157" s="2" t="s">
        <v>2255</v>
      </c>
      <c r="D8157" s="2" t="s">
        <v>10</v>
      </c>
      <c r="E8157" s="2" t="s">
        <v>11</v>
      </c>
      <c r="F8157" s="2">
        <v>2</v>
      </c>
      <c r="G8157" s="2" t="s">
        <v>12</v>
      </c>
    </row>
    <row r="8158" spans="1:7" x14ac:dyDescent="0.2">
      <c r="A8158" s="2" t="s">
        <v>9692</v>
      </c>
      <c r="B8158" s="2" t="s">
        <v>2370</v>
      </c>
      <c r="C8158" s="2" t="s">
        <v>2255</v>
      </c>
      <c r="D8158" s="2" t="s">
        <v>10</v>
      </c>
      <c r="E8158" s="2" t="s">
        <v>11</v>
      </c>
      <c r="F8158" s="2">
        <v>2</v>
      </c>
      <c r="G8158" s="2" t="s">
        <v>12</v>
      </c>
    </row>
    <row r="8159" spans="1:7" x14ac:dyDescent="0.2">
      <c r="A8159" s="2" t="s">
        <v>9692</v>
      </c>
      <c r="B8159" s="2" t="s">
        <v>2371</v>
      </c>
      <c r="C8159" s="2" t="s">
        <v>2255</v>
      </c>
      <c r="D8159" s="2" t="s">
        <v>10</v>
      </c>
      <c r="E8159" s="2" t="s">
        <v>11</v>
      </c>
      <c r="F8159" s="2">
        <v>2</v>
      </c>
      <c r="G8159" s="2" t="s">
        <v>12</v>
      </c>
    </row>
    <row r="8160" spans="1:7" x14ac:dyDescent="0.2">
      <c r="A8160" s="2" t="s">
        <v>9692</v>
      </c>
      <c r="B8160" s="2" t="s">
        <v>9705</v>
      </c>
      <c r="C8160" s="2" t="s">
        <v>2255</v>
      </c>
      <c r="D8160" s="2" t="s">
        <v>10</v>
      </c>
      <c r="E8160" s="2" t="s">
        <v>11</v>
      </c>
      <c r="F8160" s="2">
        <v>2</v>
      </c>
      <c r="G8160" s="2" t="s">
        <v>12</v>
      </c>
    </row>
    <row r="8161" spans="1:7" x14ac:dyDescent="0.2">
      <c r="A8161" s="2" t="s">
        <v>9692</v>
      </c>
      <c r="B8161" s="2" t="s">
        <v>2373</v>
      </c>
      <c r="C8161" s="2" t="s">
        <v>2374</v>
      </c>
      <c r="D8161" s="2" t="s">
        <v>10</v>
      </c>
      <c r="E8161" s="2" t="s">
        <v>11</v>
      </c>
      <c r="F8161" s="2">
        <v>2</v>
      </c>
      <c r="G8161" s="2" t="s">
        <v>12</v>
      </c>
    </row>
    <row r="8162" spans="1:7" x14ac:dyDescent="0.2">
      <c r="A8162" s="2" t="s">
        <v>9692</v>
      </c>
      <c r="B8162" s="2" t="s">
        <v>2375</v>
      </c>
      <c r="C8162" s="2" t="s">
        <v>2374</v>
      </c>
      <c r="D8162" s="2" t="s">
        <v>10</v>
      </c>
      <c r="E8162" s="2" t="s">
        <v>11</v>
      </c>
      <c r="F8162" s="2">
        <v>2</v>
      </c>
      <c r="G8162" s="2" t="s">
        <v>12</v>
      </c>
    </row>
    <row r="8163" spans="1:7" x14ac:dyDescent="0.2">
      <c r="A8163" s="2" t="s">
        <v>9692</v>
      </c>
      <c r="B8163" s="2" t="s">
        <v>2376</v>
      </c>
      <c r="C8163" s="2" t="s">
        <v>2374</v>
      </c>
      <c r="D8163" s="2" t="s">
        <v>10</v>
      </c>
      <c r="E8163" s="2" t="s">
        <v>11</v>
      </c>
      <c r="F8163" s="2">
        <v>2</v>
      </c>
      <c r="G8163" s="2" t="s">
        <v>12</v>
      </c>
    </row>
    <row r="8164" spans="1:7" x14ac:dyDescent="0.2">
      <c r="A8164" s="2" t="s">
        <v>9692</v>
      </c>
      <c r="B8164" s="2" t="s">
        <v>6398</v>
      </c>
      <c r="C8164" s="2" t="s">
        <v>2374</v>
      </c>
      <c r="D8164" s="2" t="s">
        <v>10</v>
      </c>
      <c r="E8164" s="2" t="s">
        <v>11</v>
      </c>
      <c r="F8164" s="2">
        <v>2</v>
      </c>
      <c r="G8164" s="2" t="s">
        <v>12</v>
      </c>
    </row>
    <row r="8165" spans="1:7" x14ac:dyDescent="0.2">
      <c r="A8165" s="2" t="s">
        <v>9692</v>
      </c>
      <c r="B8165" s="2" t="s">
        <v>6399</v>
      </c>
      <c r="C8165" s="2" t="s">
        <v>2374</v>
      </c>
      <c r="D8165" s="2" t="s">
        <v>10</v>
      </c>
      <c r="E8165" s="2" t="s">
        <v>11</v>
      </c>
      <c r="F8165" s="2">
        <v>2</v>
      </c>
      <c r="G8165" s="2" t="s">
        <v>12</v>
      </c>
    </row>
    <row r="8166" spans="1:7" x14ac:dyDescent="0.2">
      <c r="A8166" s="2" t="s">
        <v>9692</v>
      </c>
      <c r="B8166" s="2" t="s">
        <v>2343</v>
      </c>
      <c r="C8166" s="2" t="s">
        <v>2269</v>
      </c>
      <c r="D8166" s="2" t="s">
        <v>10</v>
      </c>
      <c r="E8166" s="2" t="s">
        <v>16</v>
      </c>
      <c r="F8166" s="2">
        <v>1</v>
      </c>
      <c r="G8166" s="2" t="s">
        <v>17</v>
      </c>
    </row>
    <row r="8167" spans="1:7" x14ac:dyDescent="0.2">
      <c r="A8167" s="2" t="s">
        <v>9706</v>
      </c>
      <c r="B8167" s="2" t="s">
        <v>7143</v>
      </c>
      <c r="C8167" s="2" t="s">
        <v>7144</v>
      </c>
      <c r="D8167" s="2" t="s">
        <v>10</v>
      </c>
      <c r="E8167" s="2" t="s">
        <v>16</v>
      </c>
      <c r="F8167" s="2">
        <v>1</v>
      </c>
      <c r="G8167" s="2" t="s">
        <v>17</v>
      </c>
    </row>
    <row r="8168" spans="1:7" x14ac:dyDescent="0.2">
      <c r="A8168" s="2" t="s">
        <v>9707</v>
      </c>
      <c r="B8168" s="2" t="s">
        <v>9708</v>
      </c>
      <c r="C8168" s="2" t="s">
        <v>4144</v>
      </c>
      <c r="D8168" s="2" t="s">
        <v>10</v>
      </c>
      <c r="E8168" s="2" t="s">
        <v>16</v>
      </c>
      <c r="F8168" s="2">
        <v>1</v>
      </c>
      <c r="G8168" s="2" t="s">
        <v>17</v>
      </c>
    </row>
    <row r="8169" spans="1:7" x14ac:dyDescent="0.2">
      <c r="A8169" s="2" t="s">
        <v>9707</v>
      </c>
      <c r="B8169" s="2" t="s">
        <v>9709</v>
      </c>
      <c r="C8169" s="2" t="s">
        <v>4144</v>
      </c>
      <c r="D8169" s="2" t="s">
        <v>10</v>
      </c>
      <c r="E8169" s="2" t="s">
        <v>16</v>
      </c>
      <c r="F8169" s="2">
        <v>1</v>
      </c>
      <c r="G8169" s="2" t="s">
        <v>17</v>
      </c>
    </row>
    <row r="8170" spans="1:7" x14ac:dyDescent="0.2">
      <c r="A8170" s="2" t="s">
        <v>9707</v>
      </c>
      <c r="B8170" s="2" t="s">
        <v>9710</v>
      </c>
      <c r="C8170" s="2" t="s">
        <v>6285</v>
      </c>
      <c r="D8170" s="2" t="s">
        <v>10</v>
      </c>
      <c r="E8170" s="2" t="s">
        <v>16</v>
      </c>
      <c r="F8170" s="2">
        <v>1</v>
      </c>
      <c r="G8170" s="2" t="s">
        <v>17</v>
      </c>
    </row>
    <row r="8171" spans="1:7" x14ac:dyDescent="0.2">
      <c r="A8171" s="2" t="s">
        <v>9707</v>
      </c>
      <c r="B8171" s="2" t="s">
        <v>9711</v>
      </c>
      <c r="C8171" s="2" t="s">
        <v>6285</v>
      </c>
      <c r="D8171" s="2" t="s">
        <v>10</v>
      </c>
      <c r="E8171" s="2" t="s">
        <v>16</v>
      </c>
      <c r="F8171" s="2">
        <v>1</v>
      </c>
      <c r="G8171" s="2" t="s">
        <v>17</v>
      </c>
    </row>
    <row r="8172" spans="1:7" x14ac:dyDescent="0.2">
      <c r="A8172" s="2" t="s">
        <v>9707</v>
      </c>
      <c r="B8172" s="2" t="s">
        <v>9712</v>
      </c>
      <c r="C8172" s="2" t="s">
        <v>6285</v>
      </c>
      <c r="D8172" s="2" t="s">
        <v>10</v>
      </c>
      <c r="E8172" s="2" t="s">
        <v>16</v>
      </c>
      <c r="F8172" s="2">
        <v>1</v>
      </c>
      <c r="G8172" s="2" t="s">
        <v>17</v>
      </c>
    </row>
    <row r="8173" spans="1:7" x14ac:dyDescent="0.2">
      <c r="A8173" s="2" t="s">
        <v>9707</v>
      </c>
      <c r="B8173" s="2" t="s">
        <v>4145</v>
      </c>
      <c r="C8173" s="2" t="s">
        <v>4144</v>
      </c>
      <c r="D8173" s="2" t="s">
        <v>10</v>
      </c>
      <c r="E8173" s="2" t="s">
        <v>16</v>
      </c>
      <c r="F8173" s="2">
        <v>1</v>
      </c>
      <c r="G8173" s="2" t="s">
        <v>17</v>
      </c>
    </row>
    <row r="8174" spans="1:7" x14ac:dyDescent="0.2">
      <c r="A8174" s="2" t="s">
        <v>9707</v>
      </c>
      <c r="B8174" s="2" t="s">
        <v>6611</v>
      </c>
      <c r="C8174" s="2" t="s">
        <v>6285</v>
      </c>
      <c r="D8174" s="2" t="s">
        <v>10</v>
      </c>
      <c r="E8174" s="2" t="s">
        <v>16</v>
      </c>
      <c r="F8174" s="2">
        <v>1</v>
      </c>
      <c r="G8174" s="2" t="s">
        <v>17</v>
      </c>
    </row>
    <row r="8175" spans="1:7" x14ac:dyDescent="0.2">
      <c r="A8175" s="2" t="s">
        <v>9707</v>
      </c>
      <c r="B8175" s="2" t="s">
        <v>9713</v>
      </c>
      <c r="C8175" s="2" t="s">
        <v>9714</v>
      </c>
      <c r="D8175" s="2" t="s">
        <v>10</v>
      </c>
      <c r="E8175" s="2" t="s">
        <v>16</v>
      </c>
      <c r="F8175" s="2">
        <v>1</v>
      </c>
      <c r="G8175" s="2" t="s">
        <v>17</v>
      </c>
    </row>
    <row r="8176" spans="1:7" x14ac:dyDescent="0.2">
      <c r="A8176" s="2" t="s">
        <v>9707</v>
      </c>
      <c r="B8176" s="2" t="s">
        <v>9715</v>
      </c>
      <c r="C8176" s="2" t="s">
        <v>9714</v>
      </c>
      <c r="D8176" s="2" t="s">
        <v>10</v>
      </c>
      <c r="E8176" s="2" t="s">
        <v>16</v>
      </c>
      <c r="F8176" s="2">
        <v>1</v>
      </c>
      <c r="G8176" s="2" t="s">
        <v>17</v>
      </c>
    </row>
    <row r="8177" spans="1:7" x14ac:dyDescent="0.2">
      <c r="A8177" s="2" t="s">
        <v>9707</v>
      </c>
      <c r="B8177" s="2" t="s">
        <v>9716</v>
      </c>
      <c r="C8177" s="2" t="s">
        <v>9717</v>
      </c>
      <c r="D8177" s="2" t="s">
        <v>10</v>
      </c>
      <c r="E8177" s="2" t="s">
        <v>16</v>
      </c>
      <c r="F8177" s="2">
        <v>1</v>
      </c>
      <c r="G8177" s="2" t="s">
        <v>17</v>
      </c>
    </row>
    <row r="8178" spans="1:7" x14ac:dyDescent="0.2">
      <c r="A8178" s="2" t="s">
        <v>9707</v>
      </c>
      <c r="B8178" s="2" t="s">
        <v>9718</v>
      </c>
      <c r="C8178" s="2" t="s">
        <v>9717</v>
      </c>
      <c r="D8178" s="2" t="s">
        <v>10</v>
      </c>
      <c r="E8178" s="2" t="s">
        <v>16</v>
      </c>
      <c r="F8178" s="2">
        <v>1</v>
      </c>
      <c r="G8178" s="2" t="s">
        <v>17</v>
      </c>
    </row>
    <row r="8179" spans="1:7" x14ac:dyDescent="0.2">
      <c r="A8179" s="2" t="s">
        <v>9707</v>
      </c>
      <c r="B8179" s="2" t="s">
        <v>9719</v>
      </c>
      <c r="C8179" s="2" t="s">
        <v>9720</v>
      </c>
      <c r="D8179" s="2" t="s">
        <v>10</v>
      </c>
      <c r="E8179" s="2" t="s">
        <v>16</v>
      </c>
      <c r="F8179" s="2">
        <v>1</v>
      </c>
      <c r="G8179" s="2" t="s">
        <v>17</v>
      </c>
    </row>
    <row r="8180" spans="1:7" x14ac:dyDescent="0.2">
      <c r="A8180" s="2" t="s">
        <v>9707</v>
      </c>
      <c r="B8180" s="2" t="s">
        <v>9721</v>
      </c>
      <c r="C8180" s="2" t="s">
        <v>9720</v>
      </c>
      <c r="D8180" s="2" t="s">
        <v>10</v>
      </c>
      <c r="E8180" s="2" t="s">
        <v>16</v>
      </c>
      <c r="F8180" s="2">
        <v>1</v>
      </c>
      <c r="G8180" s="2" t="s">
        <v>17</v>
      </c>
    </row>
    <row r="8181" spans="1:7" x14ac:dyDescent="0.2">
      <c r="A8181" s="2" t="s">
        <v>9707</v>
      </c>
      <c r="B8181" s="2" t="s">
        <v>9722</v>
      </c>
      <c r="C8181" s="2" t="s">
        <v>9720</v>
      </c>
      <c r="D8181" s="2" t="s">
        <v>10</v>
      </c>
      <c r="E8181" s="2" t="s">
        <v>16</v>
      </c>
      <c r="F8181" s="2">
        <v>1</v>
      </c>
      <c r="G8181" s="2" t="s">
        <v>17</v>
      </c>
    </row>
    <row r="8182" spans="1:7" x14ac:dyDescent="0.2">
      <c r="A8182" s="2" t="s">
        <v>9707</v>
      </c>
      <c r="B8182" s="2" t="s">
        <v>9723</v>
      </c>
      <c r="C8182" s="2" t="s">
        <v>9720</v>
      </c>
      <c r="D8182" s="2" t="s">
        <v>10</v>
      </c>
      <c r="E8182" s="2" t="s">
        <v>16</v>
      </c>
      <c r="F8182" s="2">
        <v>1</v>
      </c>
      <c r="G8182" s="2" t="s">
        <v>17</v>
      </c>
    </row>
    <row r="8183" spans="1:7" x14ac:dyDescent="0.2">
      <c r="A8183" s="2" t="s">
        <v>9707</v>
      </c>
      <c r="B8183" s="2" t="s">
        <v>9724</v>
      </c>
      <c r="C8183" s="2" t="s">
        <v>4144</v>
      </c>
      <c r="D8183" s="2" t="s">
        <v>10</v>
      </c>
      <c r="E8183" s="2" t="s">
        <v>16</v>
      </c>
      <c r="F8183" s="2">
        <v>1</v>
      </c>
      <c r="G8183" s="2" t="s">
        <v>17</v>
      </c>
    </row>
    <row r="8184" spans="1:7" x14ac:dyDescent="0.2">
      <c r="A8184" s="2" t="s">
        <v>9725</v>
      </c>
      <c r="B8184" s="2" t="s">
        <v>9726</v>
      </c>
      <c r="C8184" s="2" t="s">
        <v>9727</v>
      </c>
      <c r="D8184" s="2" t="s">
        <v>29</v>
      </c>
      <c r="E8184" s="2" t="s">
        <v>16</v>
      </c>
      <c r="F8184" s="2">
        <v>1</v>
      </c>
      <c r="G8184" s="2" t="s">
        <v>17</v>
      </c>
    </row>
    <row r="8185" spans="1:7" x14ac:dyDescent="0.2">
      <c r="A8185" s="2" t="s">
        <v>9728</v>
      </c>
      <c r="B8185" s="2" t="s">
        <v>9729</v>
      </c>
      <c r="C8185" s="2" t="s">
        <v>9730</v>
      </c>
      <c r="D8185" s="2" t="s">
        <v>10</v>
      </c>
      <c r="E8185" s="2" t="s">
        <v>16</v>
      </c>
      <c r="F8185" s="2">
        <v>1</v>
      </c>
      <c r="G8185" s="2" t="s">
        <v>17</v>
      </c>
    </row>
    <row r="8186" spans="1:7" x14ac:dyDescent="0.2">
      <c r="A8186" s="2" t="s">
        <v>9728</v>
      </c>
      <c r="B8186" s="2" t="s">
        <v>9731</v>
      </c>
      <c r="C8186" s="2" t="s">
        <v>5678</v>
      </c>
      <c r="D8186" s="2" t="s">
        <v>10</v>
      </c>
      <c r="E8186" s="2" t="s">
        <v>16</v>
      </c>
      <c r="F8186" s="2">
        <v>1</v>
      </c>
      <c r="G8186" s="2" t="s">
        <v>17</v>
      </c>
    </row>
    <row r="8187" spans="1:7" x14ac:dyDescent="0.2">
      <c r="A8187" s="2" t="s">
        <v>9728</v>
      </c>
      <c r="B8187" s="2" t="s">
        <v>9732</v>
      </c>
      <c r="C8187" s="2" t="s">
        <v>9733</v>
      </c>
      <c r="D8187" s="2" t="s">
        <v>10</v>
      </c>
      <c r="E8187" s="2" t="s">
        <v>16</v>
      </c>
      <c r="F8187" s="2">
        <v>1</v>
      </c>
      <c r="G8187" s="2" t="s">
        <v>17</v>
      </c>
    </row>
    <row r="8188" spans="1:7" x14ac:dyDescent="0.2">
      <c r="A8188" s="2" t="s">
        <v>9728</v>
      </c>
      <c r="B8188" s="2" t="s">
        <v>9734</v>
      </c>
      <c r="C8188" s="2" t="s">
        <v>9733</v>
      </c>
      <c r="D8188" s="2" t="s">
        <v>10</v>
      </c>
      <c r="E8188" s="2" t="s">
        <v>16</v>
      </c>
      <c r="F8188" s="2">
        <v>1</v>
      </c>
      <c r="G8188" s="2" t="s">
        <v>17</v>
      </c>
    </row>
    <row r="8189" spans="1:7" x14ac:dyDescent="0.2">
      <c r="A8189" s="2" t="s">
        <v>9735</v>
      </c>
      <c r="B8189" s="2" t="s">
        <v>7567</v>
      </c>
      <c r="C8189" s="2" t="s">
        <v>7568</v>
      </c>
      <c r="D8189" s="2" t="s">
        <v>10</v>
      </c>
      <c r="E8189" s="2" t="s">
        <v>16</v>
      </c>
      <c r="F8189" s="2">
        <v>1</v>
      </c>
      <c r="G8189" s="2" t="s">
        <v>17</v>
      </c>
    </row>
    <row r="8190" spans="1:7" x14ac:dyDescent="0.2">
      <c r="A8190" s="2" t="s">
        <v>9735</v>
      </c>
      <c r="B8190" s="2" t="s">
        <v>9736</v>
      </c>
      <c r="C8190" s="2" t="s">
        <v>9737</v>
      </c>
      <c r="D8190" s="2" t="s">
        <v>10</v>
      </c>
      <c r="E8190" s="2" t="s">
        <v>16</v>
      </c>
      <c r="F8190" s="2">
        <v>1</v>
      </c>
      <c r="G8190" s="2" t="s">
        <v>17</v>
      </c>
    </row>
    <row r="8191" spans="1:7" x14ac:dyDescent="0.2">
      <c r="A8191" s="2" t="s">
        <v>9735</v>
      </c>
      <c r="B8191" s="2" t="s">
        <v>9738</v>
      </c>
      <c r="C8191" s="2" t="s">
        <v>9737</v>
      </c>
      <c r="D8191" s="2" t="s">
        <v>10</v>
      </c>
      <c r="E8191" s="2" t="s">
        <v>16</v>
      </c>
      <c r="F8191" s="2">
        <v>1</v>
      </c>
      <c r="G8191" s="2" t="s">
        <v>17</v>
      </c>
    </row>
    <row r="8192" spans="1:7" x14ac:dyDescent="0.2">
      <c r="A8192" s="2" t="s">
        <v>9739</v>
      </c>
      <c r="B8192" s="2" t="s">
        <v>9740</v>
      </c>
      <c r="C8192" s="2" t="s">
        <v>1983</v>
      </c>
      <c r="D8192" s="2" t="s">
        <v>10</v>
      </c>
      <c r="E8192" s="2" t="s">
        <v>16</v>
      </c>
      <c r="F8192" s="2">
        <v>1</v>
      </c>
      <c r="G8192" s="2" t="s">
        <v>17</v>
      </c>
    </row>
    <row r="8193" spans="1:7" x14ac:dyDescent="0.2">
      <c r="A8193" s="2" t="s">
        <v>9739</v>
      </c>
      <c r="B8193" s="2" t="s">
        <v>9741</v>
      </c>
      <c r="C8193" s="2" t="s">
        <v>1984</v>
      </c>
      <c r="D8193" s="2" t="s">
        <v>10</v>
      </c>
      <c r="E8193" s="2" t="s">
        <v>16</v>
      </c>
      <c r="F8193" s="2">
        <v>1</v>
      </c>
      <c r="G8193" s="2" t="s">
        <v>17</v>
      </c>
    </row>
    <row r="8194" spans="1:7" x14ac:dyDescent="0.2">
      <c r="A8194" s="2" t="s">
        <v>9739</v>
      </c>
      <c r="B8194" s="2" t="s">
        <v>3657</v>
      </c>
      <c r="C8194" s="2" t="s">
        <v>3658</v>
      </c>
      <c r="D8194" s="2" t="s">
        <v>10</v>
      </c>
      <c r="E8194" s="2" t="s">
        <v>52</v>
      </c>
      <c r="F8194" s="2">
        <v>2</v>
      </c>
      <c r="G8194" s="2" t="s">
        <v>17</v>
      </c>
    </row>
    <row r="8195" spans="1:7" x14ac:dyDescent="0.2">
      <c r="A8195" s="2" t="s">
        <v>9739</v>
      </c>
      <c r="B8195" s="2" t="s">
        <v>3660</v>
      </c>
      <c r="C8195" s="2" t="s">
        <v>1989</v>
      </c>
      <c r="D8195" s="2" t="s">
        <v>10</v>
      </c>
      <c r="E8195" s="2" t="s">
        <v>16</v>
      </c>
      <c r="F8195" s="2">
        <v>1</v>
      </c>
      <c r="G8195" s="2" t="s">
        <v>17</v>
      </c>
    </row>
    <row r="8196" spans="1:7" x14ac:dyDescent="0.2">
      <c r="A8196" s="2" t="s">
        <v>9739</v>
      </c>
      <c r="B8196" s="2" t="s">
        <v>2283</v>
      </c>
      <c r="C8196" s="2" t="s">
        <v>1983</v>
      </c>
      <c r="D8196" s="2" t="s">
        <v>10</v>
      </c>
      <c r="E8196" s="2" t="s">
        <v>16</v>
      </c>
      <c r="F8196" s="2">
        <v>1</v>
      </c>
      <c r="G8196" s="2" t="s">
        <v>17</v>
      </c>
    </row>
    <row r="8197" spans="1:7" x14ac:dyDescent="0.2">
      <c r="A8197" s="2" t="s">
        <v>9739</v>
      </c>
      <c r="B8197" s="2" t="s">
        <v>9742</v>
      </c>
      <c r="C8197" s="2" t="s">
        <v>1983</v>
      </c>
      <c r="D8197" s="2" t="s">
        <v>10</v>
      </c>
      <c r="E8197" s="2" t="s">
        <v>16</v>
      </c>
      <c r="F8197" s="2">
        <v>1</v>
      </c>
      <c r="G8197" s="2" t="s">
        <v>17</v>
      </c>
    </row>
    <row r="8198" spans="1:7" x14ac:dyDescent="0.2">
      <c r="A8198" s="2" t="s">
        <v>9739</v>
      </c>
      <c r="B8198" s="2" t="s">
        <v>9743</v>
      </c>
      <c r="C8198" s="2" t="s">
        <v>1983</v>
      </c>
      <c r="D8198" s="2" t="s">
        <v>10</v>
      </c>
      <c r="E8198" s="2" t="s">
        <v>16</v>
      </c>
      <c r="F8198" s="2">
        <v>1</v>
      </c>
      <c r="G8198" s="2" t="s">
        <v>17</v>
      </c>
    </row>
    <row r="8199" spans="1:7" x14ac:dyDescent="0.2">
      <c r="A8199" s="2" t="s">
        <v>9739</v>
      </c>
      <c r="B8199" s="2" t="s">
        <v>9744</v>
      </c>
      <c r="C8199" s="2" t="s">
        <v>1984</v>
      </c>
      <c r="D8199" s="2" t="s">
        <v>10</v>
      </c>
      <c r="E8199" s="2" t="s">
        <v>16</v>
      </c>
      <c r="F8199" s="2">
        <v>1</v>
      </c>
      <c r="G8199" s="2" t="s">
        <v>17</v>
      </c>
    </row>
    <row r="8200" spans="1:7" x14ac:dyDescent="0.2">
      <c r="A8200" s="2" t="s">
        <v>9739</v>
      </c>
      <c r="B8200" s="2" t="s">
        <v>9745</v>
      </c>
      <c r="C8200" s="2" t="s">
        <v>1985</v>
      </c>
      <c r="D8200" s="2" t="s">
        <v>10</v>
      </c>
      <c r="E8200" s="2" t="s">
        <v>16</v>
      </c>
      <c r="F8200" s="2">
        <v>1</v>
      </c>
      <c r="G8200" s="2" t="s">
        <v>17</v>
      </c>
    </row>
    <row r="8201" spans="1:7" x14ac:dyDescent="0.2">
      <c r="A8201" s="2" t="s">
        <v>9739</v>
      </c>
      <c r="B8201" s="2" t="s">
        <v>9746</v>
      </c>
      <c r="C8201" s="2" t="s">
        <v>1985</v>
      </c>
      <c r="D8201" s="2" t="s">
        <v>10</v>
      </c>
      <c r="E8201" s="2" t="s">
        <v>16</v>
      </c>
      <c r="F8201" s="2">
        <v>1</v>
      </c>
      <c r="G8201" s="2" t="s">
        <v>17</v>
      </c>
    </row>
    <row r="8202" spans="1:7" x14ac:dyDescent="0.2">
      <c r="A8202" s="2" t="s">
        <v>9739</v>
      </c>
      <c r="B8202" s="2" t="s">
        <v>9747</v>
      </c>
      <c r="C8202" s="2" t="s">
        <v>1989</v>
      </c>
      <c r="D8202" s="2" t="s">
        <v>10</v>
      </c>
      <c r="E8202" s="2" t="s">
        <v>16</v>
      </c>
      <c r="F8202" s="2">
        <v>1</v>
      </c>
      <c r="G8202" s="2" t="s">
        <v>17</v>
      </c>
    </row>
    <row r="8203" spans="1:7" x14ac:dyDescent="0.2">
      <c r="A8203" s="2" t="s">
        <v>9739</v>
      </c>
      <c r="B8203" s="2" t="s">
        <v>9748</v>
      </c>
      <c r="C8203" s="2" t="s">
        <v>1990</v>
      </c>
      <c r="D8203" s="2" t="s">
        <v>10</v>
      </c>
      <c r="E8203" s="2" t="s">
        <v>16</v>
      </c>
      <c r="F8203" s="2">
        <v>1</v>
      </c>
      <c r="G8203" s="2" t="s">
        <v>17</v>
      </c>
    </row>
    <row r="8204" spans="1:7" x14ac:dyDescent="0.2">
      <c r="A8204" s="2" t="s">
        <v>9739</v>
      </c>
      <c r="B8204" s="2" t="s">
        <v>9749</v>
      </c>
      <c r="C8204" s="2" t="s">
        <v>3540</v>
      </c>
      <c r="D8204" s="2" t="s">
        <v>10</v>
      </c>
      <c r="E8204" s="2" t="s">
        <v>16</v>
      </c>
      <c r="F8204" s="2">
        <v>1</v>
      </c>
      <c r="G8204" s="2" t="s">
        <v>17</v>
      </c>
    </row>
    <row r="8205" spans="1:7" x14ac:dyDescent="0.2">
      <c r="A8205" s="2" t="s">
        <v>9739</v>
      </c>
      <c r="B8205" s="2" t="s">
        <v>9750</v>
      </c>
      <c r="C8205" s="2" t="s">
        <v>1995</v>
      </c>
      <c r="D8205" s="2" t="s">
        <v>10</v>
      </c>
      <c r="E8205" s="2" t="s">
        <v>16</v>
      </c>
      <c r="F8205" s="2">
        <v>2</v>
      </c>
      <c r="G8205" s="2" t="s">
        <v>17</v>
      </c>
    </row>
    <row r="8206" spans="1:7" x14ac:dyDescent="0.2">
      <c r="A8206" s="2" t="s">
        <v>9739</v>
      </c>
      <c r="B8206" s="2" t="s">
        <v>3749</v>
      </c>
      <c r="C8206" s="2" t="s">
        <v>3658</v>
      </c>
      <c r="D8206" s="2" t="s">
        <v>10</v>
      </c>
      <c r="E8206" s="2" t="s">
        <v>52</v>
      </c>
      <c r="F8206" s="2">
        <v>2</v>
      </c>
      <c r="G8206" s="2" t="s">
        <v>17</v>
      </c>
    </row>
    <row r="8207" spans="1:7" x14ac:dyDescent="0.2">
      <c r="A8207" s="2" t="s">
        <v>9739</v>
      </c>
      <c r="B8207" s="2" t="s">
        <v>3750</v>
      </c>
      <c r="C8207" s="2" t="s">
        <v>3658</v>
      </c>
      <c r="D8207" s="2" t="s">
        <v>10</v>
      </c>
      <c r="E8207" s="2" t="s">
        <v>52</v>
      </c>
      <c r="F8207" s="2">
        <v>2</v>
      </c>
      <c r="G8207" s="2" t="s">
        <v>17</v>
      </c>
    </row>
    <row r="8208" spans="1:7" x14ac:dyDescent="0.2">
      <c r="A8208" s="2" t="s">
        <v>9739</v>
      </c>
      <c r="B8208" s="2" t="s">
        <v>9751</v>
      </c>
      <c r="C8208" s="2" t="s">
        <v>1983</v>
      </c>
      <c r="D8208" s="2" t="s">
        <v>10</v>
      </c>
      <c r="E8208" s="2" t="s">
        <v>16</v>
      </c>
      <c r="F8208" s="2">
        <v>1</v>
      </c>
      <c r="G8208" s="2" t="s">
        <v>17</v>
      </c>
    </row>
    <row r="8209" spans="1:7" x14ac:dyDescent="0.2">
      <c r="A8209" s="2" t="s">
        <v>9739</v>
      </c>
      <c r="B8209" s="2" t="s">
        <v>9752</v>
      </c>
      <c r="C8209" s="2" t="s">
        <v>1984</v>
      </c>
      <c r="D8209" s="2" t="s">
        <v>10</v>
      </c>
      <c r="E8209" s="2" t="s">
        <v>16</v>
      </c>
      <c r="F8209" s="2">
        <v>1</v>
      </c>
      <c r="G8209" s="2" t="s">
        <v>17</v>
      </c>
    </row>
    <row r="8210" spans="1:7" x14ac:dyDescent="0.2">
      <c r="A8210" s="2" t="s">
        <v>9739</v>
      </c>
      <c r="B8210" s="2" t="s">
        <v>9753</v>
      </c>
      <c r="C8210" s="2" t="s">
        <v>1985</v>
      </c>
      <c r="D8210" s="2" t="s">
        <v>10</v>
      </c>
      <c r="E8210" s="2" t="s">
        <v>16</v>
      </c>
      <c r="F8210" s="2">
        <v>1</v>
      </c>
      <c r="G8210" s="2" t="s">
        <v>17</v>
      </c>
    </row>
    <row r="8211" spans="1:7" x14ac:dyDescent="0.2">
      <c r="A8211" s="2" t="s">
        <v>9739</v>
      </c>
      <c r="B8211" s="2" t="s">
        <v>9754</v>
      </c>
      <c r="C8211" s="2" t="s">
        <v>3734</v>
      </c>
      <c r="D8211" s="2" t="s">
        <v>10</v>
      </c>
      <c r="E8211" s="2" t="s">
        <v>16</v>
      </c>
      <c r="F8211" s="2">
        <v>2</v>
      </c>
      <c r="G8211" s="2" t="s">
        <v>17</v>
      </c>
    </row>
    <row r="8212" spans="1:7" x14ac:dyDescent="0.2">
      <c r="A8212" s="2" t="s">
        <v>9739</v>
      </c>
      <c r="B8212" s="2" t="s">
        <v>9755</v>
      </c>
      <c r="C8212" s="2" t="s">
        <v>1985</v>
      </c>
      <c r="D8212" s="2" t="s">
        <v>10</v>
      </c>
      <c r="E8212" s="2" t="s">
        <v>16</v>
      </c>
      <c r="F8212" s="2">
        <v>1</v>
      </c>
      <c r="G8212" s="2" t="s">
        <v>17</v>
      </c>
    </row>
    <row r="8213" spans="1:7" x14ac:dyDescent="0.2">
      <c r="A8213" s="2" t="s">
        <v>9739</v>
      </c>
      <c r="B8213" s="2" t="s">
        <v>9756</v>
      </c>
      <c r="C8213" s="2" t="s">
        <v>1985</v>
      </c>
      <c r="D8213" s="2" t="s">
        <v>10</v>
      </c>
      <c r="E8213" s="2" t="s">
        <v>16</v>
      </c>
      <c r="F8213" s="2">
        <v>1</v>
      </c>
      <c r="G8213" s="2" t="s">
        <v>17</v>
      </c>
    </row>
    <row r="8214" spans="1:7" x14ac:dyDescent="0.2">
      <c r="A8214" s="2" t="s">
        <v>9739</v>
      </c>
      <c r="B8214" s="2" t="s">
        <v>9757</v>
      </c>
      <c r="C8214" s="2" t="s">
        <v>2004</v>
      </c>
      <c r="D8214" s="2" t="s">
        <v>10</v>
      </c>
      <c r="E8214" s="2" t="s">
        <v>16</v>
      </c>
      <c r="F8214" s="2">
        <v>1</v>
      </c>
      <c r="G8214" s="2" t="s">
        <v>17</v>
      </c>
    </row>
    <row r="8215" spans="1:7" x14ac:dyDescent="0.2">
      <c r="A8215" s="2" t="s">
        <v>9739</v>
      </c>
      <c r="B8215" s="2" t="s">
        <v>9758</v>
      </c>
      <c r="C8215" s="2" t="s">
        <v>1983</v>
      </c>
      <c r="D8215" s="2" t="s">
        <v>10</v>
      </c>
      <c r="E8215" s="2" t="s">
        <v>16</v>
      </c>
      <c r="F8215" s="2">
        <v>1</v>
      </c>
      <c r="G8215" s="2" t="s">
        <v>17</v>
      </c>
    </row>
    <row r="8216" spans="1:7" x14ac:dyDescent="0.2">
      <c r="A8216" s="2" t="s">
        <v>9739</v>
      </c>
      <c r="B8216" s="2" t="s">
        <v>9759</v>
      </c>
      <c r="C8216" s="2" t="s">
        <v>1995</v>
      </c>
      <c r="D8216" s="2" t="s">
        <v>10</v>
      </c>
      <c r="E8216" s="2" t="s">
        <v>16</v>
      </c>
      <c r="F8216" s="2">
        <v>2</v>
      </c>
      <c r="G8216" s="2" t="s">
        <v>17</v>
      </c>
    </row>
    <row r="8217" spans="1:7" x14ac:dyDescent="0.2">
      <c r="A8217" s="2" t="s">
        <v>9739</v>
      </c>
      <c r="B8217" s="2" t="s">
        <v>9760</v>
      </c>
      <c r="C8217" s="2" t="s">
        <v>1995</v>
      </c>
      <c r="D8217" s="2" t="s">
        <v>10</v>
      </c>
      <c r="E8217" s="2" t="s">
        <v>16</v>
      </c>
      <c r="F8217" s="2">
        <v>2</v>
      </c>
      <c r="G8217" s="2" t="s">
        <v>17</v>
      </c>
    </row>
    <row r="8218" spans="1:7" x14ac:dyDescent="0.2">
      <c r="A8218" s="2" t="s">
        <v>9739</v>
      </c>
      <c r="B8218" s="2" t="s">
        <v>9761</v>
      </c>
      <c r="C8218" s="2" t="s">
        <v>3734</v>
      </c>
      <c r="D8218" s="2" t="s">
        <v>10</v>
      </c>
      <c r="E8218" s="2" t="s">
        <v>16</v>
      </c>
      <c r="F8218" s="2">
        <v>2</v>
      </c>
      <c r="G8218" s="2" t="s">
        <v>17</v>
      </c>
    </row>
    <row r="8219" spans="1:7" x14ac:dyDescent="0.2">
      <c r="A8219" s="2" t="s">
        <v>9739</v>
      </c>
      <c r="B8219" s="2" t="s">
        <v>9762</v>
      </c>
      <c r="C8219" s="2" t="s">
        <v>1995</v>
      </c>
      <c r="D8219" s="2" t="s">
        <v>10</v>
      </c>
      <c r="E8219" s="2" t="s">
        <v>16</v>
      </c>
      <c r="F8219" s="2">
        <v>2</v>
      </c>
      <c r="G8219" s="2" t="s">
        <v>17</v>
      </c>
    </row>
    <row r="8220" spans="1:7" x14ac:dyDescent="0.2">
      <c r="A8220" s="2" t="s">
        <v>9739</v>
      </c>
      <c r="B8220" s="2" t="s">
        <v>3753</v>
      </c>
      <c r="C8220" s="2" t="s">
        <v>1985</v>
      </c>
      <c r="D8220" s="2" t="s">
        <v>10</v>
      </c>
      <c r="E8220" s="2" t="s">
        <v>16</v>
      </c>
      <c r="F8220" s="2">
        <v>1</v>
      </c>
      <c r="G8220" s="2" t="s">
        <v>17</v>
      </c>
    </row>
    <row r="8221" spans="1:7" x14ac:dyDescent="0.2">
      <c r="A8221" s="2" t="s">
        <v>9739</v>
      </c>
      <c r="B8221" s="2" t="s">
        <v>9763</v>
      </c>
      <c r="C8221" s="2" t="s">
        <v>1995</v>
      </c>
      <c r="D8221" s="2" t="s">
        <v>10</v>
      </c>
      <c r="E8221" s="2" t="s">
        <v>16</v>
      </c>
      <c r="F8221" s="2">
        <v>2</v>
      </c>
      <c r="G8221" s="2" t="s">
        <v>17</v>
      </c>
    </row>
    <row r="8222" spans="1:7" x14ac:dyDescent="0.2">
      <c r="A8222" s="2" t="s">
        <v>9739</v>
      </c>
      <c r="B8222" s="2" t="s">
        <v>9764</v>
      </c>
      <c r="C8222" s="2" t="s">
        <v>1985</v>
      </c>
      <c r="D8222" s="2" t="s">
        <v>10</v>
      </c>
      <c r="E8222" s="2" t="s">
        <v>16</v>
      </c>
      <c r="F8222" s="2">
        <v>1</v>
      </c>
      <c r="G8222" s="2" t="s">
        <v>17</v>
      </c>
    </row>
    <row r="8223" spans="1:7" x14ac:dyDescent="0.2">
      <c r="A8223" s="2" t="s">
        <v>9739</v>
      </c>
      <c r="B8223" s="2" t="s">
        <v>3779</v>
      </c>
      <c r="C8223" s="2" t="s">
        <v>1985</v>
      </c>
      <c r="D8223" s="2" t="s">
        <v>10</v>
      </c>
      <c r="E8223" s="2" t="s">
        <v>16</v>
      </c>
      <c r="F8223" s="2">
        <v>1</v>
      </c>
      <c r="G8223" s="2" t="s">
        <v>17</v>
      </c>
    </row>
    <row r="8224" spans="1:7" x14ac:dyDescent="0.2">
      <c r="A8224" s="2" t="s">
        <v>9739</v>
      </c>
      <c r="B8224" s="2" t="s">
        <v>1304</v>
      </c>
      <c r="C8224" s="2" t="s">
        <v>1990</v>
      </c>
      <c r="D8224" s="2" t="s">
        <v>10</v>
      </c>
      <c r="E8224" s="2" t="s">
        <v>16</v>
      </c>
      <c r="F8224" s="2">
        <v>1</v>
      </c>
      <c r="G8224" s="2" t="s">
        <v>17</v>
      </c>
    </row>
    <row r="8225" spans="1:7" x14ac:dyDescent="0.2">
      <c r="A8225" s="2" t="s">
        <v>9739</v>
      </c>
      <c r="B8225" s="2" t="s">
        <v>3782</v>
      </c>
      <c r="C8225" s="2" t="s">
        <v>2004</v>
      </c>
      <c r="D8225" s="2" t="s">
        <v>10</v>
      </c>
      <c r="E8225" s="2" t="s">
        <v>16</v>
      </c>
      <c r="F8225" s="2">
        <v>1</v>
      </c>
      <c r="G8225" s="2" t="s">
        <v>17</v>
      </c>
    </row>
    <row r="8226" spans="1:7" x14ac:dyDescent="0.2">
      <c r="A8226" s="2" t="s">
        <v>9739</v>
      </c>
      <c r="B8226" s="2" t="s">
        <v>3701</v>
      </c>
      <c r="C8226" s="2" t="s">
        <v>1995</v>
      </c>
      <c r="D8226" s="2" t="s">
        <v>10</v>
      </c>
      <c r="E8226" s="2" t="s">
        <v>16</v>
      </c>
      <c r="F8226" s="2">
        <v>2</v>
      </c>
      <c r="G8226" s="2" t="s">
        <v>17</v>
      </c>
    </row>
    <row r="8227" spans="1:7" x14ac:dyDescent="0.2">
      <c r="A8227" s="2" t="s">
        <v>9739</v>
      </c>
      <c r="B8227" s="2" t="s">
        <v>3810</v>
      </c>
      <c r="C8227" s="2" t="s">
        <v>1995</v>
      </c>
      <c r="D8227" s="2" t="s">
        <v>10</v>
      </c>
      <c r="E8227" s="2" t="s">
        <v>16</v>
      </c>
      <c r="F8227" s="2">
        <v>2</v>
      </c>
      <c r="G8227" s="2" t="s">
        <v>17</v>
      </c>
    </row>
    <row r="8228" spans="1:7" x14ac:dyDescent="0.2">
      <c r="A8228" s="2" t="s">
        <v>9739</v>
      </c>
      <c r="B8228" s="2" t="s">
        <v>3793</v>
      </c>
      <c r="C8228" s="2" t="s">
        <v>3658</v>
      </c>
      <c r="D8228" s="2" t="s">
        <v>10</v>
      </c>
      <c r="E8228" s="2" t="s">
        <v>52</v>
      </c>
      <c r="F8228" s="2">
        <v>2</v>
      </c>
      <c r="G8228" s="2" t="s">
        <v>17</v>
      </c>
    </row>
    <row r="8229" spans="1:7" x14ac:dyDescent="0.2">
      <c r="A8229" s="2" t="s">
        <v>9765</v>
      </c>
      <c r="B8229" s="2" t="s">
        <v>9766</v>
      </c>
      <c r="C8229" s="2" t="s">
        <v>9767</v>
      </c>
      <c r="D8229" s="2" t="s">
        <v>10</v>
      </c>
      <c r="E8229" s="2" t="s">
        <v>16</v>
      </c>
      <c r="F8229" s="2">
        <v>1</v>
      </c>
      <c r="G8229" s="2" t="s">
        <v>17</v>
      </c>
    </row>
    <row r="8230" spans="1:7" x14ac:dyDescent="0.2">
      <c r="A8230" s="2" t="s">
        <v>9768</v>
      </c>
      <c r="B8230" s="2">
        <v>325</v>
      </c>
      <c r="C8230" s="2" t="s">
        <v>9769</v>
      </c>
      <c r="D8230" s="2" t="s">
        <v>10</v>
      </c>
      <c r="E8230" s="2" t="s">
        <v>16</v>
      </c>
      <c r="F8230" s="2">
        <v>1</v>
      </c>
      <c r="G8230" s="2" t="s">
        <v>17</v>
      </c>
    </row>
    <row r="8231" spans="1:7" x14ac:dyDescent="0.2">
      <c r="A8231" s="2" t="s">
        <v>9770</v>
      </c>
      <c r="B8231" s="2" t="s">
        <v>9771</v>
      </c>
      <c r="C8231" s="2" t="s">
        <v>9771</v>
      </c>
      <c r="D8231" s="2" t="s">
        <v>10</v>
      </c>
      <c r="E8231" s="2" t="s">
        <v>16</v>
      </c>
      <c r="F8231" s="2">
        <v>1</v>
      </c>
      <c r="G8231" s="2" t="s">
        <v>17</v>
      </c>
    </row>
    <row r="8232" spans="1:7" x14ac:dyDescent="0.2">
      <c r="A8232" s="2" t="s">
        <v>9770</v>
      </c>
      <c r="B8232" s="2" t="s">
        <v>9772</v>
      </c>
      <c r="C8232" s="2" t="s">
        <v>9773</v>
      </c>
      <c r="D8232" s="2" t="s">
        <v>10</v>
      </c>
      <c r="E8232" s="2" t="s">
        <v>16</v>
      </c>
      <c r="F8232" s="2">
        <v>1</v>
      </c>
      <c r="G8232" s="2" t="s">
        <v>17</v>
      </c>
    </row>
    <row r="8233" spans="1:7" x14ac:dyDescent="0.2">
      <c r="A8233" s="2" t="s">
        <v>9770</v>
      </c>
      <c r="B8233" s="2" t="s">
        <v>9774</v>
      </c>
      <c r="C8233" s="2" t="s">
        <v>9773</v>
      </c>
      <c r="D8233" s="2" t="s">
        <v>10</v>
      </c>
      <c r="E8233" s="2" t="s">
        <v>16</v>
      </c>
      <c r="F8233" s="2">
        <v>1</v>
      </c>
      <c r="G8233" s="2" t="s">
        <v>17</v>
      </c>
    </row>
    <row r="8234" spans="1:7" x14ac:dyDescent="0.2">
      <c r="A8234" s="2" t="s">
        <v>9775</v>
      </c>
      <c r="B8234" s="2" t="s">
        <v>2612</v>
      </c>
      <c r="C8234" s="2" t="s">
        <v>2613</v>
      </c>
      <c r="D8234" s="2" t="s">
        <v>10</v>
      </c>
      <c r="E8234" s="2" t="s">
        <v>16</v>
      </c>
      <c r="F8234" s="2">
        <v>1</v>
      </c>
      <c r="G8234" s="2" t="s">
        <v>17</v>
      </c>
    </row>
    <row r="8235" spans="1:7" x14ac:dyDescent="0.2">
      <c r="A8235" s="2" t="s">
        <v>9776</v>
      </c>
      <c r="B8235" s="2">
        <v>8</v>
      </c>
      <c r="C8235" s="2" t="s">
        <v>7843</v>
      </c>
      <c r="D8235" s="2" t="s">
        <v>10</v>
      </c>
      <c r="E8235" s="2" t="s">
        <v>16</v>
      </c>
      <c r="F8235" s="2">
        <v>1</v>
      </c>
      <c r="G8235" s="2" t="s">
        <v>17</v>
      </c>
    </row>
    <row r="8236" spans="1:7" x14ac:dyDescent="0.2">
      <c r="A8236" s="2" t="s">
        <v>9777</v>
      </c>
      <c r="B8236" s="2" t="s">
        <v>4209</v>
      </c>
      <c r="C8236" s="2" t="s">
        <v>2630</v>
      </c>
      <c r="D8236" s="2" t="s">
        <v>10</v>
      </c>
      <c r="E8236" s="2" t="s">
        <v>16</v>
      </c>
      <c r="F8236" s="2">
        <v>1</v>
      </c>
      <c r="G8236" s="2" t="s">
        <v>17</v>
      </c>
    </row>
    <row r="8237" spans="1:7" x14ac:dyDescent="0.2">
      <c r="A8237" s="2" t="s">
        <v>9777</v>
      </c>
      <c r="B8237" s="2" t="s">
        <v>4589</v>
      </c>
      <c r="C8237" s="2" t="s">
        <v>325</v>
      </c>
      <c r="D8237" s="2" t="s">
        <v>10</v>
      </c>
      <c r="E8237" s="2" t="s">
        <v>16</v>
      </c>
      <c r="F8237" s="2">
        <v>1</v>
      </c>
      <c r="G8237" s="2" t="s">
        <v>17</v>
      </c>
    </row>
    <row r="8238" spans="1:7" x14ac:dyDescent="0.2">
      <c r="A8238" s="2" t="s">
        <v>9777</v>
      </c>
      <c r="B8238" s="2" t="s">
        <v>4210</v>
      </c>
      <c r="C8238" s="2" t="s">
        <v>2630</v>
      </c>
      <c r="D8238" s="2" t="s">
        <v>10</v>
      </c>
      <c r="E8238" s="2" t="s">
        <v>16</v>
      </c>
      <c r="F8238" s="2">
        <v>1</v>
      </c>
      <c r="G8238" s="2" t="s">
        <v>17</v>
      </c>
    </row>
    <row r="8239" spans="1:7" x14ac:dyDescent="0.2">
      <c r="A8239" s="2" t="s">
        <v>9778</v>
      </c>
      <c r="B8239" s="2" t="s">
        <v>9626</v>
      </c>
      <c r="C8239" s="2" t="s">
        <v>9779</v>
      </c>
      <c r="D8239" s="2" t="s">
        <v>10</v>
      </c>
      <c r="E8239" s="2" t="s">
        <v>16</v>
      </c>
      <c r="F8239" s="2">
        <v>1</v>
      </c>
      <c r="G8239" s="2" t="s">
        <v>17</v>
      </c>
    </row>
    <row r="8240" spans="1:7" x14ac:dyDescent="0.2">
      <c r="A8240" s="2" t="s">
        <v>9780</v>
      </c>
      <c r="B8240" s="2" t="s">
        <v>588</v>
      </c>
      <c r="C8240" s="2" t="s">
        <v>589</v>
      </c>
      <c r="D8240" s="2" t="s">
        <v>56</v>
      </c>
      <c r="E8240" s="2" t="s">
        <v>52</v>
      </c>
      <c r="F8240" s="2">
        <v>1</v>
      </c>
      <c r="G8240" s="2" t="s">
        <v>17</v>
      </c>
    </row>
    <row r="8241" spans="1:7" x14ac:dyDescent="0.2">
      <c r="A8241" s="2" t="s">
        <v>9780</v>
      </c>
      <c r="B8241" s="2" t="s">
        <v>9781</v>
      </c>
      <c r="C8241" s="2" t="s">
        <v>9782</v>
      </c>
      <c r="D8241" s="2" t="s">
        <v>10</v>
      </c>
      <c r="E8241" s="2" t="s">
        <v>16</v>
      </c>
      <c r="F8241" s="2">
        <v>1</v>
      </c>
      <c r="G8241" s="2" t="s">
        <v>12</v>
      </c>
    </row>
    <row r="8242" spans="1:7" x14ac:dyDescent="0.2">
      <c r="A8242" s="2" t="s">
        <v>9780</v>
      </c>
      <c r="B8242" s="2" t="s">
        <v>9783</v>
      </c>
      <c r="C8242" s="2" t="s">
        <v>9782</v>
      </c>
      <c r="D8242" s="2" t="s">
        <v>10</v>
      </c>
      <c r="E8242" s="2" t="s">
        <v>16</v>
      </c>
      <c r="F8242" s="2">
        <v>1</v>
      </c>
      <c r="G8242" s="2" t="s">
        <v>12</v>
      </c>
    </row>
    <row r="8243" spans="1:7" x14ac:dyDescent="0.2">
      <c r="A8243" s="2" t="s">
        <v>9780</v>
      </c>
      <c r="B8243" s="2" t="s">
        <v>9784</v>
      </c>
      <c r="C8243" s="2" t="s">
        <v>9785</v>
      </c>
      <c r="D8243" s="2" t="s">
        <v>29</v>
      </c>
      <c r="E8243" s="2" t="s">
        <v>16</v>
      </c>
      <c r="F8243" s="2">
        <v>1</v>
      </c>
      <c r="G8243" s="2" t="s">
        <v>17</v>
      </c>
    </row>
    <row r="8244" spans="1:7" x14ac:dyDescent="0.2">
      <c r="A8244" s="2" t="s">
        <v>9780</v>
      </c>
      <c r="B8244" s="2" t="s">
        <v>9786</v>
      </c>
      <c r="C8244" s="2" t="s">
        <v>589</v>
      </c>
      <c r="D8244" s="2" t="s">
        <v>56</v>
      </c>
      <c r="E8244" s="2" t="s">
        <v>52</v>
      </c>
      <c r="F8244" s="2">
        <v>1</v>
      </c>
      <c r="G8244" s="2" t="s">
        <v>17</v>
      </c>
    </row>
    <row r="8245" spans="1:7" x14ac:dyDescent="0.2">
      <c r="A8245" s="2" t="s">
        <v>9780</v>
      </c>
      <c r="B8245" s="2" t="s">
        <v>9787</v>
      </c>
      <c r="C8245" s="2" t="s">
        <v>9785</v>
      </c>
      <c r="D8245" s="2" t="s">
        <v>29</v>
      </c>
      <c r="E8245" s="2" t="s">
        <v>16</v>
      </c>
      <c r="F8245" s="2">
        <v>1</v>
      </c>
      <c r="G8245" s="2" t="s">
        <v>17</v>
      </c>
    </row>
    <row r="8246" spans="1:7" x14ac:dyDescent="0.2">
      <c r="A8246" s="2" t="s">
        <v>9780</v>
      </c>
      <c r="B8246" s="2" t="s">
        <v>9788</v>
      </c>
      <c r="C8246" s="2" t="s">
        <v>9782</v>
      </c>
      <c r="D8246" s="2" t="s">
        <v>10</v>
      </c>
      <c r="E8246" s="2" t="s">
        <v>16</v>
      </c>
      <c r="F8246" s="2">
        <v>1</v>
      </c>
      <c r="G8246" s="2" t="s">
        <v>12</v>
      </c>
    </row>
    <row r="8247" spans="1:7" x14ac:dyDescent="0.2">
      <c r="A8247" s="2" t="s">
        <v>9789</v>
      </c>
      <c r="B8247" s="2" t="s">
        <v>9790</v>
      </c>
      <c r="C8247" s="2" t="s">
        <v>9791</v>
      </c>
      <c r="D8247" s="2" t="s">
        <v>56</v>
      </c>
      <c r="E8247" s="2" t="s">
        <v>16</v>
      </c>
      <c r="F8247" s="2">
        <v>1</v>
      </c>
      <c r="G8247" s="2" t="s">
        <v>17</v>
      </c>
    </row>
    <row r="8248" spans="1:7" x14ac:dyDescent="0.2">
      <c r="A8248" s="2" t="s">
        <v>9792</v>
      </c>
      <c r="B8248" s="2" t="s">
        <v>9793</v>
      </c>
      <c r="C8248" s="2" t="s">
        <v>9794</v>
      </c>
      <c r="D8248" s="2" t="s">
        <v>10</v>
      </c>
      <c r="E8248" s="2" t="s">
        <v>16</v>
      </c>
      <c r="F8248" s="2">
        <v>1</v>
      </c>
      <c r="G8248" s="2" t="s">
        <v>17</v>
      </c>
    </row>
    <row r="8249" spans="1:7" x14ac:dyDescent="0.2">
      <c r="A8249" s="2" t="s">
        <v>9792</v>
      </c>
      <c r="B8249" s="2" t="s">
        <v>9795</v>
      </c>
      <c r="C8249" s="2" t="s">
        <v>9796</v>
      </c>
      <c r="D8249" s="2" t="s">
        <v>10</v>
      </c>
      <c r="E8249" s="2" t="s">
        <v>52</v>
      </c>
      <c r="F8249" s="2">
        <v>1</v>
      </c>
      <c r="G8249" s="2" t="s">
        <v>17</v>
      </c>
    </row>
    <row r="8250" spans="1:7" x14ac:dyDescent="0.2">
      <c r="A8250" s="2" t="s">
        <v>9792</v>
      </c>
      <c r="B8250" s="2" t="s">
        <v>9797</v>
      </c>
      <c r="C8250" s="2" t="s">
        <v>9794</v>
      </c>
      <c r="D8250" s="2" t="s">
        <v>10</v>
      </c>
      <c r="E8250" s="2" t="s">
        <v>16</v>
      </c>
      <c r="F8250" s="2">
        <v>1</v>
      </c>
      <c r="G8250" s="2" t="s">
        <v>17</v>
      </c>
    </row>
    <row r="8251" spans="1:7" x14ac:dyDescent="0.2">
      <c r="A8251" s="2" t="s">
        <v>9792</v>
      </c>
      <c r="B8251" s="2" t="s">
        <v>9798</v>
      </c>
      <c r="C8251" s="2" t="s">
        <v>9799</v>
      </c>
      <c r="D8251" s="2" t="s">
        <v>10</v>
      </c>
      <c r="E8251" s="2" t="s">
        <v>16</v>
      </c>
      <c r="F8251" s="2">
        <v>1</v>
      </c>
      <c r="G8251" s="2" t="s">
        <v>17</v>
      </c>
    </row>
    <row r="8252" spans="1:7" x14ac:dyDescent="0.2">
      <c r="A8252" s="2" t="s">
        <v>9792</v>
      </c>
      <c r="B8252" s="2" t="s">
        <v>9800</v>
      </c>
      <c r="C8252" s="2" t="s">
        <v>9799</v>
      </c>
      <c r="D8252" s="2" t="s">
        <v>10</v>
      </c>
      <c r="E8252" s="2" t="s">
        <v>16</v>
      </c>
      <c r="F8252" s="2">
        <v>1</v>
      </c>
      <c r="G8252" s="2" t="s">
        <v>17</v>
      </c>
    </row>
    <row r="8253" spans="1:7" x14ac:dyDescent="0.2">
      <c r="A8253" s="2" t="s">
        <v>9792</v>
      </c>
      <c r="B8253" s="2" t="s">
        <v>9801</v>
      </c>
      <c r="C8253" s="2" t="s">
        <v>9799</v>
      </c>
      <c r="D8253" s="2" t="s">
        <v>10</v>
      </c>
      <c r="E8253" s="2" t="s">
        <v>16</v>
      </c>
      <c r="F8253" s="2">
        <v>1</v>
      </c>
      <c r="G8253" s="2" t="s">
        <v>17</v>
      </c>
    </row>
    <row r="8254" spans="1:7" x14ac:dyDescent="0.2">
      <c r="A8254" s="2" t="s">
        <v>9792</v>
      </c>
      <c r="B8254" s="2" t="s">
        <v>9802</v>
      </c>
      <c r="C8254" s="2" t="s">
        <v>9799</v>
      </c>
      <c r="D8254" s="2" t="s">
        <v>10</v>
      </c>
      <c r="E8254" s="2" t="s">
        <v>16</v>
      </c>
      <c r="F8254" s="2">
        <v>1</v>
      </c>
      <c r="G8254" s="2" t="s">
        <v>17</v>
      </c>
    </row>
    <row r="8255" spans="1:7" x14ac:dyDescent="0.2">
      <c r="A8255" s="2" t="s">
        <v>9792</v>
      </c>
      <c r="B8255" s="2" t="s">
        <v>9803</v>
      </c>
      <c r="C8255" s="2" t="s">
        <v>9804</v>
      </c>
      <c r="D8255" s="2" t="s">
        <v>10</v>
      </c>
      <c r="E8255" s="2" t="s">
        <v>16</v>
      </c>
      <c r="F8255" s="2">
        <v>1</v>
      </c>
      <c r="G8255" s="2" t="s">
        <v>17</v>
      </c>
    </row>
    <row r="8256" spans="1:7" x14ac:dyDescent="0.2">
      <c r="A8256" s="2" t="s">
        <v>9805</v>
      </c>
      <c r="B8256" s="2" t="s">
        <v>9798</v>
      </c>
      <c r="C8256" s="2" t="s">
        <v>9799</v>
      </c>
      <c r="D8256" s="2" t="s">
        <v>10</v>
      </c>
      <c r="E8256" s="2" t="s">
        <v>16</v>
      </c>
      <c r="F8256" s="2">
        <v>1</v>
      </c>
      <c r="G8256" s="2" t="s">
        <v>17</v>
      </c>
    </row>
    <row r="8257" spans="1:7" x14ac:dyDescent="0.2">
      <c r="A8257" s="2" t="s">
        <v>9805</v>
      </c>
      <c r="B8257" s="2" t="s">
        <v>9801</v>
      </c>
      <c r="C8257" s="2" t="s">
        <v>9799</v>
      </c>
      <c r="D8257" s="2" t="s">
        <v>10</v>
      </c>
      <c r="E8257" s="2" t="s">
        <v>16</v>
      </c>
      <c r="F8257" s="2">
        <v>1</v>
      </c>
      <c r="G8257" s="2" t="s">
        <v>17</v>
      </c>
    </row>
    <row r="8258" spans="1:7" x14ac:dyDescent="0.2">
      <c r="A8258" s="2" t="s">
        <v>9806</v>
      </c>
      <c r="B8258" s="2" t="s">
        <v>1269</v>
      </c>
      <c r="C8258" s="2" t="s">
        <v>1270</v>
      </c>
      <c r="D8258" s="2" t="s">
        <v>10</v>
      </c>
      <c r="E8258" s="2" t="s">
        <v>16</v>
      </c>
      <c r="F8258" s="2">
        <v>1</v>
      </c>
      <c r="G8258" s="2" t="s">
        <v>17</v>
      </c>
    </row>
    <row r="8259" spans="1:7" x14ac:dyDescent="0.2">
      <c r="A8259" s="2" t="s">
        <v>9806</v>
      </c>
      <c r="B8259" s="2" t="s">
        <v>1271</v>
      </c>
      <c r="C8259" s="2" t="s">
        <v>1272</v>
      </c>
      <c r="D8259" s="2" t="s">
        <v>10</v>
      </c>
      <c r="E8259" s="2" t="s">
        <v>16</v>
      </c>
      <c r="F8259" s="2">
        <v>1</v>
      </c>
      <c r="G8259" s="2" t="s">
        <v>17</v>
      </c>
    </row>
    <row r="8260" spans="1:7" x14ac:dyDescent="0.2">
      <c r="A8260" s="2" t="s">
        <v>9806</v>
      </c>
      <c r="B8260" s="2" t="s">
        <v>1273</v>
      </c>
      <c r="C8260" s="2" t="s">
        <v>1270</v>
      </c>
      <c r="D8260" s="2" t="s">
        <v>10</v>
      </c>
      <c r="E8260" s="2" t="s">
        <v>16</v>
      </c>
      <c r="F8260" s="2">
        <v>1</v>
      </c>
      <c r="G8260" s="2" t="s">
        <v>17</v>
      </c>
    </row>
    <row r="8261" spans="1:7" x14ac:dyDescent="0.2">
      <c r="A8261" s="2" t="s">
        <v>9806</v>
      </c>
      <c r="B8261" s="2" t="s">
        <v>1274</v>
      </c>
      <c r="C8261" s="2" t="s">
        <v>1272</v>
      </c>
      <c r="D8261" s="2" t="s">
        <v>10</v>
      </c>
      <c r="E8261" s="2" t="s">
        <v>16</v>
      </c>
      <c r="F8261" s="2">
        <v>1</v>
      </c>
      <c r="G8261" s="2" t="s">
        <v>17</v>
      </c>
    </row>
    <row r="8262" spans="1:7" x14ac:dyDescent="0.2">
      <c r="A8262" s="2" t="s">
        <v>9807</v>
      </c>
      <c r="B8262" s="2" t="s">
        <v>9808</v>
      </c>
      <c r="C8262" s="2" t="s">
        <v>3261</v>
      </c>
      <c r="D8262" s="2" t="s">
        <v>10</v>
      </c>
      <c r="E8262" s="2" t="s">
        <v>16</v>
      </c>
      <c r="F8262" s="2">
        <v>2</v>
      </c>
      <c r="G8262" s="2" t="s">
        <v>17</v>
      </c>
    </row>
    <row r="8263" spans="1:7" x14ac:dyDescent="0.2">
      <c r="A8263" s="2" t="s">
        <v>9807</v>
      </c>
      <c r="B8263" s="2">
        <v>65</v>
      </c>
      <c r="C8263" s="2" t="s">
        <v>1994</v>
      </c>
      <c r="D8263" s="2" t="s">
        <v>10</v>
      </c>
      <c r="E8263" s="2" t="s">
        <v>16</v>
      </c>
      <c r="F8263" s="2">
        <v>2</v>
      </c>
      <c r="G8263" s="2" t="s">
        <v>17</v>
      </c>
    </row>
    <row r="8264" spans="1:7" x14ac:dyDescent="0.2">
      <c r="A8264" s="2" t="s">
        <v>9807</v>
      </c>
      <c r="B8264" s="2" t="s">
        <v>9809</v>
      </c>
      <c r="C8264" s="2" t="s">
        <v>4457</v>
      </c>
      <c r="D8264" s="2" t="s">
        <v>10</v>
      </c>
      <c r="E8264" s="2" t="s">
        <v>16</v>
      </c>
      <c r="F8264" s="2">
        <v>2</v>
      </c>
      <c r="G8264" s="2" t="s">
        <v>17</v>
      </c>
    </row>
    <row r="8265" spans="1:7" x14ac:dyDescent="0.2">
      <c r="A8265" s="2" t="s">
        <v>9807</v>
      </c>
      <c r="B8265" s="2" t="s">
        <v>9810</v>
      </c>
      <c r="C8265" s="2" t="s">
        <v>4457</v>
      </c>
      <c r="D8265" s="2" t="s">
        <v>10</v>
      </c>
      <c r="E8265" s="2" t="s">
        <v>16</v>
      </c>
      <c r="F8265" s="2">
        <v>2</v>
      </c>
      <c r="G8265" s="2" t="s">
        <v>17</v>
      </c>
    </row>
    <row r="8266" spans="1:7" x14ac:dyDescent="0.2">
      <c r="A8266" s="2" t="s">
        <v>9807</v>
      </c>
      <c r="B8266" s="2" t="s">
        <v>4495</v>
      </c>
      <c r="C8266" s="2" t="s">
        <v>4487</v>
      </c>
      <c r="D8266" s="2" t="s">
        <v>10</v>
      </c>
      <c r="E8266" s="2" t="s">
        <v>16</v>
      </c>
      <c r="F8266" s="2">
        <v>4</v>
      </c>
      <c r="G8266" s="2" t="s">
        <v>17</v>
      </c>
    </row>
    <row r="8267" spans="1:7" x14ac:dyDescent="0.2">
      <c r="A8267" s="2" t="s">
        <v>9807</v>
      </c>
      <c r="B8267" s="2" t="s">
        <v>6357</v>
      </c>
      <c r="C8267" s="2" t="s">
        <v>1994</v>
      </c>
      <c r="D8267" s="2" t="s">
        <v>10</v>
      </c>
      <c r="E8267" s="2" t="s">
        <v>16</v>
      </c>
      <c r="F8267" s="2">
        <v>2</v>
      </c>
      <c r="G8267" s="2" t="s">
        <v>17</v>
      </c>
    </row>
    <row r="8268" spans="1:7" x14ac:dyDescent="0.2">
      <c r="A8268" s="2" t="s">
        <v>9807</v>
      </c>
      <c r="B8268" s="2" t="s">
        <v>9811</v>
      </c>
      <c r="C8268" s="2" t="s">
        <v>1996</v>
      </c>
      <c r="D8268" s="2" t="s">
        <v>10</v>
      </c>
      <c r="E8268" s="2" t="s">
        <v>16</v>
      </c>
      <c r="F8268" s="2">
        <v>2</v>
      </c>
      <c r="G8268" s="2" t="s">
        <v>17</v>
      </c>
    </row>
    <row r="8269" spans="1:7" x14ac:dyDescent="0.2">
      <c r="A8269" s="2" t="s">
        <v>9807</v>
      </c>
      <c r="B8269" s="2" t="s">
        <v>9812</v>
      </c>
      <c r="C8269" s="2" t="s">
        <v>2001</v>
      </c>
      <c r="D8269" s="2" t="s">
        <v>10</v>
      </c>
      <c r="E8269" s="2" t="s">
        <v>16</v>
      </c>
      <c r="F8269" s="2">
        <v>1</v>
      </c>
      <c r="G8269" s="2" t="s">
        <v>17</v>
      </c>
    </row>
    <row r="8270" spans="1:7" x14ac:dyDescent="0.2">
      <c r="A8270" s="2" t="s">
        <v>9807</v>
      </c>
      <c r="B8270" s="2" t="s">
        <v>9813</v>
      </c>
      <c r="C8270" s="2" t="s">
        <v>1998</v>
      </c>
      <c r="D8270" s="2" t="s">
        <v>10</v>
      </c>
      <c r="E8270" s="2" t="s">
        <v>16</v>
      </c>
      <c r="F8270" s="2">
        <v>2</v>
      </c>
      <c r="G8270" s="2" t="s">
        <v>17</v>
      </c>
    </row>
    <row r="8271" spans="1:7" x14ac:dyDescent="0.2">
      <c r="A8271" s="2" t="s">
        <v>9807</v>
      </c>
      <c r="B8271" s="2" t="s">
        <v>9814</v>
      </c>
      <c r="C8271" s="2" t="s">
        <v>1994</v>
      </c>
      <c r="D8271" s="2" t="s">
        <v>10</v>
      </c>
      <c r="E8271" s="2" t="s">
        <v>16</v>
      </c>
      <c r="F8271" s="2">
        <v>2</v>
      </c>
      <c r="G8271" s="2" t="s">
        <v>17</v>
      </c>
    </row>
    <row r="8272" spans="1:7" x14ac:dyDescent="0.2">
      <c r="A8272" s="2" t="s">
        <v>9807</v>
      </c>
      <c r="B8272" s="2" t="s">
        <v>9815</v>
      </c>
      <c r="C8272" s="2" t="s">
        <v>1996</v>
      </c>
      <c r="D8272" s="2" t="s">
        <v>10</v>
      </c>
      <c r="E8272" s="2" t="s">
        <v>16</v>
      </c>
      <c r="F8272" s="2">
        <v>2</v>
      </c>
      <c r="G8272" s="2" t="s">
        <v>17</v>
      </c>
    </row>
    <row r="8273" spans="1:7" x14ac:dyDescent="0.2">
      <c r="A8273" s="2" t="s">
        <v>9807</v>
      </c>
      <c r="B8273" s="2" t="s">
        <v>9816</v>
      </c>
      <c r="C8273" s="2" t="s">
        <v>2001</v>
      </c>
      <c r="D8273" s="2" t="s">
        <v>10</v>
      </c>
      <c r="E8273" s="2" t="s">
        <v>16</v>
      </c>
      <c r="F8273" s="2">
        <v>1</v>
      </c>
      <c r="G8273" s="2" t="s">
        <v>17</v>
      </c>
    </row>
    <row r="8274" spans="1:7" x14ac:dyDescent="0.2">
      <c r="A8274" s="2" t="s">
        <v>9807</v>
      </c>
      <c r="B8274" s="2" t="s">
        <v>9817</v>
      </c>
      <c r="C8274" s="2" t="s">
        <v>122</v>
      </c>
      <c r="D8274" s="2" t="s">
        <v>10</v>
      </c>
      <c r="E8274" s="2" t="s">
        <v>52</v>
      </c>
      <c r="F8274" s="2">
        <v>2</v>
      </c>
      <c r="G8274" s="2" t="s">
        <v>17</v>
      </c>
    </row>
    <row r="8275" spans="1:7" x14ac:dyDescent="0.2">
      <c r="A8275" s="2" t="s">
        <v>9807</v>
      </c>
      <c r="B8275" s="2" t="s">
        <v>9818</v>
      </c>
      <c r="C8275" s="2" t="s">
        <v>122</v>
      </c>
      <c r="D8275" s="2" t="s">
        <v>10</v>
      </c>
      <c r="E8275" s="2" t="s">
        <v>52</v>
      </c>
      <c r="F8275" s="2">
        <v>2</v>
      </c>
      <c r="G8275" s="2" t="s">
        <v>17</v>
      </c>
    </row>
    <row r="8276" spans="1:7" x14ac:dyDescent="0.2">
      <c r="A8276" s="2" t="s">
        <v>9807</v>
      </c>
      <c r="B8276" s="2" t="s">
        <v>9819</v>
      </c>
      <c r="C8276" s="2" t="s">
        <v>1994</v>
      </c>
      <c r="D8276" s="2" t="s">
        <v>10</v>
      </c>
      <c r="E8276" s="2" t="s">
        <v>16</v>
      </c>
      <c r="F8276" s="2">
        <v>2</v>
      </c>
      <c r="G8276" s="2" t="s">
        <v>17</v>
      </c>
    </row>
    <row r="8277" spans="1:7" x14ac:dyDescent="0.2">
      <c r="A8277" s="2" t="s">
        <v>9807</v>
      </c>
      <c r="B8277" s="2" t="s">
        <v>9820</v>
      </c>
      <c r="C8277" s="2" t="s">
        <v>1994</v>
      </c>
      <c r="D8277" s="2" t="s">
        <v>10</v>
      </c>
      <c r="E8277" s="2" t="s">
        <v>16</v>
      </c>
      <c r="F8277" s="2">
        <v>2</v>
      </c>
      <c r="G8277" s="2" t="s">
        <v>17</v>
      </c>
    </row>
    <row r="8278" spans="1:7" x14ac:dyDescent="0.2">
      <c r="A8278" s="2" t="s">
        <v>9807</v>
      </c>
      <c r="B8278" s="2" t="s">
        <v>3262</v>
      </c>
      <c r="C8278" s="2" t="s">
        <v>3261</v>
      </c>
      <c r="D8278" s="2" t="s">
        <v>10</v>
      </c>
      <c r="E8278" s="2" t="s">
        <v>16</v>
      </c>
      <c r="F8278" s="2">
        <v>2</v>
      </c>
      <c r="G8278" s="2" t="s">
        <v>17</v>
      </c>
    </row>
    <row r="8279" spans="1:7" x14ac:dyDescent="0.2">
      <c r="A8279" s="2" t="s">
        <v>9821</v>
      </c>
      <c r="B8279" s="2" t="s">
        <v>7089</v>
      </c>
      <c r="C8279" s="2" t="s">
        <v>7090</v>
      </c>
      <c r="D8279" s="2" t="s">
        <v>10</v>
      </c>
      <c r="E8279" s="2" t="s">
        <v>16</v>
      </c>
      <c r="F8279" s="2">
        <v>1</v>
      </c>
      <c r="G8279" s="2" t="s">
        <v>17</v>
      </c>
    </row>
    <row r="8280" spans="1:7" x14ac:dyDescent="0.2">
      <c r="A8280" s="2" t="s">
        <v>9822</v>
      </c>
      <c r="B8280" s="2" t="s">
        <v>9823</v>
      </c>
      <c r="C8280" s="2" t="s">
        <v>9824</v>
      </c>
      <c r="D8280" s="2" t="s">
        <v>10</v>
      </c>
      <c r="E8280" s="2" t="s">
        <v>16</v>
      </c>
      <c r="F8280" s="2">
        <v>1</v>
      </c>
      <c r="G8280" s="2" t="s">
        <v>17</v>
      </c>
    </row>
    <row r="8281" spans="1:7" x14ac:dyDescent="0.2">
      <c r="A8281" s="2" t="s">
        <v>9822</v>
      </c>
      <c r="B8281" s="2" t="s">
        <v>9825</v>
      </c>
      <c r="C8281" s="2" t="s">
        <v>9824</v>
      </c>
      <c r="D8281" s="2" t="s">
        <v>10</v>
      </c>
      <c r="E8281" s="2" t="s">
        <v>16</v>
      </c>
      <c r="F8281" s="2">
        <v>1</v>
      </c>
      <c r="G8281" s="2" t="s">
        <v>17</v>
      </c>
    </row>
    <row r="8282" spans="1:7" x14ac:dyDescent="0.2">
      <c r="A8282" s="2" t="s">
        <v>9826</v>
      </c>
      <c r="B8282" s="2" t="s">
        <v>9827</v>
      </c>
      <c r="C8282" s="2" t="s">
        <v>3478</v>
      </c>
      <c r="D8282" s="2" t="s">
        <v>10</v>
      </c>
      <c r="E8282" s="2" t="s">
        <v>16</v>
      </c>
      <c r="F8282" s="2">
        <v>1</v>
      </c>
      <c r="G8282" s="2" t="s">
        <v>17</v>
      </c>
    </row>
    <row r="8283" spans="1:7" x14ac:dyDescent="0.2">
      <c r="A8283" s="2" t="s">
        <v>9826</v>
      </c>
      <c r="B8283" s="2" t="s">
        <v>9828</v>
      </c>
      <c r="C8283" s="2" t="s">
        <v>9829</v>
      </c>
      <c r="D8283" s="2" t="s">
        <v>10</v>
      </c>
      <c r="E8283" s="2" t="s">
        <v>16</v>
      </c>
      <c r="F8283" s="2">
        <v>1</v>
      </c>
      <c r="G8283" s="2" t="s">
        <v>17</v>
      </c>
    </row>
    <row r="8284" spans="1:7" x14ac:dyDescent="0.2">
      <c r="A8284" s="2" t="s">
        <v>9826</v>
      </c>
      <c r="B8284" s="2" t="s">
        <v>9830</v>
      </c>
      <c r="C8284" s="2" t="s">
        <v>9831</v>
      </c>
      <c r="D8284" s="2" t="s">
        <v>10</v>
      </c>
      <c r="E8284" s="2" t="s">
        <v>16</v>
      </c>
      <c r="F8284" s="2">
        <v>1</v>
      </c>
      <c r="G8284" s="2" t="s">
        <v>17</v>
      </c>
    </row>
    <row r="8285" spans="1:7" x14ac:dyDescent="0.2">
      <c r="A8285" s="2" t="s">
        <v>9826</v>
      </c>
      <c r="B8285" s="2" t="s">
        <v>9832</v>
      </c>
      <c r="C8285" s="2" t="s">
        <v>9833</v>
      </c>
      <c r="D8285" s="2" t="s">
        <v>10</v>
      </c>
      <c r="E8285" s="2" t="s">
        <v>16</v>
      </c>
      <c r="F8285" s="2">
        <v>1</v>
      </c>
      <c r="G8285" s="2" t="s">
        <v>17</v>
      </c>
    </row>
    <row r="8286" spans="1:7" x14ac:dyDescent="0.2">
      <c r="A8286" s="2" t="s">
        <v>9826</v>
      </c>
      <c r="B8286" s="2" t="s">
        <v>1841</v>
      </c>
      <c r="C8286" s="2" t="s">
        <v>1441</v>
      </c>
      <c r="D8286" s="2" t="s">
        <v>10</v>
      </c>
      <c r="E8286" s="2" t="s">
        <v>16</v>
      </c>
      <c r="F8286" s="2">
        <v>1</v>
      </c>
      <c r="G8286" s="2" t="s">
        <v>17</v>
      </c>
    </row>
    <row r="8287" spans="1:7" x14ac:dyDescent="0.2">
      <c r="A8287" s="2" t="s">
        <v>9826</v>
      </c>
      <c r="B8287" s="2" t="s">
        <v>9834</v>
      </c>
      <c r="C8287" s="2" t="s">
        <v>1441</v>
      </c>
      <c r="D8287" s="2" t="s">
        <v>10</v>
      </c>
      <c r="E8287" s="2" t="s">
        <v>16</v>
      </c>
      <c r="F8287" s="2">
        <v>1</v>
      </c>
      <c r="G8287" s="2" t="s">
        <v>17</v>
      </c>
    </row>
    <row r="8288" spans="1:7" x14ac:dyDescent="0.2">
      <c r="A8288" s="2" t="s">
        <v>9826</v>
      </c>
      <c r="B8288" s="2" t="s">
        <v>9835</v>
      </c>
      <c r="C8288" s="2" t="s">
        <v>9835</v>
      </c>
      <c r="D8288" s="2" t="s">
        <v>10</v>
      </c>
      <c r="E8288" s="2" t="s">
        <v>16</v>
      </c>
      <c r="F8288" s="2">
        <v>1</v>
      </c>
      <c r="G8288" s="2" t="s">
        <v>17</v>
      </c>
    </row>
    <row r="8289" spans="1:7" x14ac:dyDescent="0.2">
      <c r="A8289" s="2" t="s">
        <v>9826</v>
      </c>
      <c r="B8289" s="2" t="s">
        <v>4292</v>
      </c>
      <c r="C8289" s="2" t="s">
        <v>9829</v>
      </c>
      <c r="D8289" s="2" t="s">
        <v>10</v>
      </c>
      <c r="E8289" s="2" t="s">
        <v>16</v>
      </c>
      <c r="F8289" s="2">
        <v>1</v>
      </c>
      <c r="G8289" s="2" t="s">
        <v>17</v>
      </c>
    </row>
    <row r="8290" spans="1:7" x14ac:dyDescent="0.2">
      <c r="A8290" s="2" t="s">
        <v>9826</v>
      </c>
      <c r="B8290" s="2" t="s">
        <v>9836</v>
      </c>
      <c r="C8290" s="2" t="s">
        <v>3478</v>
      </c>
      <c r="D8290" s="2" t="s">
        <v>10</v>
      </c>
      <c r="E8290" s="2" t="s">
        <v>16</v>
      </c>
      <c r="F8290" s="2">
        <v>1</v>
      </c>
      <c r="G8290" s="2" t="s">
        <v>17</v>
      </c>
    </row>
    <row r="8291" spans="1:7" x14ac:dyDescent="0.2">
      <c r="A8291" s="2" t="s">
        <v>9826</v>
      </c>
      <c r="B8291" s="2" t="s">
        <v>9837</v>
      </c>
      <c r="C8291" s="2" t="s">
        <v>9829</v>
      </c>
      <c r="D8291" s="2" t="s">
        <v>10</v>
      </c>
      <c r="E8291" s="2" t="s">
        <v>16</v>
      </c>
      <c r="F8291" s="2">
        <v>1</v>
      </c>
      <c r="G8291" s="2" t="s">
        <v>17</v>
      </c>
    </row>
    <row r="8292" spans="1:7" x14ac:dyDescent="0.2">
      <c r="A8292" s="2" t="s">
        <v>9826</v>
      </c>
      <c r="B8292" s="2" t="s">
        <v>9838</v>
      </c>
      <c r="C8292" s="2" t="s">
        <v>9829</v>
      </c>
      <c r="D8292" s="2" t="s">
        <v>10</v>
      </c>
      <c r="E8292" s="2" t="s">
        <v>16</v>
      </c>
      <c r="F8292" s="2">
        <v>1</v>
      </c>
      <c r="G8292" s="2" t="s">
        <v>17</v>
      </c>
    </row>
    <row r="8293" spans="1:7" x14ac:dyDescent="0.2">
      <c r="A8293" s="2" t="s">
        <v>9826</v>
      </c>
      <c r="B8293" s="2" t="s">
        <v>9839</v>
      </c>
      <c r="C8293" s="2" t="s">
        <v>9829</v>
      </c>
      <c r="D8293" s="2" t="s">
        <v>10</v>
      </c>
      <c r="E8293" s="2" t="s">
        <v>16</v>
      </c>
      <c r="F8293" s="2">
        <v>1</v>
      </c>
      <c r="G8293" s="2" t="s">
        <v>17</v>
      </c>
    </row>
    <row r="8294" spans="1:7" x14ac:dyDescent="0.2">
      <c r="A8294" s="2" t="s">
        <v>9826</v>
      </c>
      <c r="B8294" s="2" t="s">
        <v>9840</v>
      </c>
      <c r="C8294" s="2" t="s">
        <v>9829</v>
      </c>
      <c r="D8294" s="2" t="s">
        <v>10</v>
      </c>
      <c r="E8294" s="2" t="s">
        <v>16</v>
      </c>
      <c r="F8294" s="2">
        <v>1</v>
      </c>
      <c r="G8294" s="2" t="s">
        <v>17</v>
      </c>
    </row>
    <row r="8295" spans="1:7" x14ac:dyDescent="0.2">
      <c r="A8295" s="2" t="s">
        <v>9826</v>
      </c>
      <c r="B8295" s="2" t="s">
        <v>9841</v>
      </c>
      <c r="C8295" s="2" t="s">
        <v>3478</v>
      </c>
      <c r="D8295" s="2" t="s">
        <v>10</v>
      </c>
      <c r="E8295" s="2" t="s">
        <v>16</v>
      </c>
      <c r="F8295" s="2">
        <v>1</v>
      </c>
      <c r="G8295" s="2" t="s">
        <v>17</v>
      </c>
    </row>
    <row r="8296" spans="1:7" x14ac:dyDescent="0.2">
      <c r="A8296" s="2" t="s">
        <v>9826</v>
      </c>
      <c r="B8296" s="2" t="s">
        <v>9842</v>
      </c>
      <c r="C8296" s="2" t="s">
        <v>3478</v>
      </c>
      <c r="D8296" s="2" t="s">
        <v>10</v>
      </c>
      <c r="E8296" s="2" t="s">
        <v>16</v>
      </c>
      <c r="F8296" s="2">
        <v>1</v>
      </c>
      <c r="G8296" s="2" t="s">
        <v>17</v>
      </c>
    </row>
    <row r="8297" spans="1:7" x14ac:dyDescent="0.2">
      <c r="A8297" s="2" t="s">
        <v>9826</v>
      </c>
      <c r="B8297" s="2" t="s">
        <v>3487</v>
      </c>
      <c r="C8297" s="2" t="s">
        <v>3478</v>
      </c>
      <c r="D8297" s="2" t="s">
        <v>10</v>
      </c>
      <c r="E8297" s="2" t="s">
        <v>16</v>
      </c>
      <c r="F8297" s="2">
        <v>1</v>
      </c>
      <c r="G8297" s="2" t="s">
        <v>17</v>
      </c>
    </row>
    <row r="8298" spans="1:7" x14ac:dyDescent="0.2">
      <c r="A8298" s="2" t="s">
        <v>9826</v>
      </c>
      <c r="B8298" s="2" t="s">
        <v>3488</v>
      </c>
      <c r="C8298" s="2" t="s">
        <v>3478</v>
      </c>
      <c r="D8298" s="2" t="s">
        <v>10</v>
      </c>
      <c r="E8298" s="2" t="s">
        <v>16</v>
      </c>
      <c r="F8298" s="2">
        <v>1</v>
      </c>
      <c r="G8298" s="2" t="s">
        <v>17</v>
      </c>
    </row>
    <row r="8299" spans="1:7" x14ac:dyDescent="0.2">
      <c r="A8299" s="2" t="s">
        <v>9826</v>
      </c>
      <c r="B8299" s="2" t="s">
        <v>3489</v>
      </c>
      <c r="C8299" s="2" t="s">
        <v>3478</v>
      </c>
      <c r="D8299" s="2" t="s">
        <v>10</v>
      </c>
      <c r="E8299" s="2" t="s">
        <v>16</v>
      </c>
      <c r="F8299" s="2">
        <v>1</v>
      </c>
      <c r="G8299" s="2" t="s">
        <v>17</v>
      </c>
    </row>
    <row r="8300" spans="1:7" x14ac:dyDescent="0.2">
      <c r="A8300" s="2" t="s">
        <v>9826</v>
      </c>
      <c r="B8300" s="2" t="s">
        <v>3490</v>
      </c>
      <c r="C8300" s="2" t="s">
        <v>3478</v>
      </c>
      <c r="D8300" s="2" t="s">
        <v>10</v>
      </c>
      <c r="E8300" s="2" t="s">
        <v>16</v>
      </c>
      <c r="F8300" s="2">
        <v>1</v>
      </c>
      <c r="G8300" s="2" t="s">
        <v>17</v>
      </c>
    </row>
    <row r="8301" spans="1:7" x14ac:dyDescent="0.2">
      <c r="A8301" s="2" t="s">
        <v>9826</v>
      </c>
      <c r="B8301" s="2" t="s">
        <v>9843</v>
      </c>
      <c r="C8301" s="2" t="s">
        <v>9829</v>
      </c>
      <c r="D8301" s="2" t="s">
        <v>10</v>
      </c>
      <c r="E8301" s="2" t="s">
        <v>16</v>
      </c>
      <c r="F8301" s="2">
        <v>1</v>
      </c>
      <c r="G8301" s="2" t="s">
        <v>17</v>
      </c>
    </row>
    <row r="8302" spans="1:7" x14ac:dyDescent="0.2">
      <c r="A8302" s="2" t="s">
        <v>9826</v>
      </c>
      <c r="B8302" s="2" t="s">
        <v>9844</v>
      </c>
      <c r="C8302" s="2" t="s">
        <v>9829</v>
      </c>
      <c r="D8302" s="2" t="s">
        <v>10</v>
      </c>
      <c r="E8302" s="2" t="s">
        <v>16</v>
      </c>
      <c r="F8302" s="2">
        <v>1</v>
      </c>
      <c r="G8302" s="2" t="s">
        <v>17</v>
      </c>
    </row>
    <row r="8303" spans="1:7" x14ac:dyDescent="0.2">
      <c r="A8303" s="2" t="s">
        <v>9826</v>
      </c>
      <c r="B8303" s="2" t="s">
        <v>9845</v>
      </c>
      <c r="C8303" s="2" t="s">
        <v>9829</v>
      </c>
      <c r="D8303" s="2" t="s">
        <v>10</v>
      </c>
      <c r="E8303" s="2" t="s">
        <v>16</v>
      </c>
      <c r="F8303" s="2">
        <v>1</v>
      </c>
      <c r="G8303" s="2" t="s">
        <v>17</v>
      </c>
    </row>
    <row r="8304" spans="1:7" x14ac:dyDescent="0.2">
      <c r="A8304" s="2" t="s">
        <v>9826</v>
      </c>
      <c r="B8304" s="2" t="s">
        <v>9846</v>
      </c>
      <c r="C8304" s="2" t="s">
        <v>9829</v>
      </c>
      <c r="D8304" s="2" t="s">
        <v>10</v>
      </c>
      <c r="E8304" s="2" t="s">
        <v>16</v>
      </c>
      <c r="F8304" s="2">
        <v>1</v>
      </c>
      <c r="G8304" s="2" t="s">
        <v>17</v>
      </c>
    </row>
    <row r="8305" spans="1:7" x14ac:dyDescent="0.2">
      <c r="A8305" s="2" t="s">
        <v>9826</v>
      </c>
      <c r="B8305" s="2" t="s">
        <v>9847</v>
      </c>
      <c r="C8305" s="2" t="s">
        <v>9829</v>
      </c>
      <c r="D8305" s="2" t="s">
        <v>10</v>
      </c>
      <c r="E8305" s="2" t="s">
        <v>16</v>
      </c>
      <c r="F8305" s="2">
        <v>1</v>
      </c>
      <c r="G8305" s="2" t="s">
        <v>17</v>
      </c>
    </row>
    <row r="8306" spans="1:7" x14ac:dyDescent="0.2">
      <c r="A8306" s="2" t="s">
        <v>9826</v>
      </c>
      <c r="B8306" s="2" t="s">
        <v>9848</v>
      </c>
      <c r="C8306" s="2" t="s">
        <v>9829</v>
      </c>
      <c r="D8306" s="2" t="s">
        <v>10</v>
      </c>
      <c r="E8306" s="2" t="s">
        <v>16</v>
      </c>
      <c r="F8306" s="2">
        <v>1</v>
      </c>
      <c r="G8306" s="2" t="s">
        <v>17</v>
      </c>
    </row>
    <row r="8307" spans="1:7" x14ac:dyDescent="0.2">
      <c r="A8307" s="2" t="s">
        <v>9826</v>
      </c>
      <c r="B8307" s="2" t="s">
        <v>9849</v>
      </c>
      <c r="C8307" s="2" t="s">
        <v>9829</v>
      </c>
      <c r="D8307" s="2" t="s">
        <v>10</v>
      </c>
      <c r="E8307" s="2" t="s">
        <v>16</v>
      </c>
      <c r="F8307" s="2">
        <v>1</v>
      </c>
      <c r="G8307" s="2" t="s">
        <v>17</v>
      </c>
    </row>
    <row r="8308" spans="1:7" x14ac:dyDescent="0.2">
      <c r="A8308" s="2" t="s">
        <v>9826</v>
      </c>
      <c r="B8308" s="2" t="s">
        <v>9850</v>
      </c>
      <c r="C8308" s="2" t="s">
        <v>9829</v>
      </c>
      <c r="D8308" s="2" t="s">
        <v>10</v>
      </c>
      <c r="E8308" s="2" t="s">
        <v>16</v>
      </c>
      <c r="F8308" s="2">
        <v>1</v>
      </c>
      <c r="G8308" s="2" t="s">
        <v>17</v>
      </c>
    </row>
    <row r="8309" spans="1:7" x14ac:dyDescent="0.2">
      <c r="A8309" s="2" t="s">
        <v>9826</v>
      </c>
      <c r="B8309" s="2" t="s">
        <v>9851</v>
      </c>
      <c r="C8309" s="2" t="s">
        <v>9829</v>
      </c>
      <c r="D8309" s="2" t="s">
        <v>10</v>
      </c>
      <c r="E8309" s="2" t="s">
        <v>16</v>
      </c>
      <c r="F8309" s="2">
        <v>1</v>
      </c>
      <c r="G8309" s="2" t="s">
        <v>17</v>
      </c>
    </row>
    <row r="8310" spans="1:7" x14ac:dyDescent="0.2">
      <c r="A8310" s="2" t="s">
        <v>9826</v>
      </c>
      <c r="B8310" s="2" t="s">
        <v>9852</v>
      </c>
      <c r="C8310" s="2" t="s">
        <v>9829</v>
      </c>
      <c r="D8310" s="2" t="s">
        <v>10</v>
      </c>
      <c r="E8310" s="2" t="s">
        <v>16</v>
      </c>
      <c r="F8310" s="2">
        <v>1</v>
      </c>
      <c r="G8310" s="2" t="s">
        <v>17</v>
      </c>
    </row>
    <row r="8311" spans="1:7" x14ac:dyDescent="0.2">
      <c r="A8311" s="2" t="s">
        <v>9826</v>
      </c>
      <c r="B8311" s="2" t="s">
        <v>9853</v>
      </c>
      <c r="C8311" s="2" t="s">
        <v>9829</v>
      </c>
      <c r="D8311" s="2" t="s">
        <v>10</v>
      </c>
      <c r="E8311" s="2" t="s">
        <v>16</v>
      </c>
      <c r="F8311" s="2">
        <v>1</v>
      </c>
      <c r="G8311" s="2" t="s">
        <v>17</v>
      </c>
    </row>
    <row r="8312" spans="1:7" x14ac:dyDescent="0.2">
      <c r="A8312" s="2" t="s">
        <v>9826</v>
      </c>
      <c r="B8312" s="2" t="s">
        <v>9854</v>
      </c>
      <c r="C8312" s="2" t="s">
        <v>9829</v>
      </c>
      <c r="D8312" s="2" t="s">
        <v>10</v>
      </c>
      <c r="E8312" s="2" t="s">
        <v>16</v>
      </c>
      <c r="F8312" s="2">
        <v>1</v>
      </c>
      <c r="G8312" s="2" t="s">
        <v>17</v>
      </c>
    </row>
    <row r="8313" spans="1:7" x14ac:dyDescent="0.2">
      <c r="A8313" s="2" t="s">
        <v>9826</v>
      </c>
      <c r="B8313" s="2" t="s">
        <v>9855</v>
      </c>
      <c r="C8313" s="2" t="s">
        <v>9829</v>
      </c>
      <c r="D8313" s="2" t="s">
        <v>10</v>
      </c>
      <c r="E8313" s="2" t="s">
        <v>16</v>
      </c>
      <c r="F8313" s="2">
        <v>1</v>
      </c>
      <c r="G8313" s="2" t="s">
        <v>17</v>
      </c>
    </row>
    <row r="8314" spans="1:7" x14ac:dyDescent="0.2">
      <c r="A8314" s="2" t="s">
        <v>9826</v>
      </c>
      <c r="B8314" s="2" t="s">
        <v>9856</v>
      </c>
      <c r="C8314" s="2" t="s">
        <v>9829</v>
      </c>
      <c r="D8314" s="2" t="s">
        <v>10</v>
      </c>
      <c r="E8314" s="2" t="s">
        <v>16</v>
      </c>
      <c r="F8314" s="2">
        <v>1</v>
      </c>
      <c r="G8314" s="2" t="s">
        <v>17</v>
      </c>
    </row>
    <row r="8315" spans="1:7" x14ac:dyDescent="0.2">
      <c r="A8315" s="2" t="s">
        <v>9826</v>
      </c>
      <c r="B8315" s="2" t="s">
        <v>9857</v>
      </c>
      <c r="C8315" s="2" t="s">
        <v>9829</v>
      </c>
      <c r="D8315" s="2" t="s">
        <v>10</v>
      </c>
      <c r="E8315" s="2" t="s">
        <v>16</v>
      </c>
      <c r="F8315" s="2">
        <v>1</v>
      </c>
      <c r="G8315" s="2" t="s">
        <v>17</v>
      </c>
    </row>
    <row r="8316" spans="1:7" x14ac:dyDescent="0.2">
      <c r="A8316" s="2" t="s">
        <v>9826</v>
      </c>
      <c r="B8316" s="2" t="s">
        <v>9858</v>
      </c>
      <c r="C8316" s="2" t="s">
        <v>9829</v>
      </c>
      <c r="D8316" s="2" t="s">
        <v>10</v>
      </c>
      <c r="E8316" s="2" t="s">
        <v>16</v>
      </c>
      <c r="F8316" s="2">
        <v>1</v>
      </c>
      <c r="G8316" s="2" t="s">
        <v>17</v>
      </c>
    </row>
    <row r="8317" spans="1:7" x14ac:dyDescent="0.2">
      <c r="A8317" s="2" t="s">
        <v>9826</v>
      </c>
      <c r="B8317" s="2" t="s">
        <v>9859</v>
      </c>
      <c r="C8317" s="2" t="s">
        <v>9829</v>
      </c>
      <c r="D8317" s="2" t="s">
        <v>10</v>
      </c>
      <c r="E8317" s="2" t="s">
        <v>16</v>
      </c>
      <c r="F8317" s="2">
        <v>1</v>
      </c>
      <c r="G8317" s="2" t="s">
        <v>17</v>
      </c>
    </row>
    <row r="8318" spans="1:7" x14ac:dyDescent="0.2">
      <c r="A8318" s="2" t="s">
        <v>9826</v>
      </c>
      <c r="B8318" s="2" t="s">
        <v>9860</v>
      </c>
      <c r="C8318" s="2" t="s">
        <v>9861</v>
      </c>
      <c r="D8318" s="2" t="s">
        <v>10</v>
      </c>
      <c r="E8318" s="2" t="s">
        <v>16</v>
      </c>
      <c r="F8318" s="2">
        <v>1</v>
      </c>
      <c r="G8318" s="2" t="s">
        <v>17</v>
      </c>
    </row>
    <row r="8319" spans="1:7" x14ac:dyDescent="0.2">
      <c r="A8319" s="2" t="s">
        <v>9826</v>
      </c>
      <c r="B8319" s="2" t="s">
        <v>9862</v>
      </c>
      <c r="C8319" s="2" t="s">
        <v>9861</v>
      </c>
      <c r="D8319" s="2" t="s">
        <v>10</v>
      </c>
      <c r="E8319" s="2" t="s">
        <v>16</v>
      </c>
      <c r="F8319" s="2">
        <v>1</v>
      </c>
      <c r="G8319" s="2" t="s">
        <v>17</v>
      </c>
    </row>
    <row r="8320" spans="1:7" x14ac:dyDescent="0.2">
      <c r="A8320" s="2" t="s">
        <v>9826</v>
      </c>
      <c r="B8320" s="2" t="s">
        <v>9863</v>
      </c>
      <c r="C8320" s="2" t="s">
        <v>9861</v>
      </c>
      <c r="D8320" s="2" t="s">
        <v>10</v>
      </c>
      <c r="E8320" s="2" t="s">
        <v>16</v>
      </c>
      <c r="F8320" s="2">
        <v>1</v>
      </c>
      <c r="G8320" s="2" t="s">
        <v>17</v>
      </c>
    </row>
    <row r="8321" spans="1:7" x14ac:dyDescent="0.2">
      <c r="A8321" s="2" t="s">
        <v>9826</v>
      </c>
      <c r="B8321" s="2" t="s">
        <v>9864</v>
      </c>
      <c r="C8321" s="2" t="s">
        <v>9861</v>
      </c>
      <c r="D8321" s="2" t="s">
        <v>10</v>
      </c>
      <c r="E8321" s="2" t="s">
        <v>16</v>
      </c>
      <c r="F8321" s="2">
        <v>1</v>
      </c>
      <c r="G8321" s="2" t="s">
        <v>17</v>
      </c>
    </row>
    <row r="8322" spans="1:7" x14ac:dyDescent="0.2">
      <c r="A8322" s="2" t="s">
        <v>9826</v>
      </c>
      <c r="B8322" s="2" t="s">
        <v>9865</v>
      </c>
      <c r="C8322" s="2" t="s">
        <v>9831</v>
      </c>
      <c r="D8322" s="2" t="s">
        <v>10</v>
      </c>
      <c r="E8322" s="2" t="s">
        <v>16</v>
      </c>
      <c r="F8322" s="2">
        <v>1</v>
      </c>
      <c r="G8322" s="2" t="s">
        <v>17</v>
      </c>
    </row>
    <row r="8323" spans="1:7" x14ac:dyDescent="0.2">
      <c r="A8323" s="2" t="s">
        <v>9826</v>
      </c>
      <c r="B8323" s="2" t="s">
        <v>9866</v>
      </c>
      <c r="C8323" s="2" t="s">
        <v>9831</v>
      </c>
      <c r="D8323" s="2" t="s">
        <v>10</v>
      </c>
      <c r="E8323" s="2" t="s">
        <v>16</v>
      </c>
      <c r="F8323" s="2">
        <v>1</v>
      </c>
      <c r="G8323" s="2" t="s">
        <v>17</v>
      </c>
    </row>
    <row r="8324" spans="1:7" x14ac:dyDescent="0.2">
      <c r="A8324" s="2" t="s">
        <v>9826</v>
      </c>
      <c r="B8324" s="2" t="s">
        <v>9867</v>
      </c>
      <c r="C8324" s="2" t="s">
        <v>9829</v>
      </c>
      <c r="D8324" s="2" t="s">
        <v>10</v>
      </c>
      <c r="E8324" s="2" t="s">
        <v>16</v>
      </c>
      <c r="F8324" s="2">
        <v>1</v>
      </c>
      <c r="G8324" s="2" t="s">
        <v>17</v>
      </c>
    </row>
    <row r="8325" spans="1:7" x14ac:dyDescent="0.2">
      <c r="A8325" s="2" t="s">
        <v>9826</v>
      </c>
      <c r="B8325" s="2" t="s">
        <v>9868</v>
      </c>
      <c r="C8325" s="2" t="s">
        <v>3478</v>
      </c>
      <c r="D8325" s="2" t="s">
        <v>10</v>
      </c>
      <c r="E8325" s="2" t="s">
        <v>16</v>
      </c>
      <c r="F8325" s="2">
        <v>1</v>
      </c>
      <c r="G8325" s="2" t="s">
        <v>17</v>
      </c>
    </row>
    <row r="8326" spans="1:7" x14ac:dyDescent="0.2">
      <c r="A8326" s="2" t="s">
        <v>9826</v>
      </c>
      <c r="B8326" s="2" t="s">
        <v>9869</v>
      </c>
      <c r="C8326" s="2" t="s">
        <v>9829</v>
      </c>
      <c r="D8326" s="2" t="s">
        <v>10</v>
      </c>
      <c r="E8326" s="2" t="s">
        <v>16</v>
      </c>
      <c r="F8326" s="2">
        <v>1</v>
      </c>
      <c r="G8326" s="2" t="s">
        <v>17</v>
      </c>
    </row>
    <row r="8327" spans="1:7" x14ac:dyDescent="0.2">
      <c r="A8327" s="2" t="s">
        <v>9826</v>
      </c>
      <c r="B8327" s="2" t="s">
        <v>9870</v>
      </c>
      <c r="C8327" s="2" t="s">
        <v>3478</v>
      </c>
      <c r="D8327" s="2" t="s">
        <v>10</v>
      </c>
      <c r="E8327" s="2" t="s">
        <v>16</v>
      </c>
      <c r="F8327" s="2">
        <v>1</v>
      </c>
      <c r="G8327" s="2" t="s">
        <v>17</v>
      </c>
    </row>
    <row r="8328" spans="1:7" x14ac:dyDescent="0.2">
      <c r="A8328" s="2" t="s">
        <v>9826</v>
      </c>
      <c r="B8328" s="2" t="s">
        <v>9871</v>
      </c>
      <c r="C8328" s="2" t="s">
        <v>9829</v>
      </c>
      <c r="D8328" s="2" t="s">
        <v>10</v>
      </c>
      <c r="E8328" s="2" t="s">
        <v>16</v>
      </c>
      <c r="F8328" s="2">
        <v>1</v>
      </c>
      <c r="G8328" s="2" t="s">
        <v>17</v>
      </c>
    </row>
    <row r="8329" spans="1:7" x14ac:dyDescent="0.2">
      <c r="A8329" s="2" t="s">
        <v>9826</v>
      </c>
      <c r="B8329" s="2" t="s">
        <v>9872</v>
      </c>
      <c r="C8329" s="2" t="s">
        <v>9829</v>
      </c>
      <c r="D8329" s="2" t="s">
        <v>10</v>
      </c>
      <c r="E8329" s="2" t="s">
        <v>16</v>
      </c>
      <c r="F8329" s="2">
        <v>1</v>
      </c>
      <c r="G8329" s="2" t="s">
        <v>17</v>
      </c>
    </row>
    <row r="8330" spans="1:7" x14ac:dyDescent="0.2">
      <c r="A8330" s="2" t="s">
        <v>9826</v>
      </c>
      <c r="B8330" s="2" t="s">
        <v>9873</v>
      </c>
      <c r="C8330" s="2" t="s">
        <v>9861</v>
      </c>
      <c r="D8330" s="2" t="s">
        <v>10</v>
      </c>
      <c r="E8330" s="2" t="s">
        <v>16</v>
      </c>
      <c r="F8330" s="2">
        <v>1</v>
      </c>
      <c r="G8330" s="2" t="s">
        <v>17</v>
      </c>
    </row>
    <row r="8331" spans="1:7" x14ac:dyDescent="0.2">
      <c r="A8331" s="2" t="s">
        <v>9826</v>
      </c>
      <c r="B8331" s="2" t="s">
        <v>3499</v>
      </c>
      <c r="C8331" s="2" t="s">
        <v>3478</v>
      </c>
      <c r="D8331" s="2" t="s">
        <v>10</v>
      </c>
      <c r="E8331" s="2" t="s">
        <v>16</v>
      </c>
      <c r="F8331" s="2">
        <v>1</v>
      </c>
      <c r="G8331" s="2" t="s">
        <v>17</v>
      </c>
    </row>
    <row r="8332" spans="1:7" x14ac:dyDescent="0.2">
      <c r="A8332" s="2" t="s">
        <v>9826</v>
      </c>
      <c r="B8332" s="2" t="s">
        <v>9874</v>
      </c>
      <c r="C8332" s="2" t="s">
        <v>9831</v>
      </c>
      <c r="D8332" s="2" t="s">
        <v>10</v>
      </c>
      <c r="E8332" s="2" t="s">
        <v>16</v>
      </c>
      <c r="F8332" s="2">
        <v>1</v>
      </c>
      <c r="G8332" s="2" t="s">
        <v>17</v>
      </c>
    </row>
    <row r="8333" spans="1:7" x14ac:dyDescent="0.2">
      <c r="A8333" s="2" t="s">
        <v>9826</v>
      </c>
      <c r="B8333" s="2" t="s">
        <v>9875</v>
      </c>
      <c r="C8333" s="2" t="s">
        <v>9876</v>
      </c>
      <c r="D8333" s="2" t="s">
        <v>10</v>
      </c>
      <c r="E8333" s="2" t="s">
        <v>16</v>
      </c>
      <c r="F8333" s="2">
        <v>1</v>
      </c>
      <c r="G8333" s="2" t="s">
        <v>17</v>
      </c>
    </row>
    <row r="8334" spans="1:7" x14ac:dyDescent="0.2">
      <c r="A8334" s="2" t="s">
        <v>9826</v>
      </c>
      <c r="B8334" s="2" t="s">
        <v>9877</v>
      </c>
      <c r="C8334" s="2" t="s">
        <v>9833</v>
      </c>
      <c r="D8334" s="2" t="s">
        <v>10</v>
      </c>
      <c r="E8334" s="2" t="s">
        <v>16</v>
      </c>
      <c r="F8334" s="2">
        <v>1</v>
      </c>
      <c r="G8334" s="2" t="s">
        <v>17</v>
      </c>
    </row>
    <row r="8335" spans="1:7" x14ac:dyDescent="0.2">
      <c r="A8335" s="2" t="s">
        <v>9826</v>
      </c>
      <c r="B8335" s="2" t="s">
        <v>9878</v>
      </c>
      <c r="C8335" s="2" t="s">
        <v>1441</v>
      </c>
      <c r="D8335" s="2" t="s">
        <v>10</v>
      </c>
      <c r="E8335" s="2" t="s">
        <v>16</v>
      </c>
      <c r="F8335" s="2">
        <v>1</v>
      </c>
      <c r="G8335" s="2" t="s">
        <v>17</v>
      </c>
    </row>
    <row r="8336" spans="1:7" x14ac:dyDescent="0.2">
      <c r="A8336" s="2" t="s">
        <v>9826</v>
      </c>
      <c r="B8336" s="2" t="s">
        <v>9879</v>
      </c>
      <c r="C8336" s="2" t="s">
        <v>1441</v>
      </c>
      <c r="D8336" s="2" t="s">
        <v>10</v>
      </c>
      <c r="E8336" s="2" t="s">
        <v>16</v>
      </c>
      <c r="F8336" s="2">
        <v>1</v>
      </c>
      <c r="G8336" s="2" t="s">
        <v>17</v>
      </c>
    </row>
    <row r="8337" spans="1:7" x14ac:dyDescent="0.2">
      <c r="A8337" s="2" t="s">
        <v>9826</v>
      </c>
      <c r="B8337" s="2" t="s">
        <v>9880</v>
      </c>
      <c r="C8337" s="2" t="s">
        <v>1441</v>
      </c>
      <c r="D8337" s="2" t="s">
        <v>10</v>
      </c>
      <c r="E8337" s="2" t="s">
        <v>16</v>
      </c>
      <c r="F8337" s="2">
        <v>1</v>
      </c>
      <c r="G8337" s="2" t="s">
        <v>17</v>
      </c>
    </row>
    <row r="8338" spans="1:7" x14ac:dyDescent="0.2">
      <c r="A8338" s="2" t="s">
        <v>9826</v>
      </c>
      <c r="B8338" s="2" t="s">
        <v>9881</v>
      </c>
      <c r="C8338" s="2" t="s">
        <v>1441</v>
      </c>
      <c r="D8338" s="2" t="s">
        <v>10</v>
      </c>
      <c r="E8338" s="2" t="s">
        <v>16</v>
      </c>
      <c r="F8338" s="2">
        <v>1</v>
      </c>
      <c r="G8338" s="2" t="s">
        <v>17</v>
      </c>
    </row>
    <row r="8339" spans="1:7" x14ac:dyDescent="0.2">
      <c r="A8339" s="2" t="s">
        <v>9826</v>
      </c>
      <c r="B8339" s="2" t="s">
        <v>9882</v>
      </c>
      <c r="C8339" s="2" t="s">
        <v>9876</v>
      </c>
      <c r="D8339" s="2" t="s">
        <v>10</v>
      </c>
      <c r="E8339" s="2" t="s">
        <v>16</v>
      </c>
      <c r="F8339" s="2">
        <v>1</v>
      </c>
      <c r="G8339" s="2" t="s">
        <v>17</v>
      </c>
    </row>
    <row r="8340" spans="1:7" x14ac:dyDescent="0.2">
      <c r="A8340" s="2" t="s">
        <v>9826</v>
      </c>
      <c r="B8340" s="2" t="s">
        <v>9883</v>
      </c>
      <c r="C8340" s="2" t="s">
        <v>9876</v>
      </c>
      <c r="D8340" s="2" t="s">
        <v>10</v>
      </c>
      <c r="E8340" s="2" t="s">
        <v>16</v>
      </c>
      <c r="F8340" s="2">
        <v>1</v>
      </c>
      <c r="G8340" s="2" t="s">
        <v>17</v>
      </c>
    </row>
    <row r="8341" spans="1:7" x14ac:dyDescent="0.2">
      <c r="A8341" s="2" t="s">
        <v>9826</v>
      </c>
      <c r="B8341" s="2" t="s">
        <v>9884</v>
      </c>
      <c r="C8341" s="2" t="s">
        <v>9876</v>
      </c>
      <c r="D8341" s="2" t="s">
        <v>10</v>
      </c>
      <c r="E8341" s="2" t="s">
        <v>16</v>
      </c>
      <c r="F8341" s="2">
        <v>1</v>
      </c>
      <c r="G8341" s="2" t="s">
        <v>17</v>
      </c>
    </row>
    <row r="8342" spans="1:7" x14ac:dyDescent="0.2">
      <c r="A8342" s="2" t="s">
        <v>9826</v>
      </c>
      <c r="B8342" s="2" t="s">
        <v>9885</v>
      </c>
      <c r="C8342" s="2" t="s">
        <v>9876</v>
      </c>
      <c r="D8342" s="2" t="s">
        <v>10</v>
      </c>
      <c r="E8342" s="2" t="s">
        <v>16</v>
      </c>
      <c r="F8342" s="2">
        <v>1</v>
      </c>
      <c r="G8342" s="2" t="s">
        <v>17</v>
      </c>
    </row>
    <row r="8343" spans="1:7" x14ac:dyDescent="0.2">
      <c r="A8343" s="2" t="s">
        <v>9826</v>
      </c>
      <c r="B8343" s="2" t="s">
        <v>3500</v>
      </c>
      <c r="C8343" s="2" t="s">
        <v>9829</v>
      </c>
      <c r="D8343" s="2" t="s">
        <v>10</v>
      </c>
      <c r="E8343" s="2" t="s">
        <v>16</v>
      </c>
      <c r="F8343" s="2">
        <v>1</v>
      </c>
      <c r="G8343" s="2" t="s">
        <v>17</v>
      </c>
    </row>
    <row r="8344" spans="1:7" x14ac:dyDescent="0.2">
      <c r="A8344" s="2" t="s">
        <v>9826</v>
      </c>
      <c r="B8344" s="2" t="s">
        <v>9886</v>
      </c>
      <c r="C8344" s="2" t="s">
        <v>9829</v>
      </c>
      <c r="D8344" s="2" t="s">
        <v>10</v>
      </c>
      <c r="E8344" s="2" t="s">
        <v>16</v>
      </c>
      <c r="F8344" s="2">
        <v>1</v>
      </c>
      <c r="G8344" s="2" t="s">
        <v>17</v>
      </c>
    </row>
    <row r="8345" spans="1:7" x14ac:dyDescent="0.2">
      <c r="A8345" s="2" t="s">
        <v>9826</v>
      </c>
      <c r="B8345" s="2" t="s">
        <v>9887</v>
      </c>
      <c r="C8345" s="2" t="s">
        <v>9829</v>
      </c>
      <c r="D8345" s="2" t="s">
        <v>10</v>
      </c>
      <c r="E8345" s="2" t="s">
        <v>16</v>
      </c>
      <c r="F8345" s="2">
        <v>1</v>
      </c>
      <c r="G8345" s="2" t="s">
        <v>17</v>
      </c>
    </row>
    <row r="8346" spans="1:7" x14ac:dyDescent="0.2">
      <c r="A8346" s="2" t="s">
        <v>9826</v>
      </c>
      <c r="B8346" s="2" t="s">
        <v>9888</v>
      </c>
      <c r="C8346" s="2" t="s">
        <v>9829</v>
      </c>
      <c r="D8346" s="2" t="s">
        <v>10</v>
      </c>
      <c r="E8346" s="2" t="s">
        <v>16</v>
      </c>
      <c r="F8346" s="2">
        <v>1</v>
      </c>
      <c r="G8346" s="2" t="s">
        <v>17</v>
      </c>
    </row>
    <row r="8347" spans="1:7" x14ac:dyDescent="0.2">
      <c r="A8347" s="2" t="s">
        <v>9826</v>
      </c>
      <c r="B8347" s="2" t="s">
        <v>9889</v>
      </c>
      <c r="C8347" s="2" t="s">
        <v>9829</v>
      </c>
      <c r="D8347" s="2" t="s">
        <v>10</v>
      </c>
      <c r="E8347" s="2" t="s">
        <v>16</v>
      </c>
      <c r="F8347" s="2">
        <v>1</v>
      </c>
      <c r="G8347" s="2" t="s">
        <v>17</v>
      </c>
    </row>
    <row r="8348" spans="1:7" x14ac:dyDescent="0.2">
      <c r="A8348" s="2" t="s">
        <v>9826</v>
      </c>
      <c r="B8348" s="2" t="s">
        <v>9890</v>
      </c>
      <c r="C8348" s="2" t="s">
        <v>9861</v>
      </c>
      <c r="D8348" s="2" t="s">
        <v>10</v>
      </c>
      <c r="E8348" s="2" t="s">
        <v>16</v>
      </c>
      <c r="F8348" s="2">
        <v>1</v>
      </c>
      <c r="G8348" s="2" t="s">
        <v>17</v>
      </c>
    </row>
    <row r="8349" spans="1:7" x14ac:dyDescent="0.2">
      <c r="A8349" s="2" t="s">
        <v>9826</v>
      </c>
      <c r="B8349" s="2" t="s">
        <v>3361</v>
      </c>
      <c r="C8349" s="2" t="s">
        <v>9861</v>
      </c>
      <c r="D8349" s="2" t="s">
        <v>10</v>
      </c>
      <c r="E8349" s="2" t="s">
        <v>16</v>
      </c>
      <c r="F8349" s="2">
        <v>1</v>
      </c>
      <c r="G8349" s="2" t="s">
        <v>17</v>
      </c>
    </row>
    <row r="8350" spans="1:7" x14ac:dyDescent="0.2">
      <c r="A8350" s="2" t="s">
        <v>9826</v>
      </c>
      <c r="B8350" s="2" t="s">
        <v>9891</v>
      </c>
      <c r="C8350" s="2" t="s">
        <v>1441</v>
      </c>
      <c r="D8350" s="2" t="s">
        <v>10</v>
      </c>
      <c r="E8350" s="2" t="s">
        <v>16</v>
      </c>
      <c r="F8350" s="2">
        <v>1</v>
      </c>
      <c r="G8350" s="2" t="s">
        <v>17</v>
      </c>
    </row>
    <row r="8351" spans="1:7" x14ac:dyDescent="0.2">
      <c r="A8351" s="2" t="s">
        <v>9826</v>
      </c>
      <c r="B8351" s="2" t="s">
        <v>9892</v>
      </c>
      <c r="C8351" s="2" t="s">
        <v>9861</v>
      </c>
      <c r="D8351" s="2" t="s">
        <v>10</v>
      </c>
      <c r="E8351" s="2" t="s">
        <v>16</v>
      </c>
      <c r="F8351" s="2">
        <v>1</v>
      </c>
      <c r="G8351" s="2" t="s">
        <v>17</v>
      </c>
    </row>
    <row r="8352" spans="1:7" x14ac:dyDescent="0.2">
      <c r="A8352" s="2" t="s">
        <v>9826</v>
      </c>
      <c r="B8352" s="2" t="s">
        <v>9893</v>
      </c>
      <c r="C8352" s="2" t="s">
        <v>9894</v>
      </c>
      <c r="D8352" s="2" t="s">
        <v>10</v>
      </c>
      <c r="E8352" s="2" t="s">
        <v>16</v>
      </c>
      <c r="F8352" s="2">
        <v>1</v>
      </c>
      <c r="G8352" s="2" t="s">
        <v>17</v>
      </c>
    </row>
    <row r="8353" spans="1:7" x14ac:dyDescent="0.2">
      <c r="A8353" s="2" t="s">
        <v>9826</v>
      </c>
      <c r="B8353" s="2" t="s">
        <v>9895</v>
      </c>
      <c r="C8353" s="2" t="s">
        <v>9829</v>
      </c>
      <c r="D8353" s="2" t="s">
        <v>10</v>
      </c>
      <c r="E8353" s="2" t="s">
        <v>16</v>
      </c>
      <c r="F8353" s="2">
        <v>1</v>
      </c>
      <c r="G8353" s="2" t="s">
        <v>17</v>
      </c>
    </row>
    <row r="8354" spans="1:7" x14ac:dyDescent="0.2">
      <c r="A8354" s="2" t="s">
        <v>9826</v>
      </c>
      <c r="B8354" s="2" t="s">
        <v>9896</v>
      </c>
      <c r="C8354" s="2" t="s">
        <v>9829</v>
      </c>
      <c r="D8354" s="2" t="s">
        <v>10</v>
      </c>
      <c r="E8354" s="2" t="s">
        <v>16</v>
      </c>
      <c r="F8354" s="2">
        <v>1</v>
      </c>
      <c r="G8354" s="2" t="s">
        <v>17</v>
      </c>
    </row>
    <row r="8355" spans="1:7" x14ac:dyDescent="0.2">
      <c r="A8355" s="2" t="s">
        <v>9897</v>
      </c>
      <c r="B8355" s="2" t="s">
        <v>9898</v>
      </c>
      <c r="C8355" s="2" t="s">
        <v>9899</v>
      </c>
      <c r="D8355" s="2" t="s">
        <v>56</v>
      </c>
      <c r="E8355" s="2" t="s">
        <v>16</v>
      </c>
      <c r="F8355" s="2">
        <v>1</v>
      </c>
      <c r="G8355" s="2" t="s">
        <v>17</v>
      </c>
    </row>
    <row r="8356" spans="1:7" x14ac:dyDescent="0.2">
      <c r="A8356" s="2" t="s">
        <v>9897</v>
      </c>
      <c r="B8356" s="2" t="s">
        <v>9900</v>
      </c>
      <c r="C8356" s="2" t="s">
        <v>283</v>
      </c>
      <c r="D8356" s="2" t="s">
        <v>56</v>
      </c>
      <c r="E8356" s="2" t="s">
        <v>16</v>
      </c>
      <c r="F8356" s="2">
        <v>1</v>
      </c>
      <c r="G8356" s="2" t="s">
        <v>17</v>
      </c>
    </row>
    <row r="8357" spans="1:7" x14ac:dyDescent="0.2">
      <c r="A8357" s="2" t="s">
        <v>9897</v>
      </c>
      <c r="B8357" s="2" t="s">
        <v>2775</v>
      </c>
      <c r="C8357" s="2" t="s">
        <v>9899</v>
      </c>
      <c r="D8357" s="2" t="s">
        <v>56</v>
      </c>
      <c r="E8357" s="2" t="s">
        <v>16</v>
      </c>
      <c r="F8357" s="2">
        <v>1</v>
      </c>
      <c r="G8357" s="2" t="s">
        <v>17</v>
      </c>
    </row>
    <row r="8358" spans="1:7" x14ac:dyDescent="0.2">
      <c r="A8358" s="2" t="s">
        <v>9897</v>
      </c>
      <c r="B8358" s="2" t="s">
        <v>9901</v>
      </c>
      <c r="C8358" s="2" t="s">
        <v>283</v>
      </c>
      <c r="D8358" s="2" t="s">
        <v>56</v>
      </c>
      <c r="E8358" s="2" t="s">
        <v>16</v>
      </c>
      <c r="F8358" s="2">
        <v>1</v>
      </c>
      <c r="G8358" s="2" t="s">
        <v>17</v>
      </c>
    </row>
    <row r="8359" spans="1:7" x14ac:dyDescent="0.2">
      <c r="A8359" s="2" t="s">
        <v>9897</v>
      </c>
      <c r="B8359" s="2" t="s">
        <v>9902</v>
      </c>
      <c r="C8359" s="2" t="s">
        <v>283</v>
      </c>
      <c r="D8359" s="2" t="s">
        <v>56</v>
      </c>
      <c r="E8359" s="2" t="s">
        <v>16</v>
      </c>
      <c r="F8359" s="2">
        <v>1</v>
      </c>
      <c r="G8359" s="2" t="s">
        <v>17</v>
      </c>
    </row>
    <row r="8360" spans="1:7" x14ac:dyDescent="0.2">
      <c r="A8360" s="2" t="s">
        <v>9897</v>
      </c>
      <c r="B8360" s="2" t="s">
        <v>9903</v>
      </c>
      <c r="C8360" s="2" t="s">
        <v>283</v>
      </c>
      <c r="D8360" s="2" t="s">
        <v>56</v>
      </c>
      <c r="E8360" s="2" t="s">
        <v>16</v>
      </c>
      <c r="F8360" s="2">
        <v>1</v>
      </c>
      <c r="G8360" s="2" t="s">
        <v>17</v>
      </c>
    </row>
    <row r="8361" spans="1:7" x14ac:dyDescent="0.2">
      <c r="A8361" s="2" t="s">
        <v>9897</v>
      </c>
      <c r="B8361" s="2" t="s">
        <v>9904</v>
      </c>
      <c r="C8361" s="2" t="s">
        <v>283</v>
      </c>
      <c r="D8361" s="2" t="s">
        <v>56</v>
      </c>
      <c r="E8361" s="2" t="s">
        <v>16</v>
      </c>
      <c r="F8361" s="2">
        <v>1</v>
      </c>
      <c r="G8361" s="2" t="s">
        <v>17</v>
      </c>
    </row>
    <row r="8362" spans="1:7" x14ac:dyDescent="0.2">
      <c r="A8362" s="2" t="s">
        <v>9897</v>
      </c>
      <c r="B8362" s="2" t="s">
        <v>9905</v>
      </c>
      <c r="C8362" s="2" t="s">
        <v>9899</v>
      </c>
      <c r="D8362" s="2" t="s">
        <v>56</v>
      </c>
      <c r="E8362" s="2" t="s">
        <v>16</v>
      </c>
      <c r="F8362" s="2">
        <v>1</v>
      </c>
      <c r="G8362" s="2" t="s">
        <v>17</v>
      </c>
    </row>
    <row r="8363" spans="1:7" x14ac:dyDescent="0.2">
      <c r="A8363" s="2" t="s">
        <v>9897</v>
      </c>
      <c r="B8363" s="2" t="s">
        <v>9906</v>
      </c>
      <c r="C8363" s="2" t="s">
        <v>9899</v>
      </c>
      <c r="D8363" s="2" t="s">
        <v>56</v>
      </c>
      <c r="E8363" s="2" t="s">
        <v>16</v>
      </c>
      <c r="F8363" s="2">
        <v>1</v>
      </c>
      <c r="G8363" s="2" t="s">
        <v>17</v>
      </c>
    </row>
    <row r="8364" spans="1:7" x14ac:dyDescent="0.2">
      <c r="A8364" s="2" t="s">
        <v>9897</v>
      </c>
      <c r="B8364" s="2" t="s">
        <v>9907</v>
      </c>
      <c r="C8364" s="2" t="s">
        <v>9899</v>
      </c>
      <c r="D8364" s="2" t="s">
        <v>56</v>
      </c>
      <c r="E8364" s="2" t="s">
        <v>16</v>
      </c>
      <c r="F8364" s="2">
        <v>1</v>
      </c>
      <c r="G8364" s="2" t="s">
        <v>17</v>
      </c>
    </row>
    <row r="8365" spans="1:7" x14ac:dyDescent="0.2">
      <c r="A8365" s="2" t="s">
        <v>9897</v>
      </c>
      <c r="B8365" s="2" t="s">
        <v>2033</v>
      </c>
      <c r="C8365" s="2" t="s">
        <v>9899</v>
      </c>
      <c r="D8365" s="2" t="s">
        <v>56</v>
      </c>
      <c r="E8365" s="2" t="s">
        <v>16</v>
      </c>
      <c r="F8365" s="2">
        <v>1</v>
      </c>
      <c r="G8365" s="2" t="s">
        <v>17</v>
      </c>
    </row>
    <row r="8366" spans="1:7" x14ac:dyDescent="0.2">
      <c r="A8366" s="2" t="s">
        <v>9897</v>
      </c>
      <c r="B8366" s="2" t="s">
        <v>9908</v>
      </c>
      <c r="C8366" s="2" t="s">
        <v>9909</v>
      </c>
      <c r="D8366" s="2" t="s">
        <v>56</v>
      </c>
      <c r="E8366" s="2" t="s">
        <v>52</v>
      </c>
      <c r="F8366" s="2">
        <v>1</v>
      </c>
      <c r="G8366" s="2" t="s">
        <v>17</v>
      </c>
    </row>
    <row r="8367" spans="1:7" x14ac:dyDescent="0.2">
      <c r="A8367" s="2" t="s">
        <v>9910</v>
      </c>
      <c r="B8367" s="2" t="s">
        <v>9911</v>
      </c>
      <c r="C8367" s="2" t="s">
        <v>9912</v>
      </c>
      <c r="D8367" s="2" t="s">
        <v>10</v>
      </c>
      <c r="E8367" s="2" t="s">
        <v>16</v>
      </c>
      <c r="F8367" s="2">
        <v>1</v>
      </c>
      <c r="G8367" s="2" t="s">
        <v>17</v>
      </c>
    </row>
    <row r="8368" spans="1:7" x14ac:dyDescent="0.2">
      <c r="A8368" s="2" t="s">
        <v>9913</v>
      </c>
      <c r="B8368" s="2" t="s">
        <v>7073</v>
      </c>
      <c r="C8368" s="2" t="s">
        <v>7074</v>
      </c>
      <c r="D8368" s="2" t="s">
        <v>10</v>
      </c>
      <c r="E8368" s="2" t="s">
        <v>16</v>
      </c>
      <c r="F8368" s="2">
        <v>1</v>
      </c>
      <c r="G8368" s="2" t="s">
        <v>17</v>
      </c>
    </row>
    <row r="8369" spans="1:7" x14ac:dyDescent="0.2">
      <c r="A8369" s="2" t="s">
        <v>9914</v>
      </c>
      <c r="B8369" s="2" t="s">
        <v>9915</v>
      </c>
      <c r="C8369" s="2" t="s">
        <v>4120</v>
      </c>
      <c r="D8369" s="2" t="s">
        <v>10</v>
      </c>
      <c r="E8369" s="2" t="s">
        <v>16</v>
      </c>
      <c r="F8369" s="2">
        <v>1</v>
      </c>
      <c r="G8369" s="2" t="s">
        <v>17</v>
      </c>
    </row>
    <row r="8370" spans="1:7" x14ac:dyDescent="0.2">
      <c r="A8370" s="2" t="s">
        <v>9914</v>
      </c>
      <c r="B8370" s="2" t="s">
        <v>8717</v>
      </c>
      <c r="C8370" s="2" t="s">
        <v>4120</v>
      </c>
      <c r="D8370" s="2" t="s">
        <v>10</v>
      </c>
      <c r="E8370" s="2" t="s">
        <v>16</v>
      </c>
      <c r="F8370" s="2">
        <v>1</v>
      </c>
      <c r="G8370" s="2" t="s">
        <v>17</v>
      </c>
    </row>
    <row r="8371" spans="1:7" x14ac:dyDescent="0.2">
      <c r="A8371" s="2" t="s">
        <v>9914</v>
      </c>
      <c r="B8371" s="2" t="s">
        <v>9916</v>
      </c>
      <c r="C8371" s="2" t="s">
        <v>4120</v>
      </c>
      <c r="D8371" s="2" t="s">
        <v>10</v>
      </c>
      <c r="E8371" s="2" t="s">
        <v>16</v>
      </c>
      <c r="F8371" s="2">
        <v>1</v>
      </c>
      <c r="G8371" s="2" t="s">
        <v>17</v>
      </c>
    </row>
    <row r="8372" spans="1:7" x14ac:dyDescent="0.2">
      <c r="A8372" s="2" t="s">
        <v>9914</v>
      </c>
      <c r="B8372" s="2" t="s">
        <v>9917</v>
      </c>
      <c r="C8372" s="2" t="s">
        <v>4120</v>
      </c>
      <c r="D8372" s="2" t="s">
        <v>10</v>
      </c>
      <c r="E8372" s="2" t="s">
        <v>16</v>
      </c>
      <c r="F8372" s="2">
        <v>1</v>
      </c>
      <c r="G8372" s="2" t="s">
        <v>17</v>
      </c>
    </row>
    <row r="8373" spans="1:7" x14ac:dyDescent="0.2">
      <c r="A8373" s="2" t="s">
        <v>9914</v>
      </c>
      <c r="B8373" s="2" t="s">
        <v>8718</v>
      </c>
      <c r="C8373" s="2" t="s">
        <v>183</v>
      </c>
      <c r="D8373" s="2" t="s">
        <v>10</v>
      </c>
      <c r="E8373" s="2" t="s">
        <v>16</v>
      </c>
      <c r="F8373" s="2">
        <v>2</v>
      </c>
      <c r="G8373" s="2" t="s">
        <v>17</v>
      </c>
    </row>
    <row r="8374" spans="1:7" x14ac:dyDescent="0.2">
      <c r="A8374" s="2" t="s">
        <v>9914</v>
      </c>
      <c r="B8374" s="2" t="s">
        <v>8722</v>
      </c>
      <c r="C8374" s="2" t="s">
        <v>257</v>
      </c>
      <c r="D8374" s="2" t="s">
        <v>10</v>
      </c>
      <c r="E8374" s="2" t="s">
        <v>16</v>
      </c>
      <c r="F8374" s="2">
        <v>2</v>
      </c>
      <c r="G8374" s="2" t="s">
        <v>17</v>
      </c>
    </row>
    <row r="8375" spans="1:7" x14ac:dyDescent="0.2">
      <c r="A8375" s="2" t="s">
        <v>9914</v>
      </c>
      <c r="B8375" s="2" t="s">
        <v>6203</v>
      </c>
      <c r="C8375" s="2" t="s">
        <v>6204</v>
      </c>
      <c r="D8375" s="2" t="s">
        <v>10</v>
      </c>
      <c r="E8375" s="2" t="s">
        <v>52</v>
      </c>
      <c r="F8375" s="2">
        <v>2</v>
      </c>
      <c r="G8375" s="2" t="s">
        <v>17</v>
      </c>
    </row>
    <row r="8376" spans="1:7" x14ac:dyDescent="0.2">
      <c r="A8376" s="2" t="s">
        <v>9914</v>
      </c>
      <c r="B8376" s="2" t="s">
        <v>8723</v>
      </c>
      <c r="C8376" s="2" t="s">
        <v>6204</v>
      </c>
      <c r="D8376" s="2" t="s">
        <v>10</v>
      </c>
      <c r="E8376" s="2" t="s">
        <v>52</v>
      </c>
      <c r="F8376" s="2">
        <v>2</v>
      </c>
      <c r="G8376" s="2" t="s">
        <v>17</v>
      </c>
    </row>
    <row r="8377" spans="1:7" x14ac:dyDescent="0.2">
      <c r="A8377" s="2" t="s">
        <v>9914</v>
      </c>
      <c r="B8377" s="2" t="s">
        <v>6206</v>
      </c>
      <c r="C8377" s="2" t="s">
        <v>6207</v>
      </c>
      <c r="D8377" s="2" t="s">
        <v>10</v>
      </c>
      <c r="E8377" s="2" t="s">
        <v>52</v>
      </c>
      <c r="F8377" s="2">
        <v>2</v>
      </c>
      <c r="G8377" s="2" t="s">
        <v>17</v>
      </c>
    </row>
    <row r="8378" spans="1:7" x14ac:dyDescent="0.2">
      <c r="A8378" s="2" t="s">
        <v>9914</v>
      </c>
      <c r="B8378" s="2" t="s">
        <v>6208</v>
      </c>
      <c r="C8378" s="2" t="s">
        <v>6207</v>
      </c>
      <c r="D8378" s="2" t="s">
        <v>10</v>
      </c>
      <c r="E8378" s="2" t="s">
        <v>52</v>
      </c>
      <c r="F8378" s="2">
        <v>2</v>
      </c>
      <c r="G8378" s="2" t="s">
        <v>17</v>
      </c>
    </row>
    <row r="8379" spans="1:7" x14ac:dyDescent="0.2">
      <c r="A8379" s="2" t="s">
        <v>9914</v>
      </c>
      <c r="B8379" s="2" t="s">
        <v>9918</v>
      </c>
      <c r="C8379" s="2" t="s">
        <v>5763</v>
      </c>
      <c r="D8379" s="2" t="s">
        <v>10</v>
      </c>
      <c r="E8379" s="2" t="s">
        <v>16</v>
      </c>
      <c r="F8379" s="2">
        <v>2</v>
      </c>
      <c r="G8379" s="2" t="s">
        <v>17</v>
      </c>
    </row>
    <row r="8380" spans="1:7" x14ac:dyDescent="0.2">
      <c r="A8380" s="2" t="s">
        <v>9914</v>
      </c>
      <c r="B8380" s="2" t="s">
        <v>9919</v>
      </c>
      <c r="C8380" s="2" t="s">
        <v>5763</v>
      </c>
      <c r="D8380" s="2" t="s">
        <v>10</v>
      </c>
      <c r="E8380" s="2" t="s">
        <v>16</v>
      </c>
      <c r="F8380" s="2">
        <v>2</v>
      </c>
      <c r="G8380" s="2" t="s">
        <v>17</v>
      </c>
    </row>
    <row r="8381" spans="1:7" x14ac:dyDescent="0.2">
      <c r="A8381" s="2" t="s">
        <v>9914</v>
      </c>
      <c r="B8381" s="2" t="s">
        <v>7598</v>
      </c>
      <c r="C8381" s="2" t="s">
        <v>7599</v>
      </c>
      <c r="D8381" s="2" t="s">
        <v>10</v>
      </c>
      <c r="E8381" s="2" t="s">
        <v>52</v>
      </c>
      <c r="F8381" s="2">
        <v>4</v>
      </c>
      <c r="G8381" s="2" t="s">
        <v>12</v>
      </c>
    </row>
    <row r="8382" spans="1:7" x14ac:dyDescent="0.2">
      <c r="A8382" s="2" t="s">
        <v>9914</v>
      </c>
      <c r="B8382" s="2" t="s">
        <v>9920</v>
      </c>
      <c r="C8382" s="2" t="s">
        <v>4120</v>
      </c>
      <c r="D8382" s="2" t="s">
        <v>10</v>
      </c>
      <c r="E8382" s="2" t="s">
        <v>16</v>
      </c>
      <c r="F8382" s="2">
        <v>1</v>
      </c>
      <c r="G8382" s="2" t="s">
        <v>17</v>
      </c>
    </row>
    <row r="8383" spans="1:7" x14ac:dyDescent="0.2">
      <c r="A8383" s="2" t="s">
        <v>9914</v>
      </c>
      <c r="B8383" s="2" t="s">
        <v>9921</v>
      </c>
      <c r="C8383" s="2" t="s">
        <v>9922</v>
      </c>
      <c r="D8383" s="2" t="s">
        <v>10</v>
      </c>
      <c r="E8383" s="2" t="s">
        <v>11</v>
      </c>
      <c r="F8383" s="2">
        <v>4</v>
      </c>
      <c r="G8383" s="2" t="s">
        <v>1069</v>
      </c>
    </row>
    <row r="8384" spans="1:7" x14ac:dyDescent="0.2">
      <c r="A8384" s="2" t="s">
        <v>9914</v>
      </c>
      <c r="B8384" s="2" t="s">
        <v>8670</v>
      </c>
      <c r="C8384" s="2" t="s">
        <v>8671</v>
      </c>
      <c r="D8384" s="2" t="s">
        <v>10</v>
      </c>
      <c r="E8384" s="2" t="s">
        <v>52</v>
      </c>
      <c r="F8384" s="2">
        <v>2</v>
      </c>
      <c r="G8384" s="2" t="s">
        <v>17</v>
      </c>
    </row>
    <row r="8385" spans="1:7" x14ac:dyDescent="0.2">
      <c r="A8385" s="2" t="s">
        <v>9914</v>
      </c>
      <c r="B8385" s="2" t="s">
        <v>8675</v>
      </c>
      <c r="C8385" s="2" t="s">
        <v>8676</v>
      </c>
      <c r="D8385" s="2" t="s">
        <v>10</v>
      </c>
      <c r="E8385" s="2" t="s">
        <v>11</v>
      </c>
      <c r="F8385" s="2">
        <v>2</v>
      </c>
      <c r="G8385" s="2" t="s">
        <v>17</v>
      </c>
    </row>
    <row r="8386" spans="1:7" x14ac:dyDescent="0.2">
      <c r="A8386" s="2" t="s">
        <v>9914</v>
      </c>
      <c r="B8386" s="2" t="s">
        <v>8728</v>
      </c>
      <c r="C8386" s="2" t="s">
        <v>4120</v>
      </c>
      <c r="D8386" s="2" t="s">
        <v>10</v>
      </c>
      <c r="E8386" s="2" t="s">
        <v>16</v>
      </c>
      <c r="F8386" s="2">
        <v>1</v>
      </c>
      <c r="G8386" s="2" t="s">
        <v>17</v>
      </c>
    </row>
    <row r="8387" spans="1:7" x14ac:dyDescent="0.2">
      <c r="A8387" s="2" t="s">
        <v>9914</v>
      </c>
      <c r="B8387" s="2" t="s">
        <v>4119</v>
      </c>
      <c r="C8387" s="2" t="s">
        <v>4120</v>
      </c>
      <c r="D8387" s="2" t="s">
        <v>10</v>
      </c>
      <c r="E8387" s="2" t="s">
        <v>16</v>
      </c>
      <c r="F8387" s="2">
        <v>1</v>
      </c>
      <c r="G8387" s="2" t="s">
        <v>17</v>
      </c>
    </row>
    <row r="8388" spans="1:7" x14ac:dyDescent="0.2">
      <c r="A8388" s="2" t="s">
        <v>9914</v>
      </c>
      <c r="B8388" s="2" t="s">
        <v>8729</v>
      </c>
      <c r="C8388" s="2" t="s">
        <v>257</v>
      </c>
      <c r="D8388" s="2" t="s">
        <v>10</v>
      </c>
      <c r="E8388" s="2" t="s">
        <v>16</v>
      </c>
      <c r="F8388" s="2">
        <v>2</v>
      </c>
      <c r="G8388" s="2" t="s">
        <v>17</v>
      </c>
    </row>
    <row r="8389" spans="1:7" x14ac:dyDescent="0.2">
      <c r="A8389" s="2" t="s">
        <v>9914</v>
      </c>
      <c r="B8389" s="2" t="s">
        <v>9923</v>
      </c>
      <c r="C8389" s="2" t="s">
        <v>5763</v>
      </c>
      <c r="D8389" s="2" t="s">
        <v>10</v>
      </c>
      <c r="E8389" s="2" t="s">
        <v>16</v>
      </c>
      <c r="F8389" s="2">
        <v>2</v>
      </c>
      <c r="G8389" s="2" t="s">
        <v>17</v>
      </c>
    </row>
    <row r="8390" spans="1:7" x14ac:dyDescent="0.2">
      <c r="A8390" s="2" t="s">
        <v>9914</v>
      </c>
      <c r="B8390" s="2" t="s">
        <v>9924</v>
      </c>
      <c r="C8390" s="2" t="s">
        <v>5763</v>
      </c>
      <c r="D8390" s="2" t="s">
        <v>10</v>
      </c>
      <c r="E8390" s="2" t="s">
        <v>16</v>
      </c>
      <c r="F8390" s="2">
        <v>2</v>
      </c>
      <c r="G8390" s="2" t="s">
        <v>17</v>
      </c>
    </row>
    <row r="8391" spans="1:7" x14ac:dyDescent="0.2">
      <c r="A8391" s="2" t="s">
        <v>9914</v>
      </c>
      <c r="B8391" s="2" t="s">
        <v>9925</v>
      </c>
      <c r="C8391" s="2" t="s">
        <v>4120</v>
      </c>
      <c r="D8391" s="2" t="s">
        <v>10</v>
      </c>
      <c r="E8391" s="2" t="s">
        <v>16</v>
      </c>
      <c r="F8391" s="2">
        <v>1</v>
      </c>
      <c r="G8391" s="2" t="s">
        <v>17</v>
      </c>
    </row>
    <row r="8392" spans="1:7" x14ac:dyDescent="0.2">
      <c r="A8392" s="2" t="s">
        <v>9914</v>
      </c>
      <c r="B8392" s="2" t="s">
        <v>6248</v>
      </c>
      <c r="C8392" s="2" t="s">
        <v>6204</v>
      </c>
      <c r="D8392" s="2" t="s">
        <v>10</v>
      </c>
      <c r="E8392" s="2" t="s">
        <v>52</v>
      </c>
      <c r="F8392" s="2">
        <v>2</v>
      </c>
      <c r="G8392" s="2" t="s">
        <v>17</v>
      </c>
    </row>
    <row r="8393" spans="1:7" x14ac:dyDescent="0.2">
      <c r="A8393" s="2" t="s">
        <v>9914</v>
      </c>
      <c r="B8393" s="2" t="s">
        <v>6250</v>
      </c>
      <c r="C8393" s="2" t="s">
        <v>6207</v>
      </c>
      <c r="D8393" s="2" t="s">
        <v>10</v>
      </c>
      <c r="E8393" s="2" t="s">
        <v>52</v>
      </c>
      <c r="F8393" s="2">
        <v>2</v>
      </c>
      <c r="G8393" s="2" t="s">
        <v>17</v>
      </c>
    </row>
    <row r="8394" spans="1:7" x14ac:dyDescent="0.2">
      <c r="A8394" s="2" t="s">
        <v>9914</v>
      </c>
      <c r="B8394" s="2" t="s">
        <v>6251</v>
      </c>
      <c r="C8394" s="2" t="s">
        <v>6207</v>
      </c>
      <c r="D8394" s="2" t="s">
        <v>10</v>
      </c>
      <c r="E8394" s="2" t="s">
        <v>52</v>
      </c>
      <c r="F8394" s="2">
        <v>2</v>
      </c>
      <c r="G8394" s="2" t="s">
        <v>17</v>
      </c>
    </row>
    <row r="8395" spans="1:7" x14ac:dyDescent="0.2">
      <c r="A8395" s="2" t="s">
        <v>9914</v>
      </c>
      <c r="B8395" s="2" t="s">
        <v>702</v>
      </c>
      <c r="C8395" s="2" t="s">
        <v>9922</v>
      </c>
      <c r="D8395" s="2" t="s">
        <v>10</v>
      </c>
      <c r="E8395" s="2" t="s">
        <v>11</v>
      </c>
      <c r="F8395" s="2">
        <v>4</v>
      </c>
      <c r="G8395" s="2" t="s">
        <v>1069</v>
      </c>
    </row>
    <row r="8396" spans="1:7" x14ac:dyDescent="0.2">
      <c r="A8396" s="2" t="s">
        <v>9914</v>
      </c>
      <c r="B8396" s="2" t="s">
        <v>9926</v>
      </c>
      <c r="C8396" s="2" t="s">
        <v>8678</v>
      </c>
      <c r="D8396" s="2" t="s">
        <v>10</v>
      </c>
      <c r="E8396" s="2" t="s">
        <v>11</v>
      </c>
      <c r="F8396" s="2">
        <v>2</v>
      </c>
      <c r="G8396" s="2" t="s">
        <v>12</v>
      </c>
    </row>
    <row r="8397" spans="1:7" x14ac:dyDescent="0.2">
      <c r="A8397" s="2" t="s">
        <v>9914</v>
      </c>
      <c r="B8397" s="2" t="s">
        <v>9927</v>
      </c>
      <c r="C8397" s="2" t="s">
        <v>8678</v>
      </c>
      <c r="D8397" s="2" t="s">
        <v>10</v>
      </c>
      <c r="E8397" s="2" t="s">
        <v>11</v>
      </c>
      <c r="F8397" s="2">
        <v>2</v>
      </c>
      <c r="G8397" s="2" t="s">
        <v>12</v>
      </c>
    </row>
    <row r="8398" spans="1:7" x14ac:dyDescent="0.2">
      <c r="A8398" s="2" t="s">
        <v>9914</v>
      </c>
      <c r="B8398" s="2" t="s">
        <v>9928</v>
      </c>
      <c r="C8398" s="2" t="s">
        <v>8678</v>
      </c>
      <c r="D8398" s="2" t="s">
        <v>10</v>
      </c>
      <c r="E8398" s="2" t="s">
        <v>11</v>
      </c>
      <c r="F8398" s="2">
        <v>2</v>
      </c>
      <c r="G8398" s="2" t="s">
        <v>12</v>
      </c>
    </row>
    <row r="8399" spans="1:7" x14ac:dyDescent="0.2">
      <c r="A8399" s="2" t="s">
        <v>9914</v>
      </c>
      <c r="B8399" s="2" t="s">
        <v>8734</v>
      </c>
      <c r="C8399" s="2" t="s">
        <v>8735</v>
      </c>
      <c r="D8399" s="2" t="s">
        <v>10</v>
      </c>
      <c r="E8399" s="2" t="s">
        <v>11</v>
      </c>
      <c r="F8399" s="2">
        <v>2</v>
      </c>
      <c r="G8399" s="2" t="s">
        <v>12</v>
      </c>
    </row>
    <row r="8400" spans="1:7" x14ac:dyDescent="0.2">
      <c r="A8400" s="2" t="s">
        <v>9914</v>
      </c>
      <c r="B8400" s="2" t="s">
        <v>9929</v>
      </c>
      <c r="C8400" s="2" t="s">
        <v>8735</v>
      </c>
      <c r="D8400" s="2" t="s">
        <v>10</v>
      </c>
      <c r="E8400" s="2" t="s">
        <v>11</v>
      </c>
      <c r="F8400" s="2">
        <v>2</v>
      </c>
      <c r="G8400" s="2" t="s">
        <v>12</v>
      </c>
    </row>
    <row r="8401" spans="1:7" x14ac:dyDescent="0.2">
      <c r="A8401" s="2" t="s">
        <v>9914</v>
      </c>
      <c r="B8401" s="2" t="s">
        <v>8695</v>
      </c>
      <c r="C8401" s="2" t="s">
        <v>8671</v>
      </c>
      <c r="D8401" s="2" t="s">
        <v>10</v>
      </c>
      <c r="E8401" s="2" t="s">
        <v>52</v>
      </c>
      <c r="F8401" s="2">
        <v>2</v>
      </c>
      <c r="G8401" s="2" t="s">
        <v>17</v>
      </c>
    </row>
    <row r="8402" spans="1:7" x14ac:dyDescent="0.2">
      <c r="A8402" s="2" t="s">
        <v>9914</v>
      </c>
      <c r="B8402" s="2" t="s">
        <v>8737</v>
      </c>
      <c r="C8402" s="2" t="s">
        <v>269</v>
      </c>
      <c r="D8402" s="2" t="s">
        <v>10</v>
      </c>
      <c r="E8402" s="2" t="s">
        <v>16</v>
      </c>
      <c r="F8402" s="2">
        <v>1</v>
      </c>
      <c r="G8402" s="2" t="s">
        <v>17</v>
      </c>
    </row>
    <row r="8403" spans="1:7" x14ac:dyDescent="0.2">
      <c r="A8403" s="2" t="s">
        <v>9914</v>
      </c>
      <c r="B8403" s="2" t="s">
        <v>8738</v>
      </c>
      <c r="C8403" s="2" t="s">
        <v>8678</v>
      </c>
      <c r="D8403" s="2" t="s">
        <v>10</v>
      </c>
      <c r="E8403" s="2" t="s">
        <v>11</v>
      </c>
      <c r="F8403" s="2">
        <v>2</v>
      </c>
      <c r="G8403" s="2" t="s">
        <v>12</v>
      </c>
    </row>
    <row r="8404" spans="1:7" x14ac:dyDescent="0.2">
      <c r="A8404" s="2" t="s">
        <v>9914</v>
      </c>
      <c r="B8404" s="2" t="s">
        <v>8739</v>
      </c>
      <c r="C8404" s="2" t="s">
        <v>8678</v>
      </c>
      <c r="D8404" s="2" t="s">
        <v>10</v>
      </c>
      <c r="E8404" s="2" t="s">
        <v>11</v>
      </c>
      <c r="F8404" s="2">
        <v>2</v>
      </c>
      <c r="G8404" s="2" t="s">
        <v>12</v>
      </c>
    </row>
    <row r="8405" spans="1:7" x14ac:dyDescent="0.2">
      <c r="A8405" s="2" t="s">
        <v>9914</v>
      </c>
      <c r="B8405" s="2" t="s">
        <v>9930</v>
      </c>
      <c r="C8405" s="2" t="s">
        <v>8678</v>
      </c>
      <c r="D8405" s="2" t="s">
        <v>10</v>
      </c>
      <c r="E8405" s="2" t="s">
        <v>11</v>
      </c>
      <c r="F8405" s="2">
        <v>2</v>
      </c>
      <c r="G8405" s="2" t="s">
        <v>12</v>
      </c>
    </row>
    <row r="8406" spans="1:7" x14ac:dyDescent="0.2">
      <c r="A8406" s="2" t="s">
        <v>9914</v>
      </c>
      <c r="B8406" s="2" t="s">
        <v>8740</v>
      </c>
      <c r="C8406" s="2" t="s">
        <v>8735</v>
      </c>
      <c r="D8406" s="2" t="s">
        <v>10</v>
      </c>
      <c r="E8406" s="2" t="s">
        <v>11</v>
      </c>
      <c r="F8406" s="2">
        <v>2</v>
      </c>
      <c r="G8406" s="2" t="s">
        <v>12</v>
      </c>
    </row>
    <row r="8407" spans="1:7" x14ac:dyDescent="0.2">
      <c r="A8407" s="2" t="s">
        <v>9914</v>
      </c>
      <c r="B8407" s="2" t="s">
        <v>9931</v>
      </c>
      <c r="C8407" s="2" t="s">
        <v>8735</v>
      </c>
      <c r="D8407" s="2" t="s">
        <v>10</v>
      </c>
      <c r="E8407" s="2" t="s">
        <v>11</v>
      </c>
      <c r="F8407" s="2">
        <v>2</v>
      </c>
      <c r="G8407" s="2" t="s">
        <v>12</v>
      </c>
    </row>
    <row r="8408" spans="1:7" x14ac:dyDescent="0.2">
      <c r="A8408" s="2" t="s">
        <v>9914</v>
      </c>
      <c r="B8408" s="2" t="s">
        <v>8741</v>
      </c>
      <c r="C8408" s="2" t="s">
        <v>183</v>
      </c>
      <c r="D8408" s="2" t="s">
        <v>10</v>
      </c>
      <c r="E8408" s="2" t="s">
        <v>16</v>
      </c>
      <c r="F8408" s="2">
        <v>2</v>
      </c>
      <c r="G8408" s="2" t="s">
        <v>17</v>
      </c>
    </row>
    <row r="8409" spans="1:7" x14ac:dyDescent="0.2">
      <c r="A8409" s="2" t="s">
        <v>9914</v>
      </c>
      <c r="B8409" s="2" t="s">
        <v>7727</v>
      </c>
      <c r="C8409" s="2" t="s">
        <v>7599</v>
      </c>
      <c r="D8409" s="2" t="s">
        <v>10</v>
      </c>
      <c r="E8409" s="2" t="s">
        <v>52</v>
      </c>
      <c r="F8409" s="2">
        <v>4</v>
      </c>
      <c r="G8409" s="2" t="s">
        <v>12</v>
      </c>
    </row>
    <row r="8410" spans="1:7" x14ac:dyDescent="0.2">
      <c r="A8410" s="2" t="s">
        <v>9914</v>
      </c>
      <c r="B8410" s="2" t="s">
        <v>8704</v>
      </c>
      <c r="C8410" s="2" t="s">
        <v>8676</v>
      </c>
      <c r="D8410" s="2" t="s">
        <v>10</v>
      </c>
      <c r="E8410" s="2" t="s">
        <v>11</v>
      </c>
      <c r="F8410" s="2">
        <v>2</v>
      </c>
      <c r="G8410" s="2" t="s">
        <v>17</v>
      </c>
    </row>
    <row r="8411" spans="1:7" x14ac:dyDescent="0.2">
      <c r="A8411" s="2" t="s">
        <v>9914</v>
      </c>
      <c r="B8411" s="2" t="s">
        <v>8744</v>
      </c>
      <c r="C8411" s="2" t="s">
        <v>269</v>
      </c>
      <c r="D8411" s="2" t="s">
        <v>10</v>
      </c>
      <c r="E8411" s="2" t="s">
        <v>16</v>
      </c>
      <c r="F8411" s="2">
        <v>1</v>
      </c>
      <c r="G8411" s="2" t="s">
        <v>17</v>
      </c>
    </row>
    <row r="8412" spans="1:7" x14ac:dyDescent="0.2">
      <c r="A8412" s="2" t="s">
        <v>9914</v>
      </c>
      <c r="B8412" s="2" t="s">
        <v>8746</v>
      </c>
      <c r="C8412" s="2" t="s">
        <v>6204</v>
      </c>
      <c r="D8412" s="2" t="s">
        <v>10</v>
      </c>
      <c r="E8412" s="2" t="s">
        <v>52</v>
      </c>
      <c r="F8412" s="2">
        <v>2</v>
      </c>
      <c r="G8412" s="2" t="s">
        <v>17</v>
      </c>
    </row>
    <row r="8413" spans="1:7" x14ac:dyDescent="0.2">
      <c r="A8413" s="2" t="s">
        <v>9932</v>
      </c>
      <c r="B8413" s="2" t="s">
        <v>9933</v>
      </c>
      <c r="C8413" s="2" t="s">
        <v>5423</v>
      </c>
      <c r="D8413" s="2" t="s">
        <v>56</v>
      </c>
      <c r="E8413" s="2" t="s">
        <v>16</v>
      </c>
      <c r="F8413" s="2">
        <v>1</v>
      </c>
      <c r="G8413" s="2" t="s">
        <v>17</v>
      </c>
    </row>
    <row r="8414" spans="1:7" x14ac:dyDescent="0.2">
      <c r="A8414" s="2" t="s">
        <v>9932</v>
      </c>
      <c r="B8414" s="2" t="s">
        <v>39</v>
      </c>
      <c r="C8414" s="2" t="s">
        <v>5372</v>
      </c>
      <c r="D8414" s="2" t="s">
        <v>56</v>
      </c>
      <c r="E8414" s="2" t="s">
        <v>52</v>
      </c>
      <c r="F8414" s="2">
        <v>1</v>
      </c>
      <c r="G8414" s="2" t="s">
        <v>17</v>
      </c>
    </row>
    <row r="8415" spans="1:7" x14ac:dyDescent="0.2">
      <c r="A8415" s="2" t="s">
        <v>9932</v>
      </c>
      <c r="B8415" s="2" t="s">
        <v>2933</v>
      </c>
      <c r="C8415" s="2" t="s">
        <v>5372</v>
      </c>
      <c r="D8415" s="2" t="s">
        <v>56</v>
      </c>
      <c r="E8415" s="2" t="s">
        <v>52</v>
      </c>
      <c r="F8415" s="2">
        <v>1</v>
      </c>
      <c r="G8415" s="2" t="s">
        <v>17</v>
      </c>
    </row>
    <row r="8416" spans="1:7" x14ac:dyDescent="0.2">
      <c r="A8416" s="2" t="s">
        <v>9932</v>
      </c>
      <c r="B8416" s="2" t="s">
        <v>9934</v>
      </c>
      <c r="C8416" s="2" t="s">
        <v>5372</v>
      </c>
      <c r="D8416" s="2" t="s">
        <v>56</v>
      </c>
      <c r="E8416" s="2" t="s">
        <v>52</v>
      </c>
      <c r="F8416" s="2">
        <v>1</v>
      </c>
      <c r="G8416" s="2" t="s">
        <v>17</v>
      </c>
    </row>
    <row r="8417" spans="1:7" x14ac:dyDescent="0.2">
      <c r="A8417" s="2" t="s">
        <v>9932</v>
      </c>
      <c r="B8417" s="2" t="s">
        <v>9935</v>
      </c>
      <c r="C8417" s="2" t="s">
        <v>5372</v>
      </c>
      <c r="D8417" s="2" t="s">
        <v>56</v>
      </c>
      <c r="E8417" s="2" t="s">
        <v>52</v>
      </c>
      <c r="F8417" s="2">
        <v>1</v>
      </c>
      <c r="G8417" s="2" t="s">
        <v>17</v>
      </c>
    </row>
    <row r="8418" spans="1:7" x14ac:dyDescent="0.2">
      <c r="A8418" s="2" t="s">
        <v>9932</v>
      </c>
      <c r="B8418" s="2" t="s">
        <v>9936</v>
      </c>
      <c r="C8418" s="2" t="s">
        <v>5423</v>
      </c>
      <c r="D8418" s="2" t="s">
        <v>56</v>
      </c>
      <c r="E8418" s="2" t="s">
        <v>16</v>
      </c>
      <c r="F8418" s="2">
        <v>1</v>
      </c>
      <c r="G8418" s="2" t="s">
        <v>17</v>
      </c>
    </row>
    <row r="8419" spans="1:7" x14ac:dyDescent="0.2">
      <c r="A8419" s="2" t="s">
        <v>9937</v>
      </c>
      <c r="B8419" s="2" t="s">
        <v>9938</v>
      </c>
      <c r="C8419" s="2" t="s">
        <v>3142</v>
      </c>
      <c r="D8419" s="2" t="s">
        <v>10</v>
      </c>
      <c r="E8419" s="2" t="s">
        <v>16</v>
      </c>
      <c r="F8419" s="2">
        <v>1</v>
      </c>
      <c r="G8419" s="2" t="s">
        <v>17</v>
      </c>
    </row>
    <row r="8420" spans="1:7" x14ac:dyDescent="0.2">
      <c r="A8420" s="2" t="s">
        <v>9937</v>
      </c>
      <c r="B8420" s="2" t="s">
        <v>9939</v>
      </c>
      <c r="C8420" s="2" t="s">
        <v>3142</v>
      </c>
      <c r="D8420" s="2" t="s">
        <v>10</v>
      </c>
      <c r="E8420" s="2" t="s">
        <v>16</v>
      </c>
      <c r="F8420" s="2">
        <v>1</v>
      </c>
      <c r="G8420" s="2" t="s">
        <v>17</v>
      </c>
    </row>
    <row r="8421" spans="1:7" x14ac:dyDescent="0.2">
      <c r="A8421" s="2" t="s">
        <v>9937</v>
      </c>
      <c r="B8421" s="2" t="s">
        <v>3141</v>
      </c>
      <c r="C8421" s="2" t="s">
        <v>3142</v>
      </c>
      <c r="D8421" s="2" t="s">
        <v>10</v>
      </c>
      <c r="E8421" s="2" t="s">
        <v>16</v>
      </c>
      <c r="F8421" s="2">
        <v>1</v>
      </c>
      <c r="G8421" s="2" t="s">
        <v>17</v>
      </c>
    </row>
    <row r="8422" spans="1:7" x14ac:dyDescent="0.2">
      <c r="A8422" s="2" t="s">
        <v>9940</v>
      </c>
      <c r="B8422" s="2" t="s">
        <v>9941</v>
      </c>
      <c r="C8422" s="2" t="s">
        <v>1496</v>
      </c>
      <c r="D8422" s="2" t="s">
        <v>10</v>
      </c>
      <c r="E8422" s="2" t="s">
        <v>16</v>
      </c>
      <c r="F8422" s="2">
        <v>1</v>
      </c>
      <c r="G8422" s="2" t="s">
        <v>17</v>
      </c>
    </row>
    <row r="8423" spans="1:7" x14ac:dyDescent="0.2">
      <c r="A8423" s="2" t="s">
        <v>9940</v>
      </c>
      <c r="B8423" s="2" t="s">
        <v>4340</v>
      </c>
      <c r="C8423" s="2" t="s">
        <v>1496</v>
      </c>
      <c r="D8423" s="2" t="s">
        <v>10</v>
      </c>
      <c r="E8423" s="2" t="s">
        <v>16</v>
      </c>
      <c r="F8423" s="2">
        <v>1</v>
      </c>
      <c r="G8423" s="2" t="s">
        <v>17</v>
      </c>
    </row>
    <row r="8424" spans="1:7" x14ac:dyDescent="0.2">
      <c r="A8424" s="2" t="s">
        <v>9940</v>
      </c>
      <c r="B8424" s="2" t="s">
        <v>9942</v>
      </c>
      <c r="C8424" s="2" t="s">
        <v>1496</v>
      </c>
      <c r="D8424" s="2" t="s">
        <v>10</v>
      </c>
      <c r="E8424" s="2" t="s">
        <v>16</v>
      </c>
      <c r="F8424" s="2">
        <v>1</v>
      </c>
      <c r="G8424" s="2" t="s">
        <v>17</v>
      </c>
    </row>
    <row r="8425" spans="1:7" x14ac:dyDescent="0.2">
      <c r="A8425" s="2" t="s">
        <v>9940</v>
      </c>
      <c r="B8425" s="2" t="s">
        <v>9943</v>
      </c>
      <c r="C8425" s="2" t="s">
        <v>1496</v>
      </c>
      <c r="D8425" s="2" t="s">
        <v>10</v>
      </c>
      <c r="E8425" s="2" t="s">
        <v>16</v>
      </c>
      <c r="F8425" s="2">
        <v>1</v>
      </c>
      <c r="G8425" s="2" t="s">
        <v>17</v>
      </c>
    </row>
    <row r="8426" spans="1:7" x14ac:dyDescent="0.2">
      <c r="A8426" s="2" t="s">
        <v>9940</v>
      </c>
      <c r="B8426" s="2" t="s">
        <v>9944</v>
      </c>
      <c r="C8426" s="2" t="s">
        <v>1496</v>
      </c>
      <c r="D8426" s="2" t="s">
        <v>10</v>
      </c>
      <c r="E8426" s="2" t="s">
        <v>16</v>
      </c>
      <c r="F8426" s="2">
        <v>1</v>
      </c>
      <c r="G8426" s="2" t="s">
        <v>17</v>
      </c>
    </row>
    <row r="8427" spans="1:7" x14ac:dyDescent="0.2">
      <c r="A8427" s="2" t="s">
        <v>9940</v>
      </c>
      <c r="B8427" s="2" t="s">
        <v>9945</v>
      </c>
      <c r="C8427" s="2" t="s">
        <v>358</v>
      </c>
      <c r="D8427" s="2" t="s">
        <v>10</v>
      </c>
      <c r="E8427" s="2" t="s">
        <v>16</v>
      </c>
      <c r="F8427" s="2">
        <v>1</v>
      </c>
      <c r="G8427" s="2" t="s">
        <v>17</v>
      </c>
    </row>
    <row r="8428" spans="1:7" x14ac:dyDescent="0.2">
      <c r="A8428" s="2" t="s">
        <v>9940</v>
      </c>
      <c r="B8428" s="2" t="s">
        <v>9946</v>
      </c>
      <c r="C8428" s="2" t="s">
        <v>358</v>
      </c>
      <c r="D8428" s="2" t="s">
        <v>10</v>
      </c>
      <c r="E8428" s="2" t="s">
        <v>16</v>
      </c>
      <c r="F8428" s="2">
        <v>1</v>
      </c>
      <c r="G8428" s="2" t="s">
        <v>17</v>
      </c>
    </row>
    <row r="8429" spans="1:7" x14ac:dyDescent="0.2">
      <c r="A8429" s="2" t="s">
        <v>9940</v>
      </c>
      <c r="B8429" s="2" t="s">
        <v>1508</v>
      </c>
      <c r="C8429" s="2" t="s">
        <v>358</v>
      </c>
      <c r="D8429" s="2" t="s">
        <v>10</v>
      </c>
      <c r="E8429" s="2" t="s">
        <v>16</v>
      </c>
      <c r="F8429" s="2">
        <v>1</v>
      </c>
      <c r="G8429" s="2" t="s">
        <v>17</v>
      </c>
    </row>
    <row r="8430" spans="1:7" x14ac:dyDescent="0.2">
      <c r="A8430" s="2" t="s">
        <v>9947</v>
      </c>
      <c r="B8430" s="2" t="s">
        <v>9948</v>
      </c>
      <c r="C8430" s="2" t="s">
        <v>4617</v>
      </c>
      <c r="D8430" s="2" t="s">
        <v>10</v>
      </c>
      <c r="E8430" s="2" t="s">
        <v>16</v>
      </c>
      <c r="F8430" s="2">
        <v>1</v>
      </c>
      <c r="G8430" s="2" t="s">
        <v>17</v>
      </c>
    </row>
    <row r="8431" spans="1:7" x14ac:dyDescent="0.2">
      <c r="A8431" s="2" t="s">
        <v>9947</v>
      </c>
      <c r="B8431" s="2" t="s">
        <v>9949</v>
      </c>
      <c r="C8431" s="2" t="s">
        <v>9950</v>
      </c>
      <c r="D8431" s="2" t="s">
        <v>10</v>
      </c>
      <c r="E8431" s="2" t="s">
        <v>16</v>
      </c>
      <c r="F8431" s="2">
        <v>1</v>
      </c>
      <c r="G8431" s="2" t="s">
        <v>17</v>
      </c>
    </row>
    <row r="8432" spans="1:7" x14ac:dyDescent="0.2">
      <c r="A8432" s="2" t="s">
        <v>9951</v>
      </c>
      <c r="B8432" s="2" t="s">
        <v>9900</v>
      </c>
      <c r="C8432" s="2" t="s">
        <v>9952</v>
      </c>
      <c r="D8432" s="2" t="s">
        <v>10</v>
      </c>
      <c r="E8432" s="2" t="s">
        <v>16</v>
      </c>
      <c r="F8432" s="2">
        <v>1</v>
      </c>
      <c r="G8432" s="2" t="s">
        <v>17</v>
      </c>
    </row>
    <row r="8433" spans="1:7" x14ac:dyDescent="0.2">
      <c r="A8433" s="2" t="s">
        <v>9951</v>
      </c>
      <c r="B8433" s="2" t="s">
        <v>4877</v>
      </c>
      <c r="C8433" s="2" t="s">
        <v>4878</v>
      </c>
      <c r="D8433" s="2" t="s">
        <v>10</v>
      </c>
      <c r="E8433" s="2" t="s">
        <v>16</v>
      </c>
      <c r="F8433" s="2">
        <v>1</v>
      </c>
      <c r="G8433" s="2" t="s">
        <v>17</v>
      </c>
    </row>
    <row r="8434" spans="1:7" x14ac:dyDescent="0.2">
      <c r="A8434" s="2" t="s">
        <v>9951</v>
      </c>
      <c r="B8434" s="2" t="s">
        <v>4881</v>
      </c>
      <c r="C8434" s="2" t="s">
        <v>4882</v>
      </c>
      <c r="D8434" s="2" t="s">
        <v>10</v>
      </c>
      <c r="E8434" s="2" t="s">
        <v>16</v>
      </c>
      <c r="F8434" s="2">
        <v>1</v>
      </c>
      <c r="G8434" s="2" t="s">
        <v>17</v>
      </c>
    </row>
    <row r="8435" spans="1:7" x14ac:dyDescent="0.2">
      <c r="A8435" s="2" t="s">
        <v>9951</v>
      </c>
      <c r="B8435" s="2" t="s">
        <v>4885</v>
      </c>
      <c r="C8435" s="2" t="s">
        <v>4878</v>
      </c>
      <c r="D8435" s="2" t="s">
        <v>10</v>
      </c>
      <c r="E8435" s="2" t="s">
        <v>16</v>
      </c>
      <c r="F8435" s="2">
        <v>1</v>
      </c>
      <c r="G8435" s="2" t="s">
        <v>17</v>
      </c>
    </row>
    <row r="8436" spans="1:7" x14ac:dyDescent="0.2">
      <c r="A8436" s="2" t="s">
        <v>9951</v>
      </c>
      <c r="B8436" s="2" t="s">
        <v>4887</v>
      </c>
      <c r="C8436" s="2" t="s">
        <v>4882</v>
      </c>
      <c r="D8436" s="2" t="s">
        <v>10</v>
      </c>
      <c r="E8436" s="2" t="s">
        <v>16</v>
      </c>
      <c r="F8436" s="2">
        <v>1</v>
      </c>
      <c r="G8436" s="2" t="s">
        <v>17</v>
      </c>
    </row>
    <row r="8437" spans="1:7" x14ac:dyDescent="0.2">
      <c r="A8437" s="2" t="s">
        <v>9953</v>
      </c>
      <c r="B8437" s="2" t="s">
        <v>2012</v>
      </c>
      <c r="C8437" s="2" t="s">
        <v>2009</v>
      </c>
      <c r="D8437" s="2" t="s">
        <v>10</v>
      </c>
      <c r="E8437" s="2" t="s">
        <v>16</v>
      </c>
      <c r="F8437" s="2">
        <v>2</v>
      </c>
      <c r="G8437" s="2" t="s">
        <v>17</v>
      </c>
    </row>
    <row r="8438" spans="1:7" x14ac:dyDescent="0.2">
      <c r="A8438" s="2" t="s">
        <v>9953</v>
      </c>
      <c r="B8438" s="2" t="s">
        <v>3132</v>
      </c>
      <c r="C8438" s="2" t="s">
        <v>3133</v>
      </c>
      <c r="D8438" s="2" t="s">
        <v>10</v>
      </c>
      <c r="E8438" s="2" t="s">
        <v>52</v>
      </c>
      <c r="F8438" s="2">
        <v>2</v>
      </c>
      <c r="G8438" s="2" t="s">
        <v>17</v>
      </c>
    </row>
    <row r="8439" spans="1:7" x14ac:dyDescent="0.2">
      <c r="A8439" s="2" t="s">
        <v>9953</v>
      </c>
      <c r="B8439" s="2" t="s">
        <v>3134</v>
      </c>
      <c r="C8439" s="2" t="s">
        <v>3133</v>
      </c>
      <c r="D8439" s="2" t="s">
        <v>10</v>
      </c>
      <c r="E8439" s="2" t="s">
        <v>52</v>
      </c>
      <c r="F8439" s="2">
        <v>2</v>
      </c>
      <c r="G8439" s="2" t="s">
        <v>17</v>
      </c>
    </row>
    <row r="8440" spans="1:7" x14ac:dyDescent="0.2">
      <c r="A8440" s="2" t="s">
        <v>9953</v>
      </c>
      <c r="B8440" s="2" t="s">
        <v>3135</v>
      </c>
      <c r="C8440" s="2" t="s">
        <v>3133</v>
      </c>
      <c r="D8440" s="2" t="s">
        <v>10</v>
      </c>
      <c r="E8440" s="2" t="s">
        <v>52</v>
      </c>
      <c r="F8440" s="2">
        <v>2</v>
      </c>
      <c r="G8440" s="2" t="s">
        <v>17</v>
      </c>
    </row>
    <row r="8441" spans="1:7" x14ac:dyDescent="0.2">
      <c r="A8441" s="2" t="s">
        <v>9953</v>
      </c>
      <c r="B8441" s="2" t="s">
        <v>2013</v>
      </c>
      <c r="C8441" s="2" t="s">
        <v>2009</v>
      </c>
      <c r="D8441" s="2" t="s">
        <v>10</v>
      </c>
      <c r="E8441" s="2" t="s">
        <v>16</v>
      </c>
      <c r="F8441" s="2">
        <v>2</v>
      </c>
      <c r="G8441" s="2" t="s">
        <v>17</v>
      </c>
    </row>
    <row r="8442" spans="1:7" x14ac:dyDescent="0.2">
      <c r="A8442" s="2" t="s">
        <v>9953</v>
      </c>
      <c r="B8442" s="2" t="s">
        <v>3136</v>
      </c>
      <c r="C8442" s="2" t="s">
        <v>3133</v>
      </c>
      <c r="D8442" s="2" t="s">
        <v>10</v>
      </c>
      <c r="E8442" s="2" t="s">
        <v>52</v>
      </c>
      <c r="F8442" s="2">
        <v>2</v>
      </c>
      <c r="G8442" s="2" t="s">
        <v>17</v>
      </c>
    </row>
    <row r="8443" spans="1:7" x14ac:dyDescent="0.2">
      <c r="A8443" s="2" t="s">
        <v>9954</v>
      </c>
      <c r="B8443" s="2" t="s">
        <v>9955</v>
      </c>
      <c r="C8443" s="2" t="s">
        <v>9956</v>
      </c>
      <c r="D8443" s="2" t="s">
        <v>64</v>
      </c>
      <c r="E8443" s="2" t="s">
        <v>16</v>
      </c>
      <c r="F8443" s="2">
        <v>1</v>
      </c>
      <c r="G8443" s="2" t="s">
        <v>17</v>
      </c>
    </row>
    <row r="8444" spans="1:7" x14ac:dyDescent="0.2">
      <c r="A8444" s="2" t="s">
        <v>9957</v>
      </c>
      <c r="B8444" s="2" t="s">
        <v>4074</v>
      </c>
      <c r="C8444" s="2" t="s">
        <v>9958</v>
      </c>
      <c r="D8444" s="2" t="s">
        <v>10</v>
      </c>
      <c r="E8444" s="2" t="s">
        <v>16</v>
      </c>
      <c r="F8444" s="2">
        <v>1</v>
      </c>
      <c r="G8444" s="2" t="s">
        <v>17</v>
      </c>
    </row>
    <row r="8445" spans="1:7" x14ac:dyDescent="0.2">
      <c r="A8445" s="2" t="s">
        <v>9957</v>
      </c>
      <c r="B8445" s="2" t="s">
        <v>9959</v>
      </c>
      <c r="C8445" s="2" t="s">
        <v>9958</v>
      </c>
      <c r="D8445" s="2" t="s">
        <v>10</v>
      </c>
      <c r="E8445" s="2" t="s">
        <v>16</v>
      </c>
      <c r="F8445" s="2">
        <v>1</v>
      </c>
      <c r="G8445" s="2" t="s">
        <v>17</v>
      </c>
    </row>
    <row r="8446" spans="1:7" x14ac:dyDescent="0.2">
      <c r="A8446" s="2" t="s">
        <v>9957</v>
      </c>
      <c r="B8446" s="2" t="s">
        <v>9960</v>
      </c>
      <c r="C8446" s="2" t="s">
        <v>9958</v>
      </c>
      <c r="D8446" s="2" t="s">
        <v>10</v>
      </c>
      <c r="E8446" s="2" t="s">
        <v>16</v>
      </c>
      <c r="F8446" s="2">
        <v>1</v>
      </c>
      <c r="G8446" s="2" t="s">
        <v>17</v>
      </c>
    </row>
    <row r="8447" spans="1:7" x14ac:dyDescent="0.2">
      <c r="A8447" s="2" t="s">
        <v>9961</v>
      </c>
      <c r="B8447" s="2" t="s">
        <v>9962</v>
      </c>
      <c r="C8447" s="2" t="s">
        <v>9963</v>
      </c>
      <c r="D8447" s="2" t="s">
        <v>56</v>
      </c>
      <c r="E8447" s="2" t="s">
        <v>16</v>
      </c>
      <c r="F8447" s="2">
        <v>1</v>
      </c>
      <c r="G8447" s="2" t="s">
        <v>17</v>
      </c>
    </row>
    <row r="8448" spans="1:7" x14ac:dyDescent="0.2">
      <c r="A8448" s="2" t="s">
        <v>9964</v>
      </c>
      <c r="B8448" s="2" t="s">
        <v>1861</v>
      </c>
      <c r="C8448" s="2" t="s">
        <v>1862</v>
      </c>
      <c r="D8448" s="2" t="s">
        <v>64</v>
      </c>
      <c r="E8448" s="2" t="s">
        <v>16</v>
      </c>
      <c r="F8448" s="2">
        <v>1</v>
      </c>
      <c r="G8448" s="2" t="s">
        <v>17</v>
      </c>
    </row>
    <row r="8449" spans="1:7" x14ac:dyDescent="0.2">
      <c r="A8449" s="2" t="s">
        <v>9964</v>
      </c>
      <c r="B8449" s="2" t="s">
        <v>1863</v>
      </c>
      <c r="C8449" s="2" t="s">
        <v>1862</v>
      </c>
      <c r="D8449" s="2" t="s">
        <v>64</v>
      </c>
      <c r="E8449" s="2" t="s">
        <v>16</v>
      </c>
      <c r="F8449" s="2">
        <v>1</v>
      </c>
      <c r="G8449" s="2" t="s">
        <v>17</v>
      </c>
    </row>
    <row r="8450" spans="1:7" x14ac:dyDescent="0.2">
      <c r="A8450" s="2" t="s">
        <v>9964</v>
      </c>
      <c r="B8450" s="2" t="s">
        <v>1864</v>
      </c>
      <c r="C8450" s="2" t="s">
        <v>1865</v>
      </c>
      <c r="D8450" s="2" t="s">
        <v>64</v>
      </c>
      <c r="E8450" s="2" t="s">
        <v>16</v>
      </c>
      <c r="F8450" s="2">
        <v>1</v>
      </c>
      <c r="G8450" s="2" t="s">
        <v>17</v>
      </c>
    </row>
    <row r="8451" spans="1:7" x14ac:dyDescent="0.2">
      <c r="A8451" s="2" t="s">
        <v>9964</v>
      </c>
      <c r="B8451" s="2" t="s">
        <v>1866</v>
      </c>
      <c r="C8451" s="2" t="s">
        <v>1867</v>
      </c>
      <c r="D8451" s="2" t="s">
        <v>64</v>
      </c>
      <c r="E8451" s="2" t="s">
        <v>16</v>
      </c>
      <c r="F8451" s="2">
        <v>1</v>
      </c>
      <c r="G8451" s="2" t="s">
        <v>17</v>
      </c>
    </row>
    <row r="8452" spans="1:7" x14ac:dyDescent="0.2">
      <c r="A8452" s="2" t="s">
        <v>9965</v>
      </c>
      <c r="B8452" s="2" t="s">
        <v>9966</v>
      </c>
      <c r="C8452" s="2" t="s">
        <v>9967</v>
      </c>
      <c r="D8452" s="2" t="s">
        <v>64</v>
      </c>
      <c r="E8452" s="2" t="s">
        <v>16</v>
      </c>
      <c r="F8452" s="2">
        <v>1</v>
      </c>
      <c r="G8452" s="2" t="s">
        <v>17</v>
      </c>
    </row>
    <row r="8453" spans="1:7" x14ac:dyDescent="0.2">
      <c r="A8453" s="2" t="s">
        <v>9968</v>
      </c>
      <c r="B8453" s="2" t="s">
        <v>9969</v>
      </c>
      <c r="C8453" s="2" t="s">
        <v>9970</v>
      </c>
      <c r="D8453" s="2" t="s">
        <v>56</v>
      </c>
      <c r="E8453" s="2" t="s">
        <v>16</v>
      </c>
      <c r="F8453" s="2">
        <v>1</v>
      </c>
      <c r="G8453" s="2" t="s">
        <v>17</v>
      </c>
    </row>
    <row r="8454" spans="1:7" x14ac:dyDescent="0.2">
      <c r="A8454" s="2" t="s">
        <v>9968</v>
      </c>
      <c r="B8454" s="2" t="s">
        <v>9971</v>
      </c>
      <c r="C8454" s="2" t="s">
        <v>9972</v>
      </c>
      <c r="D8454" s="2" t="s">
        <v>56</v>
      </c>
      <c r="E8454" s="2" t="s">
        <v>52</v>
      </c>
      <c r="F8454" s="2">
        <v>1</v>
      </c>
      <c r="G8454" s="2" t="s">
        <v>17</v>
      </c>
    </row>
    <row r="8455" spans="1:7" x14ac:dyDescent="0.2">
      <c r="A8455" s="2" t="s">
        <v>9968</v>
      </c>
      <c r="B8455" s="2" t="s">
        <v>2032</v>
      </c>
      <c r="C8455" s="2" t="s">
        <v>6708</v>
      </c>
      <c r="D8455" s="2" t="s">
        <v>56</v>
      </c>
      <c r="E8455" s="2" t="s">
        <v>16</v>
      </c>
      <c r="F8455" s="2">
        <v>1</v>
      </c>
      <c r="G8455" s="2" t="s">
        <v>17</v>
      </c>
    </row>
    <row r="8456" spans="1:7" x14ac:dyDescent="0.2">
      <c r="A8456" s="2" t="s">
        <v>9968</v>
      </c>
      <c r="B8456" s="2" t="s">
        <v>9973</v>
      </c>
      <c r="C8456" s="2" t="s">
        <v>9974</v>
      </c>
      <c r="D8456" s="2" t="s">
        <v>56</v>
      </c>
      <c r="E8456" s="2" t="s">
        <v>52</v>
      </c>
      <c r="F8456" s="2">
        <v>1</v>
      </c>
      <c r="G8456" s="2" t="s">
        <v>17</v>
      </c>
    </row>
    <row r="8457" spans="1:7" x14ac:dyDescent="0.2">
      <c r="A8457" s="2" t="s">
        <v>9968</v>
      </c>
      <c r="B8457" s="2" t="s">
        <v>3841</v>
      </c>
      <c r="C8457" s="2" t="s">
        <v>9975</v>
      </c>
      <c r="D8457" s="2" t="s">
        <v>56</v>
      </c>
      <c r="E8457" s="2" t="s">
        <v>16</v>
      </c>
      <c r="F8457" s="2">
        <v>1</v>
      </c>
      <c r="G8457" s="2" t="s">
        <v>17</v>
      </c>
    </row>
    <row r="8458" spans="1:7" x14ac:dyDescent="0.2">
      <c r="A8458" s="2" t="s">
        <v>9976</v>
      </c>
      <c r="B8458" s="2" t="s">
        <v>4209</v>
      </c>
      <c r="C8458" s="2" t="s">
        <v>2630</v>
      </c>
      <c r="D8458" s="2" t="s">
        <v>10</v>
      </c>
      <c r="E8458" s="2" t="s">
        <v>16</v>
      </c>
      <c r="F8458" s="2">
        <v>1</v>
      </c>
      <c r="G8458" s="2" t="s">
        <v>17</v>
      </c>
    </row>
    <row r="8459" spans="1:7" x14ac:dyDescent="0.2">
      <c r="A8459" s="2" t="s">
        <v>9976</v>
      </c>
      <c r="B8459" s="2" t="s">
        <v>4210</v>
      </c>
      <c r="C8459" s="2" t="s">
        <v>2630</v>
      </c>
      <c r="D8459" s="2" t="s">
        <v>10</v>
      </c>
      <c r="E8459" s="2" t="s">
        <v>16</v>
      </c>
      <c r="F8459" s="2">
        <v>1</v>
      </c>
      <c r="G8459" s="2" t="s">
        <v>17</v>
      </c>
    </row>
    <row r="8460" spans="1:7" x14ac:dyDescent="0.2">
      <c r="A8460" s="2" t="s">
        <v>9977</v>
      </c>
      <c r="B8460" s="2" t="s">
        <v>4209</v>
      </c>
      <c r="C8460" s="2" t="s">
        <v>2630</v>
      </c>
      <c r="D8460" s="2" t="s">
        <v>10</v>
      </c>
      <c r="E8460" s="2" t="s">
        <v>16</v>
      </c>
      <c r="F8460" s="2">
        <v>1</v>
      </c>
      <c r="G8460" s="2" t="s">
        <v>17</v>
      </c>
    </row>
    <row r="8461" spans="1:7" x14ac:dyDescent="0.2">
      <c r="A8461" s="2" t="s">
        <v>9977</v>
      </c>
      <c r="B8461" s="2" t="s">
        <v>4210</v>
      </c>
      <c r="C8461" s="2" t="s">
        <v>2630</v>
      </c>
      <c r="D8461" s="2" t="s">
        <v>10</v>
      </c>
      <c r="E8461" s="2" t="s">
        <v>16</v>
      </c>
      <c r="F8461" s="2">
        <v>1</v>
      </c>
      <c r="G8461" s="2" t="s">
        <v>17</v>
      </c>
    </row>
    <row r="8462" spans="1:7" x14ac:dyDescent="0.2">
      <c r="A8462" s="2" t="s">
        <v>9978</v>
      </c>
      <c r="B8462" s="2" t="s">
        <v>9979</v>
      </c>
      <c r="C8462" s="2" t="s">
        <v>9980</v>
      </c>
      <c r="D8462" s="2" t="s">
        <v>10</v>
      </c>
      <c r="E8462" s="2" t="s">
        <v>16</v>
      </c>
      <c r="F8462" s="2">
        <v>1</v>
      </c>
      <c r="G8462" s="2" t="s">
        <v>17</v>
      </c>
    </row>
    <row r="8463" spans="1:7" x14ac:dyDescent="0.2">
      <c r="A8463" s="2" t="s">
        <v>9978</v>
      </c>
      <c r="B8463" s="2" t="s">
        <v>9795</v>
      </c>
      <c r="C8463" s="2" t="s">
        <v>9796</v>
      </c>
      <c r="D8463" s="2" t="s">
        <v>10</v>
      </c>
      <c r="E8463" s="2" t="s">
        <v>52</v>
      </c>
      <c r="F8463" s="2">
        <v>1</v>
      </c>
      <c r="G8463" s="2" t="s">
        <v>17</v>
      </c>
    </row>
    <row r="8464" spans="1:7" x14ac:dyDescent="0.2">
      <c r="A8464" s="2" t="s">
        <v>9978</v>
      </c>
      <c r="B8464" s="2" t="s">
        <v>9981</v>
      </c>
      <c r="C8464" s="2" t="s">
        <v>9980</v>
      </c>
      <c r="D8464" s="2" t="s">
        <v>10</v>
      </c>
      <c r="E8464" s="2" t="s">
        <v>16</v>
      </c>
      <c r="F8464" s="2">
        <v>1</v>
      </c>
      <c r="G8464" s="2" t="s">
        <v>17</v>
      </c>
    </row>
    <row r="8465" spans="1:7" x14ac:dyDescent="0.2">
      <c r="A8465" s="2" t="s">
        <v>9982</v>
      </c>
      <c r="B8465" s="2" t="s">
        <v>9983</v>
      </c>
      <c r="C8465" s="2" t="s">
        <v>593</v>
      </c>
      <c r="D8465" s="2" t="s">
        <v>56</v>
      </c>
      <c r="E8465" s="2" t="s">
        <v>52</v>
      </c>
      <c r="F8465" s="2">
        <v>2</v>
      </c>
      <c r="G8465" s="2" t="s">
        <v>12</v>
      </c>
    </row>
    <row r="8466" spans="1:7" x14ac:dyDescent="0.2">
      <c r="A8466" s="2" t="s">
        <v>9982</v>
      </c>
      <c r="B8466" s="2" t="s">
        <v>88</v>
      </c>
      <c r="C8466" s="2" t="s">
        <v>593</v>
      </c>
      <c r="D8466" s="2" t="s">
        <v>56</v>
      </c>
      <c r="E8466" s="2" t="s">
        <v>52</v>
      </c>
      <c r="F8466" s="2">
        <v>2</v>
      </c>
      <c r="G8466" s="2" t="s">
        <v>12</v>
      </c>
    </row>
    <row r="8467" spans="1:7" x14ac:dyDescent="0.2">
      <c r="A8467" s="2" t="s">
        <v>9982</v>
      </c>
      <c r="B8467" s="2" t="s">
        <v>9984</v>
      </c>
      <c r="C8467" s="2" t="s">
        <v>4736</v>
      </c>
      <c r="D8467" s="2" t="s">
        <v>10</v>
      </c>
      <c r="E8467" s="2" t="s">
        <v>52</v>
      </c>
      <c r="F8467" s="2">
        <v>2</v>
      </c>
      <c r="G8467" s="2" t="s">
        <v>17</v>
      </c>
    </row>
    <row r="8468" spans="1:7" x14ac:dyDescent="0.2">
      <c r="A8468" s="2" t="s">
        <v>9982</v>
      </c>
      <c r="B8468" s="2" t="s">
        <v>9985</v>
      </c>
      <c r="C8468" s="2" t="s">
        <v>9</v>
      </c>
      <c r="D8468" s="2" t="s">
        <v>10</v>
      </c>
      <c r="E8468" s="2" t="s">
        <v>11</v>
      </c>
      <c r="F8468" s="2">
        <v>2</v>
      </c>
      <c r="G8468" s="2" t="s">
        <v>12</v>
      </c>
    </row>
    <row r="8469" spans="1:7" x14ac:dyDescent="0.2">
      <c r="A8469" s="2" t="s">
        <v>9986</v>
      </c>
      <c r="B8469" s="2" t="s">
        <v>9987</v>
      </c>
      <c r="C8469" s="2" t="s">
        <v>9988</v>
      </c>
      <c r="D8469" s="2" t="s">
        <v>10</v>
      </c>
      <c r="E8469" s="2" t="s">
        <v>16</v>
      </c>
      <c r="F8469" s="2">
        <v>1</v>
      </c>
      <c r="G8469" s="2" t="s">
        <v>17</v>
      </c>
    </row>
    <row r="8470" spans="1:7" x14ac:dyDescent="0.2">
      <c r="A8470" s="2" t="s">
        <v>9989</v>
      </c>
      <c r="B8470" s="2" t="s">
        <v>9990</v>
      </c>
      <c r="C8470" s="2" t="s">
        <v>9991</v>
      </c>
      <c r="D8470" s="2" t="s">
        <v>10</v>
      </c>
      <c r="E8470" s="2" t="s">
        <v>16</v>
      </c>
      <c r="F8470" s="2">
        <v>1</v>
      </c>
      <c r="G8470" s="2" t="s">
        <v>17</v>
      </c>
    </row>
    <row r="8471" spans="1:7" x14ac:dyDescent="0.2">
      <c r="A8471" s="2" t="s">
        <v>9989</v>
      </c>
      <c r="B8471" s="2" t="s">
        <v>9992</v>
      </c>
      <c r="C8471" s="2" t="s">
        <v>9993</v>
      </c>
      <c r="D8471" s="2" t="s">
        <v>10</v>
      </c>
      <c r="E8471" s="2" t="s">
        <v>16</v>
      </c>
      <c r="F8471" s="2">
        <v>1</v>
      </c>
      <c r="G8471" s="2" t="s">
        <v>17</v>
      </c>
    </row>
    <row r="8472" spans="1:7" x14ac:dyDescent="0.2">
      <c r="A8472" s="2" t="s">
        <v>9989</v>
      </c>
      <c r="B8472" s="2" t="s">
        <v>9994</v>
      </c>
      <c r="C8472" s="2" t="s">
        <v>9991</v>
      </c>
      <c r="D8472" s="2" t="s">
        <v>10</v>
      </c>
      <c r="E8472" s="2" t="s">
        <v>16</v>
      </c>
      <c r="F8472" s="2">
        <v>1</v>
      </c>
      <c r="G8472" s="2" t="s">
        <v>17</v>
      </c>
    </row>
    <row r="8473" spans="1:7" x14ac:dyDescent="0.2">
      <c r="A8473" s="2" t="s">
        <v>9989</v>
      </c>
      <c r="B8473" s="2" t="s">
        <v>9995</v>
      </c>
      <c r="C8473" s="2" t="s">
        <v>9996</v>
      </c>
      <c r="D8473" s="2" t="s">
        <v>10</v>
      </c>
      <c r="E8473" s="2" t="s">
        <v>52</v>
      </c>
      <c r="F8473" s="2">
        <v>1</v>
      </c>
      <c r="G8473" s="2" t="s">
        <v>17</v>
      </c>
    </row>
    <row r="8474" spans="1:7" x14ac:dyDescent="0.2">
      <c r="A8474" s="2" t="s">
        <v>9997</v>
      </c>
      <c r="B8474" s="2" t="s">
        <v>9998</v>
      </c>
      <c r="C8474" s="2" t="s">
        <v>1423</v>
      </c>
      <c r="D8474" s="2" t="s">
        <v>10</v>
      </c>
      <c r="E8474" s="2" t="s">
        <v>16</v>
      </c>
      <c r="F8474" s="2">
        <v>1</v>
      </c>
      <c r="G8474" s="2" t="s">
        <v>17</v>
      </c>
    </row>
    <row r="8475" spans="1:7" x14ac:dyDescent="0.2">
      <c r="A8475" s="2" t="s">
        <v>9999</v>
      </c>
      <c r="B8475" s="2" t="s">
        <v>10000</v>
      </c>
      <c r="C8475" s="2" t="s">
        <v>10001</v>
      </c>
      <c r="D8475" s="2" t="s">
        <v>10</v>
      </c>
      <c r="E8475" s="2" t="s">
        <v>16</v>
      </c>
      <c r="F8475" s="2">
        <v>1</v>
      </c>
      <c r="G8475" s="2" t="s">
        <v>17</v>
      </c>
    </row>
    <row r="8476" spans="1:7" x14ac:dyDescent="0.2">
      <c r="A8476" s="2" t="s">
        <v>9999</v>
      </c>
      <c r="B8476" s="2" t="s">
        <v>10002</v>
      </c>
      <c r="C8476" s="2" t="s">
        <v>10003</v>
      </c>
      <c r="D8476" s="2" t="s">
        <v>10</v>
      </c>
      <c r="E8476" s="2" t="s">
        <v>16</v>
      </c>
      <c r="F8476" s="2">
        <v>2</v>
      </c>
      <c r="G8476" s="2" t="s">
        <v>17</v>
      </c>
    </row>
    <row r="8477" spans="1:7" x14ac:dyDescent="0.2">
      <c r="A8477" s="2" t="s">
        <v>9999</v>
      </c>
      <c r="B8477" s="2" t="s">
        <v>10004</v>
      </c>
      <c r="C8477" s="2" t="s">
        <v>10005</v>
      </c>
      <c r="D8477" s="2" t="s">
        <v>10</v>
      </c>
      <c r="E8477" s="2" t="s">
        <v>16</v>
      </c>
      <c r="F8477" s="2">
        <v>1</v>
      </c>
      <c r="G8477" s="2" t="s">
        <v>17</v>
      </c>
    </row>
    <row r="8478" spans="1:7" x14ac:dyDescent="0.2">
      <c r="A8478" s="2" t="s">
        <v>9999</v>
      </c>
      <c r="B8478" s="2" t="s">
        <v>10006</v>
      </c>
      <c r="C8478" s="2" t="s">
        <v>10007</v>
      </c>
      <c r="D8478" s="2" t="s">
        <v>10</v>
      </c>
      <c r="E8478" s="2" t="s">
        <v>16</v>
      </c>
      <c r="F8478" s="2">
        <v>1</v>
      </c>
      <c r="G8478" s="2" t="s">
        <v>17</v>
      </c>
    </row>
    <row r="8479" spans="1:7" x14ac:dyDescent="0.2">
      <c r="A8479" s="2" t="s">
        <v>9999</v>
      </c>
      <c r="B8479" s="2" t="s">
        <v>10008</v>
      </c>
      <c r="C8479" s="2" t="s">
        <v>10009</v>
      </c>
      <c r="D8479" s="2" t="s">
        <v>10</v>
      </c>
      <c r="E8479" s="2" t="s">
        <v>11</v>
      </c>
      <c r="F8479" s="2">
        <v>1</v>
      </c>
      <c r="G8479" s="2" t="s">
        <v>17</v>
      </c>
    </row>
    <row r="8480" spans="1:7" x14ac:dyDescent="0.2">
      <c r="A8480" s="2" t="s">
        <v>9999</v>
      </c>
      <c r="B8480" s="2" t="s">
        <v>10010</v>
      </c>
      <c r="C8480" s="2" t="s">
        <v>3026</v>
      </c>
      <c r="D8480" s="2" t="s">
        <v>10</v>
      </c>
      <c r="E8480" s="2" t="s">
        <v>16</v>
      </c>
      <c r="F8480" s="2">
        <v>2</v>
      </c>
      <c r="G8480" s="2" t="s">
        <v>17</v>
      </c>
    </row>
    <row r="8481" spans="1:7" x14ac:dyDescent="0.2">
      <c r="A8481" s="2" t="s">
        <v>9999</v>
      </c>
      <c r="B8481" s="2" t="s">
        <v>10011</v>
      </c>
      <c r="C8481" s="2" t="s">
        <v>10012</v>
      </c>
      <c r="D8481" s="2" t="s">
        <v>10</v>
      </c>
      <c r="E8481" s="2" t="s">
        <v>11</v>
      </c>
      <c r="F8481" s="2">
        <v>2</v>
      </c>
      <c r="G8481" s="2" t="s">
        <v>17</v>
      </c>
    </row>
    <row r="8482" spans="1:7" x14ac:dyDescent="0.2">
      <c r="A8482" s="2" t="s">
        <v>9999</v>
      </c>
      <c r="B8482" s="2" t="s">
        <v>10013</v>
      </c>
      <c r="C8482" s="2" t="s">
        <v>10009</v>
      </c>
      <c r="D8482" s="2" t="s">
        <v>10</v>
      </c>
      <c r="E8482" s="2" t="s">
        <v>11</v>
      </c>
      <c r="F8482" s="2">
        <v>1</v>
      </c>
      <c r="G8482" s="2" t="s">
        <v>17</v>
      </c>
    </row>
    <row r="8483" spans="1:7" x14ac:dyDescent="0.2">
      <c r="A8483" s="2" t="s">
        <v>9999</v>
      </c>
      <c r="B8483" s="2" t="s">
        <v>4124</v>
      </c>
      <c r="C8483" s="2" t="s">
        <v>3026</v>
      </c>
      <c r="D8483" s="2" t="s">
        <v>10</v>
      </c>
      <c r="E8483" s="2" t="s">
        <v>16</v>
      </c>
      <c r="F8483" s="2">
        <v>2</v>
      </c>
      <c r="G8483" s="2" t="s">
        <v>17</v>
      </c>
    </row>
    <row r="8484" spans="1:7" x14ac:dyDescent="0.2">
      <c r="A8484" s="2" t="s">
        <v>9999</v>
      </c>
      <c r="B8484" s="2" t="s">
        <v>4057</v>
      </c>
      <c r="C8484" s="2" t="s">
        <v>361</v>
      </c>
      <c r="D8484" s="2" t="s">
        <v>10</v>
      </c>
      <c r="E8484" s="2" t="s">
        <v>16</v>
      </c>
      <c r="F8484" s="2">
        <v>1</v>
      </c>
      <c r="G8484" s="2" t="s">
        <v>17</v>
      </c>
    </row>
    <row r="8485" spans="1:7" x14ac:dyDescent="0.2">
      <c r="A8485" s="2" t="s">
        <v>9999</v>
      </c>
      <c r="B8485" s="2" t="s">
        <v>10014</v>
      </c>
      <c r="C8485" s="2" t="s">
        <v>10003</v>
      </c>
      <c r="D8485" s="2" t="s">
        <v>10</v>
      </c>
      <c r="E8485" s="2" t="s">
        <v>16</v>
      </c>
      <c r="F8485" s="2">
        <v>2</v>
      </c>
      <c r="G8485" s="2" t="s">
        <v>17</v>
      </c>
    </row>
    <row r="8486" spans="1:7" x14ac:dyDescent="0.2">
      <c r="A8486" s="2" t="s">
        <v>9999</v>
      </c>
      <c r="B8486" s="2" t="s">
        <v>10015</v>
      </c>
      <c r="C8486" s="2" t="s">
        <v>10005</v>
      </c>
      <c r="D8486" s="2" t="s">
        <v>10</v>
      </c>
      <c r="E8486" s="2" t="s">
        <v>16</v>
      </c>
      <c r="F8486" s="2">
        <v>1</v>
      </c>
      <c r="G8486" s="2" t="s">
        <v>17</v>
      </c>
    </row>
    <row r="8487" spans="1:7" x14ac:dyDescent="0.2">
      <c r="A8487" s="2" t="s">
        <v>9999</v>
      </c>
      <c r="B8487" s="2" t="s">
        <v>10016</v>
      </c>
      <c r="C8487" s="2" t="s">
        <v>10012</v>
      </c>
      <c r="D8487" s="2" t="s">
        <v>10</v>
      </c>
      <c r="E8487" s="2" t="s">
        <v>11</v>
      </c>
      <c r="F8487" s="2">
        <v>2</v>
      </c>
      <c r="G8487" s="2" t="s">
        <v>17</v>
      </c>
    </row>
    <row r="8488" spans="1:7" x14ac:dyDescent="0.2">
      <c r="A8488" s="2" t="s">
        <v>9999</v>
      </c>
      <c r="B8488" s="2" t="s">
        <v>8259</v>
      </c>
      <c r="C8488" s="2" t="s">
        <v>10007</v>
      </c>
      <c r="D8488" s="2" t="s">
        <v>10</v>
      </c>
      <c r="E8488" s="2" t="s">
        <v>16</v>
      </c>
      <c r="F8488" s="2">
        <v>1</v>
      </c>
      <c r="G8488" s="2" t="s">
        <v>17</v>
      </c>
    </row>
    <row r="8489" spans="1:7" x14ac:dyDescent="0.2">
      <c r="A8489" s="2" t="s">
        <v>9999</v>
      </c>
      <c r="B8489" s="2" t="s">
        <v>10017</v>
      </c>
      <c r="C8489" s="2" t="s">
        <v>10001</v>
      </c>
      <c r="D8489" s="2" t="s">
        <v>10</v>
      </c>
      <c r="E8489" s="2" t="s">
        <v>16</v>
      </c>
      <c r="F8489" s="2">
        <v>1</v>
      </c>
      <c r="G8489" s="2" t="s">
        <v>17</v>
      </c>
    </row>
    <row r="8490" spans="1:7" x14ac:dyDescent="0.2">
      <c r="A8490" s="2" t="s">
        <v>9999</v>
      </c>
      <c r="B8490" s="2" t="s">
        <v>10018</v>
      </c>
      <c r="C8490" s="2" t="s">
        <v>10019</v>
      </c>
      <c r="D8490" s="2" t="s">
        <v>10</v>
      </c>
      <c r="E8490" s="2" t="s">
        <v>16</v>
      </c>
      <c r="F8490" s="2">
        <v>1</v>
      </c>
      <c r="G8490" s="2" t="s">
        <v>17</v>
      </c>
    </row>
    <row r="8491" spans="1:7" x14ac:dyDescent="0.2">
      <c r="A8491" s="2" t="s">
        <v>9999</v>
      </c>
      <c r="B8491" s="2" t="s">
        <v>10020</v>
      </c>
      <c r="C8491" s="2" t="s">
        <v>10019</v>
      </c>
      <c r="D8491" s="2" t="s">
        <v>10</v>
      </c>
      <c r="E8491" s="2" t="s">
        <v>16</v>
      </c>
      <c r="F8491" s="2">
        <v>1</v>
      </c>
      <c r="G8491" s="2" t="s">
        <v>17</v>
      </c>
    </row>
    <row r="8492" spans="1:7" x14ac:dyDescent="0.2">
      <c r="A8492" s="2" t="s">
        <v>9999</v>
      </c>
      <c r="B8492" s="2" t="s">
        <v>10021</v>
      </c>
      <c r="C8492" s="2" t="s">
        <v>10019</v>
      </c>
      <c r="D8492" s="2" t="s">
        <v>10</v>
      </c>
      <c r="E8492" s="2" t="s">
        <v>16</v>
      </c>
      <c r="F8492" s="2">
        <v>1</v>
      </c>
      <c r="G8492" s="2" t="s">
        <v>17</v>
      </c>
    </row>
    <row r="8493" spans="1:7" x14ac:dyDescent="0.2">
      <c r="A8493" s="2" t="s">
        <v>9999</v>
      </c>
      <c r="B8493" s="2" t="s">
        <v>10022</v>
      </c>
      <c r="C8493" s="2" t="s">
        <v>10023</v>
      </c>
      <c r="D8493" s="2" t="s">
        <v>10</v>
      </c>
      <c r="E8493" s="2" t="s">
        <v>11</v>
      </c>
      <c r="F8493" s="2">
        <v>4</v>
      </c>
      <c r="G8493" s="2" t="s">
        <v>12</v>
      </c>
    </row>
    <row r="8494" spans="1:7" x14ac:dyDescent="0.2">
      <c r="A8494" s="2" t="s">
        <v>9999</v>
      </c>
      <c r="B8494" s="2" t="s">
        <v>10024</v>
      </c>
      <c r="C8494" s="2" t="s">
        <v>10023</v>
      </c>
      <c r="D8494" s="2" t="s">
        <v>10</v>
      </c>
      <c r="E8494" s="2" t="s">
        <v>11</v>
      </c>
      <c r="F8494" s="2">
        <v>4</v>
      </c>
      <c r="G8494" s="2" t="s">
        <v>12</v>
      </c>
    </row>
    <row r="8495" spans="1:7" x14ac:dyDescent="0.2">
      <c r="A8495" s="2" t="s">
        <v>9999</v>
      </c>
      <c r="B8495" s="2" t="s">
        <v>10025</v>
      </c>
      <c r="C8495" s="2" t="s">
        <v>10026</v>
      </c>
      <c r="D8495" s="2" t="s">
        <v>10</v>
      </c>
      <c r="E8495" s="2" t="s">
        <v>1080</v>
      </c>
      <c r="F8495" s="2">
        <v>4</v>
      </c>
      <c r="G8495" s="2" t="s">
        <v>17</v>
      </c>
    </row>
    <row r="8496" spans="1:7" x14ac:dyDescent="0.2">
      <c r="A8496" s="2" t="s">
        <v>9999</v>
      </c>
      <c r="B8496" s="2" t="s">
        <v>10027</v>
      </c>
      <c r="C8496" s="2" t="s">
        <v>10026</v>
      </c>
      <c r="D8496" s="2" t="s">
        <v>10</v>
      </c>
      <c r="E8496" s="2" t="s">
        <v>1080</v>
      </c>
      <c r="F8496" s="2">
        <v>4</v>
      </c>
      <c r="G8496" s="2" t="s">
        <v>17</v>
      </c>
    </row>
    <row r="8497" spans="1:7" x14ac:dyDescent="0.2">
      <c r="A8497" s="2" t="s">
        <v>9999</v>
      </c>
      <c r="B8497" s="2" t="s">
        <v>10028</v>
      </c>
      <c r="C8497" s="2" t="s">
        <v>10029</v>
      </c>
      <c r="D8497" s="2" t="s">
        <v>10</v>
      </c>
      <c r="E8497" s="2" t="s">
        <v>6357</v>
      </c>
      <c r="F8497" s="2">
        <v>1</v>
      </c>
      <c r="G8497" s="2" t="s">
        <v>12</v>
      </c>
    </row>
    <row r="8498" spans="1:7" x14ac:dyDescent="0.2">
      <c r="A8498" s="2" t="s">
        <v>9999</v>
      </c>
      <c r="B8498" s="2" t="s">
        <v>10030</v>
      </c>
      <c r="C8498" s="2" t="s">
        <v>10029</v>
      </c>
      <c r="D8498" s="2" t="s">
        <v>10</v>
      </c>
      <c r="E8498" s="2" t="s">
        <v>6357</v>
      </c>
      <c r="F8498" s="2">
        <v>1</v>
      </c>
      <c r="G8498" s="2" t="s">
        <v>12</v>
      </c>
    </row>
    <row r="8499" spans="1:7" x14ac:dyDescent="0.2">
      <c r="A8499" s="2" t="s">
        <v>10031</v>
      </c>
      <c r="B8499" s="2" t="s">
        <v>8684</v>
      </c>
      <c r="C8499" s="2" t="s">
        <v>8685</v>
      </c>
      <c r="D8499" s="2" t="s">
        <v>10</v>
      </c>
      <c r="E8499" s="2" t="s">
        <v>16</v>
      </c>
      <c r="F8499" s="2">
        <v>1</v>
      </c>
      <c r="G8499" s="2" t="s">
        <v>17</v>
      </c>
    </row>
    <row r="8500" spans="1:7" x14ac:dyDescent="0.2">
      <c r="A8500" s="2" t="s">
        <v>10031</v>
      </c>
      <c r="B8500" s="2" t="s">
        <v>8692</v>
      </c>
      <c r="C8500" s="2" t="s">
        <v>8685</v>
      </c>
      <c r="D8500" s="2" t="s">
        <v>10</v>
      </c>
      <c r="E8500" s="2" t="s">
        <v>16</v>
      </c>
      <c r="F8500" s="2">
        <v>1</v>
      </c>
      <c r="G8500" s="2" t="s">
        <v>17</v>
      </c>
    </row>
    <row r="8501" spans="1:7" x14ac:dyDescent="0.2">
      <c r="A8501" s="2" t="s">
        <v>10031</v>
      </c>
      <c r="B8501" s="2" t="s">
        <v>10032</v>
      </c>
      <c r="C8501" s="2" t="s">
        <v>10033</v>
      </c>
      <c r="D8501" s="2" t="s">
        <v>10</v>
      </c>
      <c r="E8501" s="2" t="s">
        <v>16</v>
      </c>
      <c r="F8501" s="2">
        <v>1</v>
      </c>
      <c r="G8501" s="2" t="s">
        <v>17</v>
      </c>
    </row>
    <row r="8502" spans="1:7" x14ac:dyDescent="0.2">
      <c r="A8502" s="2" t="s">
        <v>10031</v>
      </c>
      <c r="B8502" s="2" t="s">
        <v>10034</v>
      </c>
      <c r="C8502" s="2" t="s">
        <v>10035</v>
      </c>
      <c r="D8502" s="2" t="s">
        <v>10</v>
      </c>
      <c r="E8502" s="2" t="s">
        <v>16</v>
      </c>
      <c r="F8502" s="2">
        <v>1</v>
      </c>
      <c r="G8502" s="2" t="s">
        <v>17</v>
      </c>
    </row>
    <row r="8503" spans="1:7" x14ac:dyDescent="0.2">
      <c r="A8503" s="2" t="s">
        <v>10031</v>
      </c>
      <c r="B8503" s="2" t="s">
        <v>10036</v>
      </c>
      <c r="C8503" s="2" t="s">
        <v>10035</v>
      </c>
      <c r="D8503" s="2" t="s">
        <v>10</v>
      </c>
      <c r="E8503" s="2" t="s">
        <v>16</v>
      </c>
      <c r="F8503" s="2">
        <v>1</v>
      </c>
      <c r="G8503" s="2" t="s">
        <v>17</v>
      </c>
    </row>
    <row r="8504" spans="1:7" x14ac:dyDescent="0.2">
      <c r="A8504" s="2" t="s">
        <v>10031</v>
      </c>
      <c r="B8504" s="2" t="s">
        <v>10037</v>
      </c>
      <c r="C8504" s="2" t="s">
        <v>10035</v>
      </c>
      <c r="D8504" s="2" t="s">
        <v>10</v>
      </c>
      <c r="E8504" s="2" t="s">
        <v>16</v>
      </c>
      <c r="F8504" s="2">
        <v>1</v>
      </c>
      <c r="G8504" s="2" t="s">
        <v>17</v>
      </c>
    </row>
    <row r="8505" spans="1:7" x14ac:dyDescent="0.2">
      <c r="A8505" s="2" t="s">
        <v>10031</v>
      </c>
      <c r="B8505" s="2" t="s">
        <v>10038</v>
      </c>
      <c r="C8505" s="2" t="s">
        <v>10033</v>
      </c>
      <c r="D8505" s="2" t="s">
        <v>10</v>
      </c>
      <c r="E8505" s="2" t="s">
        <v>16</v>
      </c>
      <c r="F8505" s="2">
        <v>1</v>
      </c>
      <c r="G8505" s="2" t="s">
        <v>17</v>
      </c>
    </row>
    <row r="8506" spans="1:7" x14ac:dyDescent="0.2">
      <c r="A8506" s="2" t="s">
        <v>10031</v>
      </c>
      <c r="B8506" s="2" t="s">
        <v>10039</v>
      </c>
      <c r="C8506" s="2" t="s">
        <v>10033</v>
      </c>
      <c r="D8506" s="2" t="s">
        <v>10</v>
      </c>
      <c r="E8506" s="2" t="s">
        <v>16</v>
      </c>
      <c r="F8506" s="2">
        <v>1</v>
      </c>
      <c r="G8506" s="2" t="s">
        <v>17</v>
      </c>
    </row>
    <row r="8507" spans="1:7" x14ac:dyDescent="0.2">
      <c r="A8507" s="2" t="s">
        <v>10031</v>
      </c>
      <c r="B8507" s="2" t="s">
        <v>10040</v>
      </c>
      <c r="C8507" s="2" t="s">
        <v>10033</v>
      </c>
      <c r="D8507" s="2" t="s">
        <v>10</v>
      </c>
      <c r="E8507" s="2" t="s">
        <v>16</v>
      </c>
      <c r="F8507" s="2">
        <v>1</v>
      </c>
      <c r="G8507" s="2" t="s">
        <v>17</v>
      </c>
    </row>
    <row r="8508" spans="1:7" x14ac:dyDescent="0.2">
      <c r="A8508" s="2" t="s">
        <v>10031</v>
      </c>
      <c r="B8508" s="2" t="s">
        <v>10041</v>
      </c>
      <c r="C8508" s="2" t="s">
        <v>8685</v>
      </c>
      <c r="D8508" s="2" t="s">
        <v>10</v>
      </c>
      <c r="E8508" s="2" t="s">
        <v>16</v>
      </c>
      <c r="F8508" s="2">
        <v>1</v>
      </c>
      <c r="G8508" s="2" t="s">
        <v>17</v>
      </c>
    </row>
    <row r="8509" spans="1:7" x14ac:dyDescent="0.2">
      <c r="A8509" s="2" t="s">
        <v>10031</v>
      </c>
      <c r="B8509" s="2" t="s">
        <v>8711</v>
      </c>
      <c r="C8509" s="2" t="s">
        <v>8685</v>
      </c>
      <c r="D8509" s="2" t="s">
        <v>10</v>
      </c>
      <c r="E8509" s="2" t="s">
        <v>16</v>
      </c>
      <c r="F8509" s="2">
        <v>1</v>
      </c>
      <c r="G8509" s="2" t="s">
        <v>17</v>
      </c>
    </row>
    <row r="8510" spans="1:7" x14ac:dyDescent="0.2">
      <c r="A8510" s="2" t="s">
        <v>10031</v>
      </c>
      <c r="B8510" s="2" t="s">
        <v>10042</v>
      </c>
      <c r="C8510" s="2" t="s">
        <v>10033</v>
      </c>
      <c r="D8510" s="2" t="s">
        <v>10</v>
      </c>
      <c r="E8510" s="2" t="s">
        <v>16</v>
      </c>
      <c r="F8510" s="2">
        <v>1</v>
      </c>
      <c r="G8510" s="2" t="s">
        <v>17</v>
      </c>
    </row>
    <row r="8511" spans="1:7" x14ac:dyDescent="0.2">
      <c r="A8511" s="2" t="s">
        <v>10043</v>
      </c>
      <c r="B8511" s="2" t="s">
        <v>10044</v>
      </c>
      <c r="C8511" s="2" t="s">
        <v>10045</v>
      </c>
      <c r="D8511" s="2" t="s">
        <v>10</v>
      </c>
      <c r="E8511" s="2" t="s">
        <v>16</v>
      </c>
      <c r="F8511" s="2">
        <v>1</v>
      </c>
      <c r="G8511" s="2" t="s">
        <v>17</v>
      </c>
    </row>
    <row r="8512" spans="1:7" x14ac:dyDescent="0.2">
      <c r="A8512" s="2" t="s">
        <v>10046</v>
      </c>
      <c r="B8512" s="2">
        <v>29</v>
      </c>
      <c r="C8512" s="2" t="s">
        <v>10047</v>
      </c>
      <c r="D8512" s="2" t="s">
        <v>10</v>
      </c>
      <c r="E8512" s="2" t="s">
        <v>11</v>
      </c>
      <c r="F8512" s="2">
        <v>1</v>
      </c>
      <c r="G8512" s="2" t="s">
        <v>12</v>
      </c>
    </row>
    <row r="8513" spans="1:7" x14ac:dyDescent="0.2">
      <c r="A8513" s="2" t="s">
        <v>10046</v>
      </c>
      <c r="B8513" s="2" t="s">
        <v>10048</v>
      </c>
      <c r="C8513" s="2" t="s">
        <v>10049</v>
      </c>
      <c r="D8513" s="2" t="s">
        <v>10</v>
      </c>
      <c r="E8513" s="2" t="s">
        <v>11</v>
      </c>
      <c r="F8513" s="2">
        <v>1</v>
      </c>
      <c r="G8513" s="2" t="s">
        <v>12</v>
      </c>
    </row>
    <row r="8514" spans="1:7" x14ac:dyDescent="0.2">
      <c r="A8514" s="2" t="s">
        <v>10046</v>
      </c>
      <c r="B8514" s="2" t="s">
        <v>10050</v>
      </c>
      <c r="C8514" s="2" t="s">
        <v>10051</v>
      </c>
      <c r="D8514" s="2" t="s">
        <v>10</v>
      </c>
      <c r="E8514" s="2" t="s">
        <v>11</v>
      </c>
      <c r="F8514" s="2">
        <v>1</v>
      </c>
      <c r="G8514" s="2" t="s">
        <v>12</v>
      </c>
    </row>
    <row r="8515" spans="1:7" x14ac:dyDescent="0.2">
      <c r="A8515" s="2" t="s">
        <v>10046</v>
      </c>
      <c r="B8515" s="2" t="s">
        <v>10052</v>
      </c>
      <c r="C8515" s="2" t="s">
        <v>10053</v>
      </c>
      <c r="D8515" s="2" t="s">
        <v>10</v>
      </c>
      <c r="E8515" s="2" t="s">
        <v>11</v>
      </c>
      <c r="F8515" s="2">
        <v>1</v>
      </c>
      <c r="G8515" s="2" t="s">
        <v>12</v>
      </c>
    </row>
    <row r="8516" spans="1:7" x14ac:dyDescent="0.2">
      <c r="A8516" s="2" t="s">
        <v>10046</v>
      </c>
      <c r="B8516" s="2" t="s">
        <v>10054</v>
      </c>
      <c r="C8516" s="2" t="s">
        <v>10055</v>
      </c>
      <c r="D8516" s="2" t="s">
        <v>10</v>
      </c>
      <c r="E8516" s="2" t="s">
        <v>11</v>
      </c>
      <c r="F8516" s="2">
        <v>1</v>
      </c>
      <c r="G8516" s="2" t="s">
        <v>12</v>
      </c>
    </row>
    <row r="8517" spans="1:7" x14ac:dyDescent="0.2">
      <c r="A8517" s="2" t="s">
        <v>10046</v>
      </c>
      <c r="B8517" s="2" t="s">
        <v>4573</v>
      </c>
      <c r="C8517" s="2" t="s">
        <v>4574</v>
      </c>
      <c r="D8517" s="2" t="s">
        <v>10</v>
      </c>
      <c r="E8517" s="2" t="s">
        <v>16</v>
      </c>
      <c r="F8517" s="2">
        <v>1</v>
      </c>
      <c r="G8517" s="2" t="s">
        <v>17</v>
      </c>
    </row>
    <row r="8518" spans="1:7" x14ac:dyDescent="0.2">
      <c r="A8518" s="2" t="s">
        <v>10046</v>
      </c>
      <c r="B8518" s="2">
        <v>105</v>
      </c>
      <c r="C8518" s="2" t="s">
        <v>10056</v>
      </c>
      <c r="D8518" s="2" t="s">
        <v>10</v>
      </c>
      <c r="E8518" s="2" t="s">
        <v>11</v>
      </c>
      <c r="F8518" s="2">
        <v>2</v>
      </c>
      <c r="G8518" s="2" t="s">
        <v>17</v>
      </c>
    </row>
    <row r="8519" spans="1:7" x14ac:dyDescent="0.2">
      <c r="A8519" s="2" t="s">
        <v>10046</v>
      </c>
      <c r="B8519" s="2">
        <v>340</v>
      </c>
      <c r="C8519" s="2" t="s">
        <v>10057</v>
      </c>
      <c r="D8519" s="2" t="s">
        <v>10</v>
      </c>
      <c r="E8519" s="2" t="s">
        <v>52</v>
      </c>
      <c r="F8519" s="2">
        <v>2</v>
      </c>
      <c r="G8519" s="2" t="s">
        <v>12</v>
      </c>
    </row>
    <row r="8520" spans="1:7" x14ac:dyDescent="0.2">
      <c r="A8520" s="2" t="s">
        <v>10046</v>
      </c>
      <c r="B8520" s="2">
        <v>2000</v>
      </c>
      <c r="C8520" s="2" t="s">
        <v>10058</v>
      </c>
      <c r="D8520" s="2" t="s">
        <v>10</v>
      </c>
      <c r="E8520" s="2" t="s">
        <v>52</v>
      </c>
      <c r="F8520" s="2">
        <v>2</v>
      </c>
      <c r="G8520" s="2" t="s">
        <v>12</v>
      </c>
    </row>
    <row r="8521" spans="1:7" x14ac:dyDescent="0.2">
      <c r="A8521" s="2" t="s">
        <v>10046</v>
      </c>
      <c r="B8521" s="2" t="s">
        <v>10059</v>
      </c>
      <c r="C8521" s="2" t="s">
        <v>10053</v>
      </c>
      <c r="D8521" s="2" t="s">
        <v>10</v>
      </c>
      <c r="E8521" s="2" t="s">
        <v>11</v>
      </c>
      <c r="F8521" s="2">
        <v>1</v>
      </c>
      <c r="G8521" s="2" t="s">
        <v>12</v>
      </c>
    </row>
    <row r="8522" spans="1:7" x14ac:dyDescent="0.2">
      <c r="A8522" s="2" t="s">
        <v>10046</v>
      </c>
      <c r="B8522" s="2" t="s">
        <v>10060</v>
      </c>
      <c r="C8522" s="2" t="s">
        <v>10053</v>
      </c>
      <c r="D8522" s="2" t="s">
        <v>10</v>
      </c>
      <c r="E8522" s="2" t="s">
        <v>11</v>
      </c>
      <c r="F8522" s="2">
        <v>1</v>
      </c>
      <c r="G8522" s="2" t="s">
        <v>12</v>
      </c>
    </row>
    <row r="8523" spans="1:7" x14ac:dyDescent="0.2">
      <c r="A8523" s="2" t="s">
        <v>10046</v>
      </c>
      <c r="B8523" s="2" t="s">
        <v>5351</v>
      </c>
      <c r="C8523" s="2" t="s">
        <v>10057</v>
      </c>
      <c r="D8523" s="2" t="s">
        <v>10</v>
      </c>
      <c r="E8523" s="2" t="s">
        <v>52</v>
      </c>
      <c r="F8523" s="2">
        <v>2</v>
      </c>
      <c r="G8523" s="2" t="s">
        <v>12</v>
      </c>
    </row>
    <row r="8524" spans="1:7" x14ac:dyDescent="0.2">
      <c r="A8524" s="2" t="s">
        <v>10046</v>
      </c>
      <c r="B8524" s="2" t="s">
        <v>10061</v>
      </c>
      <c r="C8524" s="2" t="s">
        <v>10051</v>
      </c>
      <c r="D8524" s="2" t="s">
        <v>10</v>
      </c>
      <c r="E8524" s="2" t="s">
        <v>11</v>
      </c>
      <c r="F8524" s="2">
        <v>1</v>
      </c>
      <c r="G8524" s="2" t="s">
        <v>12</v>
      </c>
    </row>
    <row r="8525" spans="1:7" x14ac:dyDescent="0.2">
      <c r="A8525" s="2" t="s">
        <v>10046</v>
      </c>
      <c r="B8525" s="2" t="s">
        <v>10062</v>
      </c>
      <c r="C8525" s="2" t="s">
        <v>10051</v>
      </c>
      <c r="D8525" s="2" t="s">
        <v>10</v>
      </c>
      <c r="E8525" s="2" t="s">
        <v>11</v>
      </c>
      <c r="F8525" s="2">
        <v>1</v>
      </c>
      <c r="G8525" s="2" t="s">
        <v>12</v>
      </c>
    </row>
    <row r="8526" spans="1:7" x14ac:dyDescent="0.2">
      <c r="A8526" s="2" t="s">
        <v>10046</v>
      </c>
      <c r="B8526" s="2" t="s">
        <v>10063</v>
      </c>
      <c r="C8526" s="2" t="s">
        <v>10055</v>
      </c>
      <c r="D8526" s="2" t="s">
        <v>10</v>
      </c>
      <c r="E8526" s="2" t="s">
        <v>11</v>
      </c>
      <c r="F8526" s="2">
        <v>1</v>
      </c>
      <c r="G8526" s="2" t="s">
        <v>12</v>
      </c>
    </row>
    <row r="8527" spans="1:7" x14ac:dyDescent="0.2">
      <c r="A8527" s="2" t="s">
        <v>10046</v>
      </c>
      <c r="B8527" s="2" t="s">
        <v>10064</v>
      </c>
      <c r="C8527" s="2" t="s">
        <v>10047</v>
      </c>
      <c r="D8527" s="2" t="s">
        <v>10</v>
      </c>
      <c r="E8527" s="2" t="s">
        <v>11</v>
      </c>
      <c r="F8527" s="2">
        <v>1</v>
      </c>
      <c r="G8527" s="2" t="s">
        <v>12</v>
      </c>
    </row>
    <row r="8528" spans="1:7" x14ac:dyDescent="0.2">
      <c r="A8528" s="2" t="s">
        <v>10046</v>
      </c>
      <c r="B8528" s="2" t="s">
        <v>10065</v>
      </c>
      <c r="C8528" s="2" t="s">
        <v>10049</v>
      </c>
      <c r="D8528" s="2" t="s">
        <v>10</v>
      </c>
      <c r="E8528" s="2" t="s">
        <v>11</v>
      </c>
      <c r="F8528" s="2">
        <v>1</v>
      </c>
      <c r="G8528" s="2" t="s">
        <v>12</v>
      </c>
    </row>
    <row r="8529" spans="1:7" x14ac:dyDescent="0.2">
      <c r="A8529" s="2" t="s">
        <v>10046</v>
      </c>
      <c r="B8529" s="2" t="s">
        <v>10066</v>
      </c>
      <c r="C8529" s="2" t="s">
        <v>10051</v>
      </c>
      <c r="D8529" s="2" t="s">
        <v>10</v>
      </c>
      <c r="E8529" s="2" t="s">
        <v>11</v>
      </c>
      <c r="F8529" s="2">
        <v>1</v>
      </c>
      <c r="G8529" s="2" t="s">
        <v>12</v>
      </c>
    </row>
    <row r="8530" spans="1:7" x14ac:dyDescent="0.2">
      <c r="A8530" s="2" t="s">
        <v>10046</v>
      </c>
      <c r="B8530" s="2" t="s">
        <v>10067</v>
      </c>
      <c r="C8530" s="2" t="s">
        <v>10053</v>
      </c>
      <c r="D8530" s="2" t="s">
        <v>10</v>
      </c>
      <c r="E8530" s="2" t="s">
        <v>11</v>
      </c>
      <c r="F8530" s="2">
        <v>1</v>
      </c>
      <c r="G8530" s="2" t="s">
        <v>12</v>
      </c>
    </row>
    <row r="8531" spans="1:7" x14ac:dyDescent="0.2">
      <c r="A8531" s="2" t="s">
        <v>10046</v>
      </c>
      <c r="B8531" s="2" t="s">
        <v>10068</v>
      </c>
      <c r="C8531" s="2" t="s">
        <v>10055</v>
      </c>
      <c r="D8531" s="2" t="s">
        <v>10</v>
      </c>
      <c r="E8531" s="2" t="s">
        <v>11</v>
      </c>
      <c r="F8531" s="2">
        <v>1</v>
      </c>
      <c r="G8531" s="2" t="s">
        <v>12</v>
      </c>
    </row>
    <row r="8532" spans="1:7" x14ac:dyDescent="0.2">
      <c r="A8532" s="2" t="s">
        <v>10046</v>
      </c>
      <c r="B8532" s="2" t="s">
        <v>10069</v>
      </c>
      <c r="C8532" s="2" t="s">
        <v>10049</v>
      </c>
      <c r="D8532" s="2" t="s">
        <v>10</v>
      </c>
      <c r="E8532" s="2" t="s">
        <v>11</v>
      </c>
      <c r="F8532" s="2">
        <v>1</v>
      </c>
      <c r="G8532" s="2" t="s">
        <v>12</v>
      </c>
    </row>
    <row r="8533" spans="1:7" x14ac:dyDescent="0.2">
      <c r="A8533" s="2" t="s">
        <v>10046</v>
      </c>
      <c r="B8533" s="2" t="s">
        <v>10070</v>
      </c>
      <c r="C8533" s="2" t="s">
        <v>8896</v>
      </c>
      <c r="D8533" s="2" t="s">
        <v>10</v>
      </c>
      <c r="E8533" s="2" t="s">
        <v>16</v>
      </c>
      <c r="F8533" s="2">
        <v>1</v>
      </c>
      <c r="G8533" s="2" t="s">
        <v>17</v>
      </c>
    </row>
    <row r="8534" spans="1:7" x14ac:dyDescent="0.2">
      <c r="A8534" s="2" t="s">
        <v>10046</v>
      </c>
      <c r="B8534" s="2" t="s">
        <v>10071</v>
      </c>
      <c r="C8534" s="2" t="s">
        <v>8896</v>
      </c>
      <c r="D8534" s="2" t="s">
        <v>10</v>
      </c>
      <c r="E8534" s="2" t="s">
        <v>16</v>
      </c>
      <c r="F8534" s="2">
        <v>1</v>
      </c>
      <c r="G8534" s="2" t="s">
        <v>17</v>
      </c>
    </row>
    <row r="8535" spans="1:7" x14ac:dyDescent="0.2">
      <c r="A8535" s="2" t="s">
        <v>10046</v>
      </c>
      <c r="B8535" s="2" t="s">
        <v>10072</v>
      </c>
      <c r="C8535" s="2" t="s">
        <v>10057</v>
      </c>
      <c r="D8535" s="2" t="s">
        <v>10</v>
      </c>
      <c r="E8535" s="2" t="s">
        <v>52</v>
      </c>
      <c r="F8535" s="2">
        <v>2</v>
      </c>
      <c r="G8535" s="2" t="s">
        <v>12</v>
      </c>
    </row>
    <row r="8536" spans="1:7" x14ac:dyDescent="0.2">
      <c r="A8536" s="2" t="s">
        <v>10046</v>
      </c>
      <c r="B8536" s="2" t="s">
        <v>10073</v>
      </c>
      <c r="C8536" s="2" t="s">
        <v>10051</v>
      </c>
      <c r="D8536" s="2" t="s">
        <v>10</v>
      </c>
      <c r="E8536" s="2" t="s">
        <v>11</v>
      </c>
      <c r="F8536" s="2">
        <v>1</v>
      </c>
      <c r="G8536" s="2" t="s">
        <v>12</v>
      </c>
    </row>
    <row r="8537" spans="1:7" x14ac:dyDescent="0.2">
      <c r="A8537" s="2" t="s">
        <v>10046</v>
      </c>
      <c r="B8537" s="2" t="s">
        <v>10074</v>
      </c>
      <c r="C8537" s="2" t="s">
        <v>10057</v>
      </c>
      <c r="D8537" s="2" t="s">
        <v>10</v>
      </c>
      <c r="E8537" s="2" t="s">
        <v>52</v>
      </c>
      <c r="F8537" s="2">
        <v>2</v>
      </c>
      <c r="G8537" s="2" t="s">
        <v>12</v>
      </c>
    </row>
    <row r="8538" spans="1:7" x14ac:dyDescent="0.2">
      <c r="A8538" s="2" t="s">
        <v>10046</v>
      </c>
      <c r="B8538" s="2" t="s">
        <v>3361</v>
      </c>
      <c r="C8538" s="2" t="s">
        <v>8896</v>
      </c>
      <c r="D8538" s="2" t="s">
        <v>10</v>
      </c>
      <c r="E8538" s="2" t="s">
        <v>16</v>
      </c>
      <c r="F8538" s="2">
        <v>1</v>
      </c>
      <c r="G8538" s="2" t="s">
        <v>17</v>
      </c>
    </row>
    <row r="8539" spans="1:7" x14ac:dyDescent="0.2">
      <c r="A8539" s="2" t="s">
        <v>10046</v>
      </c>
      <c r="B8539" s="2" t="s">
        <v>4575</v>
      </c>
      <c r="C8539" s="2" t="s">
        <v>4574</v>
      </c>
      <c r="D8539" s="2" t="s">
        <v>10</v>
      </c>
      <c r="E8539" s="2" t="s">
        <v>16</v>
      </c>
      <c r="F8539" s="2">
        <v>1</v>
      </c>
      <c r="G8539" s="2" t="s">
        <v>17</v>
      </c>
    </row>
    <row r="8540" spans="1:7" x14ac:dyDescent="0.2">
      <c r="A8540" s="2" t="s">
        <v>10046</v>
      </c>
      <c r="B8540" s="2" t="s">
        <v>10075</v>
      </c>
      <c r="C8540" s="2" t="s">
        <v>10053</v>
      </c>
      <c r="D8540" s="2" t="s">
        <v>10</v>
      </c>
      <c r="E8540" s="2" t="s">
        <v>11</v>
      </c>
      <c r="F8540" s="2">
        <v>1</v>
      </c>
      <c r="G8540" s="2" t="s">
        <v>12</v>
      </c>
    </row>
    <row r="8541" spans="1:7" x14ac:dyDescent="0.2">
      <c r="A8541" s="2" t="s">
        <v>10046</v>
      </c>
      <c r="B8541" s="2" t="s">
        <v>10076</v>
      </c>
      <c r="C8541" s="2" t="s">
        <v>10053</v>
      </c>
      <c r="D8541" s="2" t="s">
        <v>10</v>
      </c>
      <c r="E8541" s="2" t="s">
        <v>11</v>
      </c>
      <c r="F8541" s="2">
        <v>1</v>
      </c>
      <c r="G8541" s="2" t="s">
        <v>12</v>
      </c>
    </row>
    <row r="8542" spans="1:7" x14ac:dyDescent="0.2">
      <c r="A8542" s="2" t="s">
        <v>10046</v>
      </c>
      <c r="B8542" s="2" t="s">
        <v>10077</v>
      </c>
      <c r="C8542" s="2" t="s">
        <v>10051</v>
      </c>
      <c r="D8542" s="2" t="s">
        <v>10</v>
      </c>
      <c r="E8542" s="2" t="s">
        <v>11</v>
      </c>
      <c r="F8542" s="2">
        <v>1</v>
      </c>
      <c r="G8542" s="2" t="s">
        <v>12</v>
      </c>
    </row>
    <row r="8543" spans="1:7" x14ac:dyDescent="0.2">
      <c r="A8543" s="2" t="s">
        <v>10046</v>
      </c>
      <c r="B8543" s="2" t="s">
        <v>10078</v>
      </c>
      <c r="C8543" s="2" t="s">
        <v>10053</v>
      </c>
      <c r="D8543" s="2" t="s">
        <v>10</v>
      </c>
      <c r="E8543" s="2" t="s">
        <v>11</v>
      </c>
      <c r="F8543" s="2">
        <v>1</v>
      </c>
      <c r="G8543" s="2" t="s">
        <v>12</v>
      </c>
    </row>
    <row r="8544" spans="1:7" x14ac:dyDescent="0.2">
      <c r="A8544" s="2" t="s">
        <v>10046</v>
      </c>
      <c r="B8544" s="2" t="s">
        <v>4576</v>
      </c>
      <c r="C8544" s="2" t="s">
        <v>4574</v>
      </c>
      <c r="D8544" s="2" t="s">
        <v>10</v>
      </c>
      <c r="E8544" s="2" t="s">
        <v>16</v>
      </c>
      <c r="F8544" s="2">
        <v>1</v>
      </c>
      <c r="G8544" s="2" t="s">
        <v>17</v>
      </c>
    </row>
    <row r="8545" spans="1:7" x14ac:dyDescent="0.2">
      <c r="A8545" s="2" t="s">
        <v>10046</v>
      </c>
      <c r="B8545" s="2" t="s">
        <v>10079</v>
      </c>
      <c r="C8545" s="2" t="s">
        <v>10056</v>
      </c>
      <c r="D8545" s="2" t="s">
        <v>10</v>
      </c>
      <c r="E8545" s="2" t="s">
        <v>11</v>
      </c>
      <c r="F8545" s="2">
        <v>2</v>
      </c>
      <c r="G8545" s="2" t="s">
        <v>17</v>
      </c>
    </row>
    <row r="8546" spans="1:7" x14ac:dyDescent="0.2">
      <c r="A8546" s="2" t="s">
        <v>10046</v>
      </c>
      <c r="B8546" s="2" t="s">
        <v>10080</v>
      </c>
      <c r="C8546" s="2" t="s">
        <v>8896</v>
      </c>
      <c r="D8546" s="2" t="s">
        <v>10</v>
      </c>
      <c r="E8546" s="2" t="s">
        <v>16</v>
      </c>
      <c r="F8546" s="2">
        <v>1</v>
      </c>
      <c r="G8546" s="2" t="s">
        <v>17</v>
      </c>
    </row>
    <row r="8547" spans="1:7" x14ac:dyDescent="0.2">
      <c r="A8547" s="2" t="s">
        <v>10046</v>
      </c>
      <c r="B8547" s="2" t="s">
        <v>10081</v>
      </c>
      <c r="C8547" s="2" t="s">
        <v>8896</v>
      </c>
      <c r="D8547" s="2" t="s">
        <v>10</v>
      </c>
      <c r="E8547" s="2" t="s">
        <v>16</v>
      </c>
      <c r="F8547" s="2">
        <v>1</v>
      </c>
      <c r="G8547" s="2" t="s">
        <v>17</v>
      </c>
    </row>
    <row r="8548" spans="1:7" x14ac:dyDescent="0.2">
      <c r="A8548" s="2" t="s">
        <v>10046</v>
      </c>
      <c r="B8548" s="2" t="s">
        <v>10082</v>
      </c>
      <c r="C8548" s="2" t="s">
        <v>10051</v>
      </c>
      <c r="D8548" s="2" t="s">
        <v>10</v>
      </c>
      <c r="E8548" s="2" t="s">
        <v>11</v>
      </c>
      <c r="F8548" s="2">
        <v>1</v>
      </c>
      <c r="G8548" s="2" t="s">
        <v>12</v>
      </c>
    </row>
    <row r="8549" spans="1:7" x14ac:dyDescent="0.2">
      <c r="A8549" s="2" t="s">
        <v>10046</v>
      </c>
      <c r="B8549" s="2" t="s">
        <v>10083</v>
      </c>
      <c r="C8549" s="2" t="s">
        <v>10057</v>
      </c>
      <c r="D8549" s="2" t="s">
        <v>10</v>
      </c>
      <c r="E8549" s="2" t="s">
        <v>52</v>
      </c>
      <c r="F8549" s="2">
        <v>2</v>
      </c>
      <c r="G8549" s="2" t="s">
        <v>12</v>
      </c>
    </row>
    <row r="8550" spans="1:7" x14ac:dyDescent="0.2">
      <c r="A8550" s="2" t="s">
        <v>10046</v>
      </c>
      <c r="B8550" s="2" t="s">
        <v>10084</v>
      </c>
      <c r="C8550" s="2" t="s">
        <v>10053</v>
      </c>
      <c r="D8550" s="2" t="s">
        <v>10</v>
      </c>
      <c r="E8550" s="2" t="s">
        <v>11</v>
      </c>
      <c r="F8550" s="2">
        <v>1</v>
      </c>
      <c r="G8550" s="2" t="s">
        <v>12</v>
      </c>
    </row>
    <row r="8551" spans="1:7" x14ac:dyDescent="0.2">
      <c r="A8551" s="2" t="s">
        <v>10085</v>
      </c>
      <c r="B8551" s="2" t="s">
        <v>10086</v>
      </c>
      <c r="C8551" s="2" t="s">
        <v>10057</v>
      </c>
      <c r="D8551" s="2" t="s">
        <v>10</v>
      </c>
      <c r="E8551" s="2" t="s">
        <v>52</v>
      </c>
      <c r="F8551" s="2">
        <v>2</v>
      </c>
      <c r="G8551" s="2" t="s">
        <v>12</v>
      </c>
    </row>
    <row r="8552" spans="1:7" x14ac:dyDescent="0.2">
      <c r="A8552" s="2" t="s">
        <v>10087</v>
      </c>
      <c r="B8552" s="2" t="s">
        <v>10088</v>
      </c>
      <c r="C8552" s="2" t="s">
        <v>7964</v>
      </c>
      <c r="D8552" s="2" t="s">
        <v>10</v>
      </c>
      <c r="E8552" s="2" t="s">
        <v>16</v>
      </c>
      <c r="F8552" s="2">
        <v>1</v>
      </c>
      <c r="G8552" s="2" t="s">
        <v>17</v>
      </c>
    </row>
    <row r="8553" spans="1:7" x14ac:dyDescent="0.2">
      <c r="A8553" s="2" t="s">
        <v>10087</v>
      </c>
      <c r="B8553" s="2" t="s">
        <v>10089</v>
      </c>
      <c r="C8553" s="2" t="s">
        <v>7964</v>
      </c>
      <c r="D8553" s="2" t="s">
        <v>10</v>
      </c>
      <c r="E8553" s="2" t="s">
        <v>16</v>
      </c>
      <c r="F8553" s="2">
        <v>1</v>
      </c>
      <c r="G8553" s="2" t="s">
        <v>17</v>
      </c>
    </row>
    <row r="8554" spans="1:7" x14ac:dyDescent="0.2">
      <c r="A8554" s="2" t="s">
        <v>10090</v>
      </c>
      <c r="B8554" s="2" t="s">
        <v>781</v>
      </c>
      <c r="C8554" s="2" t="s">
        <v>782</v>
      </c>
      <c r="D8554" s="2" t="s">
        <v>56</v>
      </c>
      <c r="E8554" s="2" t="s">
        <v>52</v>
      </c>
      <c r="F8554" s="2">
        <v>2</v>
      </c>
      <c r="G8554" s="2" t="s">
        <v>17</v>
      </c>
    </row>
    <row r="8555" spans="1:7" x14ac:dyDescent="0.2">
      <c r="A8555" s="2" t="s">
        <v>10090</v>
      </c>
      <c r="B8555" s="2" t="s">
        <v>1662</v>
      </c>
      <c r="C8555" s="2" t="s">
        <v>1663</v>
      </c>
      <c r="D8555" s="2" t="s">
        <v>10</v>
      </c>
      <c r="E8555" s="2" t="s">
        <v>11</v>
      </c>
      <c r="F8555" s="2">
        <v>2</v>
      </c>
      <c r="G8555" s="2" t="s">
        <v>12</v>
      </c>
    </row>
    <row r="8556" spans="1:7" x14ac:dyDescent="0.2">
      <c r="A8556" s="2" t="s">
        <v>10090</v>
      </c>
      <c r="B8556" s="2" t="s">
        <v>5679</v>
      </c>
      <c r="C8556" s="2" t="s">
        <v>5680</v>
      </c>
      <c r="D8556" s="2" t="s">
        <v>10</v>
      </c>
      <c r="E8556" s="2" t="s">
        <v>11</v>
      </c>
      <c r="F8556" s="2">
        <v>1</v>
      </c>
      <c r="G8556" s="2" t="s">
        <v>12</v>
      </c>
    </row>
    <row r="8557" spans="1:7" x14ac:dyDescent="0.2">
      <c r="A8557" s="2" t="s">
        <v>10090</v>
      </c>
      <c r="B8557" s="2" t="s">
        <v>5687</v>
      </c>
      <c r="C8557" s="2" t="s">
        <v>5680</v>
      </c>
      <c r="D8557" s="2" t="s">
        <v>10</v>
      </c>
      <c r="E8557" s="2" t="s">
        <v>11</v>
      </c>
      <c r="F8557" s="2">
        <v>1</v>
      </c>
      <c r="G8557" s="2" t="s">
        <v>12</v>
      </c>
    </row>
    <row r="8558" spans="1:7" x14ac:dyDescent="0.2">
      <c r="A8558" s="2" t="s">
        <v>10091</v>
      </c>
      <c r="B8558" s="2" t="s">
        <v>10092</v>
      </c>
      <c r="C8558" s="2" t="s">
        <v>10093</v>
      </c>
      <c r="D8558" s="2" t="s">
        <v>10</v>
      </c>
      <c r="E8558" s="2" t="s">
        <v>16</v>
      </c>
      <c r="F8558" s="2">
        <v>1</v>
      </c>
      <c r="G8558" s="2" t="s">
        <v>17</v>
      </c>
    </row>
    <row r="8559" spans="1:7" x14ac:dyDescent="0.2">
      <c r="A8559" s="2" t="s">
        <v>10091</v>
      </c>
      <c r="B8559" s="2" t="s">
        <v>10094</v>
      </c>
      <c r="C8559" s="2" t="s">
        <v>10093</v>
      </c>
      <c r="D8559" s="2" t="s">
        <v>10</v>
      </c>
      <c r="E8559" s="2" t="s">
        <v>16</v>
      </c>
      <c r="F8559" s="2">
        <v>1</v>
      </c>
      <c r="G8559" s="2" t="s">
        <v>17</v>
      </c>
    </row>
    <row r="8560" spans="1:7" x14ac:dyDescent="0.2">
      <c r="A8560" s="2" t="s">
        <v>10091</v>
      </c>
      <c r="B8560" s="2" t="s">
        <v>4506</v>
      </c>
      <c r="C8560" s="2" t="s">
        <v>10095</v>
      </c>
      <c r="D8560" s="2" t="s">
        <v>10</v>
      </c>
      <c r="E8560" s="2" t="s">
        <v>16</v>
      </c>
      <c r="F8560" s="2">
        <v>1</v>
      </c>
      <c r="G8560" s="2" t="s">
        <v>17</v>
      </c>
    </row>
    <row r="8561" spans="1:7" x14ac:dyDescent="0.2">
      <c r="A8561" s="2" t="s">
        <v>10096</v>
      </c>
      <c r="B8561" s="2">
        <v>1</v>
      </c>
      <c r="C8561" s="2" t="s">
        <v>1301</v>
      </c>
      <c r="D8561" s="2" t="s">
        <v>10</v>
      </c>
      <c r="E8561" s="2" t="s">
        <v>16</v>
      </c>
      <c r="F8561" s="2">
        <v>1</v>
      </c>
      <c r="G8561" s="2" t="s">
        <v>17</v>
      </c>
    </row>
    <row r="8562" spans="1:7" x14ac:dyDescent="0.2">
      <c r="A8562" s="2" t="s">
        <v>10096</v>
      </c>
      <c r="B8562" s="2">
        <v>2</v>
      </c>
      <c r="C8562" s="2" t="s">
        <v>425</v>
      </c>
      <c r="D8562" s="2" t="s">
        <v>56</v>
      </c>
      <c r="E8562" s="2" t="s">
        <v>16</v>
      </c>
      <c r="F8562" s="2">
        <v>1</v>
      </c>
      <c r="G8562" s="2" t="s">
        <v>17</v>
      </c>
    </row>
    <row r="8563" spans="1:7" x14ac:dyDescent="0.2">
      <c r="A8563" s="2" t="s">
        <v>10096</v>
      </c>
      <c r="B8563" s="2">
        <v>3</v>
      </c>
      <c r="C8563" s="2" t="s">
        <v>10097</v>
      </c>
      <c r="D8563" s="2" t="s">
        <v>10</v>
      </c>
      <c r="E8563" s="2" t="s">
        <v>16</v>
      </c>
      <c r="F8563" s="2">
        <v>1</v>
      </c>
      <c r="G8563" s="2" t="s">
        <v>17</v>
      </c>
    </row>
    <row r="8564" spans="1:7" x14ac:dyDescent="0.2">
      <c r="A8564" s="2" t="s">
        <v>10098</v>
      </c>
      <c r="B8564" s="2" t="s">
        <v>10099</v>
      </c>
      <c r="C8564" s="2" t="s">
        <v>10100</v>
      </c>
      <c r="D8564" s="2" t="s">
        <v>10</v>
      </c>
      <c r="E8564" s="2" t="s">
        <v>16</v>
      </c>
      <c r="F8564" s="2">
        <v>1</v>
      </c>
      <c r="G8564" s="2" t="s">
        <v>17</v>
      </c>
    </row>
    <row r="8565" spans="1:7" x14ac:dyDescent="0.2">
      <c r="A8565" s="2" t="s">
        <v>10098</v>
      </c>
      <c r="B8565" s="2" t="s">
        <v>8010</v>
      </c>
      <c r="C8565" s="2" t="s">
        <v>10100</v>
      </c>
      <c r="D8565" s="2" t="s">
        <v>10</v>
      </c>
      <c r="E8565" s="2" t="s">
        <v>16</v>
      </c>
      <c r="F8565" s="2">
        <v>1</v>
      </c>
      <c r="G8565" s="2" t="s">
        <v>17</v>
      </c>
    </row>
    <row r="8566" spans="1:7" x14ac:dyDescent="0.2">
      <c r="A8566" s="2" t="s">
        <v>10101</v>
      </c>
      <c r="B8566" s="2" t="s">
        <v>10102</v>
      </c>
      <c r="C8566" s="2" t="s">
        <v>10103</v>
      </c>
      <c r="D8566" s="2" t="s">
        <v>10</v>
      </c>
      <c r="E8566" s="2" t="s">
        <v>16</v>
      </c>
      <c r="F8566" s="2">
        <v>1</v>
      </c>
      <c r="G8566" s="2" t="s">
        <v>17</v>
      </c>
    </row>
    <row r="8567" spans="1:7" x14ac:dyDescent="0.2">
      <c r="A8567" s="2" t="s">
        <v>10101</v>
      </c>
      <c r="B8567" s="2" t="s">
        <v>10104</v>
      </c>
      <c r="C8567" s="2" t="s">
        <v>10103</v>
      </c>
      <c r="D8567" s="2" t="s">
        <v>10</v>
      </c>
      <c r="E8567" s="2" t="s">
        <v>16</v>
      </c>
      <c r="F8567" s="2">
        <v>1</v>
      </c>
      <c r="G8567" s="2" t="s">
        <v>17</v>
      </c>
    </row>
    <row r="8568" spans="1:7" x14ac:dyDescent="0.2">
      <c r="A8568" s="2" t="s">
        <v>10101</v>
      </c>
      <c r="B8568" s="2" t="s">
        <v>10105</v>
      </c>
      <c r="C8568" s="2" t="s">
        <v>10103</v>
      </c>
      <c r="D8568" s="2" t="s">
        <v>10</v>
      </c>
      <c r="E8568" s="2" t="s">
        <v>16</v>
      </c>
      <c r="F8568" s="2">
        <v>1</v>
      </c>
      <c r="G8568" s="2" t="s">
        <v>17</v>
      </c>
    </row>
    <row r="8569" spans="1:7" x14ac:dyDescent="0.2">
      <c r="A8569" s="2" t="s">
        <v>10101</v>
      </c>
      <c r="B8569" s="2" t="s">
        <v>10106</v>
      </c>
      <c r="C8569" s="2" t="s">
        <v>10107</v>
      </c>
      <c r="D8569" s="2" t="s">
        <v>10</v>
      </c>
      <c r="E8569" s="2" t="s">
        <v>16</v>
      </c>
      <c r="F8569" s="2">
        <v>1</v>
      </c>
      <c r="G8569" s="2" t="s">
        <v>17</v>
      </c>
    </row>
    <row r="8570" spans="1:7" x14ac:dyDescent="0.2">
      <c r="A8570" s="2" t="s">
        <v>10101</v>
      </c>
      <c r="B8570" s="2" t="s">
        <v>10108</v>
      </c>
      <c r="C8570" s="2" t="s">
        <v>10109</v>
      </c>
      <c r="D8570" s="2" t="s">
        <v>10</v>
      </c>
      <c r="E8570" s="2" t="s">
        <v>16</v>
      </c>
      <c r="F8570" s="2">
        <v>2</v>
      </c>
      <c r="G8570" s="2" t="s">
        <v>17</v>
      </c>
    </row>
    <row r="8571" spans="1:7" x14ac:dyDescent="0.2">
      <c r="A8571" s="2" t="s">
        <v>10101</v>
      </c>
      <c r="B8571" s="2" t="s">
        <v>10110</v>
      </c>
      <c r="C8571" s="2" t="s">
        <v>10111</v>
      </c>
      <c r="D8571" s="2" t="s">
        <v>10</v>
      </c>
      <c r="E8571" s="2" t="s">
        <v>16</v>
      </c>
      <c r="F8571" s="2">
        <v>1</v>
      </c>
      <c r="G8571" s="2" t="s">
        <v>17</v>
      </c>
    </row>
    <row r="8572" spans="1:7" x14ac:dyDescent="0.2">
      <c r="A8572" s="2" t="s">
        <v>10101</v>
      </c>
      <c r="B8572" s="2" t="s">
        <v>10112</v>
      </c>
      <c r="C8572" s="2" t="s">
        <v>10113</v>
      </c>
      <c r="D8572" s="2" t="s">
        <v>10</v>
      </c>
      <c r="E8572" s="2" t="s">
        <v>16</v>
      </c>
      <c r="F8572" s="2">
        <v>1</v>
      </c>
      <c r="G8572" s="2" t="s">
        <v>17</v>
      </c>
    </row>
    <row r="8573" spans="1:7" x14ac:dyDescent="0.2">
      <c r="A8573" s="2" t="s">
        <v>10101</v>
      </c>
      <c r="B8573" s="2" t="s">
        <v>10114</v>
      </c>
      <c r="C8573" s="2" t="s">
        <v>10111</v>
      </c>
      <c r="D8573" s="2" t="s">
        <v>10</v>
      </c>
      <c r="E8573" s="2" t="s">
        <v>16</v>
      </c>
      <c r="F8573" s="2">
        <v>1</v>
      </c>
      <c r="G8573" s="2" t="s">
        <v>17</v>
      </c>
    </row>
    <row r="8574" spans="1:7" x14ac:dyDescent="0.2">
      <c r="A8574" s="2" t="s">
        <v>10101</v>
      </c>
      <c r="B8574" s="2" t="s">
        <v>10115</v>
      </c>
      <c r="C8574" s="2" t="s">
        <v>10103</v>
      </c>
      <c r="D8574" s="2" t="s">
        <v>10</v>
      </c>
      <c r="E8574" s="2" t="s">
        <v>16</v>
      </c>
      <c r="F8574" s="2">
        <v>1</v>
      </c>
      <c r="G8574" s="2" t="s">
        <v>17</v>
      </c>
    </row>
    <row r="8575" spans="1:7" x14ac:dyDescent="0.2">
      <c r="A8575" s="2" t="s">
        <v>10116</v>
      </c>
      <c r="B8575" s="2" t="s">
        <v>10117</v>
      </c>
      <c r="C8575" s="2" t="s">
        <v>10118</v>
      </c>
      <c r="D8575" s="2" t="s">
        <v>10</v>
      </c>
      <c r="E8575" s="2" t="s">
        <v>16</v>
      </c>
      <c r="F8575" s="2">
        <v>1</v>
      </c>
      <c r="G8575" s="2" t="s">
        <v>17</v>
      </c>
    </row>
    <row r="8576" spans="1:7" x14ac:dyDescent="0.2">
      <c r="A8576" s="2" t="s">
        <v>10116</v>
      </c>
      <c r="B8576" s="2" t="s">
        <v>10119</v>
      </c>
      <c r="C8576" s="2" t="s">
        <v>10118</v>
      </c>
      <c r="D8576" s="2" t="s">
        <v>10</v>
      </c>
      <c r="E8576" s="2" t="s">
        <v>16</v>
      </c>
      <c r="F8576" s="2">
        <v>1</v>
      </c>
      <c r="G8576" s="2" t="s">
        <v>17</v>
      </c>
    </row>
    <row r="8577" spans="1:7" x14ac:dyDescent="0.2">
      <c r="A8577" s="2" t="s">
        <v>10120</v>
      </c>
      <c r="B8577" s="2" t="s">
        <v>10121</v>
      </c>
      <c r="C8577" s="2" t="s">
        <v>10122</v>
      </c>
      <c r="D8577" s="2" t="s">
        <v>10</v>
      </c>
      <c r="E8577" s="2" t="s">
        <v>16</v>
      </c>
      <c r="F8577" s="2">
        <v>1</v>
      </c>
      <c r="G8577" s="2" t="s">
        <v>17</v>
      </c>
    </row>
    <row r="8578" spans="1:7" x14ac:dyDescent="0.2">
      <c r="A8578" s="2" t="s">
        <v>10123</v>
      </c>
      <c r="B8578" s="2" t="s">
        <v>10124</v>
      </c>
      <c r="C8578" s="2" t="s">
        <v>10125</v>
      </c>
      <c r="D8578" s="2" t="s">
        <v>10</v>
      </c>
      <c r="E8578" s="2" t="s">
        <v>16</v>
      </c>
      <c r="F8578" s="2">
        <v>1</v>
      </c>
      <c r="G8578" s="2" t="s">
        <v>17</v>
      </c>
    </row>
    <row r="8579" spans="1:7" x14ac:dyDescent="0.2">
      <c r="A8579" s="2" t="s">
        <v>10126</v>
      </c>
      <c r="B8579" s="2" t="s">
        <v>10127</v>
      </c>
      <c r="C8579" s="2" t="s">
        <v>10128</v>
      </c>
      <c r="D8579" s="2" t="s">
        <v>10</v>
      </c>
      <c r="E8579" s="2" t="s">
        <v>16</v>
      </c>
      <c r="F8579" s="2">
        <v>1</v>
      </c>
      <c r="G8579" s="2" t="s">
        <v>17</v>
      </c>
    </row>
    <row r="8580" spans="1:7" x14ac:dyDescent="0.2">
      <c r="A8580" s="2" t="s">
        <v>10129</v>
      </c>
      <c r="B8580" s="2" t="s">
        <v>5679</v>
      </c>
      <c r="C8580" s="2" t="s">
        <v>5680</v>
      </c>
      <c r="D8580" s="2" t="s">
        <v>10</v>
      </c>
      <c r="E8580" s="2" t="s">
        <v>11</v>
      </c>
      <c r="F8580" s="2">
        <v>1</v>
      </c>
      <c r="G8580" s="2" t="s">
        <v>12</v>
      </c>
    </row>
    <row r="8581" spans="1:7" x14ac:dyDescent="0.2">
      <c r="A8581" s="2" t="s">
        <v>10129</v>
      </c>
      <c r="B8581" s="2" t="s">
        <v>5687</v>
      </c>
      <c r="C8581" s="2" t="s">
        <v>5680</v>
      </c>
      <c r="D8581" s="2" t="s">
        <v>10</v>
      </c>
      <c r="E8581" s="2" t="s">
        <v>11</v>
      </c>
      <c r="F8581" s="2">
        <v>1</v>
      </c>
      <c r="G8581" s="2" t="s">
        <v>12</v>
      </c>
    </row>
    <row r="8582" spans="1:7" x14ac:dyDescent="0.2">
      <c r="A8582" s="2" t="s">
        <v>10130</v>
      </c>
      <c r="B8582" s="2" t="s">
        <v>7046</v>
      </c>
      <c r="C8582" s="2" t="s">
        <v>7047</v>
      </c>
      <c r="D8582" s="2" t="s">
        <v>10</v>
      </c>
      <c r="E8582" s="2" t="s">
        <v>16</v>
      </c>
      <c r="F8582" s="2">
        <v>1</v>
      </c>
      <c r="G8582" s="2" t="s">
        <v>17</v>
      </c>
    </row>
    <row r="8583" spans="1:7" x14ac:dyDescent="0.2">
      <c r="A8583" s="2" t="s">
        <v>10130</v>
      </c>
      <c r="B8583" s="2" t="s">
        <v>3473</v>
      </c>
      <c r="C8583" s="2" t="s">
        <v>3474</v>
      </c>
      <c r="D8583" s="2" t="s">
        <v>10</v>
      </c>
      <c r="E8583" s="2" t="s">
        <v>16</v>
      </c>
      <c r="F8583" s="2">
        <v>1</v>
      </c>
      <c r="G8583" s="2" t="s">
        <v>17</v>
      </c>
    </row>
    <row r="8584" spans="1:7" x14ac:dyDescent="0.2">
      <c r="A8584" s="2" t="s">
        <v>10130</v>
      </c>
      <c r="B8584" s="2" t="s">
        <v>4589</v>
      </c>
      <c r="C8584" s="2" t="s">
        <v>325</v>
      </c>
      <c r="D8584" s="2" t="s">
        <v>10</v>
      </c>
      <c r="E8584" s="2" t="s">
        <v>16</v>
      </c>
      <c r="F8584" s="2">
        <v>1</v>
      </c>
      <c r="G8584" s="2" t="s">
        <v>17</v>
      </c>
    </row>
    <row r="8585" spans="1:7" x14ac:dyDescent="0.2">
      <c r="A8585" s="2" t="s">
        <v>10130</v>
      </c>
      <c r="B8585" s="2" t="s">
        <v>1430</v>
      </c>
      <c r="C8585" s="2" t="s">
        <v>325</v>
      </c>
      <c r="D8585" s="2" t="s">
        <v>10</v>
      </c>
      <c r="E8585" s="2" t="s">
        <v>16</v>
      </c>
      <c r="F8585" s="2">
        <v>1</v>
      </c>
      <c r="G8585" s="2" t="s">
        <v>17</v>
      </c>
    </row>
    <row r="8586" spans="1:7" x14ac:dyDescent="0.2">
      <c r="A8586" s="2" t="s">
        <v>10130</v>
      </c>
      <c r="B8586" s="2" t="s">
        <v>7066</v>
      </c>
      <c r="C8586" s="2" t="s">
        <v>7047</v>
      </c>
      <c r="D8586" s="2" t="s">
        <v>10</v>
      </c>
      <c r="E8586" s="2" t="s">
        <v>16</v>
      </c>
      <c r="F8586" s="2">
        <v>1</v>
      </c>
      <c r="G8586" s="2" t="s">
        <v>17</v>
      </c>
    </row>
    <row r="8587" spans="1:7" x14ac:dyDescent="0.2">
      <c r="A8587" s="2" t="s">
        <v>10130</v>
      </c>
      <c r="B8587" s="2" t="s">
        <v>7067</v>
      </c>
      <c r="C8587" s="2" t="s">
        <v>7047</v>
      </c>
      <c r="D8587" s="2" t="s">
        <v>10</v>
      </c>
      <c r="E8587" s="2" t="s">
        <v>16</v>
      </c>
      <c r="F8587" s="2">
        <v>1</v>
      </c>
      <c r="G8587" s="2" t="s">
        <v>17</v>
      </c>
    </row>
    <row r="8588" spans="1:7" x14ac:dyDescent="0.2">
      <c r="A8588" s="2" t="s">
        <v>10130</v>
      </c>
      <c r="B8588" s="2" t="s">
        <v>7068</v>
      </c>
      <c r="C8588" s="2" t="s">
        <v>7069</v>
      </c>
      <c r="D8588" s="2" t="s">
        <v>10</v>
      </c>
      <c r="E8588" s="2" t="s">
        <v>16</v>
      </c>
      <c r="F8588" s="2">
        <v>1</v>
      </c>
      <c r="G8588" s="2" t="s">
        <v>17</v>
      </c>
    </row>
    <row r="8589" spans="1:7" x14ac:dyDescent="0.2">
      <c r="A8589" s="2" t="s">
        <v>10130</v>
      </c>
      <c r="B8589" s="2" t="s">
        <v>3479</v>
      </c>
      <c r="C8589" s="2" t="s">
        <v>3474</v>
      </c>
      <c r="D8589" s="2" t="s">
        <v>10</v>
      </c>
      <c r="E8589" s="2" t="s">
        <v>16</v>
      </c>
      <c r="F8589" s="2">
        <v>1</v>
      </c>
      <c r="G8589" s="2" t="s">
        <v>17</v>
      </c>
    </row>
    <row r="8590" spans="1:7" x14ac:dyDescent="0.2">
      <c r="A8590" s="2" t="s">
        <v>10130</v>
      </c>
      <c r="B8590" s="2" t="s">
        <v>3480</v>
      </c>
      <c r="C8590" s="2" t="s">
        <v>3474</v>
      </c>
      <c r="D8590" s="2" t="s">
        <v>10</v>
      </c>
      <c r="E8590" s="2" t="s">
        <v>16</v>
      </c>
      <c r="F8590" s="2">
        <v>1</v>
      </c>
      <c r="G8590" s="2" t="s">
        <v>17</v>
      </c>
    </row>
    <row r="8591" spans="1:7" x14ac:dyDescent="0.2">
      <c r="A8591" s="2" t="s">
        <v>10130</v>
      </c>
      <c r="B8591" s="2" t="s">
        <v>3491</v>
      </c>
      <c r="C8591" s="2" t="s">
        <v>3474</v>
      </c>
      <c r="D8591" s="2" t="s">
        <v>10</v>
      </c>
      <c r="E8591" s="2" t="s">
        <v>16</v>
      </c>
      <c r="F8591" s="2">
        <v>1</v>
      </c>
      <c r="G8591" s="2" t="s">
        <v>17</v>
      </c>
    </row>
    <row r="8592" spans="1:7" x14ac:dyDescent="0.2">
      <c r="A8592" s="2" t="s">
        <v>10130</v>
      </c>
      <c r="B8592" s="2" t="s">
        <v>10131</v>
      </c>
      <c r="C8592" s="2" t="s">
        <v>3474</v>
      </c>
      <c r="D8592" s="2" t="s">
        <v>10</v>
      </c>
      <c r="E8592" s="2" t="s">
        <v>16</v>
      </c>
      <c r="F8592" s="2">
        <v>1</v>
      </c>
      <c r="G8592" s="2" t="s">
        <v>17</v>
      </c>
    </row>
    <row r="8593" spans="1:7" x14ac:dyDescent="0.2">
      <c r="A8593" s="2" t="s">
        <v>10130</v>
      </c>
      <c r="B8593" s="2" t="s">
        <v>3494</v>
      </c>
      <c r="C8593" s="2" t="s">
        <v>3474</v>
      </c>
      <c r="D8593" s="2" t="s">
        <v>10</v>
      </c>
      <c r="E8593" s="2" t="s">
        <v>16</v>
      </c>
      <c r="F8593" s="2">
        <v>1</v>
      </c>
      <c r="G8593" s="2" t="s">
        <v>17</v>
      </c>
    </row>
    <row r="8594" spans="1:7" x14ac:dyDescent="0.2">
      <c r="A8594" s="2" t="s">
        <v>10130</v>
      </c>
      <c r="B8594" s="2" t="s">
        <v>10132</v>
      </c>
      <c r="C8594" s="2" t="s">
        <v>3474</v>
      </c>
      <c r="D8594" s="2" t="s">
        <v>10</v>
      </c>
      <c r="E8594" s="2" t="s">
        <v>16</v>
      </c>
      <c r="F8594" s="2">
        <v>1</v>
      </c>
      <c r="G8594" s="2" t="s">
        <v>17</v>
      </c>
    </row>
    <row r="8595" spans="1:7" x14ac:dyDescent="0.2">
      <c r="A8595" s="2" t="s">
        <v>10130</v>
      </c>
      <c r="B8595" s="2" t="s">
        <v>10133</v>
      </c>
      <c r="C8595" s="2" t="s">
        <v>3474</v>
      </c>
      <c r="D8595" s="2" t="s">
        <v>10</v>
      </c>
      <c r="E8595" s="2" t="s">
        <v>16</v>
      </c>
      <c r="F8595" s="2">
        <v>1</v>
      </c>
      <c r="G8595" s="2" t="s">
        <v>17</v>
      </c>
    </row>
    <row r="8596" spans="1:7" x14ac:dyDescent="0.2">
      <c r="A8596" s="2" t="s">
        <v>10130</v>
      </c>
      <c r="B8596" s="2" t="s">
        <v>7070</v>
      </c>
      <c r="C8596" s="2" t="s">
        <v>7069</v>
      </c>
      <c r="D8596" s="2" t="s">
        <v>10</v>
      </c>
      <c r="E8596" s="2" t="s">
        <v>16</v>
      </c>
      <c r="F8596" s="2">
        <v>1</v>
      </c>
      <c r="G8596" s="2" t="s">
        <v>17</v>
      </c>
    </row>
    <row r="8597" spans="1:7" x14ac:dyDescent="0.2">
      <c r="A8597" s="2" t="s">
        <v>10130</v>
      </c>
      <c r="B8597" s="2" t="s">
        <v>7071</v>
      </c>
      <c r="C8597" s="2" t="s">
        <v>7047</v>
      </c>
      <c r="D8597" s="2" t="s">
        <v>10</v>
      </c>
      <c r="E8597" s="2" t="s">
        <v>16</v>
      </c>
      <c r="F8597" s="2">
        <v>1</v>
      </c>
      <c r="G8597" s="2" t="s">
        <v>17</v>
      </c>
    </row>
    <row r="8598" spans="1:7" x14ac:dyDescent="0.2">
      <c r="A8598" s="2" t="s">
        <v>10134</v>
      </c>
      <c r="B8598" s="2" t="s">
        <v>9731</v>
      </c>
      <c r="C8598" s="2" t="s">
        <v>5678</v>
      </c>
      <c r="D8598" s="2" t="s">
        <v>10</v>
      </c>
      <c r="E8598" s="2" t="s">
        <v>16</v>
      </c>
      <c r="F8598" s="2">
        <v>1</v>
      </c>
      <c r="G8598" s="2" t="s">
        <v>17</v>
      </c>
    </row>
    <row r="8599" spans="1:7" x14ac:dyDescent="0.2">
      <c r="A8599" s="2" t="s">
        <v>10135</v>
      </c>
      <c r="B8599" s="2" t="s">
        <v>5543</v>
      </c>
      <c r="C8599" s="2" t="s">
        <v>1035</v>
      </c>
      <c r="D8599" s="2" t="s">
        <v>10</v>
      </c>
      <c r="E8599" s="2" t="s">
        <v>16</v>
      </c>
      <c r="F8599" s="2">
        <v>1</v>
      </c>
      <c r="G8599" s="2" t="s">
        <v>17</v>
      </c>
    </row>
    <row r="8600" spans="1:7" x14ac:dyDescent="0.2">
      <c r="A8600" s="2" t="s">
        <v>10136</v>
      </c>
      <c r="B8600" s="2" t="s">
        <v>1164</v>
      </c>
      <c r="C8600" s="2" t="s">
        <v>1165</v>
      </c>
      <c r="D8600" s="2" t="s">
        <v>10</v>
      </c>
      <c r="E8600" s="2" t="s">
        <v>11</v>
      </c>
      <c r="F8600" s="2">
        <v>2</v>
      </c>
      <c r="G8600" s="2" t="s">
        <v>1069</v>
      </c>
    </row>
    <row r="8601" spans="1:7" x14ac:dyDescent="0.2">
      <c r="A8601" s="2" t="s">
        <v>10136</v>
      </c>
      <c r="B8601" s="2" t="s">
        <v>1166</v>
      </c>
      <c r="C8601" s="2" t="s">
        <v>1165</v>
      </c>
      <c r="D8601" s="2" t="s">
        <v>10</v>
      </c>
      <c r="E8601" s="2" t="s">
        <v>11</v>
      </c>
      <c r="F8601" s="2">
        <v>2</v>
      </c>
      <c r="G8601" s="2" t="s">
        <v>1069</v>
      </c>
    </row>
    <row r="8602" spans="1:7" x14ac:dyDescent="0.2">
      <c r="A8602" s="2" t="s">
        <v>10136</v>
      </c>
      <c r="B8602" s="2" t="s">
        <v>1183</v>
      </c>
      <c r="C8602" s="2" t="s">
        <v>1165</v>
      </c>
      <c r="D8602" s="2" t="s">
        <v>10</v>
      </c>
      <c r="E8602" s="2" t="s">
        <v>11</v>
      </c>
      <c r="F8602" s="2">
        <v>2</v>
      </c>
      <c r="G8602" s="2" t="s">
        <v>1069</v>
      </c>
    </row>
    <row r="8603" spans="1:7" x14ac:dyDescent="0.2">
      <c r="A8603" s="2" t="s">
        <v>10136</v>
      </c>
      <c r="B8603" s="2" t="s">
        <v>1186</v>
      </c>
      <c r="C8603" s="2" t="s">
        <v>1165</v>
      </c>
      <c r="D8603" s="2" t="s">
        <v>10</v>
      </c>
      <c r="E8603" s="2" t="s">
        <v>11</v>
      </c>
      <c r="F8603" s="2">
        <v>2</v>
      </c>
      <c r="G8603" s="2" t="s">
        <v>1069</v>
      </c>
    </row>
    <row r="8604" spans="1:7" x14ac:dyDescent="0.2">
      <c r="A8604" s="2" t="s">
        <v>10137</v>
      </c>
      <c r="B8604" s="2" t="s">
        <v>4270</v>
      </c>
      <c r="C8604" s="2" t="s">
        <v>1562</v>
      </c>
      <c r="D8604" s="2" t="s">
        <v>10</v>
      </c>
      <c r="E8604" s="2" t="s">
        <v>16</v>
      </c>
      <c r="F8604" s="2">
        <v>1</v>
      </c>
      <c r="G8604" s="2" t="s">
        <v>17</v>
      </c>
    </row>
    <row r="8605" spans="1:7" x14ac:dyDescent="0.2">
      <c r="A8605" s="2" t="s">
        <v>10137</v>
      </c>
      <c r="B8605" s="2" t="s">
        <v>4269</v>
      </c>
      <c r="C8605" s="2" t="s">
        <v>1562</v>
      </c>
      <c r="D8605" s="2" t="s">
        <v>10</v>
      </c>
      <c r="E8605" s="2" t="s">
        <v>16</v>
      </c>
      <c r="F8605" s="2">
        <v>1</v>
      </c>
      <c r="G8605" s="2" t="s">
        <v>17</v>
      </c>
    </row>
    <row r="8606" spans="1:7" x14ac:dyDescent="0.2">
      <c r="A8606" s="2" t="s">
        <v>10138</v>
      </c>
      <c r="B8606" s="2" t="s">
        <v>10139</v>
      </c>
      <c r="C8606" s="2" t="s">
        <v>10140</v>
      </c>
      <c r="D8606" s="2" t="s">
        <v>3928</v>
      </c>
      <c r="E8606" s="2" t="s">
        <v>16</v>
      </c>
      <c r="F8606" s="2">
        <v>1</v>
      </c>
      <c r="G8606" s="2" t="s">
        <v>17</v>
      </c>
    </row>
    <row r="8607" spans="1:7" x14ac:dyDescent="0.2">
      <c r="A8607" s="2" t="s">
        <v>10138</v>
      </c>
      <c r="B8607" s="2" t="s">
        <v>10141</v>
      </c>
      <c r="C8607" s="2" t="s">
        <v>10140</v>
      </c>
      <c r="D8607" s="2" t="s">
        <v>3928</v>
      </c>
      <c r="E8607" s="2" t="s">
        <v>16</v>
      </c>
      <c r="F8607" s="2">
        <v>1</v>
      </c>
      <c r="G8607" s="2" t="s">
        <v>17</v>
      </c>
    </row>
    <row r="8608" spans="1:7" x14ac:dyDescent="0.2">
      <c r="A8608" s="2" t="s">
        <v>10142</v>
      </c>
      <c r="B8608" s="2" t="s">
        <v>1416</v>
      </c>
      <c r="C8608" s="2" t="s">
        <v>1417</v>
      </c>
      <c r="D8608" s="2" t="s">
        <v>10</v>
      </c>
      <c r="E8608" s="2" t="s">
        <v>16</v>
      </c>
      <c r="F8608" s="2">
        <v>1</v>
      </c>
      <c r="G8608" s="2" t="s">
        <v>17</v>
      </c>
    </row>
    <row r="8609" spans="1:7" x14ac:dyDescent="0.2">
      <c r="A8609" s="2" t="s">
        <v>10142</v>
      </c>
      <c r="B8609" s="2" t="s">
        <v>1418</v>
      </c>
      <c r="C8609" s="2" t="s">
        <v>1419</v>
      </c>
      <c r="D8609" s="2" t="s">
        <v>10</v>
      </c>
      <c r="E8609" s="2" t="s">
        <v>16</v>
      </c>
      <c r="F8609" s="2">
        <v>1</v>
      </c>
      <c r="G8609" s="2" t="s">
        <v>17</v>
      </c>
    </row>
    <row r="8610" spans="1:7" x14ac:dyDescent="0.2">
      <c r="A8610" s="2" t="s">
        <v>10142</v>
      </c>
      <c r="B8610" s="2" t="s">
        <v>1420</v>
      </c>
      <c r="C8610" s="2" t="s">
        <v>1419</v>
      </c>
      <c r="D8610" s="2" t="s">
        <v>10</v>
      </c>
      <c r="E8610" s="2" t="s">
        <v>16</v>
      </c>
      <c r="F8610" s="2">
        <v>1</v>
      </c>
      <c r="G8610" s="2" t="s">
        <v>17</v>
      </c>
    </row>
    <row r="8611" spans="1:7" x14ac:dyDescent="0.2">
      <c r="A8611" s="2" t="s">
        <v>10142</v>
      </c>
      <c r="B8611" s="2" t="s">
        <v>1421</v>
      </c>
      <c r="C8611" s="2" t="s">
        <v>1417</v>
      </c>
      <c r="D8611" s="2" t="s">
        <v>10</v>
      </c>
      <c r="E8611" s="2" t="s">
        <v>16</v>
      </c>
      <c r="F8611" s="2">
        <v>1</v>
      </c>
      <c r="G8611" s="2" t="s">
        <v>17</v>
      </c>
    </row>
    <row r="8612" spans="1:7" x14ac:dyDescent="0.2">
      <c r="A8612" s="2" t="s">
        <v>10143</v>
      </c>
      <c r="B8612" s="2" t="s">
        <v>10144</v>
      </c>
      <c r="C8612" s="2" t="s">
        <v>10145</v>
      </c>
      <c r="D8612" s="2" t="s">
        <v>10</v>
      </c>
      <c r="E8612" s="2" t="s">
        <v>16</v>
      </c>
      <c r="F8612" s="2">
        <v>1</v>
      </c>
      <c r="G8612" s="2" t="s">
        <v>17</v>
      </c>
    </row>
    <row r="8613" spans="1:7" x14ac:dyDescent="0.2">
      <c r="A8613" s="2" t="s">
        <v>10146</v>
      </c>
      <c r="B8613" s="2" t="s">
        <v>10008</v>
      </c>
      <c r="C8613" s="2" t="s">
        <v>10009</v>
      </c>
      <c r="D8613" s="2" t="s">
        <v>10</v>
      </c>
      <c r="E8613" s="2" t="s">
        <v>11</v>
      </c>
      <c r="F8613" s="2">
        <v>1</v>
      </c>
      <c r="G8613" s="2" t="s">
        <v>17</v>
      </c>
    </row>
    <row r="8614" spans="1:7" x14ac:dyDescent="0.2">
      <c r="A8614" s="2" t="s">
        <v>10146</v>
      </c>
      <c r="B8614" s="2" t="s">
        <v>10011</v>
      </c>
      <c r="C8614" s="2" t="s">
        <v>10012</v>
      </c>
      <c r="D8614" s="2" t="s">
        <v>10</v>
      </c>
      <c r="E8614" s="2" t="s">
        <v>11</v>
      </c>
      <c r="F8614" s="2">
        <v>2</v>
      </c>
      <c r="G8614" s="2" t="s">
        <v>17</v>
      </c>
    </row>
    <row r="8615" spans="1:7" x14ac:dyDescent="0.2">
      <c r="A8615" s="2" t="s">
        <v>10146</v>
      </c>
      <c r="B8615" s="2" t="s">
        <v>10147</v>
      </c>
      <c r="C8615" s="2" t="s">
        <v>10148</v>
      </c>
      <c r="D8615" s="2" t="s">
        <v>10</v>
      </c>
      <c r="E8615" s="2" t="s">
        <v>11</v>
      </c>
      <c r="F8615" s="2">
        <v>1</v>
      </c>
      <c r="G8615" s="2" t="s">
        <v>12</v>
      </c>
    </row>
    <row r="8616" spans="1:7" x14ac:dyDescent="0.2">
      <c r="A8616" s="2" t="s">
        <v>10146</v>
      </c>
      <c r="B8616" s="2" t="s">
        <v>10013</v>
      </c>
      <c r="C8616" s="2" t="s">
        <v>10009</v>
      </c>
      <c r="D8616" s="2" t="s">
        <v>10</v>
      </c>
      <c r="E8616" s="2" t="s">
        <v>11</v>
      </c>
      <c r="F8616" s="2">
        <v>1</v>
      </c>
      <c r="G8616" s="2" t="s">
        <v>17</v>
      </c>
    </row>
    <row r="8617" spans="1:7" x14ac:dyDescent="0.2">
      <c r="A8617" s="2" t="s">
        <v>10146</v>
      </c>
      <c r="B8617" s="2" t="s">
        <v>10149</v>
      </c>
      <c r="C8617" s="2" t="s">
        <v>10148</v>
      </c>
      <c r="D8617" s="2" t="s">
        <v>10</v>
      </c>
      <c r="E8617" s="2" t="s">
        <v>11</v>
      </c>
      <c r="F8617" s="2">
        <v>1</v>
      </c>
      <c r="G8617" s="2" t="s">
        <v>12</v>
      </c>
    </row>
    <row r="8618" spans="1:7" x14ac:dyDescent="0.2">
      <c r="A8618" s="2" t="s">
        <v>10146</v>
      </c>
      <c r="B8618" s="2" t="s">
        <v>10016</v>
      </c>
      <c r="C8618" s="2" t="s">
        <v>10012</v>
      </c>
      <c r="D8618" s="2" t="s">
        <v>10</v>
      </c>
      <c r="E8618" s="2" t="s">
        <v>11</v>
      </c>
      <c r="F8618" s="2">
        <v>2</v>
      </c>
      <c r="G8618" s="2" t="s">
        <v>17</v>
      </c>
    </row>
    <row r="8619" spans="1:7" x14ac:dyDescent="0.2">
      <c r="A8619" s="2" t="s">
        <v>10146</v>
      </c>
      <c r="B8619" s="2" t="s">
        <v>10150</v>
      </c>
      <c r="C8619" s="2" t="s">
        <v>10151</v>
      </c>
      <c r="D8619" s="2" t="s">
        <v>10</v>
      </c>
      <c r="E8619" s="2" t="s">
        <v>16</v>
      </c>
      <c r="F8619" s="2">
        <v>1</v>
      </c>
      <c r="G8619" s="2" t="s">
        <v>17</v>
      </c>
    </row>
    <row r="8620" spans="1:7" x14ac:dyDescent="0.2">
      <c r="A8620" s="2" t="s">
        <v>10146</v>
      </c>
      <c r="B8620" s="2" t="s">
        <v>10022</v>
      </c>
      <c r="C8620" s="2" t="s">
        <v>10023</v>
      </c>
      <c r="D8620" s="2" t="s">
        <v>10</v>
      </c>
      <c r="E8620" s="2" t="s">
        <v>11</v>
      </c>
      <c r="F8620" s="2">
        <v>4</v>
      </c>
      <c r="G8620" s="2" t="s">
        <v>12</v>
      </c>
    </row>
    <row r="8621" spans="1:7" x14ac:dyDescent="0.2">
      <c r="A8621" s="2" t="s">
        <v>10146</v>
      </c>
      <c r="B8621" s="2" t="s">
        <v>10024</v>
      </c>
      <c r="C8621" s="2" t="s">
        <v>10023</v>
      </c>
      <c r="D8621" s="2" t="s">
        <v>10</v>
      </c>
      <c r="E8621" s="2" t="s">
        <v>11</v>
      </c>
      <c r="F8621" s="2">
        <v>4</v>
      </c>
      <c r="G8621" s="2" t="s">
        <v>12</v>
      </c>
    </row>
    <row r="8622" spans="1:7" x14ac:dyDescent="0.2">
      <c r="A8622" s="2" t="s">
        <v>10146</v>
      </c>
      <c r="B8622" s="2" t="s">
        <v>10025</v>
      </c>
      <c r="C8622" s="2" t="s">
        <v>10026</v>
      </c>
      <c r="D8622" s="2" t="s">
        <v>10</v>
      </c>
      <c r="E8622" s="2" t="s">
        <v>1080</v>
      </c>
      <c r="F8622" s="2">
        <v>4</v>
      </c>
      <c r="G8622" s="2" t="s">
        <v>17</v>
      </c>
    </row>
    <row r="8623" spans="1:7" x14ac:dyDescent="0.2">
      <c r="A8623" s="2" t="s">
        <v>10146</v>
      </c>
      <c r="B8623" s="2" t="s">
        <v>10027</v>
      </c>
      <c r="C8623" s="2" t="s">
        <v>10026</v>
      </c>
      <c r="D8623" s="2" t="s">
        <v>10</v>
      </c>
      <c r="E8623" s="2" t="s">
        <v>1080</v>
      </c>
      <c r="F8623" s="2">
        <v>4</v>
      </c>
      <c r="G8623" s="2" t="s">
        <v>17</v>
      </c>
    </row>
    <row r="8624" spans="1:7" x14ac:dyDescent="0.2">
      <c r="A8624" s="2" t="s">
        <v>10146</v>
      </c>
      <c r="B8624" s="2" t="s">
        <v>10030</v>
      </c>
      <c r="C8624" s="2" t="s">
        <v>10029</v>
      </c>
      <c r="D8624" s="2" t="s">
        <v>10</v>
      </c>
      <c r="E8624" s="2" t="s">
        <v>6357</v>
      </c>
      <c r="F8624" s="2">
        <v>1</v>
      </c>
      <c r="G8624" s="2" t="s">
        <v>12</v>
      </c>
    </row>
    <row r="8625" spans="1:7" x14ac:dyDescent="0.2">
      <c r="A8625" s="2" t="s">
        <v>10146</v>
      </c>
      <c r="B8625" s="2" t="s">
        <v>10028</v>
      </c>
      <c r="C8625" s="2" t="s">
        <v>10029</v>
      </c>
      <c r="D8625" s="2" t="s">
        <v>10</v>
      </c>
      <c r="E8625" s="2" t="s">
        <v>6357</v>
      </c>
      <c r="F8625" s="2">
        <v>1</v>
      </c>
      <c r="G8625" s="2" t="s">
        <v>12</v>
      </c>
    </row>
    <row r="8626" spans="1:7" x14ac:dyDescent="0.2">
      <c r="A8626" s="2" t="s">
        <v>10146</v>
      </c>
      <c r="B8626" s="2" t="s">
        <v>10152</v>
      </c>
      <c r="C8626" s="2" t="s">
        <v>10153</v>
      </c>
      <c r="D8626" s="2" t="s">
        <v>10</v>
      </c>
      <c r="E8626" s="2" t="s">
        <v>16</v>
      </c>
      <c r="F8626" s="2">
        <v>1</v>
      </c>
      <c r="G8626" s="2" t="s">
        <v>17</v>
      </c>
    </row>
    <row r="8627" spans="1:7" x14ac:dyDescent="0.2">
      <c r="A8627" s="2" t="s">
        <v>10146</v>
      </c>
      <c r="B8627" s="2" t="s">
        <v>8776</v>
      </c>
      <c r="C8627" s="2" t="s">
        <v>10153</v>
      </c>
      <c r="D8627" s="2" t="s">
        <v>10</v>
      </c>
      <c r="E8627" s="2" t="s">
        <v>16</v>
      </c>
      <c r="F8627" s="2">
        <v>1</v>
      </c>
      <c r="G8627" s="2" t="s">
        <v>17</v>
      </c>
    </row>
    <row r="8628" spans="1:7" x14ac:dyDescent="0.2">
      <c r="A8628" s="2" t="s">
        <v>10146</v>
      </c>
      <c r="B8628" s="2" t="s">
        <v>10154</v>
      </c>
      <c r="C8628" s="2" t="s">
        <v>10155</v>
      </c>
      <c r="D8628" s="2" t="s">
        <v>10</v>
      </c>
      <c r="E8628" s="2" t="s">
        <v>11</v>
      </c>
      <c r="F8628" s="2">
        <v>6</v>
      </c>
      <c r="G8628" s="2" t="s">
        <v>1069</v>
      </c>
    </row>
    <row r="8629" spans="1:7" x14ac:dyDescent="0.2">
      <c r="A8629" s="2" t="s">
        <v>10146</v>
      </c>
      <c r="B8629" s="2" t="s">
        <v>10156</v>
      </c>
      <c r="C8629" s="2" t="s">
        <v>10155</v>
      </c>
      <c r="D8629" s="2" t="s">
        <v>10</v>
      </c>
      <c r="E8629" s="2" t="s">
        <v>11</v>
      </c>
      <c r="F8629" s="2">
        <v>6</v>
      </c>
      <c r="G8629" s="2" t="s">
        <v>1069</v>
      </c>
    </row>
    <row r="8630" spans="1:7" x14ac:dyDescent="0.2">
      <c r="A8630" s="2" t="s">
        <v>10157</v>
      </c>
      <c r="B8630" s="2" t="s">
        <v>10158</v>
      </c>
      <c r="C8630" s="2" t="s">
        <v>5813</v>
      </c>
      <c r="D8630" s="2" t="s">
        <v>29</v>
      </c>
      <c r="E8630" s="2" t="s">
        <v>16</v>
      </c>
      <c r="F8630" s="2">
        <v>2</v>
      </c>
      <c r="G8630" s="2" t="s">
        <v>17</v>
      </c>
    </row>
    <row r="8631" spans="1:7" x14ac:dyDescent="0.2">
      <c r="A8631" s="2" t="s">
        <v>10159</v>
      </c>
      <c r="B8631" s="2" t="s">
        <v>4209</v>
      </c>
      <c r="C8631" s="2" t="s">
        <v>2630</v>
      </c>
      <c r="D8631" s="2" t="s">
        <v>10</v>
      </c>
      <c r="E8631" s="2" t="s">
        <v>16</v>
      </c>
      <c r="F8631" s="2">
        <v>1</v>
      </c>
      <c r="G8631" s="2" t="s">
        <v>17</v>
      </c>
    </row>
    <row r="8632" spans="1:7" x14ac:dyDescent="0.2">
      <c r="A8632" s="2" t="s">
        <v>10159</v>
      </c>
      <c r="B8632" s="2" t="s">
        <v>4210</v>
      </c>
      <c r="C8632" s="2" t="s">
        <v>2630</v>
      </c>
      <c r="D8632" s="2" t="s">
        <v>10</v>
      </c>
      <c r="E8632" s="2" t="s">
        <v>16</v>
      </c>
      <c r="F8632" s="2">
        <v>1</v>
      </c>
      <c r="G8632" s="2" t="s">
        <v>17</v>
      </c>
    </row>
    <row r="8633" spans="1:7" x14ac:dyDescent="0.2">
      <c r="A8633" s="2" t="s">
        <v>10160</v>
      </c>
      <c r="B8633" s="2" t="s">
        <v>10161</v>
      </c>
      <c r="C8633" s="2" t="s">
        <v>4524</v>
      </c>
      <c r="D8633" s="2" t="s">
        <v>10</v>
      </c>
      <c r="E8633" s="2" t="s">
        <v>52</v>
      </c>
      <c r="F8633" s="2">
        <v>2</v>
      </c>
      <c r="G8633" s="2" t="s">
        <v>17</v>
      </c>
    </row>
    <row r="8634" spans="1:7" x14ac:dyDescent="0.2">
      <c r="A8634" s="2" t="s">
        <v>10160</v>
      </c>
      <c r="B8634" s="2" t="s">
        <v>1348</v>
      </c>
      <c r="C8634" s="2" t="s">
        <v>1349</v>
      </c>
      <c r="D8634" s="2" t="s">
        <v>10</v>
      </c>
      <c r="E8634" s="2" t="s">
        <v>52</v>
      </c>
      <c r="F8634" s="2">
        <v>2</v>
      </c>
      <c r="G8634" s="2" t="s">
        <v>17</v>
      </c>
    </row>
    <row r="8635" spans="1:7" x14ac:dyDescent="0.2">
      <c r="A8635" s="2" t="s">
        <v>10160</v>
      </c>
      <c r="B8635" s="2" t="s">
        <v>1350</v>
      </c>
      <c r="C8635" s="2" t="s">
        <v>1351</v>
      </c>
      <c r="D8635" s="2" t="s">
        <v>10</v>
      </c>
      <c r="E8635" s="2" t="s">
        <v>52</v>
      </c>
      <c r="F8635" s="2">
        <v>2</v>
      </c>
      <c r="G8635" s="2" t="s">
        <v>17</v>
      </c>
    </row>
    <row r="8636" spans="1:7" x14ac:dyDescent="0.2">
      <c r="A8636" s="2" t="s">
        <v>10160</v>
      </c>
      <c r="B8636" s="2" t="s">
        <v>10162</v>
      </c>
      <c r="C8636" s="2" t="s">
        <v>4524</v>
      </c>
      <c r="D8636" s="2" t="s">
        <v>10</v>
      </c>
      <c r="E8636" s="2" t="s">
        <v>52</v>
      </c>
      <c r="F8636" s="2">
        <v>2</v>
      </c>
      <c r="G8636" s="2" t="s">
        <v>17</v>
      </c>
    </row>
    <row r="8637" spans="1:7" x14ac:dyDescent="0.2">
      <c r="A8637" s="2" t="s">
        <v>10163</v>
      </c>
      <c r="B8637" s="2" t="s">
        <v>10164</v>
      </c>
      <c r="C8637" s="2" t="s">
        <v>8569</v>
      </c>
      <c r="D8637" s="2" t="s">
        <v>10</v>
      </c>
      <c r="E8637" s="2" t="s">
        <v>52</v>
      </c>
      <c r="F8637" s="2">
        <v>2</v>
      </c>
      <c r="G8637" s="2" t="s">
        <v>17</v>
      </c>
    </row>
    <row r="8638" spans="1:7" x14ac:dyDescent="0.2">
      <c r="A8638" s="2" t="s">
        <v>10163</v>
      </c>
      <c r="B8638" s="2" t="s">
        <v>10165</v>
      </c>
      <c r="C8638" s="2" t="s">
        <v>916</v>
      </c>
      <c r="D8638" s="2" t="s">
        <v>10</v>
      </c>
      <c r="E8638" s="2" t="s">
        <v>52</v>
      </c>
      <c r="F8638" s="2">
        <v>2</v>
      </c>
      <c r="G8638" s="2" t="s">
        <v>17</v>
      </c>
    </row>
    <row r="8639" spans="1:7" x14ac:dyDescent="0.2">
      <c r="A8639" s="2" t="s">
        <v>10163</v>
      </c>
      <c r="B8639" s="2" t="s">
        <v>10166</v>
      </c>
      <c r="C8639" s="2" t="s">
        <v>2133</v>
      </c>
      <c r="D8639" s="2" t="s">
        <v>10</v>
      </c>
      <c r="E8639" s="2" t="s">
        <v>52</v>
      </c>
      <c r="F8639" s="2">
        <v>2</v>
      </c>
      <c r="G8639" s="2" t="s">
        <v>12</v>
      </c>
    </row>
    <row r="8640" spans="1:7" x14ac:dyDescent="0.2">
      <c r="A8640" s="2" t="s">
        <v>10167</v>
      </c>
      <c r="B8640" s="2" t="s">
        <v>7812</v>
      </c>
      <c r="C8640" s="2" t="s">
        <v>7813</v>
      </c>
      <c r="D8640" s="2" t="s">
        <v>10</v>
      </c>
      <c r="E8640" s="2" t="s">
        <v>16</v>
      </c>
      <c r="F8640" s="2">
        <v>1</v>
      </c>
      <c r="G8640" s="2" t="s">
        <v>17</v>
      </c>
    </row>
    <row r="8641" spans="1:7" x14ac:dyDescent="0.2">
      <c r="A8641" s="2" t="s">
        <v>10167</v>
      </c>
      <c r="B8641" s="2" t="s">
        <v>10168</v>
      </c>
      <c r="C8641" s="2" t="s">
        <v>10169</v>
      </c>
      <c r="D8641" s="2" t="s">
        <v>10</v>
      </c>
      <c r="E8641" s="2" t="s">
        <v>16</v>
      </c>
      <c r="F8641" s="2">
        <v>1</v>
      </c>
      <c r="G8641" s="2" t="s">
        <v>17</v>
      </c>
    </row>
    <row r="8642" spans="1:7" x14ac:dyDescent="0.2">
      <c r="A8642" s="2" t="s">
        <v>10167</v>
      </c>
      <c r="B8642" s="2" t="s">
        <v>10170</v>
      </c>
      <c r="C8642" s="2" t="s">
        <v>7813</v>
      </c>
      <c r="D8642" s="2" t="s">
        <v>10</v>
      </c>
      <c r="E8642" s="2" t="s">
        <v>16</v>
      </c>
      <c r="F8642" s="2">
        <v>1</v>
      </c>
      <c r="G8642" s="2" t="s">
        <v>17</v>
      </c>
    </row>
    <row r="8643" spans="1:7" x14ac:dyDescent="0.2">
      <c r="A8643" s="2" t="s">
        <v>10167</v>
      </c>
      <c r="B8643" s="2" t="s">
        <v>10171</v>
      </c>
      <c r="C8643" s="2" t="s">
        <v>10172</v>
      </c>
      <c r="D8643" s="2" t="s">
        <v>10</v>
      </c>
      <c r="E8643" s="2" t="s">
        <v>16</v>
      </c>
      <c r="F8643" s="2">
        <v>1</v>
      </c>
      <c r="G8643" s="2" t="s">
        <v>17</v>
      </c>
    </row>
    <row r="8644" spans="1:7" x14ac:dyDescent="0.2">
      <c r="A8644" s="2" t="s">
        <v>10167</v>
      </c>
      <c r="B8644" s="2" t="s">
        <v>10173</v>
      </c>
      <c r="C8644" s="2" t="s">
        <v>10169</v>
      </c>
      <c r="D8644" s="2" t="s">
        <v>10</v>
      </c>
      <c r="E8644" s="2" t="s">
        <v>16</v>
      </c>
      <c r="F8644" s="2">
        <v>1</v>
      </c>
      <c r="G8644" s="2" t="s">
        <v>17</v>
      </c>
    </row>
    <row r="8645" spans="1:7" x14ac:dyDescent="0.2">
      <c r="A8645" s="2" t="s">
        <v>10167</v>
      </c>
      <c r="B8645" s="2" t="s">
        <v>7814</v>
      </c>
      <c r="C8645" s="2" t="s">
        <v>7813</v>
      </c>
      <c r="D8645" s="2" t="s">
        <v>10</v>
      </c>
      <c r="E8645" s="2" t="s">
        <v>16</v>
      </c>
      <c r="F8645" s="2">
        <v>1</v>
      </c>
      <c r="G8645" s="2" t="s">
        <v>17</v>
      </c>
    </row>
    <row r="8646" spans="1:7" x14ac:dyDescent="0.2">
      <c r="A8646" s="2" t="s">
        <v>10167</v>
      </c>
      <c r="B8646" s="2" t="s">
        <v>10174</v>
      </c>
      <c r="C8646" s="2" t="s">
        <v>7813</v>
      </c>
      <c r="D8646" s="2" t="s">
        <v>10</v>
      </c>
      <c r="E8646" s="2" t="s">
        <v>16</v>
      </c>
      <c r="F8646" s="2">
        <v>1</v>
      </c>
      <c r="G8646" s="2" t="s">
        <v>17</v>
      </c>
    </row>
    <row r="8647" spans="1:7" x14ac:dyDescent="0.2">
      <c r="A8647" s="2" t="s">
        <v>10167</v>
      </c>
      <c r="B8647" s="2" t="s">
        <v>10175</v>
      </c>
      <c r="C8647" s="2" t="s">
        <v>7813</v>
      </c>
      <c r="D8647" s="2" t="s">
        <v>10</v>
      </c>
      <c r="E8647" s="2" t="s">
        <v>16</v>
      </c>
      <c r="F8647" s="2">
        <v>1</v>
      </c>
      <c r="G8647" s="2" t="s">
        <v>17</v>
      </c>
    </row>
    <row r="8648" spans="1:7" x14ac:dyDescent="0.2">
      <c r="A8648" s="2" t="s">
        <v>10167</v>
      </c>
      <c r="B8648" s="2" t="s">
        <v>10176</v>
      </c>
      <c r="C8648" s="2" t="s">
        <v>7813</v>
      </c>
      <c r="D8648" s="2" t="s">
        <v>10</v>
      </c>
      <c r="E8648" s="2" t="s">
        <v>16</v>
      </c>
      <c r="F8648" s="2">
        <v>1</v>
      </c>
      <c r="G8648" s="2" t="s">
        <v>17</v>
      </c>
    </row>
    <row r="8649" spans="1:7" x14ac:dyDescent="0.2">
      <c r="A8649" s="2" t="s">
        <v>10167</v>
      </c>
      <c r="B8649" s="2" t="s">
        <v>10177</v>
      </c>
      <c r="C8649" s="2" t="s">
        <v>10178</v>
      </c>
      <c r="D8649" s="2" t="s">
        <v>10</v>
      </c>
      <c r="E8649" s="2" t="s">
        <v>16</v>
      </c>
      <c r="F8649" s="2">
        <v>1</v>
      </c>
      <c r="G8649" s="2" t="s">
        <v>17</v>
      </c>
    </row>
    <row r="8650" spans="1:7" x14ac:dyDescent="0.2">
      <c r="A8650" s="2" t="s">
        <v>10167</v>
      </c>
      <c r="B8650" s="2" t="s">
        <v>10179</v>
      </c>
      <c r="C8650" s="2" t="s">
        <v>10180</v>
      </c>
      <c r="D8650" s="2" t="s">
        <v>10</v>
      </c>
      <c r="E8650" s="2" t="s">
        <v>16</v>
      </c>
      <c r="F8650" s="2">
        <v>1</v>
      </c>
      <c r="G8650" s="2" t="s">
        <v>17</v>
      </c>
    </row>
    <row r="8651" spans="1:7" x14ac:dyDescent="0.2">
      <c r="A8651" s="2" t="s">
        <v>10167</v>
      </c>
      <c r="B8651" s="2" t="s">
        <v>10181</v>
      </c>
      <c r="C8651" s="2" t="s">
        <v>10182</v>
      </c>
      <c r="D8651" s="2" t="s">
        <v>10</v>
      </c>
      <c r="E8651" s="2" t="s">
        <v>16</v>
      </c>
      <c r="F8651" s="2">
        <v>1</v>
      </c>
      <c r="G8651" s="2" t="s">
        <v>17</v>
      </c>
    </row>
    <row r="8652" spans="1:7" x14ac:dyDescent="0.2">
      <c r="A8652" s="2" t="s">
        <v>10167</v>
      </c>
      <c r="B8652" s="2" t="s">
        <v>10183</v>
      </c>
      <c r="C8652" s="2" t="s">
        <v>10184</v>
      </c>
      <c r="D8652" s="2" t="s">
        <v>10</v>
      </c>
      <c r="E8652" s="2" t="s">
        <v>16</v>
      </c>
      <c r="F8652" s="2">
        <v>1</v>
      </c>
      <c r="G8652" s="2" t="s">
        <v>17</v>
      </c>
    </row>
    <row r="8653" spans="1:7" x14ac:dyDescent="0.2">
      <c r="A8653" s="2" t="s">
        <v>10167</v>
      </c>
      <c r="B8653" s="2" t="s">
        <v>10185</v>
      </c>
      <c r="C8653" s="2" t="s">
        <v>10186</v>
      </c>
      <c r="D8653" s="2" t="s">
        <v>10</v>
      </c>
      <c r="E8653" s="2" t="s">
        <v>16</v>
      </c>
      <c r="F8653" s="2">
        <v>1</v>
      </c>
      <c r="G8653" s="2" t="s">
        <v>17</v>
      </c>
    </row>
    <row r="8654" spans="1:7" x14ac:dyDescent="0.2">
      <c r="A8654" s="2" t="s">
        <v>10167</v>
      </c>
      <c r="B8654" s="2" t="s">
        <v>10187</v>
      </c>
      <c r="C8654" s="2" t="s">
        <v>10172</v>
      </c>
      <c r="D8654" s="2" t="s">
        <v>10</v>
      </c>
      <c r="E8654" s="2" t="s">
        <v>16</v>
      </c>
      <c r="F8654" s="2">
        <v>1</v>
      </c>
      <c r="G8654" s="2" t="s">
        <v>17</v>
      </c>
    </row>
    <row r="8655" spans="1:7" x14ac:dyDescent="0.2">
      <c r="A8655" s="2" t="s">
        <v>10167</v>
      </c>
      <c r="B8655" s="2" t="s">
        <v>10188</v>
      </c>
      <c r="C8655" s="2" t="s">
        <v>7813</v>
      </c>
      <c r="D8655" s="2" t="s">
        <v>10</v>
      </c>
      <c r="E8655" s="2" t="s">
        <v>16</v>
      </c>
      <c r="F8655" s="2">
        <v>1</v>
      </c>
      <c r="G8655" s="2" t="s">
        <v>17</v>
      </c>
    </row>
    <row r="8656" spans="1:7" x14ac:dyDescent="0.2">
      <c r="A8656" s="2" t="s">
        <v>10167</v>
      </c>
      <c r="B8656" s="2" t="s">
        <v>10189</v>
      </c>
      <c r="C8656" s="2" t="s">
        <v>7813</v>
      </c>
      <c r="D8656" s="2" t="s">
        <v>10</v>
      </c>
      <c r="E8656" s="2" t="s">
        <v>16</v>
      </c>
      <c r="F8656" s="2">
        <v>1</v>
      </c>
      <c r="G8656" s="2" t="s">
        <v>17</v>
      </c>
    </row>
    <row r="8657" spans="1:7" x14ac:dyDescent="0.2">
      <c r="A8657" s="2" t="s">
        <v>10167</v>
      </c>
      <c r="B8657" s="2" t="s">
        <v>10190</v>
      </c>
      <c r="C8657" s="2" t="s">
        <v>10180</v>
      </c>
      <c r="D8657" s="2" t="s">
        <v>10</v>
      </c>
      <c r="E8657" s="2" t="s">
        <v>16</v>
      </c>
      <c r="F8657" s="2">
        <v>1</v>
      </c>
      <c r="G8657" s="2" t="s">
        <v>17</v>
      </c>
    </row>
    <row r="8658" spans="1:7" x14ac:dyDescent="0.2">
      <c r="A8658" s="2" t="s">
        <v>10167</v>
      </c>
      <c r="B8658" s="2" t="s">
        <v>10191</v>
      </c>
      <c r="C8658" s="2" t="s">
        <v>7813</v>
      </c>
      <c r="D8658" s="2" t="s">
        <v>10</v>
      </c>
      <c r="E8658" s="2" t="s">
        <v>16</v>
      </c>
      <c r="F8658" s="2">
        <v>1</v>
      </c>
      <c r="G8658" s="2" t="s">
        <v>17</v>
      </c>
    </row>
    <row r="8659" spans="1:7" x14ac:dyDescent="0.2">
      <c r="A8659" s="2" t="s">
        <v>10167</v>
      </c>
      <c r="B8659" s="2" t="s">
        <v>10192</v>
      </c>
      <c r="C8659" s="2" t="s">
        <v>7813</v>
      </c>
      <c r="D8659" s="2" t="s">
        <v>10</v>
      </c>
      <c r="E8659" s="2" t="s">
        <v>16</v>
      </c>
      <c r="F8659" s="2">
        <v>1</v>
      </c>
      <c r="G8659" s="2" t="s">
        <v>17</v>
      </c>
    </row>
    <row r="8660" spans="1:7" x14ac:dyDescent="0.2">
      <c r="A8660" s="2" t="s">
        <v>10193</v>
      </c>
      <c r="B8660" s="2" t="s">
        <v>10194</v>
      </c>
      <c r="C8660" s="2" t="s">
        <v>10195</v>
      </c>
      <c r="D8660" s="2" t="s">
        <v>10</v>
      </c>
      <c r="E8660" s="2" t="s">
        <v>16</v>
      </c>
      <c r="F8660" s="2">
        <v>1</v>
      </c>
      <c r="G8660" s="2" t="s">
        <v>17</v>
      </c>
    </row>
    <row r="8661" spans="1:7" x14ac:dyDescent="0.2">
      <c r="A8661" s="2" t="s">
        <v>10193</v>
      </c>
      <c r="B8661" s="2" t="s">
        <v>10196</v>
      </c>
      <c r="C8661" s="2" t="s">
        <v>10195</v>
      </c>
      <c r="D8661" s="2" t="s">
        <v>10</v>
      </c>
      <c r="E8661" s="2" t="s">
        <v>16</v>
      </c>
      <c r="F8661" s="2">
        <v>1</v>
      </c>
      <c r="G8661" s="2" t="s">
        <v>17</v>
      </c>
    </row>
    <row r="8662" spans="1:7" x14ac:dyDescent="0.2">
      <c r="A8662" s="2" t="s">
        <v>10193</v>
      </c>
      <c r="B8662" s="2" t="s">
        <v>10197</v>
      </c>
      <c r="C8662" s="2" t="s">
        <v>10198</v>
      </c>
      <c r="D8662" s="2" t="s">
        <v>10</v>
      </c>
      <c r="E8662" s="2" t="s">
        <v>16</v>
      </c>
      <c r="F8662" s="2">
        <v>1</v>
      </c>
      <c r="G8662" s="2" t="s">
        <v>17</v>
      </c>
    </row>
    <row r="8663" spans="1:7" x14ac:dyDescent="0.2">
      <c r="A8663" s="2" t="s">
        <v>10193</v>
      </c>
      <c r="B8663" s="2" t="s">
        <v>10199</v>
      </c>
      <c r="C8663" s="2" t="s">
        <v>10198</v>
      </c>
      <c r="D8663" s="2" t="s">
        <v>10</v>
      </c>
      <c r="E8663" s="2" t="s">
        <v>16</v>
      </c>
      <c r="F8663" s="2">
        <v>1</v>
      </c>
      <c r="G8663" s="2" t="s">
        <v>17</v>
      </c>
    </row>
    <row r="8664" spans="1:7" x14ac:dyDescent="0.2">
      <c r="A8664" s="2" t="s">
        <v>10193</v>
      </c>
      <c r="B8664" s="2" t="s">
        <v>10200</v>
      </c>
      <c r="C8664" s="2" t="s">
        <v>10201</v>
      </c>
      <c r="D8664" s="2" t="s">
        <v>10</v>
      </c>
      <c r="E8664" s="2" t="s">
        <v>16</v>
      </c>
      <c r="F8664" s="2">
        <v>1</v>
      </c>
      <c r="G8664" s="2" t="s">
        <v>17</v>
      </c>
    </row>
    <row r="8665" spans="1:7" x14ac:dyDescent="0.2">
      <c r="A8665" s="2" t="s">
        <v>10193</v>
      </c>
      <c r="B8665" s="2" t="s">
        <v>10202</v>
      </c>
      <c r="C8665" s="2" t="s">
        <v>10201</v>
      </c>
      <c r="D8665" s="2" t="s">
        <v>10</v>
      </c>
      <c r="E8665" s="2" t="s">
        <v>16</v>
      </c>
      <c r="F8665" s="2">
        <v>1</v>
      </c>
      <c r="G8665" s="2" t="s">
        <v>17</v>
      </c>
    </row>
    <row r="8666" spans="1:7" x14ac:dyDescent="0.2">
      <c r="A8666" s="2" t="s">
        <v>10193</v>
      </c>
      <c r="B8666" s="2" t="s">
        <v>10203</v>
      </c>
      <c r="C8666" s="2" t="s">
        <v>10204</v>
      </c>
      <c r="D8666" s="2" t="s">
        <v>10</v>
      </c>
      <c r="E8666" s="2" t="s">
        <v>1080</v>
      </c>
      <c r="F8666" s="2">
        <v>1</v>
      </c>
      <c r="G8666" s="2" t="s">
        <v>17</v>
      </c>
    </row>
    <row r="8667" spans="1:7" x14ac:dyDescent="0.2">
      <c r="A8667" s="2" t="s">
        <v>10193</v>
      </c>
      <c r="B8667" s="2" t="s">
        <v>10205</v>
      </c>
      <c r="C8667" s="2" t="s">
        <v>10206</v>
      </c>
      <c r="D8667" s="2" t="s">
        <v>10</v>
      </c>
      <c r="E8667" s="2" t="s">
        <v>16</v>
      </c>
      <c r="F8667" s="2">
        <v>1</v>
      </c>
      <c r="G8667" s="2" t="s">
        <v>17</v>
      </c>
    </row>
    <row r="8668" spans="1:7" x14ac:dyDescent="0.2">
      <c r="A8668" s="2" t="s">
        <v>10193</v>
      </c>
      <c r="B8668" s="2" t="s">
        <v>10207</v>
      </c>
      <c r="C8668" s="2" t="s">
        <v>10206</v>
      </c>
      <c r="D8668" s="2" t="s">
        <v>10</v>
      </c>
      <c r="E8668" s="2" t="s">
        <v>16</v>
      </c>
      <c r="F8668" s="2">
        <v>1</v>
      </c>
      <c r="G8668" s="2" t="s">
        <v>17</v>
      </c>
    </row>
    <row r="8669" spans="1:7" x14ac:dyDescent="0.2">
      <c r="A8669" s="2" t="s">
        <v>10193</v>
      </c>
      <c r="B8669" s="2" t="s">
        <v>10208</v>
      </c>
      <c r="C8669" s="2" t="s">
        <v>10209</v>
      </c>
      <c r="D8669" s="2" t="s">
        <v>10</v>
      </c>
      <c r="E8669" s="2" t="s">
        <v>16</v>
      </c>
      <c r="F8669" s="2">
        <v>1</v>
      </c>
      <c r="G8669" s="2" t="s">
        <v>17</v>
      </c>
    </row>
    <row r="8670" spans="1:7" x14ac:dyDescent="0.2">
      <c r="A8670" s="2" t="s">
        <v>10193</v>
      </c>
      <c r="B8670" s="2" t="s">
        <v>10210</v>
      </c>
      <c r="C8670" s="2" t="s">
        <v>10209</v>
      </c>
      <c r="D8670" s="2" t="s">
        <v>10</v>
      </c>
      <c r="E8670" s="2" t="s">
        <v>16</v>
      </c>
      <c r="F8670" s="2">
        <v>1</v>
      </c>
      <c r="G8670" s="2" t="s">
        <v>17</v>
      </c>
    </row>
    <row r="8671" spans="1:7" x14ac:dyDescent="0.2">
      <c r="A8671" s="2" t="s">
        <v>10193</v>
      </c>
      <c r="B8671" s="2" t="s">
        <v>10211</v>
      </c>
      <c r="C8671" s="2" t="s">
        <v>10209</v>
      </c>
      <c r="D8671" s="2" t="s">
        <v>10</v>
      </c>
      <c r="E8671" s="2" t="s">
        <v>16</v>
      </c>
      <c r="F8671" s="2">
        <v>1</v>
      </c>
      <c r="G8671" s="2" t="s">
        <v>17</v>
      </c>
    </row>
    <row r="8672" spans="1:7" x14ac:dyDescent="0.2">
      <c r="A8672" s="2" t="s">
        <v>10193</v>
      </c>
      <c r="B8672" s="2" t="s">
        <v>10212</v>
      </c>
      <c r="C8672" s="2" t="s">
        <v>10209</v>
      </c>
      <c r="D8672" s="2" t="s">
        <v>10</v>
      </c>
      <c r="E8672" s="2" t="s">
        <v>16</v>
      </c>
      <c r="F8672" s="2">
        <v>1</v>
      </c>
      <c r="G8672" s="2" t="s">
        <v>17</v>
      </c>
    </row>
    <row r="8673" spans="1:7" x14ac:dyDescent="0.2">
      <c r="A8673" s="2" t="s">
        <v>10193</v>
      </c>
      <c r="B8673" s="2" t="s">
        <v>10213</v>
      </c>
      <c r="C8673" s="2" t="s">
        <v>10209</v>
      </c>
      <c r="D8673" s="2" t="s">
        <v>10</v>
      </c>
      <c r="E8673" s="2" t="s">
        <v>16</v>
      </c>
      <c r="F8673" s="2">
        <v>1</v>
      </c>
      <c r="G8673" s="2" t="s">
        <v>17</v>
      </c>
    </row>
    <row r="8674" spans="1:7" x14ac:dyDescent="0.2">
      <c r="A8674" s="2" t="s">
        <v>10193</v>
      </c>
      <c r="B8674" s="2" t="s">
        <v>10214</v>
      </c>
      <c r="C8674" s="2" t="s">
        <v>10209</v>
      </c>
      <c r="D8674" s="2" t="s">
        <v>10</v>
      </c>
      <c r="E8674" s="2" t="s">
        <v>16</v>
      </c>
      <c r="F8674" s="2">
        <v>1</v>
      </c>
      <c r="G8674" s="2" t="s">
        <v>17</v>
      </c>
    </row>
    <row r="8675" spans="1:7" x14ac:dyDescent="0.2">
      <c r="A8675" s="2" t="s">
        <v>10193</v>
      </c>
      <c r="B8675" s="2" t="s">
        <v>10215</v>
      </c>
      <c r="C8675" s="2" t="s">
        <v>10209</v>
      </c>
      <c r="D8675" s="2" t="s">
        <v>10</v>
      </c>
      <c r="E8675" s="2" t="s">
        <v>16</v>
      </c>
      <c r="F8675" s="2">
        <v>1</v>
      </c>
      <c r="G8675" s="2" t="s">
        <v>17</v>
      </c>
    </row>
    <row r="8676" spans="1:7" x14ac:dyDescent="0.2">
      <c r="A8676" s="2" t="s">
        <v>10193</v>
      </c>
      <c r="B8676" s="2" t="s">
        <v>10216</v>
      </c>
      <c r="C8676" s="2" t="s">
        <v>10209</v>
      </c>
      <c r="D8676" s="2" t="s">
        <v>10</v>
      </c>
      <c r="E8676" s="2" t="s">
        <v>16</v>
      </c>
      <c r="F8676" s="2">
        <v>1</v>
      </c>
      <c r="G8676" s="2" t="s">
        <v>17</v>
      </c>
    </row>
    <row r="8677" spans="1:7" x14ac:dyDescent="0.2">
      <c r="A8677" s="2" t="s">
        <v>10193</v>
      </c>
      <c r="B8677" s="2" t="s">
        <v>10217</v>
      </c>
      <c r="C8677" s="2" t="s">
        <v>10209</v>
      </c>
      <c r="D8677" s="2" t="s">
        <v>10</v>
      </c>
      <c r="E8677" s="2" t="s">
        <v>16</v>
      </c>
      <c r="F8677" s="2">
        <v>1</v>
      </c>
      <c r="G8677" s="2" t="s">
        <v>17</v>
      </c>
    </row>
    <row r="8678" spans="1:7" x14ac:dyDescent="0.2">
      <c r="A8678" s="2" t="s">
        <v>10193</v>
      </c>
      <c r="B8678" s="2" t="s">
        <v>10218</v>
      </c>
      <c r="C8678" s="2" t="s">
        <v>10219</v>
      </c>
      <c r="D8678" s="2" t="s">
        <v>10</v>
      </c>
      <c r="E8678" s="2" t="s">
        <v>1080</v>
      </c>
      <c r="F8678" s="2">
        <v>1</v>
      </c>
      <c r="G8678" s="2" t="s">
        <v>17</v>
      </c>
    </row>
    <row r="8679" spans="1:7" x14ac:dyDescent="0.2">
      <c r="A8679" s="2" t="s">
        <v>10193</v>
      </c>
      <c r="B8679" s="2" t="s">
        <v>10220</v>
      </c>
      <c r="C8679" s="2" t="s">
        <v>10221</v>
      </c>
      <c r="D8679" s="2" t="s">
        <v>10</v>
      </c>
      <c r="E8679" s="2" t="s">
        <v>16</v>
      </c>
      <c r="F8679" s="2">
        <v>1</v>
      </c>
      <c r="G8679" s="2" t="s">
        <v>17</v>
      </c>
    </row>
    <row r="8680" spans="1:7" x14ac:dyDescent="0.2">
      <c r="A8680" s="2" t="s">
        <v>10193</v>
      </c>
      <c r="B8680" s="2" t="s">
        <v>10222</v>
      </c>
      <c r="C8680" s="2" t="s">
        <v>10195</v>
      </c>
      <c r="D8680" s="2" t="s">
        <v>10</v>
      </c>
      <c r="E8680" s="2" t="s">
        <v>16</v>
      </c>
      <c r="F8680" s="2">
        <v>1</v>
      </c>
      <c r="G8680" s="2" t="s">
        <v>17</v>
      </c>
    </row>
    <row r="8681" spans="1:7" x14ac:dyDescent="0.2">
      <c r="A8681" s="2" t="s">
        <v>10193</v>
      </c>
      <c r="B8681" s="2" t="s">
        <v>10223</v>
      </c>
      <c r="C8681" s="2" t="s">
        <v>10195</v>
      </c>
      <c r="D8681" s="2" t="s">
        <v>10</v>
      </c>
      <c r="E8681" s="2" t="s">
        <v>16</v>
      </c>
      <c r="F8681" s="2">
        <v>1</v>
      </c>
      <c r="G8681" s="2" t="s">
        <v>17</v>
      </c>
    </row>
    <row r="8682" spans="1:7" x14ac:dyDescent="0.2">
      <c r="A8682" s="2" t="s">
        <v>10193</v>
      </c>
      <c r="B8682" s="2" t="s">
        <v>10224</v>
      </c>
      <c r="C8682" s="2" t="s">
        <v>10225</v>
      </c>
      <c r="D8682" s="2" t="s">
        <v>10</v>
      </c>
      <c r="E8682" s="2" t="s">
        <v>16</v>
      </c>
      <c r="F8682" s="2">
        <v>1</v>
      </c>
      <c r="G8682" s="2" t="s">
        <v>17</v>
      </c>
    </row>
    <row r="8683" spans="1:7" x14ac:dyDescent="0.2">
      <c r="A8683" s="2" t="s">
        <v>10193</v>
      </c>
      <c r="B8683" s="2" t="s">
        <v>10226</v>
      </c>
      <c r="C8683" s="2" t="s">
        <v>10225</v>
      </c>
      <c r="D8683" s="2" t="s">
        <v>10</v>
      </c>
      <c r="E8683" s="2" t="s">
        <v>16</v>
      </c>
      <c r="F8683" s="2">
        <v>1</v>
      </c>
      <c r="G8683" s="2" t="s">
        <v>17</v>
      </c>
    </row>
    <row r="8684" spans="1:7" x14ac:dyDescent="0.2">
      <c r="A8684" s="2" t="s">
        <v>10193</v>
      </c>
      <c r="B8684" s="2" t="s">
        <v>10227</v>
      </c>
      <c r="C8684" s="2" t="s">
        <v>10225</v>
      </c>
      <c r="D8684" s="2" t="s">
        <v>10</v>
      </c>
      <c r="E8684" s="2" t="s">
        <v>16</v>
      </c>
      <c r="F8684" s="2">
        <v>1</v>
      </c>
      <c r="G8684" s="2" t="s">
        <v>17</v>
      </c>
    </row>
    <row r="8685" spans="1:7" x14ac:dyDescent="0.2">
      <c r="A8685" s="2" t="s">
        <v>10193</v>
      </c>
      <c r="B8685" s="2" t="s">
        <v>10228</v>
      </c>
      <c r="C8685" s="2" t="s">
        <v>10198</v>
      </c>
      <c r="D8685" s="2" t="s">
        <v>10</v>
      </c>
      <c r="E8685" s="2" t="s">
        <v>16</v>
      </c>
      <c r="F8685" s="2">
        <v>1</v>
      </c>
      <c r="G8685" s="2" t="s">
        <v>17</v>
      </c>
    </row>
    <row r="8686" spans="1:7" x14ac:dyDescent="0.2">
      <c r="A8686" s="2" t="s">
        <v>10193</v>
      </c>
      <c r="B8686" s="2" t="s">
        <v>10229</v>
      </c>
      <c r="C8686" s="2" t="s">
        <v>10198</v>
      </c>
      <c r="D8686" s="2" t="s">
        <v>10</v>
      </c>
      <c r="E8686" s="2" t="s">
        <v>16</v>
      </c>
      <c r="F8686" s="2">
        <v>1</v>
      </c>
      <c r="G8686" s="2" t="s">
        <v>17</v>
      </c>
    </row>
    <row r="8687" spans="1:7" x14ac:dyDescent="0.2">
      <c r="A8687" s="2" t="s">
        <v>10193</v>
      </c>
      <c r="B8687" s="2" t="s">
        <v>10230</v>
      </c>
      <c r="C8687" s="2" t="s">
        <v>10198</v>
      </c>
      <c r="D8687" s="2" t="s">
        <v>10</v>
      </c>
      <c r="E8687" s="2" t="s">
        <v>16</v>
      </c>
      <c r="F8687" s="2">
        <v>1</v>
      </c>
      <c r="G8687" s="2" t="s">
        <v>17</v>
      </c>
    </row>
    <row r="8688" spans="1:7" x14ac:dyDescent="0.2">
      <c r="A8688" s="2" t="s">
        <v>10193</v>
      </c>
      <c r="B8688" s="2" t="s">
        <v>10231</v>
      </c>
      <c r="C8688" s="2" t="s">
        <v>10198</v>
      </c>
      <c r="D8688" s="2" t="s">
        <v>10</v>
      </c>
      <c r="E8688" s="2" t="s">
        <v>16</v>
      </c>
      <c r="F8688" s="2">
        <v>1</v>
      </c>
      <c r="G8688" s="2" t="s">
        <v>17</v>
      </c>
    </row>
    <row r="8689" spans="1:7" x14ac:dyDescent="0.2">
      <c r="A8689" s="2" t="s">
        <v>10193</v>
      </c>
      <c r="B8689" s="2" t="s">
        <v>10232</v>
      </c>
      <c r="C8689" s="2" t="s">
        <v>10198</v>
      </c>
      <c r="D8689" s="2" t="s">
        <v>10</v>
      </c>
      <c r="E8689" s="2" t="s">
        <v>16</v>
      </c>
      <c r="F8689" s="2">
        <v>1</v>
      </c>
      <c r="G8689" s="2" t="s">
        <v>17</v>
      </c>
    </row>
    <row r="8690" spans="1:7" x14ac:dyDescent="0.2">
      <c r="A8690" s="2" t="s">
        <v>10193</v>
      </c>
      <c r="B8690" s="2" t="s">
        <v>10233</v>
      </c>
      <c r="C8690" s="2" t="s">
        <v>10198</v>
      </c>
      <c r="D8690" s="2" t="s">
        <v>10</v>
      </c>
      <c r="E8690" s="2" t="s">
        <v>16</v>
      </c>
      <c r="F8690" s="2">
        <v>1</v>
      </c>
      <c r="G8690" s="2" t="s">
        <v>17</v>
      </c>
    </row>
    <row r="8691" spans="1:7" x14ac:dyDescent="0.2">
      <c r="A8691" s="2" t="s">
        <v>10193</v>
      </c>
      <c r="B8691" s="2" t="s">
        <v>10234</v>
      </c>
      <c r="C8691" s="2" t="s">
        <v>10198</v>
      </c>
      <c r="D8691" s="2" t="s">
        <v>10</v>
      </c>
      <c r="E8691" s="2" t="s">
        <v>16</v>
      </c>
      <c r="F8691" s="2">
        <v>1</v>
      </c>
      <c r="G8691" s="2" t="s">
        <v>17</v>
      </c>
    </row>
    <row r="8692" spans="1:7" x14ac:dyDescent="0.2">
      <c r="A8692" s="2" t="s">
        <v>10193</v>
      </c>
      <c r="B8692" s="2" t="s">
        <v>10235</v>
      </c>
      <c r="C8692" s="2" t="s">
        <v>10198</v>
      </c>
      <c r="D8692" s="2" t="s">
        <v>10</v>
      </c>
      <c r="E8692" s="2" t="s">
        <v>16</v>
      </c>
      <c r="F8692" s="2">
        <v>1</v>
      </c>
      <c r="G8692" s="2" t="s">
        <v>17</v>
      </c>
    </row>
    <row r="8693" spans="1:7" x14ac:dyDescent="0.2">
      <c r="A8693" s="2" t="s">
        <v>10193</v>
      </c>
      <c r="B8693" s="2" t="s">
        <v>10236</v>
      </c>
      <c r="C8693" s="2" t="s">
        <v>10206</v>
      </c>
      <c r="D8693" s="2" t="s">
        <v>10</v>
      </c>
      <c r="E8693" s="2" t="s">
        <v>16</v>
      </c>
      <c r="F8693" s="2">
        <v>1</v>
      </c>
      <c r="G8693" s="2" t="s">
        <v>17</v>
      </c>
    </row>
    <row r="8694" spans="1:7" x14ac:dyDescent="0.2">
      <c r="A8694" s="2" t="s">
        <v>10237</v>
      </c>
      <c r="B8694" s="2" t="s">
        <v>10238</v>
      </c>
      <c r="C8694" s="2" t="s">
        <v>2634</v>
      </c>
      <c r="D8694" s="2" t="s">
        <v>10</v>
      </c>
      <c r="E8694" s="2" t="s">
        <v>16</v>
      </c>
      <c r="F8694" s="2">
        <v>1</v>
      </c>
      <c r="G8694" s="2" t="s">
        <v>17</v>
      </c>
    </row>
    <row r="8695" spans="1:7" x14ac:dyDescent="0.2">
      <c r="A8695" s="2" t="s">
        <v>10237</v>
      </c>
      <c r="B8695" s="2" t="s">
        <v>10239</v>
      </c>
      <c r="C8695" s="2" t="s">
        <v>2634</v>
      </c>
      <c r="D8695" s="2" t="s">
        <v>10</v>
      </c>
      <c r="E8695" s="2" t="s">
        <v>16</v>
      </c>
      <c r="F8695" s="2">
        <v>1</v>
      </c>
      <c r="G8695" s="2" t="s">
        <v>17</v>
      </c>
    </row>
    <row r="8696" spans="1:7" x14ac:dyDescent="0.2">
      <c r="A8696" s="2" t="s">
        <v>10237</v>
      </c>
      <c r="B8696" s="2" t="s">
        <v>10240</v>
      </c>
      <c r="C8696" s="2" t="s">
        <v>2634</v>
      </c>
      <c r="D8696" s="2" t="s">
        <v>10</v>
      </c>
      <c r="E8696" s="2" t="s">
        <v>16</v>
      </c>
      <c r="F8696" s="2">
        <v>1</v>
      </c>
      <c r="G8696" s="2" t="s">
        <v>17</v>
      </c>
    </row>
    <row r="8697" spans="1:7" x14ac:dyDescent="0.2">
      <c r="A8697" s="2" t="s">
        <v>10237</v>
      </c>
      <c r="B8697" s="2" t="s">
        <v>10241</v>
      </c>
      <c r="C8697" s="2" t="s">
        <v>2634</v>
      </c>
      <c r="D8697" s="2" t="s">
        <v>10</v>
      </c>
      <c r="E8697" s="2" t="s">
        <v>16</v>
      </c>
      <c r="F8697" s="2">
        <v>1</v>
      </c>
      <c r="G8697" s="2" t="s">
        <v>17</v>
      </c>
    </row>
    <row r="8698" spans="1:7" x14ac:dyDescent="0.2">
      <c r="A8698" s="2" t="s">
        <v>10237</v>
      </c>
      <c r="B8698" s="2" t="s">
        <v>10242</v>
      </c>
      <c r="C8698" s="2" t="s">
        <v>10243</v>
      </c>
      <c r="D8698" s="2" t="s">
        <v>10</v>
      </c>
      <c r="E8698" s="2" t="s">
        <v>16</v>
      </c>
      <c r="F8698" s="2">
        <v>1</v>
      </c>
      <c r="G8698" s="2" t="s">
        <v>17</v>
      </c>
    </row>
    <row r="8699" spans="1:7" x14ac:dyDescent="0.2">
      <c r="A8699" s="2" t="s">
        <v>10237</v>
      </c>
      <c r="B8699" s="2" t="s">
        <v>10244</v>
      </c>
      <c r="C8699" s="2" t="s">
        <v>10245</v>
      </c>
      <c r="D8699" s="2" t="s">
        <v>10</v>
      </c>
      <c r="E8699" s="2" t="s">
        <v>16</v>
      </c>
      <c r="F8699" s="2">
        <v>1</v>
      </c>
      <c r="G8699" s="2" t="s">
        <v>17</v>
      </c>
    </row>
    <row r="8700" spans="1:7" x14ac:dyDescent="0.2">
      <c r="A8700" s="2" t="s">
        <v>10237</v>
      </c>
      <c r="B8700" s="2" t="s">
        <v>10246</v>
      </c>
      <c r="C8700" s="2" t="s">
        <v>10247</v>
      </c>
      <c r="D8700" s="2" t="s">
        <v>10</v>
      </c>
      <c r="E8700" s="2" t="s">
        <v>16</v>
      </c>
      <c r="F8700" s="2">
        <v>1</v>
      </c>
      <c r="G8700" s="2" t="s">
        <v>17</v>
      </c>
    </row>
    <row r="8701" spans="1:7" x14ac:dyDescent="0.2">
      <c r="A8701" s="2" t="s">
        <v>10237</v>
      </c>
      <c r="B8701" s="2" t="s">
        <v>10248</v>
      </c>
      <c r="C8701" s="2" t="s">
        <v>10249</v>
      </c>
      <c r="D8701" s="2" t="s">
        <v>10</v>
      </c>
      <c r="E8701" s="2" t="s">
        <v>16</v>
      </c>
      <c r="F8701" s="2">
        <v>1</v>
      </c>
      <c r="G8701" s="2" t="s">
        <v>17</v>
      </c>
    </row>
    <row r="8702" spans="1:7" x14ac:dyDescent="0.2">
      <c r="A8702" s="2" t="s">
        <v>10237</v>
      </c>
      <c r="B8702" s="2" t="s">
        <v>10250</v>
      </c>
      <c r="C8702" s="2" t="s">
        <v>10251</v>
      </c>
      <c r="D8702" s="2" t="s">
        <v>10</v>
      </c>
      <c r="E8702" s="2" t="s">
        <v>16</v>
      </c>
      <c r="F8702" s="2">
        <v>1</v>
      </c>
      <c r="G8702" s="2" t="s">
        <v>17</v>
      </c>
    </row>
    <row r="8703" spans="1:7" x14ac:dyDescent="0.2">
      <c r="A8703" s="2" t="s">
        <v>10237</v>
      </c>
      <c r="B8703" s="2" t="s">
        <v>10252</v>
      </c>
      <c r="C8703" s="2" t="s">
        <v>10253</v>
      </c>
      <c r="D8703" s="2" t="s">
        <v>10</v>
      </c>
      <c r="E8703" s="2" t="s">
        <v>16</v>
      </c>
      <c r="F8703" s="2">
        <v>1</v>
      </c>
      <c r="G8703" s="2" t="s">
        <v>17</v>
      </c>
    </row>
    <row r="8704" spans="1:7" x14ac:dyDescent="0.2">
      <c r="A8704" s="2" t="s">
        <v>10237</v>
      </c>
      <c r="B8704" s="2" t="s">
        <v>10254</v>
      </c>
      <c r="C8704" s="2" t="s">
        <v>10253</v>
      </c>
      <c r="D8704" s="2" t="s">
        <v>10</v>
      </c>
      <c r="E8704" s="2" t="s">
        <v>16</v>
      </c>
      <c r="F8704" s="2">
        <v>1</v>
      </c>
      <c r="G8704" s="2" t="s">
        <v>17</v>
      </c>
    </row>
    <row r="8705" spans="1:7" x14ac:dyDescent="0.2">
      <c r="A8705" s="2" t="s">
        <v>10237</v>
      </c>
      <c r="B8705" s="2" t="s">
        <v>10255</v>
      </c>
      <c r="C8705" s="2" t="s">
        <v>10253</v>
      </c>
      <c r="D8705" s="2" t="s">
        <v>10</v>
      </c>
      <c r="E8705" s="2" t="s">
        <v>16</v>
      </c>
      <c r="F8705" s="2">
        <v>1</v>
      </c>
      <c r="G8705" s="2" t="s">
        <v>17</v>
      </c>
    </row>
    <row r="8706" spans="1:7" x14ac:dyDescent="0.2">
      <c r="A8706" s="2" t="s">
        <v>10237</v>
      </c>
      <c r="B8706" s="2" t="s">
        <v>10256</v>
      </c>
      <c r="C8706" s="2" t="s">
        <v>10257</v>
      </c>
      <c r="D8706" s="2" t="s">
        <v>10</v>
      </c>
      <c r="E8706" s="2" t="s">
        <v>16</v>
      </c>
      <c r="F8706" s="2">
        <v>1</v>
      </c>
      <c r="G8706" s="2" t="s">
        <v>17</v>
      </c>
    </row>
    <row r="8707" spans="1:7" x14ac:dyDescent="0.2">
      <c r="A8707" s="2" t="s">
        <v>10237</v>
      </c>
      <c r="B8707" s="2" t="s">
        <v>10258</v>
      </c>
      <c r="C8707" s="2" t="s">
        <v>10257</v>
      </c>
      <c r="D8707" s="2" t="s">
        <v>10</v>
      </c>
      <c r="E8707" s="2" t="s">
        <v>16</v>
      </c>
      <c r="F8707" s="2">
        <v>1</v>
      </c>
      <c r="G8707" s="2" t="s">
        <v>17</v>
      </c>
    </row>
    <row r="8708" spans="1:7" x14ac:dyDescent="0.2">
      <c r="A8708" s="2" t="s">
        <v>10237</v>
      </c>
      <c r="B8708" s="2" t="s">
        <v>10259</v>
      </c>
      <c r="C8708" s="2" t="s">
        <v>10260</v>
      </c>
      <c r="D8708" s="2" t="s">
        <v>10</v>
      </c>
      <c r="E8708" s="2" t="s">
        <v>16</v>
      </c>
      <c r="F8708" s="2">
        <v>1</v>
      </c>
      <c r="G8708" s="2" t="s">
        <v>17</v>
      </c>
    </row>
    <row r="8709" spans="1:7" x14ac:dyDescent="0.2">
      <c r="A8709" s="2" t="s">
        <v>10237</v>
      </c>
      <c r="B8709" s="2" t="s">
        <v>10261</v>
      </c>
      <c r="C8709" s="2" t="s">
        <v>10262</v>
      </c>
      <c r="D8709" s="2" t="s">
        <v>10</v>
      </c>
      <c r="E8709" s="2" t="s">
        <v>1080</v>
      </c>
      <c r="F8709" s="2">
        <v>1</v>
      </c>
      <c r="G8709" s="2" t="s">
        <v>17</v>
      </c>
    </row>
    <row r="8710" spans="1:7" x14ac:dyDescent="0.2">
      <c r="A8710" s="2" t="s">
        <v>10237</v>
      </c>
      <c r="B8710" s="2" t="s">
        <v>10263</v>
      </c>
      <c r="C8710" s="2" t="s">
        <v>10264</v>
      </c>
      <c r="D8710" s="2" t="s">
        <v>10</v>
      </c>
      <c r="E8710" s="2" t="s">
        <v>16</v>
      </c>
      <c r="F8710" s="2">
        <v>1</v>
      </c>
      <c r="G8710" s="2" t="s">
        <v>17</v>
      </c>
    </row>
    <row r="8711" spans="1:7" x14ac:dyDescent="0.2">
      <c r="A8711" s="2" t="s">
        <v>10237</v>
      </c>
      <c r="B8711" s="2" t="s">
        <v>10265</v>
      </c>
      <c r="C8711" s="2" t="s">
        <v>10266</v>
      </c>
      <c r="D8711" s="2" t="s">
        <v>10</v>
      </c>
      <c r="E8711" s="2" t="s">
        <v>16</v>
      </c>
      <c r="F8711" s="2">
        <v>1</v>
      </c>
      <c r="G8711" s="2" t="s">
        <v>17</v>
      </c>
    </row>
    <row r="8712" spans="1:7" x14ac:dyDescent="0.2">
      <c r="A8712" s="2" t="s">
        <v>10237</v>
      </c>
      <c r="B8712" s="2" t="s">
        <v>10267</v>
      </c>
      <c r="C8712" s="2" t="s">
        <v>10268</v>
      </c>
      <c r="D8712" s="2" t="s">
        <v>10</v>
      </c>
      <c r="E8712" s="2" t="s">
        <v>1080</v>
      </c>
      <c r="F8712" s="2">
        <v>1</v>
      </c>
      <c r="G8712" s="2" t="s">
        <v>17</v>
      </c>
    </row>
    <row r="8713" spans="1:7" x14ac:dyDescent="0.2">
      <c r="A8713" s="2" t="s">
        <v>10237</v>
      </c>
      <c r="B8713" s="2" t="s">
        <v>10269</v>
      </c>
      <c r="C8713" s="2" t="s">
        <v>10270</v>
      </c>
      <c r="D8713" s="2" t="s">
        <v>10</v>
      </c>
      <c r="E8713" s="2" t="s">
        <v>16</v>
      </c>
      <c r="F8713" s="2">
        <v>1</v>
      </c>
      <c r="G8713" s="2" t="s">
        <v>17</v>
      </c>
    </row>
    <row r="8714" spans="1:7" x14ac:dyDescent="0.2">
      <c r="A8714" s="2" t="s">
        <v>10237</v>
      </c>
      <c r="B8714" s="2" t="s">
        <v>10271</v>
      </c>
      <c r="C8714" s="2" t="s">
        <v>10272</v>
      </c>
      <c r="D8714" s="2" t="s">
        <v>10</v>
      </c>
      <c r="E8714" s="2" t="s">
        <v>1080</v>
      </c>
      <c r="F8714" s="2">
        <v>1</v>
      </c>
      <c r="G8714" s="2" t="s">
        <v>17</v>
      </c>
    </row>
    <row r="8715" spans="1:7" x14ac:dyDescent="0.2">
      <c r="A8715" s="2" t="s">
        <v>10237</v>
      </c>
      <c r="B8715" s="2" t="s">
        <v>10273</v>
      </c>
      <c r="C8715" s="2" t="s">
        <v>10266</v>
      </c>
      <c r="D8715" s="2" t="s">
        <v>10</v>
      </c>
      <c r="E8715" s="2" t="s">
        <v>16</v>
      </c>
      <c r="F8715" s="2">
        <v>1</v>
      </c>
      <c r="G8715" s="2" t="s">
        <v>17</v>
      </c>
    </row>
    <row r="8716" spans="1:7" x14ac:dyDescent="0.2">
      <c r="A8716" s="2" t="s">
        <v>10237</v>
      </c>
      <c r="B8716" s="2" t="s">
        <v>10274</v>
      </c>
      <c r="C8716" s="2" t="s">
        <v>10275</v>
      </c>
      <c r="D8716" s="2" t="s">
        <v>10</v>
      </c>
      <c r="E8716" s="2" t="s">
        <v>11</v>
      </c>
      <c r="F8716" s="2">
        <v>1</v>
      </c>
      <c r="G8716" s="2" t="s">
        <v>17</v>
      </c>
    </row>
    <row r="8717" spans="1:7" x14ac:dyDescent="0.2">
      <c r="A8717" s="2" t="s">
        <v>10237</v>
      </c>
      <c r="B8717" s="2" t="s">
        <v>10276</v>
      </c>
      <c r="C8717" s="2" t="s">
        <v>10266</v>
      </c>
      <c r="D8717" s="2" t="s">
        <v>10</v>
      </c>
      <c r="E8717" s="2" t="s">
        <v>16</v>
      </c>
      <c r="F8717" s="2">
        <v>1</v>
      </c>
      <c r="G8717" s="2" t="s">
        <v>17</v>
      </c>
    </row>
    <row r="8718" spans="1:7" x14ac:dyDescent="0.2">
      <c r="A8718" s="2" t="s">
        <v>10237</v>
      </c>
      <c r="B8718" s="2" t="s">
        <v>10277</v>
      </c>
      <c r="C8718" s="2" t="s">
        <v>10278</v>
      </c>
      <c r="D8718" s="2" t="s">
        <v>10</v>
      </c>
      <c r="E8718" s="2" t="s">
        <v>16</v>
      </c>
      <c r="F8718" s="2">
        <v>1</v>
      </c>
      <c r="G8718" s="2" t="s">
        <v>17</v>
      </c>
    </row>
    <row r="8719" spans="1:7" x14ac:dyDescent="0.2">
      <c r="A8719" s="2" t="s">
        <v>10237</v>
      </c>
      <c r="B8719" s="2" t="s">
        <v>10279</v>
      </c>
      <c r="C8719" s="2" t="s">
        <v>10280</v>
      </c>
      <c r="D8719" s="2" t="s">
        <v>10</v>
      </c>
      <c r="E8719" s="2" t="s">
        <v>16</v>
      </c>
      <c r="F8719" s="2">
        <v>1</v>
      </c>
      <c r="G8719" s="2" t="s">
        <v>17</v>
      </c>
    </row>
    <row r="8720" spans="1:7" x14ac:dyDescent="0.2">
      <c r="A8720" s="2" t="s">
        <v>10281</v>
      </c>
      <c r="B8720" s="2" t="s">
        <v>10282</v>
      </c>
      <c r="C8720" s="2" t="s">
        <v>10283</v>
      </c>
      <c r="D8720" s="2" t="s">
        <v>10</v>
      </c>
      <c r="E8720" s="2" t="s">
        <v>16</v>
      </c>
      <c r="F8720" s="2">
        <v>2</v>
      </c>
      <c r="G8720" s="2" t="s">
        <v>17</v>
      </c>
    </row>
    <row r="8721" spans="1:7" x14ac:dyDescent="0.2">
      <c r="A8721" s="2" t="s">
        <v>10281</v>
      </c>
      <c r="B8721" s="2" t="s">
        <v>10284</v>
      </c>
      <c r="C8721" s="2" t="s">
        <v>10285</v>
      </c>
      <c r="D8721" s="2" t="s">
        <v>10</v>
      </c>
      <c r="E8721" s="2" t="s">
        <v>52</v>
      </c>
      <c r="F8721" s="2">
        <v>2</v>
      </c>
      <c r="G8721" s="2" t="s">
        <v>17</v>
      </c>
    </row>
    <row r="8722" spans="1:7" x14ac:dyDescent="0.2">
      <c r="A8722" s="2" t="s">
        <v>10281</v>
      </c>
      <c r="B8722" s="2" t="s">
        <v>10286</v>
      </c>
      <c r="C8722" s="2" t="s">
        <v>10285</v>
      </c>
      <c r="D8722" s="2" t="s">
        <v>10</v>
      </c>
      <c r="E8722" s="2" t="s">
        <v>52</v>
      </c>
      <c r="F8722" s="2">
        <v>2</v>
      </c>
      <c r="G8722" s="2" t="s">
        <v>17</v>
      </c>
    </row>
    <row r="8723" spans="1:7" x14ac:dyDescent="0.2">
      <c r="A8723" s="2" t="s">
        <v>10281</v>
      </c>
      <c r="B8723" s="2" t="s">
        <v>10287</v>
      </c>
      <c r="C8723" s="2" t="s">
        <v>10285</v>
      </c>
      <c r="D8723" s="2" t="s">
        <v>10</v>
      </c>
      <c r="E8723" s="2" t="s">
        <v>52</v>
      </c>
      <c r="F8723" s="2">
        <v>2</v>
      </c>
      <c r="G8723" s="2" t="s">
        <v>17</v>
      </c>
    </row>
    <row r="8724" spans="1:7" x14ac:dyDescent="0.2">
      <c r="A8724" s="2" t="s">
        <v>10281</v>
      </c>
      <c r="B8724" s="2">
        <v>269</v>
      </c>
      <c r="C8724" s="2" t="s">
        <v>3068</v>
      </c>
      <c r="D8724" s="2" t="s">
        <v>56</v>
      </c>
      <c r="E8724" s="2" t="s">
        <v>16</v>
      </c>
      <c r="F8724" s="2">
        <v>1</v>
      </c>
      <c r="G8724" s="2" t="s">
        <v>17</v>
      </c>
    </row>
    <row r="8725" spans="1:7" x14ac:dyDescent="0.2">
      <c r="A8725" s="2" t="s">
        <v>10281</v>
      </c>
      <c r="B8725" s="2" t="s">
        <v>10288</v>
      </c>
      <c r="C8725" s="2" t="s">
        <v>3068</v>
      </c>
      <c r="D8725" s="2" t="s">
        <v>56</v>
      </c>
      <c r="E8725" s="2" t="s">
        <v>16</v>
      </c>
      <c r="F8725" s="2">
        <v>1</v>
      </c>
      <c r="G8725" s="2" t="s">
        <v>17</v>
      </c>
    </row>
    <row r="8726" spans="1:7" x14ac:dyDescent="0.2">
      <c r="A8726" s="2" t="s">
        <v>10281</v>
      </c>
      <c r="B8726" s="2" t="s">
        <v>10289</v>
      </c>
      <c r="C8726" s="2" t="s">
        <v>3068</v>
      </c>
      <c r="D8726" s="2" t="s">
        <v>56</v>
      </c>
      <c r="E8726" s="2" t="s">
        <v>16</v>
      </c>
      <c r="F8726" s="2">
        <v>1</v>
      </c>
      <c r="G8726" s="2" t="s">
        <v>17</v>
      </c>
    </row>
    <row r="8727" spans="1:7" x14ac:dyDescent="0.2">
      <c r="A8727" s="2" t="s">
        <v>10281</v>
      </c>
      <c r="B8727" s="2" t="s">
        <v>10290</v>
      </c>
      <c r="C8727" s="2" t="s">
        <v>3068</v>
      </c>
      <c r="D8727" s="2" t="s">
        <v>56</v>
      </c>
      <c r="E8727" s="2" t="s">
        <v>16</v>
      </c>
      <c r="F8727" s="2">
        <v>1</v>
      </c>
      <c r="G8727" s="2" t="s">
        <v>17</v>
      </c>
    </row>
    <row r="8728" spans="1:7" x14ac:dyDescent="0.2">
      <c r="A8728" s="2" t="s">
        <v>10281</v>
      </c>
      <c r="B8728" s="2" t="s">
        <v>10291</v>
      </c>
      <c r="C8728" s="2" t="s">
        <v>3068</v>
      </c>
      <c r="D8728" s="2" t="s">
        <v>56</v>
      </c>
      <c r="E8728" s="2" t="s">
        <v>16</v>
      </c>
      <c r="F8728" s="2">
        <v>1</v>
      </c>
      <c r="G8728" s="2" t="s">
        <v>17</v>
      </c>
    </row>
    <row r="8729" spans="1:7" x14ac:dyDescent="0.2">
      <c r="A8729" s="2" t="s">
        <v>10281</v>
      </c>
      <c r="B8729" s="2" t="s">
        <v>10292</v>
      </c>
      <c r="C8729" s="2" t="s">
        <v>10293</v>
      </c>
      <c r="D8729" s="2" t="s">
        <v>56</v>
      </c>
      <c r="E8729" s="2" t="s">
        <v>52</v>
      </c>
      <c r="F8729" s="2">
        <v>1</v>
      </c>
      <c r="G8729" s="2" t="s">
        <v>17</v>
      </c>
    </row>
    <row r="8730" spans="1:7" x14ac:dyDescent="0.2">
      <c r="A8730" s="2" t="s">
        <v>10281</v>
      </c>
      <c r="B8730" s="2" t="s">
        <v>10294</v>
      </c>
      <c r="C8730" s="2" t="s">
        <v>10293</v>
      </c>
      <c r="D8730" s="2" t="s">
        <v>56</v>
      </c>
      <c r="E8730" s="2" t="s">
        <v>52</v>
      </c>
      <c r="F8730" s="2">
        <v>1</v>
      </c>
      <c r="G8730" s="2" t="s">
        <v>17</v>
      </c>
    </row>
    <row r="8731" spans="1:7" x14ac:dyDescent="0.2">
      <c r="A8731" s="2" t="s">
        <v>10281</v>
      </c>
      <c r="B8731" s="2">
        <v>300</v>
      </c>
      <c r="C8731" s="2" t="s">
        <v>3068</v>
      </c>
      <c r="D8731" s="2" t="s">
        <v>56</v>
      </c>
      <c r="E8731" s="2" t="s">
        <v>16</v>
      </c>
      <c r="F8731" s="2">
        <v>1</v>
      </c>
      <c r="G8731" s="2" t="s">
        <v>17</v>
      </c>
    </row>
    <row r="8732" spans="1:7" x14ac:dyDescent="0.2">
      <c r="A8732" s="2" t="s">
        <v>10281</v>
      </c>
      <c r="B8732" s="2" t="s">
        <v>6667</v>
      </c>
      <c r="C8732" s="2" t="s">
        <v>3068</v>
      </c>
      <c r="D8732" s="2" t="s">
        <v>56</v>
      </c>
      <c r="E8732" s="2" t="s">
        <v>16</v>
      </c>
      <c r="F8732" s="2">
        <v>1</v>
      </c>
      <c r="G8732" s="2" t="s">
        <v>17</v>
      </c>
    </row>
    <row r="8733" spans="1:7" x14ac:dyDescent="0.2">
      <c r="A8733" s="2" t="s">
        <v>10281</v>
      </c>
      <c r="B8733" s="2">
        <v>330</v>
      </c>
      <c r="C8733" s="2" t="s">
        <v>10293</v>
      </c>
      <c r="D8733" s="2" t="s">
        <v>56</v>
      </c>
      <c r="E8733" s="2" t="s">
        <v>52</v>
      </c>
      <c r="F8733" s="2">
        <v>1</v>
      </c>
      <c r="G8733" s="2" t="s">
        <v>17</v>
      </c>
    </row>
    <row r="8734" spans="1:7" x14ac:dyDescent="0.2">
      <c r="A8734" s="2" t="s">
        <v>10281</v>
      </c>
      <c r="B8734" s="2">
        <v>333</v>
      </c>
      <c r="C8734" s="2" t="s">
        <v>10293</v>
      </c>
      <c r="D8734" s="2" t="s">
        <v>56</v>
      </c>
      <c r="E8734" s="2" t="s">
        <v>52</v>
      </c>
      <c r="F8734" s="2">
        <v>1</v>
      </c>
      <c r="G8734" s="2" t="s">
        <v>17</v>
      </c>
    </row>
    <row r="8735" spans="1:7" x14ac:dyDescent="0.2">
      <c r="A8735" s="2" t="s">
        <v>10281</v>
      </c>
      <c r="B8735" s="2" t="s">
        <v>6078</v>
      </c>
      <c r="C8735" s="2" t="s">
        <v>306</v>
      </c>
      <c r="D8735" s="2" t="s">
        <v>10</v>
      </c>
      <c r="E8735" s="2" t="s">
        <v>16</v>
      </c>
      <c r="F8735" s="2">
        <v>1</v>
      </c>
      <c r="G8735" s="2" t="s">
        <v>17</v>
      </c>
    </row>
    <row r="8736" spans="1:7" x14ac:dyDescent="0.2">
      <c r="A8736" s="2" t="s">
        <v>10281</v>
      </c>
      <c r="B8736" s="2" t="s">
        <v>10295</v>
      </c>
      <c r="C8736" s="2" t="s">
        <v>773</v>
      </c>
      <c r="D8736" s="2" t="s">
        <v>10</v>
      </c>
      <c r="E8736" s="2" t="s">
        <v>52</v>
      </c>
      <c r="F8736" s="2">
        <v>1</v>
      </c>
      <c r="G8736" s="2" t="s">
        <v>17</v>
      </c>
    </row>
    <row r="8737" spans="1:7" x14ac:dyDescent="0.2">
      <c r="A8737" s="2" t="s">
        <v>10281</v>
      </c>
      <c r="B8737" s="2" t="s">
        <v>4877</v>
      </c>
      <c r="C8737" s="2" t="s">
        <v>10296</v>
      </c>
      <c r="D8737" s="2" t="s">
        <v>10</v>
      </c>
      <c r="E8737" s="2" t="s">
        <v>16</v>
      </c>
      <c r="F8737" s="2">
        <v>1</v>
      </c>
      <c r="G8737" s="2" t="s">
        <v>17</v>
      </c>
    </row>
    <row r="8738" spans="1:7" x14ac:dyDescent="0.2">
      <c r="A8738" s="2" t="s">
        <v>10281</v>
      </c>
      <c r="B8738" s="2" t="s">
        <v>6129</v>
      </c>
      <c r="C8738" s="2" t="s">
        <v>306</v>
      </c>
      <c r="D8738" s="2" t="s">
        <v>10</v>
      </c>
      <c r="E8738" s="2" t="s">
        <v>16</v>
      </c>
      <c r="F8738" s="2">
        <v>1</v>
      </c>
      <c r="G8738" s="2" t="s">
        <v>17</v>
      </c>
    </row>
    <row r="8739" spans="1:7" x14ac:dyDescent="0.2">
      <c r="A8739" s="2" t="s">
        <v>10281</v>
      </c>
      <c r="B8739" s="2" t="s">
        <v>10297</v>
      </c>
      <c r="C8739" s="2" t="s">
        <v>773</v>
      </c>
      <c r="D8739" s="2" t="s">
        <v>10</v>
      </c>
      <c r="E8739" s="2" t="s">
        <v>52</v>
      </c>
      <c r="F8739" s="2">
        <v>1</v>
      </c>
      <c r="G8739" s="2" t="s">
        <v>17</v>
      </c>
    </row>
    <row r="8740" spans="1:7" x14ac:dyDescent="0.2">
      <c r="A8740" s="2" t="s">
        <v>10281</v>
      </c>
      <c r="B8740" s="2" t="s">
        <v>6130</v>
      </c>
      <c r="C8740" s="2" t="s">
        <v>306</v>
      </c>
      <c r="D8740" s="2" t="s">
        <v>10</v>
      </c>
      <c r="E8740" s="2" t="s">
        <v>16</v>
      </c>
      <c r="F8740" s="2">
        <v>1</v>
      </c>
      <c r="G8740" s="2" t="s">
        <v>17</v>
      </c>
    </row>
    <row r="8741" spans="1:7" x14ac:dyDescent="0.2">
      <c r="A8741" s="2" t="s">
        <v>10281</v>
      </c>
      <c r="B8741" s="2" t="s">
        <v>6131</v>
      </c>
      <c r="C8741" s="2" t="s">
        <v>773</v>
      </c>
      <c r="D8741" s="2" t="s">
        <v>10</v>
      </c>
      <c r="E8741" s="2" t="s">
        <v>52</v>
      </c>
      <c r="F8741" s="2">
        <v>1</v>
      </c>
      <c r="G8741" s="2" t="s">
        <v>17</v>
      </c>
    </row>
    <row r="8742" spans="1:7" x14ac:dyDescent="0.2">
      <c r="A8742" s="2" t="s">
        <v>10281</v>
      </c>
      <c r="B8742" s="2" t="s">
        <v>6675</v>
      </c>
      <c r="C8742" s="2" t="s">
        <v>3068</v>
      </c>
      <c r="D8742" s="2" t="s">
        <v>56</v>
      </c>
      <c r="E8742" s="2" t="s">
        <v>16</v>
      </c>
      <c r="F8742" s="2">
        <v>1</v>
      </c>
      <c r="G8742" s="2" t="s">
        <v>17</v>
      </c>
    </row>
    <row r="8743" spans="1:7" x14ac:dyDescent="0.2">
      <c r="A8743" s="2" t="s">
        <v>10281</v>
      </c>
      <c r="B8743" s="2" t="s">
        <v>6682</v>
      </c>
      <c r="C8743" s="2" t="s">
        <v>3068</v>
      </c>
      <c r="D8743" s="2" t="s">
        <v>56</v>
      </c>
      <c r="E8743" s="2" t="s">
        <v>16</v>
      </c>
      <c r="F8743" s="2">
        <v>1</v>
      </c>
      <c r="G8743" s="2" t="s">
        <v>17</v>
      </c>
    </row>
    <row r="8744" spans="1:7" x14ac:dyDescent="0.2">
      <c r="A8744" s="2" t="s">
        <v>10281</v>
      </c>
      <c r="B8744" s="2" t="s">
        <v>10298</v>
      </c>
      <c r="C8744" s="2" t="s">
        <v>10296</v>
      </c>
      <c r="D8744" s="2" t="s">
        <v>10</v>
      </c>
      <c r="E8744" s="2" t="s">
        <v>16</v>
      </c>
      <c r="F8744" s="2">
        <v>1</v>
      </c>
      <c r="G8744" s="2" t="s">
        <v>17</v>
      </c>
    </row>
    <row r="8745" spans="1:7" x14ac:dyDescent="0.2">
      <c r="A8745" s="2" t="s">
        <v>10281</v>
      </c>
      <c r="B8745" s="2" t="s">
        <v>10299</v>
      </c>
      <c r="C8745" s="2" t="s">
        <v>10283</v>
      </c>
      <c r="D8745" s="2" t="s">
        <v>10</v>
      </c>
      <c r="E8745" s="2" t="s">
        <v>16</v>
      </c>
      <c r="F8745" s="2">
        <v>2</v>
      </c>
      <c r="G8745" s="2" t="s">
        <v>17</v>
      </c>
    </row>
    <row r="8746" spans="1:7" x14ac:dyDescent="0.2">
      <c r="A8746" s="2" t="s">
        <v>10281</v>
      </c>
      <c r="B8746" s="2" t="s">
        <v>10300</v>
      </c>
      <c r="C8746" s="2" t="s">
        <v>10301</v>
      </c>
      <c r="D8746" s="2" t="s">
        <v>10</v>
      </c>
      <c r="E8746" s="2" t="s">
        <v>16</v>
      </c>
      <c r="F8746" s="2">
        <v>1</v>
      </c>
      <c r="G8746" s="2" t="s">
        <v>17</v>
      </c>
    </row>
    <row r="8747" spans="1:7" x14ac:dyDescent="0.2">
      <c r="A8747" s="2" t="s">
        <v>10281</v>
      </c>
      <c r="B8747" s="2" t="s">
        <v>6683</v>
      </c>
      <c r="C8747" s="2" t="s">
        <v>3068</v>
      </c>
      <c r="D8747" s="2" t="s">
        <v>56</v>
      </c>
      <c r="E8747" s="2" t="s">
        <v>16</v>
      </c>
      <c r="F8747" s="2">
        <v>1</v>
      </c>
      <c r="G8747" s="2" t="s">
        <v>17</v>
      </c>
    </row>
    <row r="8748" spans="1:7" x14ac:dyDescent="0.2">
      <c r="A8748" s="2" t="s">
        <v>10281</v>
      </c>
      <c r="B8748" s="2" t="s">
        <v>6156</v>
      </c>
      <c r="C8748" s="2" t="s">
        <v>306</v>
      </c>
      <c r="D8748" s="2" t="s">
        <v>10</v>
      </c>
      <c r="E8748" s="2" t="s">
        <v>16</v>
      </c>
      <c r="F8748" s="2">
        <v>1</v>
      </c>
      <c r="G8748" s="2" t="s">
        <v>17</v>
      </c>
    </row>
    <row r="8749" spans="1:7" x14ac:dyDescent="0.2">
      <c r="A8749" s="2" t="s">
        <v>10281</v>
      </c>
      <c r="B8749" s="2" t="s">
        <v>10302</v>
      </c>
      <c r="C8749" s="2" t="s">
        <v>10303</v>
      </c>
      <c r="D8749" s="2" t="s">
        <v>29</v>
      </c>
      <c r="E8749" s="2" t="s">
        <v>16</v>
      </c>
      <c r="F8749" s="2">
        <v>1</v>
      </c>
      <c r="G8749" s="2" t="s">
        <v>17</v>
      </c>
    </row>
    <row r="8750" spans="1:7" x14ac:dyDescent="0.2">
      <c r="A8750" s="2" t="s">
        <v>10281</v>
      </c>
      <c r="B8750" s="2" t="s">
        <v>10304</v>
      </c>
      <c r="C8750" s="2" t="s">
        <v>10301</v>
      </c>
      <c r="D8750" s="2" t="s">
        <v>10</v>
      </c>
      <c r="E8750" s="2" t="s">
        <v>16</v>
      </c>
      <c r="F8750" s="2">
        <v>1</v>
      </c>
      <c r="G8750" s="2" t="s">
        <v>17</v>
      </c>
    </row>
    <row r="8751" spans="1:7" x14ac:dyDescent="0.2">
      <c r="A8751" s="2" t="s">
        <v>10281</v>
      </c>
      <c r="B8751" s="2" t="s">
        <v>6684</v>
      </c>
      <c r="C8751" s="2" t="s">
        <v>3068</v>
      </c>
      <c r="D8751" s="2" t="s">
        <v>56</v>
      </c>
      <c r="E8751" s="2" t="s">
        <v>16</v>
      </c>
      <c r="F8751" s="2">
        <v>1</v>
      </c>
      <c r="G8751" s="2" t="s">
        <v>17</v>
      </c>
    </row>
    <row r="8752" spans="1:7" x14ac:dyDescent="0.2">
      <c r="A8752" s="2" t="s">
        <v>10281</v>
      </c>
      <c r="B8752" s="2" t="s">
        <v>6685</v>
      </c>
      <c r="C8752" s="2" t="s">
        <v>3068</v>
      </c>
      <c r="D8752" s="2" t="s">
        <v>56</v>
      </c>
      <c r="E8752" s="2" t="s">
        <v>16</v>
      </c>
      <c r="F8752" s="2">
        <v>1</v>
      </c>
      <c r="G8752" s="2" t="s">
        <v>17</v>
      </c>
    </row>
    <row r="8753" spans="1:7" x14ac:dyDescent="0.2">
      <c r="A8753" s="2" t="s">
        <v>10281</v>
      </c>
      <c r="B8753" s="2" t="s">
        <v>10305</v>
      </c>
      <c r="C8753" s="2" t="s">
        <v>10303</v>
      </c>
      <c r="D8753" s="2" t="s">
        <v>29</v>
      </c>
      <c r="E8753" s="2" t="s">
        <v>16</v>
      </c>
      <c r="F8753" s="2">
        <v>1</v>
      </c>
      <c r="G8753" s="2" t="s">
        <v>17</v>
      </c>
    </row>
    <row r="8754" spans="1:7" x14ac:dyDescent="0.2">
      <c r="A8754" s="2" t="s">
        <v>10281</v>
      </c>
      <c r="B8754" s="2" t="s">
        <v>6164</v>
      </c>
      <c r="C8754" s="2" t="s">
        <v>773</v>
      </c>
      <c r="D8754" s="2" t="s">
        <v>10</v>
      </c>
      <c r="E8754" s="2" t="s">
        <v>52</v>
      </c>
      <c r="F8754" s="2">
        <v>1</v>
      </c>
      <c r="G8754" s="2" t="s">
        <v>17</v>
      </c>
    </row>
    <row r="8755" spans="1:7" x14ac:dyDescent="0.2">
      <c r="A8755" s="2" t="s">
        <v>10281</v>
      </c>
      <c r="B8755" s="2" t="s">
        <v>10306</v>
      </c>
      <c r="C8755" s="2" t="s">
        <v>10296</v>
      </c>
      <c r="D8755" s="2" t="s">
        <v>10</v>
      </c>
      <c r="E8755" s="2" t="s">
        <v>16</v>
      </c>
      <c r="F8755" s="2">
        <v>1</v>
      </c>
      <c r="G8755" s="2" t="s">
        <v>17</v>
      </c>
    </row>
    <row r="8756" spans="1:7" x14ac:dyDescent="0.2">
      <c r="A8756" s="2" t="s">
        <v>10281</v>
      </c>
      <c r="B8756" s="2" t="s">
        <v>10307</v>
      </c>
      <c r="C8756" s="2" t="s">
        <v>10283</v>
      </c>
      <c r="D8756" s="2" t="s">
        <v>10</v>
      </c>
      <c r="E8756" s="2" t="s">
        <v>16</v>
      </c>
      <c r="F8756" s="2">
        <v>2</v>
      </c>
      <c r="G8756" s="2" t="s">
        <v>17</v>
      </c>
    </row>
    <row r="8757" spans="1:7" x14ac:dyDescent="0.2">
      <c r="A8757" s="2" t="s">
        <v>10308</v>
      </c>
      <c r="B8757" s="2" t="s">
        <v>3217</v>
      </c>
      <c r="C8757" s="2" t="s">
        <v>3218</v>
      </c>
      <c r="D8757" s="2" t="s">
        <v>10</v>
      </c>
      <c r="E8757" s="2" t="s">
        <v>16</v>
      </c>
      <c r="F8757" s="2">
        <v>1</v>
      </c>
      <c r="G8757" s="2" t="s">
        <v>17</v>
      </c>
    </row>
    <row r="8758" spans="1:7" x14ac:dyDescent="0.2">
      <c r="A8758" s="2" t="s">
        <v>10308</v>
      </c>
      <c r="B8758" s="2" t="s">
        <v>9101</v>
      </c>
      <c r="C8758" s="2" t="s">
        <v>3218</v>
      </c>
      <c r="D8758" s="2" t="s">
        <v>10</v>
      </c>
      <c r="E8758" s="2" t="s">
        <v>16</v>
      </c>
      <c r="F8758" s="2">
        <v>1</v>
      </c>
      <c r="G8758" s="2" t="s">
        <v>17</v>
      </c>
    </row>
    <row r="8759" spans="1:7" x14ac:dyDescent="0.2">
      <c r="A8759" s="2" t="s">
        <v>10308</v>
      </c>
      <c r="B8759" s="2" t="s">
        <v>9104</v>
      </c>
      <c r="C8759" s="2" t="s">
        <v>3218</v>
      </c>
      <c r="D8759" s="2" t="s">
        <v>10</v>
      </c>
      <c r="E8759" s="2" t="s">
        <v>16</v>
      </c>
      <c r="F8759" s="2">
        <v>1</v>
      </c>
      <c r="G8759" s="2" t="s">
        <v>17</v>
      </c>
    </row>
    <row r="8760" spans="1:7" x14ac:dyDescent="0.2">
      <c r="A8760" s="2" t="s">
        <v>10308</v>
      </c>
      <c r="B8760" s="2" t="s">
        <v>4210</v>
      </c>
      <c r="C8760" s="2" t="s">
        <v>2630</v>
      </c>
      <c r="D8760" s="2" t="s">
        <v>10</v>
      </c>
      <c r="E8760" s="2" t="s">
        <v>16</v>
      </c>
      <c r="F8760" s="2">
        <v>1</v>
      </c>
      <c r="G8760" s="2" t="s">
        <v>17</v>
      </c>
    </row>
    <row r="8761" spans="1:7" x14ac:dyDescent="0.2">
      <c r="A8761" s="2" t="s">
        <v>10308</v>
      </c>
      <c r="B8761" s="2" t="s">
        <v>10309</v>
      </c>
      <c r="C8761" s="2" t="s">
        <v>10310</v>
      </c>
      <c r="D8761" s="2" t="s">
        <v>10</v>
      </c>
      <c r="E8761" s="2" t="s">
        <v>16</v>
      </c>
      <c r="F8761" s="2">
        <v>1</v>
      </c>
      <c r="G8761" s="2" t="s">
        <v>17</v>
      </c>
    </row>
    <row r="8762" spans="1:7" x14ac:dyDescent="0.2">
      <c r="A8762" s="2" t="s">
        <v>10308</v>
      </c>
      <c r="B8762" s="2" t="s">
        <v>10311</v>
      </c>
      <c r="C8762" s="2" t="s">
        <v>10310</v>
      </c>
      <c r="D8762" s="2" t="s">
        <v>10</v>
      </c>
      <c r="E8762" s="2" t="s">
        <v>16</v>
      </c>
      <c r="F8762" s="2">
        <v>1</v>
      </c>
      <c r="G8762" s="2" t="s">
        <v>17</v>
      </c>
    </row>
    <row r="8763" spans="1:7" x14ac:dyDescent="0.2">
      <c r="A8763" s="2" t="s">
        <v>10308</v>
      </c>
      <c r="B8763" s="2" t="s">
        <v>3219</v>
      </c>
      <c r="C8763" s="2" t="s">
        <v>3218</v>
      </c>
      <c r="D8763" s="2" t="s">
        <v>10</v>
      </c>
      <c r="E8763" s="2" t="s">
        <v>16</v>
      </c>
      <c r="F8763" s="2">
        <v>1</v>
      </c>
      <c r="G8763" s="2" t="s">
        <v>17</v>
      </c>
    </row>
    <row r="8764" spans="1:7" x14ac:dyDescent="0.2">
      <c r="A8764" s="2" t="s">
        <v>10308</v>
      </c>
      <c r="B8764" s="2" t="s">
        <v>4209</v>
      </c>
      <c r="C8764" s="2" t="s">
        <v>2630</v>
      </c>
      <c r="D8764" s="2" t="s">
        <v>10</v>
      </c>
      <c r="E8764" s="2" t="s">
        <v>16</v>
      </c>
      <c r="F8764" s="2">
        <v>1</v>
      </c>
      <c r="G8764" s="2" t="s">
        <v>17</v>
      </c>
    </row>
    <row r="8765" spans="1:7" x14ac:dyDescent="0.2">
      <c r="A8765" s="2" t="s">
        <v>10308</v>
      </c>
      <c r="B8765" s="2" t="s">
        <v>9085</v>
      </c>
      <c r="C8765" s="2" t="s">
        <v>2630</v>
      </c>
      <c r="D8765" s="2" t="s">
        <v>10</v>
      </c>
      <c r="E8765" s="2" t="s">
        <v>16</v>
      </c>
      <c r="F8765" s="2">
        <v>1</v>
      </c>
      <c r="G8765" s="2" t="s">
        <v>17</v>
      </c>
    </row>
    <row r="8766" spans="1:7" x14ac:dyDescent="0.2">
      <c r="A8766" s="2" t="s">
        <v>10312</v>
      </c>
      <c r="B8766" s="2" t="s">
        <v>4963</v>
      </c>
      <c r="C8766" s="2" t="s">
        <v>35</v>
      </c>
      <c r="D8766" s="2" t="s">
        <v>29</v>
      </c>
      <c r="E8766" s="2" t="s">
        <v>16</v>
      </c>
      <c r="F8766" s="2">
        <v>1</v>
      </c>
      <c r="G8766" s="2" t="s">
        <v>17</v>
      </c>
    </row>
    <row r="8767" spans="1:7" x14ac:dyDescent="0.2">
      <c r="A8767" s="2" t="s">
        <v>10313</v>
      </c>
      <c r="B8767" s="2" t="s">
        <v>2158</v>
      </c>
      <c r="C8767" s="2" t="s">
        <v>2154</v>
      </c>
      <c r="D8767" s="2" t="s">
        <v>10</v>
      </c>
      <c r="E8767" s="2" t="s">
        <v>16</v>
      </c>
      <c r="F8767" s="2">
        <v>1</v>
      </c>
      <c r="G8767" s="2" t="s">
        <v>17</v>
      </c>
    </row>
    <row r="8768" spans="1:7" x14ac:dyDescent="0.2">
      <c r="A8768" s="2" t="s">
        <v>10313</v>
      </c>
      <c r="B8768" s="2" t="s">
        <v>10314</v>
      </c>
      <c r="C8768" s="2" t="s">
        <v>2154</v>
      </c>
      <c r="D8768" s="2" t="s">
        <v>10</v>
      </c>
      <c r="E8768" s="2" t="s">
        <v>16</v>
      </c>
      <c r="F8768" s="2">
        <v>1</v>
      </c>
      <c r="G8768" s="2" t="s">
        <v>17</v>
      </c>
    </row>
    <row r="8769" spans="1:7" x14ac:dyDescent="0.2">
      <c r="A8769" s="2" t="s">
        <v>10313</v>
      </c>
      <c r="B8769" s="2" t="s">
        <v>6315</v>
      </c>
      <c r="C8769" s="2" t="s">
        <v>6312</v>
      </c>
      <c r="D8769" s="2" t="s">
        <v>10</v>
      </c>
      <c r="E8769" s="2" t="s">
        <v>52</v>
      </c>
      <c r="F8769" s="2">
        <v>2</v>
      </c>
      <c r="G8769" s="2" t="s">
        <v>17</v>
      </c>
    </row>
    <row r="8770" spans="1:7" x14ac:dyDescent="0.2">
      <c r="A8770" s="2" t="s">
        <v>10313</v>
      </c>
      <c r="B8770" s="2" t="s">
        <v>6316</v>
      </c>
      <c r="C8770" s="2" t="s">
        <v>6312</v>
      </c>
      <c r="D8770" s="2" t="s">
        <v>10</v>
      </c>
      <c r="E8770" s="2" t="s">
        <v>52</v>
      </c>
      <c r="F8770" s="2">
        <v>2</v>
      </c>
      <c r="G8770" s="2" t="s">
        <v>17</v>
      </c>
    </row>
    <row r="8771" spans="1:7" x14ac:dyDescent="0.2">
      <c r="A8771" s="2" t="s">
        <v>10313</v>
      </c>
      <c r="B8771" s="2" t="s">
        <v>3124</v>
      </c>
      <c r="C8771" s="2" t="s">
        <v>2154</v>
      </c>
      <c r="D8771" s="2" t="s">
        <v>10</v>
      </c>
      <c r="E8771" s="2" t="s">
        <v>16</v>
      </c>
      <c r="F8771" s="2">
        <v>1</v>
      </c>
      <c r="G8771" s="2" t="s">
        <v>17</v>
      </c>
    </row>
    <row r="8772" spans="1:7" x14ac:dyDescent="0.2">
      <c r="A8772" s="2" t="s">
        <v>10313</v>
      </c>
      <c r="B8772" s="2" t="s">
        <v>10315</v>
      </c>
      <c r="C8772" s="2" t="s">
        <v>2154</v>
      </c>
      <c r="D8772" s="2" t="s">
        <v>10</v>
      </c>
      <c r="E8772" s="2" t="s">
        <v>16</v>
      </c>
      <c r="F8772" s="2">
        <v>1</v>
      </c>
      <c r="G8772" s="2" t="s">
        <v>17</v>
      </c>
    </row>
    <row r="8773" spans="1:7" x14ac:dyDescent="0.2">
      <c r="A8773" s="2" t="s">
        <v>10313</v>
      </c>
      <c r="B8773" s="2" t="s">
        <v>10316</v>
      </c>
      <c r="C8773" s="2" t="s">
        <v>10317</v>
      </c>
      <c r="D8773" s="2" t="s">
        <v>10</v>
      </c>
      <c r="E8773" s="2" t="s">
        <v>16</v>
      </c>
      <c r="F8773" s="2">
        <v>2</v>
      </c>
      <c r="G8773" s="2" t="s">
        <v>17</v>
      </c>
    </row>
    <row r="8774" spans="1:7" x14ac:dyDescent="0.2">
      <c r="A8774" s="2" t="s">
        <v>10318</v>
      </c>
      <c r="B8774" s="2">
        <v>101</v>
      </c>
      <c r="C8774" s="2" t="s">
        <v>10319</v>
      </c>
      <c r="D8774" s="2" t="s">
        <v>10</v>
      </c>
      <c r="E8774" s="2" t="s">
        <v>16</v>
      </c>
      <c r="F8774" s="2">
        <v>1</v>
      </c>
      <c r="G8774" s="2" t="s">
        <v>17</v>
      </c>
    </row>
    <row r="8775" spans="1:7" x14ac:dyDescent="0.2">
      <c r="A8775" s="2" t="s">
        <v>10320</v>
      </c>
      <c r="B8775" s="2" t="s">
        <v>10321</v>
      </c>
      <c r="C8775" s="2" t="s">
        <v>10322</v>
      </c>
      <c r="D8775" s="2" t="s">
        <v>10</v>
      </c>
      <c r="E8775" s="2" t="s">
        <v>16</v>
      </c>
      <c r="F8775" s="2">
        <v>1</v>
      </c>
      <c r="G8775" s="2" t="s">
        <v>17</v>
      </c>
    </row>
    <row r="8776" spans="1:7" x14ac:dyDescent="0.2">
      <c r="A8776" s="2" t="s">
        <v>10320</v>
      </c>
      <c r="B8776" s="2" t="s">
        <v>10323</v>
      </c>
      <c r="C8776" s="2" t="s">
        <v>10322</v>
      </c>
      <c r="D8776" s="2" t="s">
        <v>10</v>
      </c>
      <c r="E8776" s="2" t="s">
        <v>16</v>
      </c>
      <c r="F8776" s="2">
        <v>1</v>
      </c>
      <c r="G8776" s="2" t="s">
        <v>17</v>
      </c>
    </row>
    <row r="8777" spans="1:7" x14ac:dyDescent="0.2">
      <c r="A8777" s="2" t="s">
        <v>10320</v>
      </c>
      <c r="B8777" s="2" t="s">
        <v>10324</v>
      </c>
      <c r="C8777" s="2" t="s">
        <v>6990</v>
      </c>
      <c r="D8777" s="2" t="s">
        <v>10</v>
      </c>
      <c r="E8777" s="2" t="s">
        <v>16</v>
      </c>
      <c r="F8777" s="2">
        <v>1</v>
      </c>
      <c r="G8777" s="2" t="s">
        <v>17</v>
      </c>
    </row>
    <row r="8778" spans="1:7" x14ac:dyDescent="0.2">
      <c r="A8778" s="2" t="s">
        <v>10325</v>
      </c>
      <c r="B8778" s="2" t="s">
        <v>10326</v>
      </c>
      <c r="C8778" s="2" t="s">
        <v>10327</v>
      </c>
      <c r="D8778" s="2" t="s">
        <v>29</v>
      </c>
      <c r="E8778" s="2" t="s">
        <v>16</v>
      </c>
      <c r="F8778" s="2">
        <v>1</v>
      </c>
      <c r="G8778" s="2" t="s">
        <v>17</v>
      </c>
    </row>
    <row r="8779" spans="1:7" x14ac:dyDescent="0.2">
      <c r="A8779" s="2" t="s">
        <v>10328</v>
      </c>
      <c r="B8779" s="2" t="s">
        <v>10329</v>
      </c>
      <c r="C8779" s="2" t="s">
        <v>10330</v>
      </c>
      <c r="D8779" s="2" t="s">
        <v>29</v>
      </c>
      <c r="E8779" s="2" t="s">
        <v>16</v>
      </c>
      <c r="F8779" s="2">
        <v>1</v>
      </c>
      <c r="G8779" s="2" t="s">
        <v>17</v>
      </c>
    </row>
    <row r="8780" spans="1:7" x14ac:dyDescent="0.2">
      <c r="A8780" s="2" t="s">
        <v>10328</v>
      </c>
      <c r="B8780" s="2" t="s">
        <v>10331</v>
      </c>
      <c r="C8780" s="2" t="s">
        <v>10332</v>
      </c>
      <c r="D8780" s="2" t="s">
        <v>29</v>
      </c>
      <c r="E8780" s="2" t="s">
        <v>52</v>
      </c>
      <c r="F8780" s="2">
        <v>1</v>
      </c>
      <c r="G8780" s="2" t="s">
        <v>17</v>
      </c>
    </row>
    <row r="8781" spans="1:7" x14ac:dyDescent="0.2">
      <c r="A8781" s="2" t="s">
        <v>10333</v>
      </c>
      <c r="B8781" s="2" t="s">
        <v>10334</v>
      </c>
      <c r="C8781" s="2" t="s">
        <v>8218</v>
      </c>
      <c r="D8781" s="2" t="s">
        <v>10</v>
      </c>
      <c r="E8781" s="2" t="s">
        <v>16</v>
      </c>
      <c r="F8781" s="2">
        <v>2</v>
      </c>
      <c r="G8781" s="2" t="s">
        <v>17</v>
      </c>
    </row>
    <row r="8782" spans="1:7" x14ac:dyDescent="0.2">
      <c r="A8782" s="2" t="s">
        <v>10333</v>
      </c>
      <c r="B8782" s="2" t="s">
        <v>10335</v>
      </c>
      <c r="C8782" s="2" t="s">
        <v>960</v>
      </c>
      <c r="D8782" s="2" t="s">
        <v>10</v>
      </c>
      <c r="E8782" s="2" t="s">
        <v>16</v>
      </c>
      <c r="F8782" s="2">
        <v>2</v>
      </c>
      <c r="G8782" s="2" t="s">
        <v>17</v>
      </c>
    </row>
    <row r="8783" spans="1:7" x14ac:dyDescent="0.2">
      <c r="A8783" s="2" t="s">
        <v>10336</v>
      </c>
      <c r="B8783" s="2" t="s">
        <v>437</v>
      </c>
      <c r="C8783" s="2" t="s">
        <v>5525</v>
      </c>
      <c r="D8783" s="2" t="s">
        <v>10</v>
      </c>
      <c r="E8783" s="2" t="s">
        <v>16</v>
      </c>
      <c r="F8783" s="2">
        <v>1</v>
      </c>
      <c r="G8783" s="2" t="s">
        <v>17</v>
      </c>
    </row>
    <row r="8784" spans="1:7" x14ac:dyDescent="0.2">
      <c r="A8784" s="2" t="s">
        <v>10337</v>
      </c>
      <c r="B8784" s="2" t="s">
        <v>437</v>
      </c>
      <c r="C8784" s="2" t="s">
        <v>5525</v>
      </c>
      <c r="D8784" s="2" t="s">
        <v>10</v>
      </c>
      <c r="E8784" s="2" t="s">
        <v>16</v>
      </c>
      <c r="F8784" s="2">
        <v>1</v>
      </c>
      <c r="G8784" s="2" t="s">
        <v>17</v>
      </c>
    </row>
    <row r="8785" spans="1:7" x14ac:dyDescent="0.2">
      <c r="A8785" s="2" t="s">
        <v>10338</v>
      </c>
      <c r="B8785" s="2" t="s">
        <v>6562</v>
      </c>
      <c r="C8785" s="2" t="s">
        <v>6563</v>
      </c>
      <c r="D8785" s="2" t="s">
        <v>10</v>
      </c>
      <c r="E8785" s="2" t="s">
        <v>11</v>
      </c>
      <c r="F8785" s="2">
        <v>2</v>
      </c>
      <c r="G8785" s="2" t="s">
        <v>12</v>
      </c>
    </row>
    <row r="8786" spans="1:7" x14ac:dyDescent="0.2">
      <c r="A8786" s="2" t="s">
        <v>10338</v>
      </c>
      <c r="B8786" s="2" t="s">
        <v>6574</v>
      </c>
      <c r="C8786" s="2" t="s">
        <v>6563</v>
      </c>
      <c r="D8786" s="2" t="s">
        <v>10</v>
      </c>
      <c r="E8786" s="2" t="s">
        <v>11</v>
      </c>
      <c r="F8786" s="2">
        <v>2</v>
      </c>
      <c r="G8786" s="2" t="s">
        <v>12</v>
      </c>
    </row>
    <row r="8787" spans="1:7" x14ac:dyDescent="0.2">
      <c r="A8787" s="2" t="s">
        <v>10339</v>
      </c>
      <c r="B8787" s="2" t="s">
        <v>435</v>
      </c>
      <c r="C8787" s="2" t="s">
        <v>436</v>
      </c>
      <c r="D8787" s="2" t="s">
        <v>10</v>
      </c>
      <c r="E8787" s="2" t="s">
        <v>16</v>
      </c>
      <c r="F8787" s="2">
        <v>1</v>
      </c>
      <c r="G8787" s="2" t="s">
        <v>17</v>
      </c>
    </row>
    <row r="8788" spans="1:7" x14ac:dyDescent="0.2">
      <c r="A8788" s="2" t="s">
        <v>10339</v>
      </c>
      <c r="B8788" s="2" t="s">
        <v>437</v>
      </c>
      <c r="C8788" s="2" t="s">
        <v>436</v>
      </c>
      <c r="D8788" s="2" t="s">
        <v>10</v>
      </c>
      <c r="E8788" s="2" t="s">
        <v>16</v>
      </c>
      <c r="F8788" s="2">
        <v>1</v>
      </c>
      <c r="G8788" s="2" t="s">
        <v>17</v>
      </c>
    </row>
    <row r="8789" spans="1:7" x14ac:dyDescent="0.2">
      <c r="A8789" s="2" t="s">
        <v>10340</v>
      </c>
      <c r="B8789" s="2" t="s">
        <v>10341</v>
      </c>
      <c r="C8789" s="2" t="s">
        <v>306</v>
      </c>
      <c r="D8789" s="2" t="s">
        <v>10</v>
      </c>
      <c r="E8789" s="2" t="s">
        <v>16</v>
      </c>
      <c r="F8789" s="2">
        <v>1</v>
      </c>
      <c r="G8789" s="2" t="s">
        <v>17</v>
      </c>
    </row>
    <row r="8790" spans="1:7" x14ac:dyDescent="0.2">
      <c r="A8790" s="2" t="s">
        <v>10340</v>
      </c>
      <c r="B8790" s="2" t="s">
        <v>10342</v>
      </c>
      <c r="C8790" s="2" t="s">
        <v>306</v>
      </c>
      <c r="D8790" s="2" t="s">
        <v>10</v>
      </c>
      <c r="E8790" s="2" t="s">
        <v>16</v>
      </c>
      <c r="F8790" s="2">
        <v>1</v>
      </c>
      <c r="G8790" s="2" t="s">
        <v>17</v>
      </c>
    </row>
    <row r="8791" spans="1:7" x14ac:dyDescent="0.2">
      <c r="A8791" s="2" t="s">
        <v>10340</v>
      </c>
      <c r="B8791" s="2" t="s">
        <v>10343</v>
      </c>
      <c r="C8791" s="2" t="s">
        <v>269</v>
      </c>
      <c r="D8791" s="2" t="s">
        <v>10</v>
      </c>
      <c r="E8791" s="2" t="s">
        <v>16</v>
      </c>
      <c r="F8791" s="2">
        <v>1</v>
      </c>
      <c r="G8791" s="2" t="s">
        <v>17</v>
      </c>
    </row>
    <row r="8792" spans="1:7" x14ac:dyDescent="0.2">
      <c r="A8792" s="2" t="s">
        <v>10340</v>
      </c>
      <c r="B8792" s="2" t="s">
        <v>10344</v>
      </c>
      <c r="C8792" s="2" t="s">
        <v>2064</v>
      </c>
      <c r="D8792" s="2" t="s">
        <v>10</v>
      </c>
      <c r="E8792" s="2" t="s">
        <v>52</v>
      </c>
      <c r="F8792" s="2">
        <v>1</v>
      </c>
      <c r="G8792" s="2" t="s">
        <v>17</v>
      </c>
    </row>
    <row r="8793" spans="1:7" x14ac:dyDescent="0.2">
      <c r="A8793" s="2" t="s">
        <v>10340</v>
      </c>
      <c r="B8793" s="2" t="s">
        <v>10345</v>
      </c>
      <c r="C8793" s="2" t="s">
        <v>269</v>
      </c>
      <c r="D8793" s="2" t="s">
        <v>10</v>
      </c>
      <c r="E8793" s="2" t="s">
        <v>16</v>
      </c>
      <c r="F8793" s="2">
        <v>1</v>
      </c>
      <c r="G8793" s="2" t="s">
        <v>17</v>
      </c>
    </row>
    <row r="8794" spans="1:7" x14ac:dyDescent="0.2">
      <c r="A8794" s="2" t="s">
        <v>10340</v>
      </c>
      <c r="B8794" s="2" t="s">
        <v>10346</v>
      </c>
      <c r="C8794" s="2" t="s">
        <v>2064</v>
      </c>
      <c r="D8794" s="2" t="s">
        <v>10</v>
      </c>
      <c r="E8794" s="2" t="s">
        <v>52</v>
      </c>
      <c r="F8794" s="2">
        <v>1</v>
      </c>
      <c r="G8794" s="2" t="s">
        <v>17</v>
      </c>
    </row>
    <row r="8795" spans="1:7" x14ac:dyDescent="0.2">
      <c r="A8795" s="2" t="s">
        <v>10347</v>
      </c>
      <c r="B8795" s="2" t="s">
        <v>10348</v>
      </c>
      <c r="C8795" s="2" t="s">
        <v>10349</v>
      </c>
      <c r="D8795" s="2" t="s">
        <v>10</v>
      </c>
      <c r="E8795" s="2" t="s">
        <v>16</v>
      </c>
      <c r="F8795" s="2">
        <v>1</v>
      </c>
      <c r="G8795" s="2" t="s">
        <v>17</v>
      </c>
    </row>
    <row r="8796" spans="1:7" x14ac:dyDescent="0.2">
      <c r="A8796" s="2" t="s">
        <v>10350</v>
      </c>
      <c r="B8796" s="2" t="s">
        <v>9983</v>
      </c>
      <c r="C8796" s="2" t="s">
        <v>593</v>
      </c>
      <c r="D8796" s="2" t="s">
        <v>56</v>
      </c>
      <c r="E8796" s="2" t="s">
        <v>52</v>
      </c>
      <c r="F8796" s="2">
        <v>2</v>
      </c>
      <c r="G8796" s="2" t="s">
        <v>12</v>
      </c>
    </row>
    <row r="8797" spans="1:7" x14ac:dyDescent="0.2">
      <c r="A8797" s="2" t="s">
        <v>10350</v>
      </c>
      <c r="B8797" s="2" t="s">
        <v>88</v>
      </c>
      <c r="C8797" s="2" t="s">
        <v>593</v>
      </c>
      <c r="D8797" s="2" t="s">
        <v>56</v>
      </c>
      <c r="E8797" s="2" t="s">
        <v>52</v>
      </c>
      <c r="F8797" s="2">
        <v>2</v>
      </c>
      <c r="G8797" s="2" t="s">
        <v>12</v>
      </c>
    </row>
    <row r="8798" spans="1:7" x14ac:dyDescent="0.2">
      <c r="A8798" s="2" t="s">
        <v>10350</v>
      </c>
      <c r="B8798" s="2" t="s">
        <v>8953</v>
      </c>
      <c r="C8798" s="2" t="s">
        <v>1734</v>
      </c>
      <c r="D8798" s="2" t="s">
        <v>10</v>
      </c>
      <c r="E8798" s="2" t="s">
        <v>11</v>
      </c>
      <c r="F8798" s="2">
        <v>2</v>
      </c>
      <c r="G8798" s="2" t="s">
        <v>12</v>
      </c>
    </row>
    <row r="8799" spans="1:7" x14ac:dyDescent="0.2">
      <c r="A8799" s="2" t="s">
        <v>10350</v>
      </c>
      <c r="B8799" s="2" t="s">
        <v>39</v>
      </c>
      <c r="C8799" s="2" t="s">
        <v>1734</v>
      </c>
      <c r="D8799" s="2" t="s">
        <v>10</v>
      </c>
      <c r="E8799" s="2" t="s">
        <v>11</v>
      </c>
      <c r="F8799" s="2">
        <v>2</v>
      </c>
      <c r="G8799" s="2" t="s">
        <v>12</v>
      </c>
    </row>
    <row r="8800" spans="1:7" x14ac:dyDescent="0.2">
      <c r="A8800" s="2" t="s">
        <v>10351</v>
      </c>
      <c r="B8800" s="2" t="s">
        <v>10352</v>
      </c>
      <c r="C8800" s="2" t="s">
        <v>9437</v>
      </c>
      <c r="D8800" s="2" t="s">
        <v>10</v>
      </c>
      <c r="E8800" s="2" t="s">
        <v>16</v>
      </c>
      <c r="F8800" s="2">
        <v>1</v>
      </c>
      <c r="G8800" s="2" t="s">
        <v>17</v>
      </c>
    </row>
    <row r="8801" spans="1:7" x14ac:dyDescent="0.2">
      <c r="A8801" s="2" t="s">
        <v>10351</v>
      </c>
      <c r="B8801" s="2" t="s">
        <v>10353</v>
      </c>
      <c r="C8801" s="2" t="s">
        <v>10354</v>
      </c>
      <c r="D8801" s="2" t="s">
        <v>29</v>
      </c>
      <c r="E8801" s="2" t="s">
        <v>16</v>
      </c>
      <c r="F8801" s="2">
        <v>1</v>
      </c>
      <c r="G8801" s="2" t="s">
        <v>17</v>
      </c>
    </row>
    <row r="8802" spans="1:7" x14ac:dyDescent="0.2">
      <c r="A8802" s="2" t="s">
        <v>10351</v>
      </c>
      <c r="B8802" s="2" t="s">
        <v>10355</v>
      </c>
      <c r="C8802" s="2" t="s">
        <v>10356</v>
      </c>
      <c r="D8802" s="2" t="s">
        <v>10</v>
      </c>
      <c r="E8802" s="2" t="s">
        <v>16</v>
      </c>
      <c r="F8802" s="2">
        <v>1</v>
      </c>
      <c r="G8802" s="2" t="s">
        <v>17</v>
      </c>
    </row>
    <row r="8803" spans="1:7" x14ac:dyDescent="0.2">
      <c r="A8803" s="2" t="s">
        <v>10357</v>
      </c>
      <c r="B8803" s="2" t="s">
        <v>10358</v>
      </c>
      <c r="C8803" s="2" t="s">
        <v>10359</v>
      </c>
      <c r="D8803" s="2" t="s">
        <v>3928</v>
      </c>
      <c r="E8803" s="2" t="s">
        <v>16</v>
      </c>
      <c r="F8803" s="2">
        <v>2</v>
      </c>
      <c r="G8803" s="2" t="s">
        <v>17</v>
      </c>
    </row>
    <row r="8804" spans="1:7" x14ac:dyDescent="0.2">
      <c r="A8804" s="2" t="s">
        <v>10357</v>
      </c>
      <c r="B8804" s="2" t="s">
        <v>10360</v>
      </c>
      <c r="C8804" s="2" t="s">
        <v>10361</v>
      </c>
      <c r="D8804" s="2" t="s">
        <v>29</v>
      </c>
      <c r="E8804" s="2" t="s">
        <v>16</v>
      </c>
      <c r="F8804" s="2">
        <v>2</v>
      </c>
      <c r="G8804" s="2" t="s">
        <v>17</v>
      </c>
    </row>
    <row r="8805" spans="1:7" x14ac:dyDescent="0.2">
      <c r="A8805" s="2" t="s">
        <v>10357</v>
      </c>
      <c r="B8805" s="2" t="s">
        <v>10362</v>
      </c>
      <c r="C8805" s="2" t="s">
        <v>10359</v>
      </c>
      <c r="D8805" s="2" t="s">
        <v>3928</v>
      </c>
      <c r="E8805" s="2" t="s">
        <v>16</v>
      </c>
      <c r="F8805" s="2">
        <v>2</v>
      </c>
      <c r="G8805" s="2" t="s">
        <v>17</v>
      </c>
    </row>
    <row r="8806" spans="1:7" x14ac:dyDescent="0.2">
      <c r="A8806" s="2" t="s">
        <v>10357</v>
      </c>
      <c r="B8806" s="2" t="s">
        <v>10363</v>
      </c>
      <c r="C8806" s="2" t="s">
        <v>10364</v>
      </c>
      <c r="D8806" s="2" t="s">
        <v>10</v>
      </c>
      <c r="E8806" s="2" t="s">
        <v>16</v>
      </c>
      <c r="F8806" s="2">
        <v>1</v>
      </c>
      <c r="G8806" s="2" t="s">
        <v>17</v>
      </c>
    </row>
    <row r="8807" spans="1:7" x14ac:dyDescent="0.2">
      <c r="A8807" s="2" t="s">
        <v>10365</v>
      </c>
      <c r="B8807" s="2" t="s">
        <v>10366</v>
      </c>
      <c r="C8807" s="2" t="s">
        <v>1619</v>
      </c>
      <c r="D8807" s="2" t="s">
        <v>10</v>
      </c>
      <c r="E8807" s="2" t="s">
        <v>52</v>
      </c>
      <c r="F8807" s="2">
        <v>4</v>
      </c>
      <c r="G8807" s="2" t="s">
        <v>12</v>
      </c>
    </row>
    <row r="8808" spans="1:7" x14ac:dyDescent="0.2">
      <c r="A8808" s="2" t="s">
        <v>10367</v>
      </c>
      <c r="B8808" s="2" t="s">
        <v>7160</v>
      </c>
      <c r="C8808" s="2" t="s">
        <v>3178</v>
      </c>
      <c r="D8808" s="2" t="s">
        <v>10</v>
      </c>
      <c r="E8808" s="2" t="s">
        <v>16</v>
      </c>
      <c r="F8808" s="2">
        <v>1</v>
      </c>
      <c r="G8808" s="2" t="s">
        <v>17</v>
      </c>
    </row>
    <row r="8809" spans="1:7" x14ac:dyDescent="0.2">
      <c r="A8809" s="2" t="s">
        <v>10367</v>
      </c>
      <c r="B8809" s="2" t="s">
        <v>10368</v>
      </c>
      <c r="C8809" s="2" t="s">
        <v>3178</v>
      </c>
      <c r="D8809" s="2" t="s">
        <v>10</v>
      </c>
      <c r="E8809" s="2" t="s">
        <v>16</v>
      </c>
      <c r="F8809" s="2">
        <v>1</v>
      </c>
      <c r="G8809" s="2" t="s">
        <v>17</v>
      </c>
    </row>
    <row r="8810" spans="1:7" x14ac:dyDescent="0.2">
      <c r="A8810" s="2" t="s">
        <v>10369</v>
      </c>
      <c r="B8810" s="2" t="s">
        <v>2829</v>
      </c>
      <c r="C8810" s="2" t="s">
        <v>2830</v>
      </c>
      <c r="D8810" s="2" t="s">
        <v>10</v>
      </c>
      <c r="E8810" s="2" t="s">
        <v>11</v>
      </c>
      <c r="F8810" s="2">
        <v>2</v>
      </c>
      <c r="G8810" s="2" t="s">
        <v>12</v>
      </c>
    </row>
    <row r="8811" spans="1:7" x14ac:dyDescent="0.2">
      <c r="A8811" s="2" t="s">
        <v>10369</v>
      </c>
      <c r="B8811" s="2" t="s">
        <v>2831</v>
      </c>
      <c r="C8811" s="2" t="s">
        <v>2832</v>
      </c>
      <c r="D8811" s="2" t="s">
        <v>10</v>
      </c>
      <c r="E8811" s="2" t="s">
        <v>11</v>
      </c>
      <c r="F8811" s="2">
        <v>2</v>
      </c>
      <c r="G8811" s="2" t="s">
        <v>12</v>
      </c>
    </row>
    <row r="8812" spans="1:7" x14ac:dyDescent="0.2">
      <c r="A8812" s="2" t="s">
        <v>10369</v>
      </c>
      <c r="B8812" s="2" t="s">
        <v>2837</v>
      </c>
      <c r="C8812" s="2" t="s">
        <v>2838</v>
      </c>
      <c r="D8812" s="2" t="s">
        <v>10</v>
      </c>
      <c r="E8812" s="2" t="s">
        <v>11</v>
      </c>
      <c r="F8812" s="2">
        <v>2</v>
      </c>
      <c r="G8812" s="2" t="s">
        <v>12</v>
      </c>
    </row>
    <row r="8813" spans="1:7" x14ac:dyDescent="0.2">
      <c r="A8813" s="2" t="s">
        <v>10370</v>
      </c>
      <c r="B8813" s="2" t="s">
        <v>10371</v>
      </c>
      <c r="C8813" s="2" t="s">
        <v>3068</v>
      </c>
      <c r="D8813" s="2" t="s">
        <v>56</v>
      </c>
      <c r="E8813" s="2" t="s">
        <v>16</v>
      </c>
      <c r="F8813" s="2">
        <v>1</v>
      </c>
      <c r="G8813" s="2" t="s">
        <v>17</v>
      </c>
    </row>
    <row r="8814" spans="1:7" x14ac:dyDescent="0.2">
      <c r="A8814" s="2" t="s">
        <v>10370</v>
      </c>
      <c r="B8814" s="2" t="s">
        <v>10372</v>
      </c>
      <c r="C8814" s="2" t="s">
        <v>3068</v>
      </c>
      <c r="D8814" s="2" t="s">
        <v>56</v>
      </c>
      <c r="E8814" s="2" t="s">
        <v>16</v>
      </c>
      <c r="F8814" s="2">
        <v>1</v>
      </c>
      <c r="G8814" s="2" t="s">
        <v>17</v>
      </c>
    </row>
    <row r="8815" spans="1:7" x14ac:dyDescent="0.2">
      <c r="A8815" s="2" t="s">
        <v>10370</v>
      </c>
      <c r="B8815" s="2" t="s">
        <v>10373</v>
      </c>
      <c r="C8815" s="2" t="s">
        <v>10293</v>
      </c>
      <c r="D8815" s="2" t="s">
        <v>56</v>
      </c>
      <c r="E8815" s="2" t="s">
        <v>52</v>
      </c>
      <c r="F8815" s="2">
        <v>1</v>
      </c>
      <c r="G8815" s="2" t="s">
        <v>17</v>
      </c>
    </row>
    <row r="8816" spans="1:7" x14ac:dyDescent="0.2">
      <c r="A8816" s="2" t="s">
        <v>10374</v>
      </c>
      <c r="B8816" s="2" t="s">
        <v>5216</v>
      </c>
      <c r="C8816" s="2" t="s">
        <v>10375</v>
      </c>
      <c r="D8816" s="2" t="s">
        <v>10</v>
      </c>
      <c r="E8816" s="2" t="s">
        <v>16</v>
      </c>
      <c r="F8816" s="2">
        <v>1</v>
      </c>
      <c r="G8816" s="2" t="s">
        <v>17</v>
      </c>
    </row>
    <row r="8817" spans="1:7" x14ac:dyDescent="0.2">
      <c r="A8817" s="2" t="s">
        <v>10376</v>
      </c>
      <c r="B8817" s="2" t="s">
        <v>5216</v>
      </c>
      <c r="C8817" s="2" t="s">
        <v>10377</v>
      </c>
      <c r="D8817" s="2" t="s">
        <v>10</v>
      </c>
      <c r="E8817" s="2" t="s">
        <v>16</v>
      </c>
      <c r="F8817" s="2">
        <v>2</v>
      </c>
      <c r="G8817" s="2" t="s">
        <v>17</v>
      </c>
    </row>
    <row r="8818" spans="1:7" x14ac:dyDescent="0.2">
      <c r="A8818" s="2" t="s">
        <v>10378</v>
      </c>
      <c r="B8818" s="2" t="s">
        <v>10379</v>
      </c>
      <c r="C8818" s="2" t="s">
        <v>10380</v>
      </c>
      <c r="D8818" s="2" t="s">
        <v>10</v>
      </c>
      <c r="E8818" s="2" t="s">
        <v>11</v>
      </c>
      <c r="F8818" s="2">
        <v>2</v>
      </c>
      <c r="G8818" s="2" t="s">
        <v>12</v>
      </c>
    </row>
    <row r="8819" spans="1:7" x14ac:dyDescent="0.2">
      <c r="A8819" s="2" t="s">
        <v>10378</v>
      </c>
      <c r="B8819" s="2" t="s">
        <v>10381</v>
      </c>
      <c r="C8819" s="2" t="s">
        <v>6577</v>
      </c>
      <c r="D8819" s="2" t="s">
        <v>10</v>
      </c>
      <c r="E8819" s="2" t="s">
        <v>11</v>
      </c>
      <c r="F8819" s="2">
        <v>2</v>
      </c>
      <c r="G8819" s="2" t="s">
        <v>12</v>
      </c>
    </row>
    <row r="8820" spans="1:7" x14ac:dyDescent="0.2">
      <c r="A8820" s="2" t="s">
        <v>10378</v>
      </c>
      <c r="B8820" s="2" t="s">
        <v>10382</v>
      </c>
      <c r="C8820" s="2" t="s">
        <v>6577</v>
      </c>
      <c r="D8820" s="2" t="s">
        <v>10</v>
      </c>
      <c r="E8820" s="2" t="s">
        <v>11</v>
      </c>
      <c r="F8820" s="2">
        <v>2</v>
      </c>
      <c r="G8820" s="2" t="s">
        <v>12</v>
      </c>
    </row>
    <row r="8821" spans="1:7" x14ac:dyDescent="0.2">
      <c r="A8821" s="2" t="s">
        <v>10378</v>
      </c>
      <c r="B8821" s="2" t="s">
        <v>10383</v>
      </c>
      <c r="C8821" s="2" t="s">
        <v>3914</v>
      </c>
      <c r="D8821" s="2" t="s">
        <v>10</v>
      </c>
      <c r="E8821" s="2" t="s">
        <v>11</v>
      </c>
      <c r="F8821" s="2">
        <v>1</v>
      </c>
      <c r="G8821" s="2" t="s">
        <v>17</v>
      </c>
    </row>
    <row r="8822" spans="1:7" x14ac:dyDescent="0.2">
      <c r="A8822" s="2" t="s">
        <v>10378</v>
      </c>
      <c r="B8822" s="2" t="s">
        <v>6193</v>
      </c>
      <c r="C8822" s="2" t="s">
        <v>6194</v>
      </c>
      <c r="D8822" s="2" t="s">
        <v>10</v>
      </c>
      <c r="E8822" s="2" t="s">
        <v>11</v>
      </c>
      <c r="F8822" s="2">
        <v>2</v>
      </c>
      <c r="G8822" s="2" t="s">
        <v>12</v>
      </c>
    </row>
    <row r="8823" spans="1:7" x14ac:dyDescent="0.2">
      <c r="A8823" s="2" t="s">
        <v>10378</v>
      </c>
      <c r="B8823" s="2" t="s">
        <v>3913</v>
      </c>
      <c r="C8823" s="2" t="s">
        <v>3914</v>
      </c>
      <c r="D8823" s="2" t="s">
        <v>10</v>
      </c>
      <c r="E8823" s="2" t="s">
        <v>11</v>
      </c>
      <c r="F8823" s="2">
        <v>1</v>
      </c>
      <c r="G8823" s="2" t="s">
        <v>17</v>
      </c>
    </row>
    <row r="8824" spans="1:7" x14ac:dyDescent="0.2">
      <c r="A8824" s="2" t="s">
        <v>10378</v>
      </c>
      <c r="B8824" s="2" t="s">
        <v>10384</v>
      </c>
      <c r="C8824" s="2" t="s">
        <v>3914</v>
      </c>
      <c r="D8824" s="2" t="s">
        <v>10</v>
      </c>
      <c r="E8824" s="2" t="s">
        <v>11</v>
      </c>
      <c r="F8824" s="2">
        <v>1</v>
      </c>
      <c r="G8824" s="2" t="s">
        <v>17</v>
      </c>
    </row>
    <row r="8825" spans="1:7" x14ac:dyDescent="0.2">
      <c r="A8825" s="2" t="s">
        <v>10378</v>
      </c>
      <c r="B8825" s="2" t="s">
        <v>6198</v>
      </c>
      <c r="C8825" s="2" t="s">
        <v>6194</v>
      </c>
      <c r="D8825" s="2" t="s">
        <v>10</v>
      </c>
      <c r="E8825" s="2" t="s">
        <v>11</v>
      </c>
      <c r="F8825" s="2">
        <v>2</v>
      </c>
      <c r="G8825" s="2" t="s">
        <v>12</v>
      </c>
    </row>
    <row r="8826" spans="1:7" x14ac:dyDescent="0.2">
      <c r="A8826" s="2" t="s">
        <v>10378</v>
      </c>
      <c r="B8826" s="2" t="s">
        <v>10385</v>
      </c>
      <c r="C8826" s="2" t="s">
        <v>6577</v>
      </c>
      <c r="D8826" s="2" t="s">
        <v>10</v>
      </c>
      <c r="E8826" s="2" t="s">
        <v>11</v>
      </c>
      <c r="F8826" s="2">
        <v>2</v>
      </c>
      <c r="G8826" s="2" t="s">
        <v>12</v>
      </c>
    </row>
    <row r="8827" spans="1:7" x14ac:dyDescent="0.2">
      <c r="A8827" s="2" t="s">
        <v>10378</v>
      </c>
      <c r="B8827" s="2" t="s">
        <v>3918</v>
      </c>
      <c r="C8827" s="2" t="s">
        <v>3914</v>
      </c>
      <c r="D8827" s="2" t="s">
        <v>10</v>
      </c>
      <c r="E8827" s="2" t="s">
        <v>11</v>
      </c>
      <c r="F8827" s="2">
        <v>1</v>
      </c>
      <c r="G8827" s="2" t="s">
        <v>17</v>
      </c>
    </row>
    <row r="8828" spans="1:7" x14ac:dyDescent="0.2">
      <c r="A8828" s="2" t="s">
        <v>10378</v>
      </c>
      <c r="B8828" s="2" t="s">
        <v>10386</v>
      </c>
      <c r="C8828" s="2" t="s">
        <v>6194</v>
      </c>
      <c r="D8828" s="2" t="s">
        <v>10</v>
      </c>
      <c r="E8828" s="2" t="s">
        <v>11</v>
      </c>
      <c r="F8828" s="2">
        <v>2</v>
      </c>
      <c r="G8828" s="2" t="s">
        <v>12</v>
      </c>
    </row>
    <row r="8829" spans="1:7" x14ac:dyDescent="0.2">
      <c r="A8829" s="2" t="s">
        <v>10378</v>
      </c>
      <c r="B8829" s="2" t="s">
        <v>10387</v>
      </c>
      <c r="C8829" s="2" t="s">
        <v>6194</v>
      </c>
      <c r="D8829" s="2" t="s">
        <v>10</v>
      </c>
      <c r="E8829" s="2" t="s">
        <v>11</v>
      </c>
      <c r="F8829" s="2">
        <v>2</v>
      </c>
      <c r="G8829" s="2" t="s">
        <v>12</v>
      </c>
    </row>
    <row r="8830" spans="1:7" x14ac:dyDescent="0.2">
      <c r="A8830" s="2" t="s">
        <v>10378</v>
      </c>
      <c r="B8830" s="2" t="s">
        <v>10388</v>
      </c>
      <c r="C8830" s="2" t="s">
        <v>10389</v>
      </c>
      <c r="D8830" s="2" t="s">
        <v>10</v>
      </c>
      <c r="E8830" s="2" t="s">
        <v>11</v>
      </c>
      <c r="F8830" s="2">
        <v>2</v>
      </c>
      <c r="G8830" s="2" t="s">
        <v>12</v>
      </c>
    </row>
    <row r="8831" spans="1:7" x14ac:dyDescent="0.2">
      <c r="A8831" s="2" t="s">
        <v>10378</v>
      </c>
      <c r="B8831" s="2" t="s">
        <v>10390</v>
      </c>
      <c r="C8831" s="2" t="s">
        <v>10389</v>
      </c>
      <c r="D8831" s="2" t="s">
        <v>10</v>
      </c>
      <c r="E8831" s="2" t="s">
        <v>11</v>
      </c>
      <c r="F8831" s="2">
        <v>2</v>
      </c>
      <c r="G8831" s="2" t="s">
        <v>12</v>
      </c>
    </row>
    <row r="8832" spans="1:7" x14ac:dyDescent="0.2">
      <c r="A8832" s="2" t="s">
        <v>10378</v>
      </c>
      <c r="B8832" s="2" t="s">
        <v>10391</v>
      </c>
      <c r="C8832" s="2" t="s">
        <v>10389</v>
      </c>
      <c r="D8832" s="2" t="s">
        <v>10</v>
      </c>
      <c r="E8832" s="2" t="s">
        <v>11</v>
      </c>
      <c r="F8832" s="2">
        <v>2</v>
      </c>
      <c r="G8832" s="2" t="s">
        <v>12</v>
      </c>
    </row>
    <row r="8833" spans="1:7" x14ac:dyDescent="0.2">
      <c r="A8833" s="2" t="s">
        <v>10378</v>
      </c>
      <c r="B8833" s="2" t="s">
        <v>10392</v>
      </c>
      <c r="C8833" s="2" t="s">
        <v>10380</v>
      </c>
      <c r="D8833" s="2" t="s">
        <v>10</v>
      </c>
      <c r="E8833" s="2" t="s">
        <v>11</v>
      </c>
      <c r="F8833" s="2">
        <v>2</v>
      </c>
      <c r="G8833" s="2" t="s">
        <v>12</v>
      </c>
    </row>
    <row r="8834" spans="1:7" x14ac:dyDescent="0.2">
      <c r="A8834" s="2" t="s">
        <v>10378</v>
      </c>
      <c r="B8834" s="2" t="s">
        <v>10393</v>
      </c>
      <c r="C8834" s="2" t="s">
        <v>10380</v>
      </c>
      <c r="D8834" s="2" t="s">
        <v>10</v>
      </c>
      <c r="E8834" s="2" t="s">
        <v>11</v>
      </c>
      <c r="F8834" s="2">
        <v>2</v>
      </c>
      <c r="G8834" s="2" t="s">
        <v>12</v>
      </c>
    </row>
    <row r="8835" spans="1:7" x14ac:dyDescent="0.2">
      <c r="A8835" s="2" t="s">
        <v>10378</v>
      </c>
      <c r="B8835" s="2" t="s">
        <v>10394</v>
      </c>
      <c r="C8835" s="2" t="s">
        <v>10380</v>
      </c>
      <c r="D8835" s="2" t="s">
        <v>10</v>
      </c>
      <c r="E8835" s="2" t="s">
        <v>11</v>
      </c>
      <c r="F8835" s="2">
        <v>2</v>
      </c>
      <c r="G8835" s="2" t="s">
        <v>12</v>
      </c>
    </row>
    <row r="8836" spans="1:7" x14ac:dyDescent="0.2">
      <c r="A8836" s="2" t="s">
        <v>10378</v>
      </c>
      <c r="B8836" s="2" t="s">
        <v>10395</v>
      </c>
      <c r="C8836" s="2" t="s">
        <v>10380</v>
      </c>
      <c r="D8836" s="2" t="s">
        <v>10</v>
      </c>
      <c r="E8836" s="2" t="s">
        <v>11</v>
      </c>
      <c r="F8836" s="2">
        <v>2</v>
      </c>
      <c r="G8836" s="2" t="s">
        <v>12</v>
      </c>
    </row>
    <row r="8837" spans="1:7" x14ac:dyDescent="0.2">
      <c r="A8837" s="2" t="s">
        <v>10378</v>
      </c>
      <c r="B8837" s="2" t="s">
        <v>10396</v>
      </c>
      <c r="C8837" s="2" t="s">
        <v>10380</v>
      </c>
      <c r="D8837" s="2" t="s">
        <v>10</v>
      </c>
      <c r="E8837" s="2" t="s">
        <v>11</v>
      </c>
      <c r="F8837" s="2">
        <v>2</v>
      </c>
      <c r="G8837" s="2" t="s">
        <v>12</v>
      </c>
    </row>
    <row r="8838" spans="1:7" x14ac:dyDescent="0.2">
      <c r="A8838" s="2" t="s">
        <v>10378</v>
      </c>
      <c r="B8838" s="2" t="s">
        <v>10397</v>
      </c>
      <c r="C8838" s="2" t="s">
        <v>10380</v>
      </c>
      <c r="D8838" s="2" t="s">
        <v>10</v>
      </c>
      <c r="E8838" s="2" t="s">
        <v>11</v>
      </c>
      <c r="F8838" s="2">
        <v>2</v>
      </c>
      <c r="G8838" s="2" t="s">
        <v>12</v>
      </c>
    </row>
    <row r="8839" spans="1:7" x14ac:dyDescent="0.2">
      <c r="A8839" s="2" t="s">
        <v>10378</v>
      </c>
      <c r="B8839" s="2" t="s">
        <v>3523</v>
      </c>
      <c r="C8839" s="2" t="s">
        <v>3524</v>
      </c>
      <c r="D8839" s="2" t="s">
        <v>10</v>
      </c>
      <c r="E8839" s="2" t="s">
        <v>16</v>
      </c>
      <c r="F8839" s="2">
        <v>1</v>
      </c>
      <c r="G8839" s="2" t="s">
        <v>17</v>
      </c>
    </row>
    <row r="8840" spans="1:7" x14ac:dyDescent="0.2">
      <c r="A8840" s="2" t="s">
        <v>10378</v>
      </c>
      <c r="B8840" s="2" t="s">
        <v>3764</v>
      </c>
      <c r="C8840" s="2" t="s">
        <v>3524</v>
      </c>
      <c r="D8840" s="2" t="s">
        <v>10</v>
      </c>
      <c r="E8840" s="2" t="s">
        <v>16</v>
      </c>
      <c r="F8840" s="2">
        <v>1</v>
      </c>
      <c r="G8840" s="2" t="s">
        <v>17</v>
      </c>
    </row>
    <row r="8841" spans="1:7" x14ac:dyDescent="0.2">
      <c r="A8841" s="2" t="s">
        <v>10398</v>
      </c>
      <c r="B8841" s="2" t="s">
        <v>10399</v>
      </c>
      <c r="C8841" s="2" t="s">
        <v>10400</v>
      </c>
      <c r="D8841" s="2" t="s">
        <v>10</v>
      </c>
      <c r="E8841" s="2" t="s">
        <v>16</v>
      </c>
      <c r="F8841" s="2">
        <v>1</v>
      </c>
      <c r="G8841" s="2" t="s">
        <v>17</v>
      </c>
    </row>
    <row r="8842" spans="1:7" x14ac:dyDescent="0.2">
      <c r="A8842" s="2" t="s">
        <v>10398</v>
      </c>
      <c r="B8842" s="2" t="s">
        <v>10401</v>
      </c>
      <c r="C8842" s="2" t="s">
        <v>10402</v>
      </c>
      <c r="D8842" s="2" t="s">
        <v>10</v>
      </c>
      <c r="E8842" s="2" t="s">
        <v>16</v>
      </c>
      <c r="F8842" s="2">
        <v>1</v>
      </c>
      <c r="G8842" s="2" t="s">
        <v>17</v>
      </c>
    </row>
    <row r="8843" spans="1:7" x14ac:dyDescent="0.2">
      <c r="A8843" s="2" t="s">
        <v>10398</v>
      </c>
      <c r="B8843" s="2" t="s">
        <v>288</v>
      </c>
      <c r="C8843" s="2" t="s">
        <v>10402</v>
      </c>
      <c r="D8843" s="2" t="s">
        <v>10</v>
      </c>
      <c r="E8843" s="2" t="s">
        <v>16</v>
      </c>
      <c r="F8843" s="2">
        <v>1</v>
      </c>
      <c r="G8843" s="2" t="s">
        <v>17</v>
      </c>
    </row>
    <row r="8844" spans="1:7" x14ac:dyDescent="0.2">
      <c r="A8844" s="2" t="s">
        <v>10398</v>
      </c>
      <c r="B8844" s="2" t="s">
        <v>5616</v>
      </c>
      <c r="C8844" s="2" t="s">
        <v>10400</v>
      </c>
      <c r="D8844" s="2" t="s">
        <v>10</v>
      </c>
      <c r="E8844" s="2" t="s">
        <v>16</v>
      </c>
      <c r="F8844" s="2">
        <v>1</v>
      </c>
      <c r="G8844" s="2" t="s">
        <v>17</v>
      </c>
    </row>
    <row r="8845" spans="1:7" x14ac:dyDescent="0.2">
      <c r="A8845" s="2" t="s">
        <v>10403</v>
      </c>
      <c r="B8845" s="2" t="s">
        <v>10404</v>
      </c>
      <c r="C8845" s="2" t="s">
        <v>10405</v>
      </c>
      <c r="D8845" s="2" t="s">
        <v>10</v>
      </c>
      <c r="E8845" s="2" t="s">
        <v>16</v>
      </c>
      <c r="F8845" s="2">
        <v>1</v>
      </c>
      <c r="G8845" s="2" t="s">
        <v>17</v>
      </c>
    </row>
    <row r="8846" spans="1:7" x14ac:dyDescent="0.2">
      <c r="A8846" s="2" t="s">
        <v>10403</v>
      </c>
      <c r="B8846" s="2" t="s">
        <v>10406</v>
      </c>
      <c r="C8846" s="2" t="s">
        <v>10405</v>
      </c>
      <c r="D8846" s="2" t="s">
        <v>10</v>
      </c>
      <c r="E8846" s="2" t="s">
        <v>16</v>
      </c>
      <c r="F8846" s="2">
        <v>1</v>
      </c>
      <c r="G8846" s="2" t="s">
        <v>17</v>
      </c>
    </row>
    <row r="8847" spans="1:7" x14ac:dyDescent="0.2">
      <c r="A8847" s="2" t="s">
        <v>10403</v>
      </c>
      <c r="B8847" s="2" t="s">
        <v>10407</v>
      </c>
      <c r="C8847" s="2" t="s">
        <v>10408</v>
      </c>
      <c r="D8847" s="2" t="s">
        <v>10</v>
      </c>
      <c r="E8847" s="2" t="s">
        <v>52</v>
      </c>
      <c r="F8847" s="2">
        <v>1</v>
      </c>
      <c r="G8847" s="2" t="s">
        <v>17</v>
      </c>
    </row>
    <row r="8848" spans="1:7" x14ac:dyDescent="0.2">
      <c r="A8848" s="2" t="s">
        <v>10409</v>
      </c>
      <c r="B8848" s="2" t="s">
        <v>10410</v>
      </c>
      <c r="C8848" s="2" t="s">
        <v>10411</v>
      </c>
      <c r="D8848" s="2" t="s">
        <v>10</v>
      </c>
      <c r="E8848" s="2" t="s">
        <v>16</v>
      </c>
      <c r="F8848" s="2">
        <v>1</v>
      </c>
      <c r="G8848" s="2" t="s">
        <v>17</v>
      </c>
    </row>
    <row r="8849" spans="1:7" x14ac:dyDescent="0.2">
      <c r="A8849" s="2" t="s">
        <v>10409</v>
      </c>
      <c r="B8849" s="2" t="s">
        <v>10412</v>
      </c>
      <c r="C8849" s="2" t="s">
        <v>10411</v>
      </c>
      <c r="D8849" s="2" t="s">
        <v>10</v>
      </c>
      <c r="E8849" s="2" t="s">
        <v>16</v>
      </c>
      <c r="F8849" s="2">
        <v>1</v>
      </c>
      <c r="G8849" s="2" t="s">
        <v>17</v>
      </c>
    </row>
    <row r="8850" spans="1:7" x14ac:dyDescent="0.2">
      <c r="A8850" s="2" t="s">
        <v>10409</v>
      </c>
      <c r="B8850" s="2" t="s">
        <v>10413</v>
      </c>
      <c r="C8850" s="2" t="s">
        <v>10411</v>
      </c>
      <c r="D8850" s="2" t="s">
        <v>10</v>
      </c>
      <c r="E8850" s="2" t="s">
        <v>16</v>
      </c>
      <c r="F8850" s="2">
        <v>1</v>
      </c>
      <c r="G8850" s="2" t="s">
        <v>17</v>
      </c>
    </row>
    <row r="8851" spans="1:7" x14ac:dyDescent="0.2">
      <c r="A8851" s="2" t="s">
        <v>10409</v>
      </c>
      <c r="B8851" s="2" t="s">
        <v>10414</v>
      </c>
      <c r="C8851" s="2" t="s">
        <v>10411</v>
      </c>
      <c r="D8851" s="2" t="s">
        <v>10</v>
      </c>
      <c r="E8851" s="2" t="s">
        <v>16</v>
      </c>
      <c r="F8851" s="2">
        <v>1</v>
      </c>
      <c r="G8851" s="2" t="s">
        <v>17</v>
      </c>
    </row>
    <row r="8852" spans="1:7" x14ac:dyDescent="0.2">
      <c r="A8852" s="2" t="s">
        <v>10409</v>
      </c>
      <c r="B8852" s="2" t="s">
        <v>8537</v>
      </c>
      <c r="C8852" s="2" t="s">
        <v>898</v>
      </c>
      <c r="D8852" s="2" t="s">
        <v>10</v>
      </c>
      <c r="E8852" s="2" t="s">
        <v>16</v>
      </c>
      <c r="F8852" s="2">
        <v>1</v>
      </c>
      <c r="G8852" s="2" t="s">
        <v>17</v>
      </c>
    </row>
    <row r="8853" spans="1:7" x14ac:dyDescent="0.2">
      <c r="A8853" s="2" t="s">
        <v>10415</v>
      </c>
      <c r="B8853" s="2" t="s">
        <v>10416</v>
      </c>
      <c r="C8853" s="2" t="s">
        <v>10417</v>
      </c>
      <c r="D8853" s="2" t="s">
        <v>29</v>
      </c>
      <c r="E8853" s="2" t="s">
        <v>52</v>
      </c>
      <c r="F8853" s="2">
        <v>4</v>
      </c>
      <c r="G8853" s="2" t="s">
        <v>12</v>
      </c>
    </row>
    <row r="8854" spans="1:7" x14ac:dyDescent="0.2">
      <c r="A8854" s="2" t="s">
        <v>10418</v>
      </c>
      <c r="B8854" s="2">
        <v>2150</v>
      </c>
      <c r="C8854" s="2" t="s">
        <v>8430</v>
      </c>
      <c r="D8854" s="2" t="s">
        <v>10</v>
      </c>
      <c r="E8854" s="2" t="s">
        <v>16</v>
      </c>
      <c r="F8854" s="2">
        <v>1</v>
      </c>
      <c r="G8854" s="2" t="s">
        <v>17</v>
      </c>
    </row>
    <row r="8855" spans="1:7" x14ac:dyDescent="0.2">
      <c r="A8855" s="2" t="s">
        <v>10419</v>
      </c>
      <c r="B8855" s="2">
        <v>330</v>
      </c>
      <c r="C8855" s="2" t="s">
        <v>10420</v>
      </c>
      <c r="D8855" s="2" t="s">
        <v>10</v>
      </c>
      <c r="E8855" s="2" t="s">
        <v>52</v>
      </c>
      <c r="F8855" s="2">
        <v>2</v>
      </c>
      <c r="G8855" s="2" t="s">
        <v>12</v>
      </c>
    </row>
    <row r="8856" spans="1:7" x14ac:dyDescent="0.2">
      <c r="A8856" s="2" t="s">
        <v>10419</v>
      </c>
      <c r="B8856" s="2">
        <v>360</v>
      </c>
      <c r="C8856" s="2" t="s">
        <v>10421</v>
      </c>
      <c r="D8856" s="2" t="s">
        <v>10</v>
      </c>
      <c r="E8856" s="2" t="s">
        <v>52</v>
      </c>
      <c r="F8856" s="2">
        <v>2</v>
      </c>
      <c r="G8856" s="2" t="s">
        <v>12</v>
      </c>
    </row>
    <row r="8857" spans="1:7" x14ac:dyDescent="0.2">
      <c r="A8857" s="2" t="s">
        <v>10419</v>
      </c>
      <c r="B8857" s="2" t="s">
        <v>10422</v>
      </c>
      <c r="C8857" s="2" t="s">
        <v>10423</v>
      </c>
      <c r="D8857" s="2" t="s">
        <v>10</v>
      </c>
      <c r="E8857" s="2" t="s">
        <v>52</v>
      </c>
      <c r="F8857" s="2">
        <v>4</v>
      </c>
      <c r="G8857" s="2" t="s">
        <v>12</v>
      </c>
    </row>
    <row r="8858" spans="1:7" x14ac:dyDescent="0.2">
      <c r="A8858" s="2" t="s">
        <v>10419</v>
      </c>
      <c r="B8858" s="2" t="s">
        <v>10424</v>
      </c>
      <c r="C8858" s="2" t="s">
        <v>10420</v>
      </c>
      <c r="D8858" s="2" t="s">
        <v>10</v>
      </c>
      <c r="E8858" s="2" t="s">
        <v>52</v>
      </c>
      <c r="F8858" s="2">
        <v>2</v>
      </c>
      <c r="G8858" s="2" t="s">
        <v>12</v>
      </c>
    </row>
    <row r="8859" spans="1:7" x14ac:dyDescent="0.2">
      <c r="A8859" s="2" t="s">
        <v>10419</v>
      </c>
      <c r="B8859" s="2" t="s">
        <v>2095</v>
      </c>
      <c r="C8859" s="2" t="s">
        <v>2096</v>
      </c>
      <c r="D8859" s="2" t="s">
        <v>10</v>
      </c>
      <c r="E8859" s="2" t="s">
        <v>11</v>
      </c>
      <c r="F8859" s="2">
        <v>2</v>
      </c>
      <c r="G8859" s="2" t="s">
        <v>12</v>
      </c>
    </row>
    <row r="8860" spans="1:7" x14ac:dyDescent="0.2">
      <c r="A8860" s="2" t="s">
        <v>10419</v>
      </c>
      <c r="B8860" s="2" t="s">
        <v>10425</v>
      </c>
      <c r="C8860" s="2" t="s">
        <v>10426</v>
      </c>
      <c r="D8860" s="2" t="s">
        <v>3928</v>
      </c>
      <c r="E8860" s="2" t="s">
        <v>16</v>
      </c>
      <c r="F8860" s="2">
        <v>4</v>
      </c>
      <c r="G8860" s="2" t="s">
        <v>12</v>
      </c>
    </row>
    <row r="8861" spans="1:7" x14ac:dyDescent="0.2">
      <c r="A8861" s="2" t="s">
        <v>10419</v>
      </c>
      <c r="B8861" s="2" t="s">
        <v>10427</v>
      </c>
      <c r="C8861" s="2" t="s">
        <v>1665</v>
      </c>
      <c r="D8861" s="2" t="s">
        <v>10</v>
      </c>
      <c r="E8861" s="2" t="s">
        <v>52</v>
      </c>
      <c r="F8861" s="2">
        <v>1</v>
      </c>
      <c r="G8861" s="2" t="s">
        <v>17</v>
      </c>
    </row>
    <row r="8862" spans="1:7" x14ac:dyDescent="0.2">
      <c r="A8862" s="2" t="s">
        <v>10419</v>
      </c>
      <c r="B8862" s="2" t="s">
        <v>10428</v>
      </c>
      <c r="C8862" s="2" t="s">
        <v>10426</v>
      </c>
      <c r="D8862" s="2" t="s">
        <v>3928</v>
      </c>
      <c r="E8862" s="2" t="s">
        <v>16</v>
      </c>
      <c r="F8862" s="2">
        <v>4</v>
      </c>
      <c r="G8862" s="2" t="s">
        <v>12</v>
      </c>
    </row>
    <row r="8863" spans="1:7" x14ac:dyDescent="0.2">
      <c r="A8863" s="2" t="s">
        <v>10419</v>
      </c>
      <c r="B8863" s="2" t="s">
        <v>10429</v>
      </c>
      <c r="C8863" s="2" t="s">
        <v>10423</v>
      </c>
      <c r="D8863" s="2" t="s">
        <v>10</v>
      </c>
      <c r="E8863" s="2" t="s">
        <v>52</v>
      </c>
      <c r="F8863" s="2">
        <v>4</v>
      </c>
      <c r="G8863" s="2" t="s">
        <v>12</v>
      </c>
    </row>
    <row r="8864" spans="1:7" x14ac:dyDescent="0.2">
      <c r="A8864" s="2" t="s">
        <v>10419</v>
      </c>
      <c r="B8864" s="2" t="s">
        <v>10430</v>
      </c>
      <c r="C8864" s="2" t="s">
        <v>10431</v>
      </c>
      <c r="D8864" s="2" t="s">
        <v>10</v>
      </c>
      <c r="E8864" s="2" t="s">
        <v>52</v>
      </c>
      <c r="F8864" s="2">
        <v>2</v>
      </c>
      <c r="G8864" s="2" t="s">
        <v>17</v>
      </c>
    </row>
    <row r="8865" spans="1:7" x14ac:dyDescent="0.2">
      <c r="A8865" s="2" t="s">
        <v>10419</v>
      </c>
      <c r="B8865" s="2" t="s">
        <v>10432</v>
      </c>
      <c r="C8865" s="2" t="s">
        <v>10431</v>
      </c>
      <c r="D8865" s="2" t="s">
        <v>10</v>
      </c>
      <c r="E8865" s="2" t="s">
        <v>52</v>
      </c>
      <c r="F8865" s="2">
        <v>2</v>
      </c>
      <c r="G8865" s="2" t="s">
        <v>17</v>
      </c>
    </row>
    <row r="8866" spans="1:7" x14ac:dyDescent="0.2">
      <c r="A8866" s="2" t="s">
        <v>10419</v>
      </c>
      <c r="B8866" s="2" t="s">
        <v>10433</v>
      </c>
      <c r="C8866" s="2" t="s">
        <v>10420</v>
      </c>
      <c r="D8866" s="2" t="s">
        <v>10</v>
      </c>
      <c r="E8866" s="2" t="s">
        <v>52</v>
      </c>
      <c r="F8866" s="2">
        <v>2</v>
      </c>
      <c r="G8866" s="2" t="s">
        <v>12</v>
      </c>
    </row>
    <row r="8867" spans="1:7" x14ac:dyDescent="0.2">
      <c r="A8867" s="2" t="s">
        <v>10419</v>
      </c>
      <c r="B8867" s="2" t="s">
        <v>10434</v>
      </c>
      <c r="C8867" s="2" t="s">
        <v>10421</v>
      </c>
      <c r="D8867" s="2" t="s">
        <v>10</v>
      </c>
      <c r="E8867" s="2" t="s">
        <v>52</v>
      </c>
      <c r="F8867" s="2">
        <v>2</v>
      </c>
      <c r="G8867" s="2" t="s">
        <v>12</v>
      </c>
    </row>
    <row r="8868" spans="1:7" x14ac:dyDescent="0.2">
      <c r="A8868" s="2" t="s">
        <v>10419</v>
      </c>
      <c r="B8868" s="2" t="s">
        <v>10404</v>
      </c>
      <c r="C8868" s="2" t="s">
        <v>10420</v>
      </c>
      <c r="D8868" s="2" t="s">
        <v>10</v>
      </c>
      <c r="E8868" s="2" t="s">
        <v>52</v>
      </c>
      <c r="F8868" s="2">
        <v>2</v>
      </c>
      <c r="G8868" s="2" t="s">
        <v>12</v>
      </c>
    </row>
    <row r="8869" spans="1:7" x14ac:dyDescent="0.2">
      <c r="A8869" s="2" t="s">
        <v>10419</v>
      </c>
      <c r="B8869" s="2" t="s">
        <v>10435</v>
      </c>
      <c r="C8869" s="2" t="s">
        <v>10431</v>
      </c>
      <c r="D8869" s="2" t="s">
        <v>10</v>
      </c>
      <c r="E8869" s="2" t="s">
        <v>52</v>
      </c>
      <c r="F8869" s="2">
        <v>2</v>
      </c>
      <c r="G8869" s="2" t="s">
        <v>17</v>
      </c>
    </row>
    <row r="8870" spans="1:7" x14ac:dyDescent="0.2">
      <c r="A8870" s="2" t="s">
        <v>10419</v>
      </c>
      <c r="B8870" s="2" t="s">
        <v>10436</v>
      </c>
      <c r="C8870" s="2" t="s">
        <v>10431</v>
      </c>
      <c r="D8870" s="2" t="s">
        <v>10</v>
      </c>
      <c r="E8870" s="2" t="s">
        <v>52</v>
      </c>
      <c r="F8870" s="2">
        <v>2</v>
      </c>
      <c r="G8870" s="2" t="s">
        <v>17</v>
      </c>
    </row>
    <row r="8871" spans="1:7" x14ac:dyDescent="0.2">
      <c r="A8871" s="2" t="s">
        <v>10419</v>
      </c>
      <c r="B8871" s="2" t="s">
        <v>1666</v>
      </c>
      <c r="C8871" s="2" t="s">
        <v>1665</v>
      </c>
      <c r="D8871" s="2" t="s">
        <v>10</v>
      </c>
      <c r="E8871" s="2" t="s">
        <v>52</v>
      </c>
      <c r="F8871" s="2">
        <v>1</v>
      </c>
      <c r="G8871" s="2" t="s">
        <v>17</v>
      </c>
    </row>
    <row r="8872" spans="1:7" x14ac:dyDescent="0.2">
      <c r="A8872" s="2" t="s">
        <v>10437</v>
      </c>
      <c r="B8872" s="2" t="s">
        <v>10438</v>
      </c>
      <c r="C8872" s="2" t="s">
        <v>10439</v>
      </c>
      <c r="D8872" s="2" t="s">
        <v>10</v>
      </c>
      <c r="E8872" s="2" t="s">
        <v>16</v>
      </c>
      <c r="F8872" s="2">
        <v>1</v>
      </c>
      <c r="G8872" s="2" t="s">
        <v>17</v>
      </c>
    </row>
    <row r="8873" spans="1:7" x14ac:dyDescent="0.2">
      <c r="A8873" s="2" t="s">
        <v>10440</v>
      </c>
      <c r="B8873" s="2" t="s">
        <v>168</v>
      </c>
      <c r="C8873" s="2" t="s">
        <v>169</v>
      </c>
      <c r="D8873" s="2" t="s">
        <v>10</v>
      </c>
      <c r="E8873" s="2" t="s">
        <v>52</v>
      </c>
      <c r="F8873" s="2">
        <v>1</v>
      </c>
      <c r="G8873" s="2" t="s">
        <v>17</v>
      </c>
    </row>
    <row r="8874" spans="1:7" x14ac:dyDescent="0.2">
      <c r="A8874" s="2" t="s">
        <v>10440</v>
      </c>
      <c r="B8874" s="2" t="s">
        <v>7521</v>
      </c>
      <c r="C8874" s="2" t="s">
        <v>7522</v>
      </c>
      <c r="D8874" s="2" t="s">
        <v>10</v>
      </c>
      <c r="E8874" s="2" t="s">
        <v>11</v>
      </c>
      <c r="F8874" s="2">
        <v>1</v>
      </c>
      <c r="G8874" s="2" t="s">
        <v>17</v>
      </c>
    </row>
    <row r="8875" spans="1:7" x14ac:dyDescent="0.2">
      <c r="A8875" s="2" t="s">
        <v>10440</v>
      </c>
      <c r="B8875" s="2" t="s">
        <v>10441</v>
      </c>
      <c r="C8875" s="2" t="s">
        <v>10442</v>
      </c>
      <c r="D8875" s="2" t="s">
        <v>10</v>
      </c>
      <c r="E8875" s="2" t="s">
        <v>52</v>
      </c>
      <c r="F8875" s="2">
        <v>2</v>
      </c>
      <c r="G8875" s="2" t="s">
        <v>17</v>
      </c>
    </row>
    <row r="8876" spans="1:7" x14ac:dyDescent="0.2">
      <c r="A8876" s="2" t="s">
        <v>10440</v>
      </c>
      <c r="B8876" s="2" t="s">
        <v>8543</v>
      </c>
      <c r="C8876" s="2" t="s">
        <v>8544</v>
      </c>
      <c r="D8876" s="2" t="s">
        <v>29</v>
      </c>
      <c r="E8876" s="2" t="s">
        <v>16</v>
      </c>
      <c r="F8876" s="2">
        <v>1</v>
      </c>
      <c r="G8876" s="2" t="s">
        <v>17</v>
      </c>
    </row>
    <row r="8877" spans="1:7" x14ac:dyDescent="0.2">
      <c r="A8877" s="2" t="s">
        <v>10440</v>
      </c>
      <c r="B8877" s="2" t="s">
        <v>8545</v>
      </c>
      <c r="C8877" s="2" t="s">
        <v>8544</v>
      </c>
      <c r="D8877" s="2" t="s">
        <v>29</v>
      </c>
      <c r="E8877" s="2" t="s">
        <v>16</v>
      </c>
      <c r="F8877" s="2">
        <v>1</v>
      </c>
      <c r="G8877" s="2" t="s">
        <v>17</v>
      </c>
    </row>
    <row r="8878" spans="1:7" x14ac:dyDescent="0.2">
      <c r="A8878" s="2" t="s">
        <v>10440</v>
      </c>
      <c r="B8878" s="2" t="s">
        <v>10443</v>
      </c>
      <c r="C8878" s="2" t="s">
        <v>10444</v>
      </c>
      <c r="D8878" s="2" t="s">
        <v>10</v>
      </c>
      <c r="E8878" s="2" t="s">
        <v>16</v>
      </c>
      <c r="F8878" s="2">
        <v>1</v>
      </c>
      <c r="G8878" s="2" t="s">
        <v>17</v>
      </c>
    </row>
    <row r="8879" spans="1:7" x14ac:dyDescent="0.2">
      <c r="A8879" s="2" t="s">
        <v>10440</v>
      </c>
      <c r="B8879" s="2" t="s">
        <v>10445</v>
      </c>
      <c r="C8879" s="2" t="s">
        <v>10446</v>
      </c>
      <c r="D8879" s="2" t="s">
        <v>10</v>
      </c>
      <c r="E8879" s="2" t="s">
        <v>16</v>
      </c>
      <c r="F8879" s="2">
        <v>1</v>
      </c>
      <c r="G8879" s="2" t="s">
        <v>17</v>
      </c>
    </row>
    <row r="8880" spans="1:7" x14ac:dyDescent="0.2">
      <c r="A8880" s="2" t="s">
        <v>10440</v>
      </c>
      <c r="B8880" s="2" t="s">
        <v>10447</v>
      </c>
      <c r="C8880" s="2" t="s">
        <v>10444</v>
      </c>
      <c r="D8880" s="2" t="s">
        <v>10</v>
      </c>
      <c r="E8880" s="2" t="s">
        <v>16</v>
      </c>
      <c r="F8880" s="2">
        <v>1</v>
      </c>
      <c r="G8880" s="2" t="s">
        <v>17</v>
      </c>
    </row>
    <row r="8881" spans="1:7" x14ac:dyDescent="0.2">
      <c r="A8881" s="2" t="s">
        <v>10440</v>
      </c>
      <c r="B8881" s="2" t="s">
        <v>10448</v>
      </c>
      <c r="C8881" s="2" t="s">
        <v>10446</v>
      </c>
      <c r="D8881" s="2" t="s">
        <v>10</v>
      </c>
      <c r="E8881" s="2" t="s">
        <v>16</v>
      </c>
      <c r="F8881" s="2">
        <v>1</v>
      </c>
      <c r="G8881" s="2" t="s">
        <v>17</v>
      </c>
    </row>
    <row r="8882" spans="1:7" x14ac:dyDescent="0.2">
      <c r="A8882" s="2" t="s">
        <v>10440</v>
      </c>
      <c r="B8882" s="2" t="s">
        <v>10449</v>
      </c>
      <c r="C8882" s="2" t="s">
        <v>10446</v>
      </c>
      <c r="D8882" s="2" t="s">
        <v>10</v>
      </c>
      <c r="E8882" s="2" t="s">
        <v>16</v>
      </c>
      <c r="F8882" s="2">
        <v>1</v>
      </c>
      <c r="G8882" s="2" t="s">
        <v>17</v>
      </c>
    </row>
    <row r="8883" spans="1:7" x14ac:dyDescent="0.2">
      <c r="A8883" s="2" t="s">
        <v>10440</v>
      </c>
      <c r="B8883" s="2" t="s">
        <v>10450</v>
      </c>
      <c r="C8883" s="2" t="s">
        <v>10451</v>
      </c>
      <c r="D8883" s="2" t="s">
        <v>10</v>
      </c>
      <c r="E8883" s="2" t="s">
        <v>16</v>
      </c>
      <c r="F8883" s="2">
        <v>1</v>
      </c>
      <c r="G8883" s="2" t="s">
        <v>17</v>
      </c>
    </row>
    <row r="8884" spans="1:7" x14ac:dyDescent="0.2">
      <c r="A8884" s="2" t="s">
        <v>10440</v>
      </c>
      <c r="B8884" s="2" t="s">
        <v>8891</v>
      </c>
      <c r="C8884" s="2" t="s">
        <v>8892</v>
      </c>
      <c r="D8884" s="2" t="s">
        <v>10</v>
      </c>
      <c r="E8884" s="2" t="s">
        <v>11</v>
      </c>
      <c r="F8884" s="2">
        <v>1</v>
      </c>
      <c r="G8884" s="2" t="s">
        <v>17</v>
      </c>
    </row>
    <row r="8885" spans="1:7" x14ac:dyDescent="0.2">
      <c r="A8885" s="2" t="s">
        <v>10440</v>
      </c>
      <c r="B8885" s="2" t="s">
        <v>10452</v>
      </c>
      <c r="C8885" s="2" t="s">
        <v>155</v>
      </c>
      <c r="D8885" s="2" t="s">
        <v>10</v>
      </c>
      <c r="E8885" s="2" t="s">
        <v>16</v>
      </c>
      <c r="F8885" s="2">
        <v>1</v>
      </c>
      <c r="G8885" s="2" t="s">
        <v>17</v>
      </c>
    </row>
    <row r="8886" spans="1:7" x14ac:dyDescent="0.2">
      <c r="A8886" s="2" t="s">
        <v>10440</v>
      </c>
      <c r="B8886" s="2" t="s">
        <v>10453</v>
      </c>
      <c r="C8886" s="2" t="s">
        <v>155</v>
      </c>
      <c r="D8886" s="2" t="s">
        <v>10</v>
      </c>
      <c r="E8886" s="2" t="s">
        <v>16</v>
      </c>
      <c r="F8886" s="2">
        <v>1</v>
      </c>
      <c r="G8886" s="2" t="s">
        <v>17</v>
      </c>
    </row>
    <row r="8887" spans="1:7" x14ac:dyDescent="0.2">
      <c r="A8887" s="2" t="s">
        <v>10440</v>
      </c>
      <c r="B8887" s="2" t="s">
        <v>10454</v>
      </c>
      <c r="C8887" s="2" t="s">
        <v>155</v>
      </c>
      <c r="D8887" s="2" t="s">
        <v>10</v>
      </c>
      <c r="E8887" s="2" t="s">
        <v>16</v>
      </c>
      <c r="F8887" s="2">
        <v>1</v>
      </c>
      <c r="G8887" s="2" t="s">
        <v>17</v>
      </c>
    </row>
    <row r="8888" spans="1:7" x14ac:dyDescent="0.2">
      <c r="A8888" s="2" t="s">
        <v>10440</v>
      </c>
      <c r="B8888" s="2" t="s">
        <v>10455</v>
      </c>
      <c r="C8888" s="2" t="s">
        <v>155</v>
      </c>
      <c r="D8888" s="2" t="s">
        <v>10</v>
      </c>
      <c r="E8888" s="2" t="s">
        <v>16</v>
      </c>
      <c r="F8888" s="2">
        <v>1</v>
      </c>
      <c r="G8888" s="2" t="s">
        <v>17</v>
      </c>
    </row>
    <row r="8889" spans="1:7" x14ac:dyDescent="0.2">
      <c r="A8889" s="2" t="s">
        <v>10440</v>
      </c>
      <c r="B8889" s="2" t="s">
        <v>10456</v>
      </c>
      <c r="C8889" s="2" t="s">
        <v>155</v>
      </c>
      <c r="D8889" s="2" t="s">
        <v>10</v>
      </c>
      <c r="E8889" s="2" t="s">
        <v>16</v>
      </c>
      <c r="F8889" s="2">
        <v>1</v>
      </c>
      <c r="G8889" s="2" t="s">
        <v>17</v>
      </c>
    </row>
    <row r="8890" spans="1:7" x14ac:dyDescent="0.2">
      <c r="A8890" s="2" t="s">
        <v>10440</v>
      </c>
      <c r="B8890" s="2" t="s">
        <v>166</v>
      </c>
      <c r="C8890" s="2" t="s">
        <v>155</v>
      </c>
      <c r="D8890" s="2" t="s">
        <v>10</v>
      </c>
      <c r="E8890" s="2" t="s">
        <v>16</v>
      </c>
      <c r="F8890" s="2">
        <v>1</v>
      </c>
      <c r="G8890" s="2" t="s">
        <v>17</v>
      </c>
    </row>
    <row r="8891" spans="1:7" x14ac:dyDescent="0.2">
      <c r="A8891" s="2" t="s">
        <v>10440</v>
      </c>
      <c r="B8891" s="2" t="s">
        <v>167</v>
      </c>
      <c r="C8891" s="2" t="s">
        <v>155</v>
      </c>
      <c r="D8891" s="2" t="s">
        <v>10</v>
      </c>
      <c r="E8891" s="2" t="s">
        <v>16</v>
      </c>
      <c r="F8891" s="2">
        <v>1</v>
      </c>
      <c r="G8891" s="2" t="s">
        <v>17</v>
      </c>
    </row>
    <row r="8892" spans="1:7" x14ac:dyDescent="0.2">
      <c r="A8892" s="2" t="s">
        <v>10440</v>
      </c>
      <c r="B8892" s="2" t="s">
        <v>10457</v>
      </c>
      <c r="C8892" s="2" t="s">
        <v>155</v>
      </c>
      <c r="D8892" s="2" t="s">
        <v>10</v>
      </c>
      <c r="E8892" s="2" t="s">
        <v>16</v>
      </c>
      <c r="F8892" s="2">
        <v>1</v>
      </c>
      <c r="G8892" s="2" t="s">
        <v>17</v>
      </c>
    </row>
    <row r="8893" spans="1:7" x14ac:dyDescent="0.2">
      <c r="A8893" s="2" t="s">
        <v>10440</v>
      </c>
      <c r="B8893" s="2" t="s">
        <v>10458</v>
      </c>
      <c r="C8893" s="2" t="s">
        <v>155</v>
      </c>
      <c r="D8893" s="2" t="s">
        <v>10</v>
      </c>
      <c r="E8893" s="2" t="s">
        <v>16</v>
      </c>
      <c r="F8893" s="2">
        <v>1</v>
      </c>
      <c r="G8893" s="2" t="s">
        <v>17</v>
      </c>
    </row>
    <row r="8894" spans="1:7" x14ac:dyDescent="0.2">
      <c r="A8894" s="2" t="s">
        <v>10440</v>
      </c>
      <c r="B8894" s="2" t="s">
        <v>10459</v>
      </c>
      <c r="C8894" s="2" t="s">
        <v>10442</v>
      </c>
      <c r="D8894" s="2" t="s">
        <v>10</v>
      </c>
      <c r="E8894" s="2" t="s">
        <v>52</v>
      </c>
      <c r="F8894" s="2">
        <v>2</v>
      </c>
      <c r="G8894" s="2" t="s">
        <v>17</v>
      </c>
    </row>
    <row r="8895" spans="1:7" x14ac:dyDescent="0.2">
      <c r="A8895" s="2" t="s">
        <v>10440</v>
      </c>
      <c r="B8895" s="2" t="s">
        <v>10460</v>
      </c>
      <c r="C8895" s="2" t="s">
        <v>10461</v>
      </c>
      <c r="D8895" s="2" t="s">
        <v>10</v>
      </c>
      <c r="E8895" s="2" t="s">
        <v>52</v>
      </c>
      <c r="F8895" s="2">
        <v>1</v>
      </c>
      <c r="G8895" s="2" t="s">
        <v>17</v>
      </c>
    </row>
    <row r="8896" spans="1:7" x14ac:dyDescent="0.2">
      <c r="A8896" s="2" t="s">
        <v>10440</v>
      </c>
      <c r="B8896" s="2" t="s">
        <v>5861</v>
      </c>
      <c r="C8896" s="2" t="s">
        <v>155</v>
      </c>
      <c r="D8896" s="2" t="s">
        <v>10</v>
      </c>
      <c r="E8896" s="2" t="s">
        <v>16</v>
      </c>
      <c r="F8896" s="2">
        <v>1</v>
      </c>
      <c r="G8896" s="2" t="s">
        <v>17</v>
      </c>
    </row>
    <row r="8897" spans="1:7" x14ac:dyDescent="0.2">
      <c r="A8897" s="2" t="s">
        <v>10462</v>
      </c>
      <c r="B8897" s="2" t="s">
        <v>3392</v>
      </c>
      <c r="C8897" s="2" t="s">
        <v>3393</v>
      </c>
      <c r="D8897" s="2" t="s">
        <v>10</v>
      </c>
      <c r="E8897" s="2" t="s">
        <v>16</v>
      </c>
      <c r="F8897" s="2">
        <v>1</v>
      </c>
      <c r="G8897" s="2" t="s">
        <v>17</v>
      </c>
    </row>
    <row r="8898" spans="1:7" x14ac:dyDescent="0.2">
      <c r="A8898" s="2" t="s">
        <v>10462</v>
      </c>
      <c r="B8898" s="2" t="s">
        <v>43</v>
      </c>
      <c r="C8898" s="2" t="s">
        <v>3393</v>
      </c>
      <c r="D8898" s="2" t="s">
        <v>10</v>
      </c>
      <c r="E8898" s="2" t="s">
        <v>16</v>
      </c>
      <c r="F8898" s="2">
        <v>1</v>
      </c>
      <c r="G8898" s="2" t="s">
        <v>17</v>
      </c>
    </row>
    <row r="8899" spans="1:7" x14ac:dyDescent="0.2">
      <c r="A8899" s="2" t="s">
        <v>10463</v>
      </c>
      <c r="B8899" s="2" t="s">
        <v>8177</v>
      </c>
      <c r="C8899" s="2" t="s">
        <v>8171</v>
      </c>
      <c r="D8899" s="2" t="s">
        <v>56</v>
      </c>
      <c r="E8899" s="2" t="s">
        <v>52</v>
      </c>
      <c r="F8899" s="2">
        <v>2</v>
      </c>
      <c r="G8899" s="2" t="s">
        <v>12</v>
      </c>
    </row>
    <row r="8900" spans="1:7" x14ac:dyDescent="0.2">
      <c r="A8900" s="2" t="s">
        <v>10463</v>
      </c>
      <c r="B8900" s="2" t="s">
        <v>8191</v>
      </c>
      <c r="C8900" s="2" t="s">
        <v>8171</v>
      </c>
      <c r="D8900" s="2" t="s">
        <v>56</v>
      </c>
      <c r="E8900" s="2" t="s">
        <v>52</v>
      </c>
      <c r="F8900" s="2">
        <v>2</v>
      </c>
      <c r="G8900" s="2" t="s">
        <v>12</v>
      </c>
    </row>
    <row r="8901" spans="1:7" x14ac:dyDescent="0.2">
      <c r="A8901" s="2" t="s">
        <v>10464</v>
      </c>
      <c r="B8901" s="2" t="s">
        <v>10465</v>
      </c>
      <c r="C8901" s="2" t="s">
        <v>3068</v>
      </c>
      <c r="D8901" s="2" t="s">
        <v>56</v>
      </c>
      <c r="E8901" s="2" t="s">
        <v>16</v>
      </c>
      <c r="F8901" s="2">
        <v>1</v>
      </c>
      <c r="G8901" s="2" t="s">
        <v>17</v>
      </c>
    </row>
    <row r="8902" spans="1:7" x14ac:dyDescent="0.2">
      <c r="A8902" s="2" t="s">
        <v>10464</v>
      </c>
      <c r="B8902" s="2" t="s">
        <v>10466</v>
      </c>
      <c r="C8902" s="2" t="s">
        <v>10293</v>
      </c>
      <c r="D8902" s="2" t="s">
        <v>56</v>
      </c>
      <c r="E8902" s="2" t="s">
        <v>52</v>
      </c>
      <c r="F8902" s="2">
        <v>1</v>
      </c>
      <c r="G8902" s="2" t="s">
        <v>17</v>
      </c>
    </row>
    <row r="8903" spans="1:7" x14ac:dyDescent="0.2">
      <c r="A8903" s="2" t="s">
        <v>10464</v>
      </c>
      <c r="B8903" s="2" t="s">
        <v>10467</v>
      </c>
      <c r="C8903" s="2" t="s">
        <v>10468</v>
      </c>
      <c r="D8903" s="2" t="s">
        <v>56</v>
      </c>
      <c r="E8903" s="2" t="s">
        <v>52</v>
      </c>
      <c r="F8903" s="2">
        <v>1</v>
      </c>
      <c r="G8903" s="2" t="s">
        <v>17</v>
      </c>
    </row>
    <row r="8904" spans="1:7" x14ac:dyDescent="0.2">
      <c r="A8904" s="2" t="s">
        <v>10464</v>
      </c>
      <c r="B8904" s="2" t="s">
        <v>10469</v>
      </c>
      <c r="C8904" s="2" t="s">
        <v>10470</v>
      </c>
      <c r="D8904" s="2" t="s">
        <v>56</v>
      </c>
      <c r="E8904" s="2" t="s">
        <v>52</v>
      </c>
      <c r="F8904" s="2">
        <v>3</v>
      </c>
      <c r="G8904" s="2" t="s">
        <v>12</v>
      </c>
    </row>
    <row r="8905" spans="1:7" x14ac:dyDescent="0.2">
      <c r="A8905" s="2" t="s">
        <v>10464</v>
      </c>
      <c r="B8905" s="2" t="s">
        <v>10471</v>
      </c>
      <c r="C8905" s="2" t="s">
        <v>10470</v>
      </c>
      <c r="D8905" s="2" t="s">
        <v>56</v>
      </c>
      <c r="E8905" s="2" t="s">
        <v>52</v>
      </c>
      <c r="F8905" s="2">
        <v>3</v>
      </c>
      <c r="G8905" s="2" t="s">
        <v>12</v>
      </c>
    </row>
    <row r="8906" spans="1:7" x14ac:dyDescent="0.2">
      <c r="A8906" s="2" t="s">
        <v>10464</v>
      </c>
      <c r="B8906" s="2" t="s">
        <v>10472</v>
      </c>
      <c r="C8906" s="2" t="s">
        <v>10473</v>
      </c>
      <c r="D8906" s="2" t="s">
        <v>56</v>
      </c>
      <c r="E8906" s="2" t="s">
        <v>52</v>
      </c>
      <c r="F8906" s="2">
        <v>1</v>
      </c>
      <c r="G8906" s="2" t="s">
        <v>17</v>
      </c>
    </row>
    <row r="8907" spans="1:7" x14ac:dyDescent="0.2">
      <c r="A8907" s="2" t="s">
        <v>10464</v>
      </c>
      <c r="B8907" s="2" t="s">
        <v>8763</v>
      </c>
      <c r="C8907" s="2" t="s">
        <v>10473</v>
      </c>
      <c r="D8907" s="2" t="s">
        <v>56</v>
      </c>
      <c r="E8907" s="2" t="s">
        <v>52</v>
      </c>
      <c r="F8907" s="2">
        <v>1</v>
      </c>
      <c r="G8907" s="2" t="s">
        <v>17</v>
      </c>
    </row>
    <row r="8908" spans="1:7" x14ac:dyDescent="0.2">
      <c r="A8908" s="2" t="s">
        <v>10464</v>
      </c>
      <c r="B8908" s="2" t="s">
        <v>10474</v>
      </c>
      <c r="C8908" s="2" t="s">
        <v>1732</v>
      </c>
      <c r="D8908" s="2" t="s">
        <v>56</v>
      </c>
      <c r="E8908" s="2" t="s">
        <v>52</v>
      </c>
      <c r="F8908" s="2">
        <v>2</v>
      </c>
      <c r="G8908" s="2" t="s">
        <v>12</v>
      </c>
    </row>
    <row r="8909" spans="1:7" x14ac:dyDescent="0.2">
      <c r="A8909" s="2" t="s">
        <v>10464</v>
      </c>
      <c r="B8909" s="2" t="s">
        <v>10475</v>
      </c>
      <c r="C8909" s="2" t="s">
        <v>1732</v>
      </c>
      <c r="D8909" s="2" t="s">
        <v>56</v>
      </c>
      <c r="E8909" s="2" t="s">
        <v>52</v>
      </c>
      <c r="F8909" s="2">
        <v>2</v>
      </c>
      <c r="G8909" s="2" t="s">
        <v>12</v>
      </c>
    </row>
    <row r="8910" spans="1:7" x14ac:dyDescent="0.2">
      <c r="A8910" s="2" t="s">
        <v>10464</v>
      </c>
      <c r="B8910" s="2" t="s">
        <v>10476</v>
      </c>
      <c r="C8910" s="2" t="s">
        <v>10470</v>
      </c>
      <c r="D8910" s="2" t="s">
        <v>56</v>
      </c>
      <c r="E8910" s="2" t="s">
        <v>52</v>
      </c>
      <c r="F8910" s="2">
        <v>3</v>
      </c>
      <c r="G8910" s="2" t="s">
        <v>12</v>
      </c>
    </row>
    <row r="8911" spans="1:7" x14ac:dyDescent="0.2">
      <c r="A8911" s="2" t="s">
        <v>10464</v>
      </c>
      <c r="B8911" s="2" t="s">
        <v>10477</v>
      </c>
      <c r="C8911" s="2" t="s">
        <v>10478</v>
      </c>
      <c r="D8911" s="2" t="s">
        <v>56</v>
      </c>
      <c r="E8911" s="2" t="s">
        <v>52</v>
      </c>
      <c r="F8911" s="2">
        <v>2</v>
      </c>
      <c r="G8911" s="2" t="s">
        <v>12</v>
      </c>
    </row>
    <row r="8912" spans="1:7" x14ac:dyDescent="0.2">
      <c r="A8912" s="2" t="s">
        <v>10464</v>
      </c>
      <c r="B8912" s="2" t="s">
        <v>10479</v>
      </c>
      <c r="C8912" s="2" t="s">
        <v>10478</v>
      </c>
      <c r="D8912" s="2" t="s">
        <v>56</v>
      </c>
      <c r="E8912" s="2" t="s">
        <v>52</v>
      </c>
      <c r="F8912" s="2">
        <v>2</v>
      </c>
      <c r="G8912" s="2" t="s">
        <v>12</v>
      </c>
    </row>
    <row r="8913" spans="1:7" x14ac:dyDescent="0.2">
      <c r="A8913" s="2" t="s">
        <v>10464</v>
      </c>
      <c r="B8913" s="2" t="s">
        <v>10480</v>
      </c>
      <c r="C8913" s="2" t="s">
        <v>1732</v>
      </c>
      <c r="D8913" s="2" t="s">
        <v>56</v>
      </c>
      <c r="E8913" s="2" t="s">
        <v>52</v>
      </c>
      <c r="F8913" s="2">
        <v>2</v>
      </c>
      <c r="G8913" s="2" t="s">
        <v>12</v>
      </c>
    </row>
    <row r="8914" spans="1:7" x14ac:dyDescent="0.2">
      <c r="A8914" s="2" t="s">
        <v>10464</v>
      </c>
      <c r="B8914" s="2" t="s">
        <v>10481</v>
      </c>
      <c r="C8914" s="2" t="s">
        <v>1732</v>
      </c>
      <c r="D8914" s="2" t="s">
        <v>56</v>
      </c>
      <c r="E8914" s="2" t="s">
        <v>52</v>
      </c>
      <c r="F8914" s="2">
        <v>2</v>
      </c>
      <c r="G8914" s="2" t="s">
        <v>12</v>
      </c>
    </row>
    <row r="8915" spans="1:7" x14ac:dyDescent="0.2">
      <c r="A8915" s="2" t="s">
        <v>10464</v>
      </c>
      <c r="B8915" s="2" t="s">
        <v>10482</v>
      </c>
      <c r="C8915" s="2" t="s">
        <v>1732</v>
      </c>
      <c r="D8915" s="2" t="s">
        <v>56</v>
      </c>
      <c r="E8915" s="2" t="s">
        <v>52</v>
      </c>
      <c r="F8915" s="2">
        <v>2</v>
      </c>
      <c r="G8915" s="2" t="s">
        <v>12</v>
      </c>
    </row>
    <row r="8916" spans="1:7" x14ac:dyDescent="0.2">
      <c r="A8916" s="2" t="s">
        <v>10464</v>
      </c>
      <c r="B8916" s="2" t="s">
        <v>10483</v>
      </c>
      <c r="C8916" s="2" t="s">
        <v>1732</v>
      </c>
      <c r="D8916" s="2" t="s">
        <v>56</v>
      </c>
      <c r="E8916" s="2" t="s">
        <v>52</v>
      </c>
      <c r="F8916" s="2">
        <v>2</v>
      </c>
      <c r="G8916" s="2" t="s">
        <v>12</v>
      </c>
    </row>
    <row r="8917" spans="1:7" x14ac:dyDescent="0.2">
      <c r="A8917" s="2" t="s">
        <v>10464</v>
      </c>
      <c r="B8917" s="2" t="s">
        <v>10484</v>
      </c>
      <c r="C8917" s="2" t="s">
        <v>805</v>
      </c>
      <c r="D8917" s="2" t="s">
        <v>56</v>
      </c>
      <c r="E8917" s="2" t="s">
        <v>52</v>
      </c>
      <c r="F8917" s="2">
        <v>2</v>
      </c>
      <c r="G8917" s="2" t="s">
        <v>12</v>
      </c>
    </row>
    <row r="8918" spans="1:7" x14ac:dyDescent="0.2">
      <c r="A8918" s="2" t="s">
        <v>10464</v>
      </c>
      <c r="B8918" s="2" t="s">
        <v>10485</v>
      </c>
      <c r="C8918" s="2" t="s">
        <v>1732</v>
      </c>
      <c r="D8918" s="2" t="s">
        <v>56</v>
      </c>
      <c r="E8918" s="2" t="s">
        <v>52</v>
      </c>
      <c r="F8918" s="2">
        <v>2</v>
      </c>
      <c r="G8918" s="2" t="s">
        <v>12</v>
      </c>
    </row>
    <row r="8919" spans="1:7" x14ac:dyDescent="0.2">
      <c r="A8919" s="2" t="s">
        <v>10464</v>
      </c>
      <c r="B8919" s="2" t="s">
        <v>10486</v>
      </c>
      <c r="C8919" s="2" t="s">
        <v>1732</v>
      </c>
      <c r="D8919" s="2" t="s">
        <v>56</v>
      </c>
      <c r="E8919" s="2" t="s">
        <v>52</v>
      </c>
      <c r="F8919" s="2">
        <v>2</v>
      </c>
      <c r="G8919" s="2" t="s">
        <v>12</v>
      </c>
    </row>
    <row r="8920" spans="1:7" x14ac:dyDescent="0.2">
      <c r="A8920" s="2" t="s">
        <v>10464</v>
      </c>
      <c r="B8920" s="2" t="s">
        <v>5611</v>
      </c>
      <c r="C8920" s="2" t="s">
        <v>808</v>
      </c>
      <c r="D8920" s="2" t="s">
        <v>56</v>
      </c>
      <c r="E8920" s="2" t="s">
        <v>52</v>
      </c>
      <c r="F8920" s="2">
        <v>2</v>
      </c>
      <c r="G8920" s="2" t="s">
        <v>12</v>
      </c>
    </row>
    <row r="8921" spans="1:7" x14ac:dyDescent="0.2">
      <c r="A8921" s="2" t="s">
        <v>10464</v>
      </c>
      <c r="B8921" s="2" t="s">
        <v>10487</v>
      </c>
      <c r="C8921" s="2" t="s">
        <v>10488</v>
      </c>
      <c r="D8921" s="2" t="s">
        <v>56</v>
      </c>
      <c r="E8921" s="2" t="s">
        <v>16</v>
      </c>
      <c r="F8921" s="2">
        <v>1</v>
      </c>
      <c r="G8921" s="2" t="s">
        <v>17</v>
      </c>
    </row>
    <row r="8922" spans="1:7" x14ac:dyDescent="0.2">
      <c r="A8922" s="2" t="s">
        <v>10464</v>
      </c>
      <c r="B8922" s="2" t="s">
        <v>10489</v>
      </c>
      <c r="C8922" s="2" t="s">
        <v>10490</v>
      </c>
      <c r="D8922" s="2" t="s">
        <v>56</v>
      </c>
      <c r="E8922" s="2" t="s">
        <v>16</v>
      </c>
      <c r="F8922" s="2">
        <v>1</v>
      </c>
      <c r="G8922" s="2" t="s">
        <v>17</v>
      </c>
    </row>
    <row r="8923" spans="1:7" x14ac:dyDescent="0.2">
      <c r="A8923" s="2" t="s">
        <v>10464</v>
      </c>
      <c r="B8923" s="2" t="s">
        <v>10491</v>
      </c>
      <c r="C8923" s="2" t="s">
        <v>1732</v>
      </c>
      <c r="D8923" s="2" t="s">
        <v>56</v>
      </c>
      <c r="E8923" s="2" t="s">
        <v>52</v>
      </c>
      <c r="F8923" s="2">
        <v>2</v>
      </c>
      <c r="G8923" s="2" t="s">
        <v>12</v>
      </c>
    </row>
    <row r="8924" spans="1:7" x14ac:dyDescent="0.2">
      <c r="A8924" s="2" t="s">
        <v>10464</v>
      </c>
      <c r="B8924" s="2" t="s">
        <v>10492</v>
      </c>
      <c r="C8924" s="2" t="s">
        <v>10478</v>
      </c>
      <c r="D8924" s="2" t="s">
        <v>56</v>
      </c>
      <c r="E8924" s="2" t="s">
        <v>52</v>
      </c>
      <c r="F8924" s="2">
        <v>2</v>
      </c>
      <c r="G8924" s="2" t="s">
        <v>12</v>
      </c>
    </row>
    <row r="8925" spans="1:7" x14ac:dyDescent="0.2">
      <c r="A8925" s="2" t="s">
        <v>10464</v>
      </c>
      <c r="B8925" s="2" t="s">
        <v>10493</v>
      </c>
      <c r="C8925" s="2" t="s">
        <v>10494</v>
      </c>
      <c r="D8925" s="2" t="s">
        <v>29</v>
      </c>
      <c r="E8925" s="2" t="s">
        <v>16</v>
      </c>
      <c r="F8925" s="2">
        <v>2</v>
      </c>
      <c r="G8925" s="2" t="s">
        <v>17</v>
      </c>
    </row>
    <row r="8926" spans="1:7" x14ac:dyDescent="0.2">
      <c r="A8926" s="2" t="s">
        <v>10464</v>
      </c>
      <c r="B8926" s="2" t="s">
        <v>10495</v>
      </c>
      <c r="C8926" s="2" t="s">
        <v>10496</v>
      </c>
      <c r="D8926" s="2" t="s">
        <v>29</v>
      </c>
      <c r="E8926" s="2" t="s">
        <v>16</v>
      </c>
      <c r="F8926" s="2">
        <v>1</v>
      </c>
      <c r="G8926" s="2" t="s">
        <v>17</v>
      </c>
    </row>
    <row r="8927" spans="1:7" x14ac:dyDescent="0.2">
      <c r="A8927" s="2" t="s">
        <v>10464</v>
      </c>
      <c r="B8927" s="2" t="s">
        <v>10497</v>
      </c>
      <c r="C8927" s="2" t="s">
        <v>10490</v>
      </c>
      <c r="D8927" s="2" t="s">
        <v>56</v>
      </c>
      <c r="E8927" s="2" t="s">
        <v>16</v>
      </c>
      <c r="F8927" s="2">
        <v>1</v>
      </c>
      <c r="G8927" s="2" t="s">
        <v>17</v>
      </c>
    </row>
    <row r="8928" spans="1:7" x14ac:dyDescent="0.2">
      <c r="A8928" s="2" t="s">
        <v>10464</v>
      </c>
      <c r="B8928" s="2" t="s">
        <v>10498</v>
      </c>
      <c r="C8928" s="2" t="s">
        <v>10499</v>
      </c>
      <c r="D8928" s="2" t="s">
        <v>56</v>
      </c>
      <c r="E8928" s="2" t="s">
        <v>16</v>
      </c>
      <c r="F8928" s="2">
        <v>1</v>
      </c>
      <c r="G8928" s="2" t="s">
        <v>17</v>
      </c>
    </row>
    <row r="8929" spans="1:7" x14ac:dyDescent="0.2">
      <c r="A8929" s="2" t="s">
        <v>10464</v>
      </c>
      <c r="B8929" s="2" t="s">
        <v>10500</v>
      </c>
      <c r="C8929" s="2" t="s">
        <v>10501</v>
      </c>
      <c r="D8929" s="2" t="s">
        <v>56</v>
      </c>
      <c r="E8929" s="2" t="s">
        <v>16</v>
      </c>
      <c r="F8929" s="2">
        <v>1</v>
      </c>
      <c r="G8929" s="2" t="s">
        <v>17</v>
      </c>
    </row>
    <row r="8930" spans="1:7" x14ac:dyDescent="0.2">
      <c r="A8930" s="2" t="s">
        <v>10464</v>
      </c>
      <c r="B8930" s="2" t="s">
        <v>10502</v>
      </c>
      <c r="C8930" s="2" t="s">
        <v>10501</v>
      </c>
      <c r="D8930" s="2" t="s">
        <v>56</v>
      </c>
      <c r="E8930" s="2" t="s">
        <v>16</v>
      </c>
      <c r="F8930" s="2">
        <v>1</v>
      </c>
      <c r="G8930" s="2" t="s">
        <v>17</v>
      </c>
    </row>
    <row r="8931" spans="1:7" x14ac:dyDescent="0.2">
      <c r="A8931" s="2" t="s">
        <v>10464</v>
      </c>
      <c r="B8931" s="2" t="s">
        <v>10503</v>
      </c>
      <c r="C8931" s="2" t="s">
        <v>10501</v>
      </c>
      <c r="D8931" s="2" t="s">
        <v>56</v>
      </c>
      <c r="E8931" s="2" t="s">
        <v>16</v>
      </c>
      <c r="F8931" s="2">
        <v>1</v>
      </c>
      <c r="G8931" s="2" t="s">
        <v>17</v>
      </c>
    </row>
    <row r="8932" spans="1:7" x14ac:dyDescent="0.2">
      <c r="A8932" s="2" t="s">
        <v>10464</v>
      </c>
      <c r="B8932" s="2" t="s">
        <v>10504</v>
      </c>
      <c r="C8932" s="2" t="s">
        <v>10505</v>
      </c>
      <c r="D8932" s="2" t="s">
        <v>56</v>
      </c>
      <c r="E8932" s="2" t="s">
        <v>52</v>
      </c>
      <c r="F8932" s="2">
        <v>1</v>
      </c>
      <c r="G8932" s="2" t="s">
        <v>17</v>
      </c>
    </row>
    <row r="8933" spans="1:7" x14ac:dyDescent="0.2">
      <c r="A8933" s="2" t="s">
        <v>10464</v>
      </c>
      <c r="B8933" s="2" t="s">
        <v>10506</v>
      </c>
      <c r="C8933" s="2" t="s">
        <v>10507</v>
      </c>
      <c r="D8933" s="2" t="s">
        <v>56</v>
      </c>
      <c r="E8933" s="2" t="s">
        <v>16</v>
      </c>
      <c r="F8933" s="2">
        <v>1</v>
      </c>
      <c r="G8933" s="2" t="s">
        <v>17</v>
      </c>
    </row>
    <row r="8934" spans="1:7" x14ac:dyDescent="0.2">
      <c r="A8934" s="2" t="s">
        <v>10464</v>
      </c>
      <c r="B8934" s="2" t="s">
        <v>10508</v>
      </c>
      <c r="C8934" s="2" t="s">
        <v>10507</v>
      </c>
      <c r="D8934" s="2" t="s">
        <v>56</v>
      </c>
      <c r="E8934" s="2" t="s">
        <v>16</v>
      </c>
      <c r="F8934" s="2">
        <v>1</v>
      </c>
      <c r="G8934" s="2" t="s">
        <v>17</v>
      </c>
    </row>
    <row r="8935" spans="1:7" x14ac:dyDescent="0.2">
      <c r="A8935" s="2" t="s">
        <v>10464</v>
      </c>
      <c r="B8935" s="2" t="s">
        <v>10509</v>
      </c>
      <c r="C8935" s="2" t="s">
        <v>10510</v>
      </c>
      <c r="D8935" s="2" t="s">
        <v>56</v>
      </c>
      <c r="E8935" s="2" t="s">
        <v>52</v>
      </c>
      <c r="F8935" s="2">
        <v>2</v>
      </c>
      <c r="G8935" s="2" t="s">
        <v>12</v>
      </c>
    </row>
    <row r="8936" spans="1:7" x14ac:dyDescent="0.2">
      <c r="A8936" s="2" t="s">
        <v>10464</v>
      </c>
      <c r="B8936" s="2" t="s">
        <v>10511</v>
      </c>
      <c r="C8936" s="2" t="s">
        <v>10510</v>
      </c>
      <c r="D8936" s="2" t="s">
        <v>56</v>
      </c>
      <c r="E8936" s="2" t="s">
        <v>52</v>
      </c>
      <c r="F8936" s="2">
        <v>2</v>
      </c>
      <c r="G8936" s="2" t="s">
        <v>12</v>
      </c>
    </row>
    <row r="8937" spans="1:7" x14ac:dyDescent="0.2">
      <c r="A8937" s="2" t="s">
        <v>10464</v>
      </c>
      <c r="B8937" s="2" t="s">
        <v>10512</v>
      </c>
      <c r="C8937" s="2" t="s">
        <v>10510</v>
      </c>
      <c r="D8937" s="2" t="s">
        <v>56</v>
      </c>
      <c r="E8937" s="2" t="s">
        <v>52</v>
      </c>
      <c r="F8937" s="2">
        <v>2</v>
      </c>
      <c r="G8937" s="2" t="s">
        <v>12</v>
      </c>
    </row>
    <row r="8938" spans="1:7" x14ac:dyDescent="0.2">
      <c r="A8938" s="2" t="s">
        <v>10464</v>
      </c>
      <c r="B8938" s="2" t="s">
        <v>10513</v>
      </c>
      <c r="C8938" s="2" t="s">
        <v>10510</v>
      </c>
      <c r="D8938" s="2" t="s">
        <v>56</v>
      </c>
      <c r="E8938" s="2" t="s">
        <v>52</v>
      </c>
      <c r="F8938" s="2">
        <v>2</v>
      </c>
      <c r="G8938" s="2" t="s">
        <v>12</v>
      </c>
    </row>
    <row r="8939" spans="1:7" x14ac:dyDescent="0.2">
      <c r="A8939" s="2" t="s">
        <v>10464</v>
      </c>
      <c r="B8939" s="2" t="s">
        <v>10514</v>
      </c>
      <c r="C8939" s="2" t="s">
        <v>10515</v>
      </c>
      <c r="D8939" s="2" t="s">
        <v>56</v>
      </c>
      <c r="E8939" s="2" t="s">
        <v>52</v>
      </c>
      <c r="F8939" s="2">
        <v>1</v>
      </c>
      <c r="G8939" s="2" t="s">
        <v>17</v>
      </c>
    </row>
    <row r="8940" spans="1:7" x14ac:dyDescent="0.2">
      <c r="A8940" s="2" t="s">
        <v>10464</v>
      </c>
      <c r="B8940" s="2" t="s">
        <v>9065</v>
      </c>
      <c r="C8940" s="2" t="s">
        <v>9066</v>
      </c>
      <c r="D8940" s="2" t="s">
        <v>56</v>
      </c>
      <c r="E8940" s="2" t="s">
        <v>52</v>
      </c>
      <c r="F8940" s="2">
        <v>2</v>
      </c>
      <c r="G8940" s="2" t="s">
        <v>12</v>
      </c>
    </row>
    <row r="8941" spans="1:7" x14ac:dyDescent="0.2">
      <c r="A8941" s="2" t="s">
        <v>10464</v>
      </c>
      <c r="B8941" s="2" t="s">
        <v>9067</v>
      </c>
      <c r="C8941" s="2" t="s">
        <v>9066</v>
      </c>
      <c r="D8941" s="2" t="s">
        <v>56</v>
      </c>
      <c r="E8941" s="2" t="s">
        <v>52</v>
      </c>
      <c r="F8941" s="2">
        <v>2</v>
      </c>
      <c r="G8941" s="2" t="s">
        <v>12</v>
      </c>
    </row>
    <row r="8942" spans="1:7" x14ac:dyDescent="0.2">
      <c r="A8942" s="2" t="s">
        <v>10464</v>
      </c>
      <c r="B8942" s="2" t="s">
        <v>10516</v>
      </c>
      <c r="C8942" s="2" t="s">
        <v>1732</v>
      </c>
      <c r="D8942" s="2" t="s">
        <v>56</v>
      </c>
      <c r="E8942" s="2" t="s">
        <v>52</v>
      </c>
      <c r="F8942" s="2">
        <v>2</v>
      </c>
      <c r="G8942" s="2" t="s">
        <v>12</v>
      </c>
    </row>
    <row r="8943" spans="1:7" x14ac:dyDescent="0.2">
      <c r="A8943" s="2" t="s">
        <v>10464</v>
      </c>
      <c r="B8943" s="2" t="s">
        <v>10517</v>
      </c>
      <c r="C8943" s="2" t="s">
        <v>7288</v>
      </c>
      <c r="D8943" s="2" t="s">
        <v>56</v>
      </c>
      <c r="E8943" s="2" t="s">
        <v>52</v>
      </c>
      <c r="F8943" s="2">
        <v>2</v>
      </c>
      <c r="G8943" s="2" t="s">
        <v>17</v>
      </c>
    </row>
    <row r="8944" spans="1:7" x14ac:dyDescent="0.2">
      <c r="A8944" s="2" t="s">
        <v>10464</v>
      </c>
      <c r="B8944" s="2" t="s">
        <v>6404</v>
      </c>
      <c r="C8944" s="2" t="s">
        <v>1732</v>
      </c>
      <c r="D8944" s="2" t="s">
        <v>56</v>
      </c>
      <c r="E8944" s="2" t="s">
        <v>52</v>
      </c>
      <c r="F8944" s="2">
        <v>2</v>
      </c>
      <c r="G8944" s="2" t="s">
        <v>12</v>
      </c>
    </row>
    <row r="8945" spans="1:7" x14ac:dyDescent="0.2">
      <c r="A8945" s="2" t="s">
        <v>10464</v>
      </c>
      <c r="B8945" s="2" t="s">
        <v>10518</v>
      </c>
      <c r="C8945" s="2" t="s">
        <v>808</v>
      </c>
      <c r="D8945" s="2" t="s">
        <v>56</v>
      </c>
      <c r="E8945" s="2" t="s">
        <v>52</v>
      </c>
      <c r="F8945" s="2">
        <v>2</v>
      </c>
      <c r="G8945" s="2" t="s">
        <v>12</v>
      </c>
    </row>
    <row r="8946" spans="1:7" x14ac:dyDescent="0.2">
      <c r="A8946" s="2" t="s">
        <v>10464</v>
      </c>
      <c r="B8946" s="2" t="s">
        <v>10519</v>
      </c>
      <c r="C8946" s="2" t="s">
        <v>10501</v>
      </c>
      <c r="D8946" s="2" t="s">
        <v>56</v>
      </c>
      <c r="E8946" s="2" t="s">
        <v>16</v>
      </c>
      <c r="F8946" s="2">
        <v>1</v>
      </c>
      <c r="G8946" s="2" t="s">
        <v>17</v>
      </c>
    </row>
    <row r="8947" spans="1:7" x14ac:dyDescent="0.2">
      <c r="A8947" s="2" t="s">
        <v>10464</v>
      </c>
      <c r="B8947" s="2" t="s">
        <v>10520</v>
      </c>
      <c r="C8947" s="2" t="s">
        <v>10507</v>
      </c>
      <c r="D8947" s="2" t="s">
        <v>56</v>
      </c>
      <c r="E8947" s="2" t="s">
        <v>16</v>
      </c>
      <c r="F8947" s="2">
        <v>1</v>
      </c>
      <c r="G8947" s="2" t="s">
        <v>17</v>
      </c>
    </row>
    <row r="8948" spans="1:7" x14ac:dyDescent="0.2">
      <c r="A8948" s="2" t="s">
        <v>10464</v>
      </c>
      <c r="B8948" s="2" t="s">
        <v>10521</v>
      </c>
      <c r="C8948" s="2" t="s">
        <v>10478</v>
      </c>
      <c r="D8948" s="2" t="s">
        <v>56</v>
      </c>
      <c r="E8948" s="2" t="s">
        <v>52</v>
      </c>
      <c r="F8948" s="2">
        <v>2</v>
      </c>
      <c r="G8948" s="2" t="s">
        <v>12</v>
      </c>
    </row>
    <row r="8949" spans="1:7" x14ac:dyDescent="0.2">
      <c r="A8949" s="2" t="s">
        <v>10464</v>
      </c>
      <c r="B8949" s="2" t="s">
        <v>10522</v>
      </c>
      <c r="C8949" s="2" t="s">
        <v>10478</v>
      </c>
      <c r="D8949" s="2" t="s">
        <v>56</v>
      </c>
      <c r="E8949" s="2" t="s">
        <v>52</v>
      </c>
      <c r="F8949" s="2">
        <v>2</v>
      </c>
      <c r="G8949" s="2" t="s">
        <v>12</v>
      </c>
    </row>
    <row r="8950" spans="1:7" x14ac:dyDescent="0.2">
      <c r="A8950" s="2" t="s">
        <v>10464</v>
      </c>
      <c r="B8950" s="2" t="s">
        <v>10523</v>
      </c>
      <c r="C8950" s="2" t="s">
        <v>10478</v>
      </c>
      <c r="D8950" s="2" t="s">
        <v>56</v>
      </c>
      <c r="E8950" s="2" t="s">
        <v>52</v>
      </c>
      <c r="F8950" s="2">
        <v>2</v>
      </c>
      <c r="G8950" s="2" t="s">
        <v>12</v>
      </c>
    </row>
    <row r="8951" spans="1:7" x14ac:dyDescent="0.2">
      <c r="A8951" s="2" t="s">
        <v>10464</v>
      </c>
      <c r="B8951" s="2" t="s">
        <v>10524</v>
      </c>
      <c r="C8951" s="2" t="s">
        <v>10478</v>
      </c>
      <c r="D8951" s="2" t="s">
        <v>56</v>
      </c>
      <c r="E8951" s="2" t="s">
        <v>52</v>
      </c>
      <c r="F8951" s="2">
        <v>2</v>
      </c>
      <c r="G8951" s="2" t="s">
        <v>12</v>
      </c>
    </row>
    <row r="8952" spans="1:7" x14ac:dyDescent="0.2">
      <c r="A8952" s="2" t="s">
        <v>10464</v>
      </c>
      <c r="B8952" s="2" t="s">
        <v>10525</v>
      </c>
      <c r="C8952" s="2" t="s">
        <v>10470</v>
      </c>
      <c r="D8952" s="2" t="s">
        <v>56</v>
      </c>
      <c r="E8952" s="2" t="s">
        <v>52</v>
      </c>
      <c r="F8952" s="2">
        <v>3</v>
      </c>
      <c r="G8952" s="2" t="s">
        <v>12</v>
      </c>
    </row>
    <row r="8953" spans="1:7" x14ac:dyDescent="0.2">
      <c r="A8953" s="2" t="s">
        <v>10464</v>
      </c>
      <c r="B8953" s="2" t="s">
        <v>10526</v>
      </c>
      <c r="C8953" s="2" t="s">
        <v>10478</v>
      </c>
      <c r="D8953" s="2" t="s">
        <v>56</v>
      </c>
      <c r="E8953" s="2" t="s">
        <v>52</v>
      </c>
      <c r="F8953" s="2">
        <v>2</v>
      </c>
      <c r="G8953" s="2" t="s">
        <v>12</v>
      </c>
    </row>
    <row r="8954" spans="1:7" x14ac:dyDescent="0.2">
      <c r="A8954" s="2" t="s">
        <v>10464</v>
      </c>
      <c r="B8954" s="2" t="s">
        <v>10527</v>
      </c>
      <c r="C8954" s="2" t="s">
        <v>10528</v>
      </c>
      <c r="D8954" s="2" t="s">
        <v>56</v>
      </c>
      <c r="E8954" s="2" t="s">
        <v>52</v>
      </c>
      <c r="F8954" s="2">
        <v>2</v>
      </c>
      <c r="G8954" s="2" t="s">
        <v>12</v>
      </c>
    </row>
    <row r="8955" spans="1:7" x14ac:dyDescent="0.2">
      <c r="A8955" s="2" t="s">
        <v>10464</v>
      </c>
      <c r="B8955" s="2" t="s">
        <v>10529</v>
      </c>
      <c r="C8955" s="2" t="s">
        <v>805</v>
      </c>
      <c r="D8955" s="2" t="s">
        <v>56</v>
      </c>
      <c r="E8955" s="2" t="s">
        <v>52</v>
      </c>
      <c r="F8955" s="2">
        <v>2</v>
      </c>
      <c r="G8955" s="2" t="s">
        <v>12</v>
      </c>
    </row>
    <row r="8956" spans="1:7" x14ac:dyDescent="0.2">
      <c r="A8956" s="2" t="s">
        <v>10464</v>
      </c>
      <c r="B8956" s="2" t="s">
        <v>10530</v>
      </c>
      <c r="C8956" s="2" t="s">
        <v>10501</v>
      </c>
      <c r="D8956" s="2" t="s">
        <v>56</v>
      </c>
      <c r="E8956" s="2" t="s">
        <v>16</v>
      </c>
      <c r="F8956" s="2">
        <v>1</v>
      </c>
      <c r="G8956" s="2" t="s">
        <v>17</v>
      </c>
    </row>
    <row r="8957" spans="1:7" x14ac:dyDescent="0.2">
      <c r="A8957" s="2" t="s">
        <v>10464</v>
      </c>
      <c r="B8957" s="2" t="s">
        <v>10531</v>
      </c>
      <c r="C8957" s="2" t="s">
        <v>10507</v>
      </c>
      <c r="D8957" s="2" t="s">
        <v>56</v>
      </c>
      <c r="E8957" s="2" t="s">
        <v>16</v>
      </c>
      <c r="F8957" s="2">
        <v>1</v>
      </c>
      <c r="G8957" s="2" t="s">
        <v>17</v>
      </c>
    </row>
    <row r="8958" spans="1:7" x14ac:dyDescent="0.2">
      <c r="A8958" s="2" t="s">
        <v>10464</v>
      </c>
      <c r="B8958" s="2" t="s">
        <v>10532</v>
      </c>
      <c r="C8958" s="2" t="s">
        <v>1732</v>
      </c>
      <c r="D8958" s="2" t="s">
        <v>56</v>
      </c>
      <c r="E8958" s="2" t="s">
        <v>52</v>
      </c>
      <c r="F8958" s="2">
        <v>2</v>
      </c>
      <c r="G8958" s="2" t="s">
        <v>12</v>
      </c>
    </row>
    <row r="8959" spans="1:7" x14ac:dyDescent="0.2">
      <c r="A8959" s="2" t="s">
        <v>10464</v>
      </c>
      <c r="B8959" s="2" t="s">
        <v>1925</v>
      </c>
      <c r="C8959" s="2" t="s">
        <v>7288</v>
      </c>
      <c r="D8959" s="2" t="s">
        <v>56</v>
      </c>
      <c r="E8959" s="2" t="s">
        <v>52</v>
      </c>
      <c r="F8959" s="2">
        <v>2</v>
      </c>
      <c r="G8959" s="2" t="s">
        <v>17</v>
      </c>
    </row>
    <row r="8960" spans="1:7" x14ac:dyDescent="0.2">
      <c r="A8960" s="2" t="s">
        <v>10464</v>
      </c>
      <c r="B8960" s="2" t="s">
        <v>10533</v>
      </c>
      <c r="C8960" s="2" t="s">
        <v>1732</v>
      </c>
      <c r="D8960" s="2" t="s">
        <v>56</v>
      </c>
      <c r="E8960" s="2" t="s">
        <v>52</v>
      </c>
      <c r="F8960" s="2">
        <v>2</v>
      </c>
      <c r="G8960" s="2" t="s">
        <v>12</v>
      </c>
    </row>
    <row r="8961" spans="1:7" x14ac:dyDescent="0.2">
      <c r="A8961" s="2" t="s">
        <v>10464</v>
      </c>
      <c r="B8961" s="2" t="s">
        <v>10534</v>
      </c>
      <c r="C8961" s="2" t="s">
        <v>1732</v>
      </c>
      <c r="D8961" s="2" t="s">
        <v>56</v>
      </c>
      <c r="E8961" s="2" t="s">
        <v>52</v>
      </c>
      <c r="F8961" s="2">
        <v>2</v>
      </c>
      <c r="G8961" s="2" t="s">
        <v>12</v>
      </c>
    </row>
    <row r="8962" spans="1:7" x14ac:dyDescent="0.2">
      <c r="A8962" s="2" t="s">
        <v>10464</v>
      </c>
      <c r="B8962" s="2" t="s">
        <v>10535</v>
      </c>
      <c r="C8962" s="2" t="s">
        <v>10488</v>
      </c>
      <c r="D8962" s="2" t="s">
        <v>56</v>
      </c>
      <c r="E8962" s="2" t="s">
        <v>16</v>
      </c>
      <c r="F8962" s="2">
        <v>1</v>
      </c>
      <c r="G8962" s="2" t="s">
        <v>17</v>
      </c>
    </row>
    <row r="8963" spans="1:7" x14ac:dyDescent="0.2">
      <c r="A8963" s="2" t="s">
        <v>10464</v>
      </c>
      <c r="B8963" s="2" t="s">
        <v>6322</v>
      </c>
      <c r="C8963" s="2" t="s">
        <v>10490</v>
      </c>
      <c r="D8963" s="2" t="s">
        <v>56</v>
      </c>
      <c r="E8963" s="2" t="s">
        <v>16</v>
      </c>
      <c r="F8963" s="2">
        <v>1</v>
      </c>
      <c r="G8963" s="2" t="s">
        <v>17</v>
      </c>
    </row>
    <row r="8964" spans="1:7" x14ac:dyDescent="0.2">
      <c r="A8964" s="2" t="s">
        <v>10464</v>
      </c>
      <c r="B8964" s="2" t="s">
        <v>10536</v>
      </c>
      <c r="C8964" s="2" t="s">
        <v>10501</v>
      </c>
      <c r="D8964" s="2" t="s">
        <v>56</v>
      </c>
      <c r="E8964" s="2" t="s">
        <v>16</v>
      </c>
      <c r="F8964" s="2">
        <v>1</v>
      </c>
      <c r="G8964" s="2" t="s">
        <v>17</v>
      </c>
    </row>
    <row r="8965" spans="1:7" x14ac:dyDescent="0.2">
      <c r="A8965" s="2" t="s">
        <v>10464</v>
      </c>
      <c r="B8965" s="2" t="s">
        <v>10537</v>
      </c>
      <c r="C8965" s="2" t="s">
        <v>10501</v>
      </c>
      <c r="D8965" s="2" t="s">
        <v>56</v>
      </c>
      <c r="E8965" s="2" t="s">
        <v>16</v>
      </c>
      <c r="F8965" s="2">
        <v>1</v>
      </c>
      <c r="G8965" s="2" t="s">
        <v>17</v>
      </c>
    </row>
    <row r="8966" spans="1:7" x14ac:dyDescent="0.2">
      <c r="A8966" s="2" t="s">
        <v>10464</v>
      </c>
      <c r="B8966" s="2" t="s">
        <v>10538</v>
      </c>
      <c r="C8966" s="2" t="s">
        <v>7288</v>
      </c>
      <c r="D8966" s="2" t="s">
        <v>56</v>
      </c>
      <c r="E8966" s="2" t="s">
        <v>52</v>
      </c>
      <c r="F8966" s="2">
        <v>2</v>
      </c>
      <c r="G8966" s="2" t="s">
        <v>17</v>
      </c>
    </row>
    <row r="8967" spans="1:7" x14ac:dyDescent="0.2">
      <c r="A8967" s="2" t="s">
        <v>10464</v>
      </c>
      <c r="B8967" s="2" t="s">
        <v>10539</v>
      </c>
      <c r="C8967" s="2" t="s">
        <v>10510</v>
      </c>
      <c r="D8967" s="2" t="s">
        <v>56</v>
      </c>
      <c r="E8967" s="2" t="s">
        <v>52</v>
      </c>
      <c r="F8967" s="2">
        <v>2</v>
      </c>
      <c r="G8967" s="2" t="s">
        <v>12</v>
      </c>
    </row>
    <row r="8968" spans="1:7" x14ac:dyDescent="0.2">
      <c r="A8968" s="2" t="s">
        <v>10464</v>
      </c>
      <c r="B8968" s="2" t="s">
        <v>818</v>
      </c>
      <c r="C8968" s="2" t="s">
        <v>808</v>
      </c>
      <c r="D8968" s="2" t="s">
        <v>56</v>
      </c>
      <c r="E8968" s="2" t="s">
        <v>52</v>
      </c>
      <c r="F8968" s="2">
        <v>2</v>
      </c>
      <c r="G8968" s="2" t="s">
        <v>12</v>
      </c>
    </row>
    <row r="8969" spans="1:7" x14ac:dyDescent="0.2">
      <c r="A8969" s="2" t="s">
        <v>10464</v>
      </c>
      <c r="B8969" s="2" t="s">
        <v>10540</v>
      </c>
      <c r="C8969" s="2" t="s">
        <v>808</v>
      </c>
      <c r="D8969" s="2" t="s">
        <v>56</v>
      </c>
      <c r="E8969" s="2" t="s">
        <v>52</v>
      </c>
      <c r="F8969" s="2">
        <v>2</v>
      </c>
      <c r="G8969" s="2" t="s">
        <v>12</v>
      </c>
    </row>
    <row r="8970" spans="1:7" x14ac:dyDescent="0.2">
      <c r="A8970" s="2" t="s">
        <v>10464</v>
      </c>
      <c r="B8970" s="2" t="s">
        <v>10541</v>
      </c>
      <c r="C8970" s="2" t="s">
        <v>10501</v>
      </c>
      <c r="D8970" s="2" t="s">
        <v>56</v>
      </c>
      <c r="E8970" s="2" t="s">
        <v>16</v>
      </c>
      <c r="F8970" s="2">
        <v>1</v>
      </c>
      <c r="G8970" s="2" t="s">
        <v>17</v>
      </c>
    </row>
    <row r="8971" spans="1:7" x14ac:dyDescent="0.2">
      <c r="A8971" s="2" t="s">
        <v>10464</v>
      </c>
      <c r="B8971" s="2" t="s">
        <v>10542</v>
      </c>
      <c r="C8971" s="2" t="s">
        <v>10507</v>
      </c>
      <c r="D8971" s="2" t="s">
        <v>56</v>
      </c>
      <c r="E8971" s="2" t="s">
        <v>16</v>
      </c>
      <c r="F8971" s="2">
        <v>1</v>
      </c>
      <c r="G8971" s="2" t="s">
        <v>17</v>
      </c>
    </row>
    <row r="8972" spans="1:7" x14ac:dyDescent="0.2">
      <c r="A8972" s="2" t="s">
        <v>10464</v>
      </c>
      <c r="B8972" s="2" t="s">
        <v>10543</v>
      </c>
      <c r="C8972" s="2" t="s">
        <v>10544</v>
      </c>
      <c r="D8972" s="2" t="s">
        <v>56</v>
      </c>
      <c r="E8972" s="2" t="s">
        <v>52</v>
      </c>
      <c r="F8972" s="2">
        <v>1</v>
      </c>
      <c r="G8972" s="2" t="s">
        <v>17</v>
      </c>
    </row>
    <row r="8973" spans="1:7" x14ac:dyDescent="0.2">
      <c r="A8973" s="2" t="s">
        <v>10464</v>
      </c>
      <c r="B8973" s="2" t="s">
        <v>10545</v>
      </c>
      <c r="C8973" s="2" t="s">
        <v>10478</v>
      </c>
      <c r="D8973" s="2" t="s">
        <v>56</v>
      </c>
      <c r="E8973" s="2" t="s">
        <v>52</v>
      </c>
      <c r="F8973" s="2">
        <v>2</v>
      </c>
      <c r="G8973" s="2" t="s">
        <v>12</v>
      </c>
    </row>
    <row r="8974" spans="1:7" x14ac:dyDescent="0.2">
      <c r="A8974" s="2" t="s">
        <v>10464</v>
      </c>
      <c r="B8974" s="2" t="s">
        <v>10546</v>
      </c>
      <c r="C8974" s="2" t="s">
        <v>1732</v>
      </c>
      <c r="D8974" s="2" t="s">
        <v>56</v>
      </c>
      <c r="E8974" s="2" t="s">
        <v>52</v>
      </c>
      <c r="F8974" s="2">
        <v>2</v>
      </c>
      <c r="G8974" s="2" t="s">
        <v>12</v>
      </c>
    </row>
    <row r="8975" spans="1:7" x14ac:dyDescent="0.2">
      <c r="A8975" s="2" t="s">
        <v>10464</v>
      </c>
      <c r="B8975" s="2" t="s">
        <v>10547</v>
      </c>
      <c r="C8975" s="2" t="s">
        <v>1732</v>
      </c>
      <c r="D8975" s="2" t="s">
        <v>56</v>
      </c>
      <c r="E8975" s="2" t="s">
        <v>52</v>
      </c>
      <c r="F8975" s="2">
        <v>2</v>
      </c>
      <c r="G8975" s="2" t="s">
        <v>12</v>
      </c>
    </row>
    <row r="8976" spans="1:7" x14ac:dyDescent="0.2">
      <c r="A8976" s="2" t="s">
        <v>10464</v>
      </c>
      <c r="B8976" s="2" t="s">
        <v>10548</v>
      </c>
      <c r="C8976" s="2" t="s">
        <v>1732</v>
      </c>
      <c r="D8976" s="2" t="s">
        <v>56</v>
      </c>
      <c r="E8976" s="2" t="s">
        <v>52</v>
      </c>
      <c r="F8976" s="2">
        <v>2</v>
      </c>
      <c r="G8976" s="2" t="s">
        <v>12</v>
      </c>
    </row>
    <row r="8977" spans="1:7" x14ac:dyDescent="0.2">
      <c r="A8977" s="2" t="s">
        <v>10464</v>
      </c>
      <c r="B8977" s="2" t="s">
        <v>10549</v>
      </c>
      <c r="C8977" s="2" t="s">
        <v>1732</v>
      </c>
      <c r="D8977" s="2" t="s">
        <v>56</v>
      </c>
      <c r="E8977" s="2" t="s">
        <v>52</v>
      </c>
      <c r="F8977" s="2">
        <v>2</v>
      </c>
      <c r="G8977" s="2" t="s">
        <v>12</v>
      </c>
    </row>
    <row r="8978" spans="1:7" x14ac:dyDescent="0.2">
      <c r="A8978" s="2" t="s">
        <v>10464</v>
      </c>
      <c r="B8978" s="2" t="s">
        <v>10550</v>
      </c>
      <c r="C8978" s="2" t="s">
        <v>10490</v>
      </c>
      <c r="D8978" s="2" t="s">
        <v>56</v>
      </c>
      <c r="E8978" s="2" t="s">
        <v>16</v>
      </c>
      <c r="F8978" s="2">
        <v>1</v>
      </c>
      <c r="G8978" s="2" t="s">
        <v>17</v>
      </c>
    </row>
    <row r="8979" spans="1:7" x14ac:dyDescent="0.2">
      <c r="A8979" s="2" t="s">
        <v>10464</v>
      </c>
      <c r="B8979" s="2" t="s">
        <v>10551</v>
      </c>
      <c r="C8979" s="2" t="s">
        <v>10501</v>
      </c>
      <c r="D8979" s="2" t="s">
        <v>56</v>
      </c>
      <c r="E8979" s="2" t="s">
        <v>16</v>
      </c>
      <c r="F8979" s="2">
        <v>1</v>
      </c>
      <c r="G8979" s="2" t="s">
        <v>17</v>
      </c>
    </row>
    <row r="8980" spans="1:7" x14ac:dyDescent="0.2">
      <c r="A8980" s="2" t="s">
        <v>10464</v>
      </c>
      <c r="B8980" s="2" t="s">
        <v>10552</v>
      </c>
      <c r="C8980" s="2" t="s">
        <v>10499</v>
      </c>
      <c r="D8980" s="2" t="s">
        <v>56</v>
      </c>
      <c r="E8980" s="2" t="s">
        <v>16</v>
      </c>
      <c r="F8980" s="2">
        <v>1</v>
      </c>
      <c r="G8980" s="2" t="s">
        <v>17</v>
      </c>
    </row>
    <row r="8981" spans="1:7" x14ac:dyDescent="0.2">
      <c r="A8981" s="2" t="s">
        <v>10464</v>
      </c>
      <c r="B8981" s="2" t="s">
        <v>10553</v>
      </c>
      <c r="C8981" s="2" t="s">
        <v>10488</v>
      </c>
      <c r="D8981" s="2" t="s">
        <v>56</v>
      </c>
      <c r="E8981" s="2" t="s">
        <v>16</v>
      </c>
      <c r="F8981" s="2">
        <v>1</v>
      </c>
      <c r="G8981" s="2" t="s">
        <v>17</v>
      </c>
    </row>
    <row r="8982" spans="1:7" x14ac:dyDescent="0.2">
      <c r="A8982" s="2" t="s">
        <v>10464</v>
      </c>
      <c r="B8982" s="2" t="s">
        <v>10554</v>
      </c>
      <c r="C8982" s="2" t="s">
        <v>10501</v>
      </c>
      <c r="D8982" s="2" t="s">
        <v>56</v>
      </c>
      <c r="E8982" s="2" t="s">
        <v>16</v>
      </c>
      <c r="F8982" s="2">
        <v>1</v>
      </c>
      <c r="G8982" s="2" t="s">
        <v>17</v>
      </c>
    </row>
    <row r="8983" spans="1:7" x14ac:dyDescent="0.2">
      <c r="A8983" s="2" t="s">
        <v>10464</v>
      </c>
      <c r="B8983" s="2" t="s">
        <v>10555</v>
      </c>
      <c r="C8983" s="2" t="s">
        <v>10507</v>
      </c>
      <c r="D8983" s="2" t="s">
        <v>56</v>
      </c>
      <c r="E8983" s="2" t="s">
        <v>16</v>
      </c>
      <c r="F8983" s="2">
        <v>1</v>
      </c>
      <c r="G8983" s="2" t="s">
        <v>17</v>
      </c>
    </row>
    <row r="8984" spans="1:7" x14ac:dyDescent="0.2">
      <c r="A8984" s="2" t="s">
        <v>10464</v>
      </c>
      <c r="B8984" s="2" t="s">
        <v>10556</v>
      </c>
      <c r="C8984" s="2" t="s">
        <v>805</v>
      </c>
      <c r="D8984" s="2" t="s">
        <v>56</v>
      </c>
      <c r="E8984" s="2" t="s">
        <v>52</v>
      </c>
      <c r="F8984" s="2">
        <v>2</v>
      </c>
      <c r="G8984" s="2" t="s">
        <v>12</v>
      </c>
    </row>
    <row r="8985" spans="1:7" x14ac:dyDescent="0.2">
      <c r="A8985" s="2" t="s">
        <v>10464</v>
      </c>
      <c r="B8985" s="2" t="s">
        <v>10557</v>
      </c>
      <c r="C8985" s="2" t="s">
        <v>10507</v>
      </c>
      <c r="D8985" s="2" t="s">
        <v>56</v>
      </c>
      <c r="E8985" s="2" t="s">
        <v>16</v>
      </c>
      <c r="F8985" s="2">
        <v>1</v>
      </c>
      <c r="G8985" s="2" t="s">
        <v>17</v>
      </c>
    </row>
    <row r="8986" spans="1:7" x14ac:dyDescent="0.2">
      <c r="A8986" s="2" t="s">
        <v>10464</v>
      </c>
      <c r="B8986" s="2" t="s">
        <v>2291</v>
      </c>
      <c r="C8986" s="2" t="s">
        <v>1732</v>
      </c>
      <c r="D8986" s="2" t="s">
        <v>56</v>
      </c>
      <c r="E8986" s="2" t="s">
        <v>52</v>
      </c>
      <c r="F8986" s="2">
        <v>2</v>
      </c>
      <c r="G8986" s="2" t="s">
        <v>12</v>
      </c>
    </row>
    <row r="8987" spans="1:7" x14ac:dyDescent="0.2">
      <c r="A8987" s="2" t="s">
        <v>10464</v>
      </c>
      <c r="B8987" s="2" t="s">
        <v>10558</v>
      </c>
      <c r="C8987" s="2" t="s">
        <v>1732</v>
      </c>
      <c r="D8987" s="2" t="s">
        <v>56</v>
      </c>
      <c r="E8987" s="2" t="s">
        <v>52</v>
      </c>
      <c r="F8987" s="2">
        <v>2</v>
      </c>
      <c r="G8987" s="2" t="s">
        <v>12</v>
      </c>
    </row>
    <row r="8988" spans="1:7" x14ac:dyDescent="0.2">
      <c r="A8988" s="2" t="s">
        <v>10464</v>
      </c>
      <c r="B8988" s="2" t="s">
        <v>10559</v>
      </c>
      <c r="C8988" s="2" t="s">
        <v>10507</v>
      </c>
      <c r="D8988" s="2" t="s">
        <v>56</v>
      </c>
      <c r="E8988" s="2" t="s">
        <v>16</v>
      </c>
      <c r="F8988" s="2">
        <v>1</v>
      </c>
      <c r="G8988" s="2" t="s">
        <v>17</v>
      </c>
    </row>
    <row r="8989" spans="1:7" x14ac:dyDescent="0.2">
      <c r="A8989" s="2" t="s">
        <v>10464</v>
      </c>
      <c r="B8989" s="2" t="s">
        <v>10560</v>
      </c>
      <c r="C8989" s="2" t="s">
        <v>10507</v>
      </c>
      <c r="D8989" s="2" t="s">
        <v>56</v>
      </c>
      <c r="E8989" s="2" t="s">
        <v>16</v>
      </c>
      <c r="F8989" s="2">
        <v>1</v>
      </c>
      <c r="G8989" s="2" t="s">
        <v>17</v>
      </c>
    </row>
    <row r="8990" spans="1:7" x14ac:dyDescent="0.2">
      <c r="A8990" s="2" t="s">
        <v>10464</v>
      </c>
      <c r="B8990" s="2" t="s">
        <v>10561</v>
      </c>
      <c r="C8990" s="2" t="s">
        <v>10562</v>
      </c>
      <c r="D8990" s="2" t="s">
        <v>56</v>
      </c>
      <c r="E8990" s="2" t="s">
        <v>52</v>
      </c>
      <c r="F8990" s="2">
        <v>1</v>
      </c>
      <c r="G8990" s="2" t="s">
        <v>17</v>
      </c>
    </row>
    <row r="8991" spans="1:7" x14ac:dyDescent="0.2">
      <c r="A8991" s="2" t="s">
        <v>10464</v>
      </c>
      <c r="B8991" s="2" t="s">
        <v>10563</v>
      </c>
      <c r="C8991" s="2" t="s">
        <v>10562</v>
      </c>
      <c r="D8991" s="2" t="s">
        <v>56</v>
      </c>
      <c r="E8991" s="2" t="s">
        <v>52</v>
      </c>
      <c r="F8991" s="2">
        <v>1</v>
      </c>
      <c r="G8991" s="2" t="s">
        <v>17</v>
      </c>
    </row>
    <row r="8992" spans="1:7" x14ac:dyDescent="0.2">
      <c r="A8992" s="2" t="s">
        <v>10464</v>
      </c>
      <c r="B8992" s="2" t="s">
        <v>10564</v>
      </c>
      <c r="C8992" s="2" t="s">
        <v>10562</v>
      </c>
      <c r="D8992" s="2" t="s">
        <v>56</v>
      </c>
      <c r="E8992" s="2" t="s">
        <v>52</v>
      </c>
      <c r="F8992" s="2">
        <v>1</v>
      </c>
      <c r="G8992" s="2" t="s">
        <v>17</v>
      </c>
    </row>
    <row r="8993" spans="1:7" x14ac:dyDescent="0.2">
      <c r="A8993" s="2" t="s">
        <v>10464</v>
      </c>
      <c r="B8993" s="2" t="s">
        <v>8256</v>
      </c>
      <c r="C8993" s="2" t="s">
        <v>805</v>
      </c>
      <c r="D8993" s="2" t="s">
        <v>56</v>
      </c>
      <c r="E8993" s="2" t="s">
        <v>52</v>
      </c>
      <c r="F8993" s="2">
        <v>2</v>
      </c>
      <c r="G8993" s="2" t="s">
        <v>12</v>
      </c>
    </row>
    <row r="8994" spans="1:7" x14ac:dyDescent="0.2">
      <c r="A8994" s="2" t="s">
        <v>10464</v>
      </c>
      <c r="B8994" s="2" t="s">
        <v>10565</v>
      </c>
      <c r="C8994" s="2" t="s">
        <v>805</v>
      </c>
      <c r="D8994" s="2" t="s">
        <v>56</v>
      </c>
      <c r="E8994" s="2" t="s">
        <v>52</v>
      </c>
      <c r="F8994" s="2">
        <v>2</v>
      </c>
      <c r="G8994" s="2" t="s">
        <v>12</v>
      </c>
    </row>
    <row r="8995" spans="1:7" x14ac:dyDescent="0.2">
      <c r="A8995" s="2" t="s">
        <v>10464</v>
      </c>
      <c r="B8995" s="2" t="s">
        <v>8257</v>
      </c>
      <c r="C8995" s="2" t="s">
        <v>805</v>
      </c>
      <c r="D8995" s="2" t="s">
        <v>56</v>
      </c>
      <c r="E8995" s="2" t="s">
        <v>52</v>
      </c>
      <c r="F8995" s="2">
        <v>2</v>
      </c>
      <c r="G8995" s="2" t="s">
        <v>12</v>
      </c>
    </row>
    <row r="8996" spans="1:7" x14ac:dyDescent="0.2">
      <c r="A8996" s="2" t="s">
        <v>10464</v>
      </c>
      <c r="B8996" s="2" t="s">
        <v>10566</v>
      </c>
      <c r="C8996" s="2" t="s">
        <v>805</v>
      </c>
      <c r="D8996" s="2" t="s">
        <v>56</v>
      </c>
      <c r="E8996" s="2" t="s">
        <v>52</v>
      </c>
      <c r="F8996" s="2">
        <v>2</v>
      </c>
      <c r="G8996" s="2" t="s">
        <v>12</v>
      </c>
    </row>
    <row r="8997" spans="1:7" x14ac:dyDescent="0.2">
      <c r="A8997" s="2" t="s">
        <v>10464</v>
      </c>
      <c r="B8997" s="2" t="s">
        <v>10567</v>
      </c>
      <c r="C8997" s="2" t="s">
        <v>805</v>
      </c>
      <c r="D8997" s="2" t="s">
        <v>56</v>
      </c>
      <c r="E8997" s="2" t="s">
        <v>52</v>
      </c>
      <c r="F8997" s="2">
        <v>2</v>
      </c>
      <c r="G8997" s="2" t="s">
        <v>12</v>
      </c>
    </row>
    <row r="8998" spans="1:7" x14ac:dyDescent="0.2">
      <c r="A8998" s="2" t="s">
        <v>10464</v>
      </c>
      <c r="B8998" s="2" t="s">
        <v>10568</v>
      </c>
      <c r="C8998" s="2" t="s">
        <v>805</v>
      </c>
      <c r="D8998" s="2" t="s">
        <v>56</v>
      </c>
      <c r="E8998" s="2" t="s">
        <v>52</v>
      </c>
      <c r="F8998" s="2">
        <v>2</v>
      </c>
      <c r="G8998" s="2" t="s">
        <v>12</v>
      </c>
    </row>
    <row r="8999" spans="1:7" x14ac:dyDescent="0.2">
      <c r="A8999" s="2" t="s">
        <v>10464</v>
      </c>
      <c r="B8999" s="2" t="s">
        <v>10569</v>
      </c>
      <c r="C8999" s="2" t="s">
        <v>808</v>
      </c>
      <c r="D8999" s="2" t="s">
        <v>56</v>
      </c>
      <c r="E8999" s="2" t="s">
        <v>52</v>
      </c>
      <c r="F8999" s="2">
        <v>2</v>
      </c>
      <c r="G8999" s="2" t="s">
        <v>12</v>
      </c>
    </row>
    <row r="9000" spans="1:7" x14ac:dyDescent="0.2">
      <c r="A9000" s="2" t="s">
        <v>10464</v>
      </c>
      <c r="B9000" s="2" t="s">
        <v>10570</v>
      </c>
      <c r="C9000" s="2" t="s">
        <v>10544</v>
      </c>
      <c r="D9000" s="2" t="s">
        <v>56</v>
      </c>
      <c r="E9000" s="2" t="s">
        <v>52</v>
      </c>
      <c r="F9000" s="2">
        <v>1</v>
      </c>
      <c r="G9000" s="2" t="s">
        <v>17</v>
      </c>
    </row>
    <row r="9001" spans="1:7" x14ac:dyDescent="0.2">
      <c r="A9001" s="2" t="s">
        <v>10464</v>
      </c>
      <c r="B9001" s="2" t="s">
        <v>10571</v>
      </c>
      <c r="C9001" s="2" t="s">
        <v>10528</v>
      </c>
      <c r="D9001" s="2" t="s">
        <v>56</v>
      </c>
      <c r="E9001" s="2" t="s">
        <v>52</v>
      </c>
      <c r="F9001" s="2">
        <v>2</v>
      </c>
      <c r="G9001" s="2" t="s">
        <v>12</v>
      </c>
    </row>
    <row r="9002" spans="1:7" x14ac:dyDescent="0.2">
      <c r="A9002" s="2" t="s">
        <v>10464</v>
      </c>
      <c r="B9002" s="2" t="s">
        <v>10572</v>
      </c>
      <c r="C9002" s="2" t="s">
        <v>10478</v>
      </c>
      <c r="D9002" s="2" t="s">
        <v>56</v>
      </c>
      <c r="E9002" s="2" t="s">
        <v>52</v>
      </c>
      <c r="F9002" s="2">
        <v>2</v>
      </c>
      <c r="G9002" s="2" t="s">
        <v>12</v>
      </c>
    </row>
    <row r="9003" spans="1:7" x14ac:dyDescent="0.2">
      <c r="A9003" s="2" t="s">
        <v>10464</v>
      </c>
      <c r="B9003" s="2" t="s">
        <v>10573</v>
      </c>
      <c r="C9003" s="2" t="s">
        <v>10478</v>
      </c>
      <c r="D9003" s="2" t="s">
        <v>56</v>
      </c>
      <c r="E9003" s="2" t="s">
        <v>52</v>
      </c>
      <c r="F9003" s="2">
        <v>2</v>
      </c>
      <c r="G9003" s="2" t="s">
        <v>12</v>
      </c>
    </row>
    <row r="9004" spans="1:7" x14ac:dyDescent="0.2">
      <c r="A9004" s="2" t="s">
        <v>10464</v>
      </c>
      <c r="B9004" s="2" t="s">
        <v>10574</v>
      </c>
      <c r="C9004" s="2" t="s">
        <v>1732</v>
      </c>
      <c r="D9004" s="2" t="s">
        <v>56</v>
      </c>
      <c r="E9004" s="2" t="s">
        <v>52</v>
      </c>
      <c r="F9004" s="2">
        <v>2</v>
      </c>
      <c r="G9004" s="2" t="s">
        <v>12</v>
      </c>
    </row>
    <row r="9005" spans="1:7" x14ac:dyDescent="0.2">
      <c r="A9005" s="2" t="s">
        <v>10464</v>
      </c>
      <c r="B9005" s="2" t="s">
        <v>6407</v>
      </c>
      <c r="C9005" s="2" t="s">
        <v>1732</v>
      </c>
      <c r="D9005" s="2" t="s">
        <v>56</v>
      </c>
      <c r="E9005" s="2" t="s">
        <v>52</v>
      </c>
      <c r="F9005" s="2">
        <v>2</v>
      </c>
      <c r="G9005" s="2" t="s">
        <v>12</v>
      </c>
    </row>
    <row r="9006" spans="1:7" x14ac:dyDescent="0.2">
      <c r="A9006" s="2" t="s">
        <v>10464</v>
      </c>
      <c r="B9006" s="2" t="s">
        <v>10575</v>
      </c>
      <c r="C9006" s="2" t="s">
        <v>1732</v>
      </c>
      <c r="D9006" s="2" t="s">
        <v>56</v>
      </c>
      <c r="E9006" s="2" t="s">
        <v>52</v>
      </c>
      <c r="F9006" s="2">
        <v>2</v>
      </c>
      <c r="G9006" s="2" t="s">
        <v>12</v>
      </c>
    </row>
    <row r="9007" spans="1:7" x14ac:dyDescent="0.2">
      <c r="A9007" s="2" t="s">
        <v>10464</v>
      </c>
      <c r="B9007" s="2" t="s">
        <v>10576</v>
      </c>
      <c r="C9007" s="2" t="s">
        <v>1732</v>
      </c>
      <c r="D9007" s="2" t="s">
        <v>56</v>
      </c>
      <c r="E9007" s="2" t="s">
        <v>52</v>
      </c>
      <c r="F9007" s="2">
        <v>2</v>
      </c>
      <c r="G9007" s="2" t="s">
        <v>12</v>
      </c>
    </row>
    <row r="9008" spans="1:7" x14ac:dyDescent="0.2">
      <c r="A9008" s="2" t="s">
        <v>10464</v>
      </c>
      <c r="B9008" s="2" t="s">
        <v>10577</v>
      </c>
      <c r="C9008" s="2" t="s">
        <v>1732</v>
      </c>
      <c r="D9008" s="2" t="s">
        <v>56</v>
      </c>
      <c r="E9008" s="2" t="s">
        <v>52</v>
      </c>
      <c r="F9008" s="2">
        <v>2</v>
      </c>
      <c r="G9008" s="2" t="s">
        <v>12</v>
      </c>
    </row>
    <row r="9009" spans="1:7" x14ac:dyDescent="0.2">
      <c r="A9009" s="2" t="s">
        <v>10464</v>
      </c>
      <c r="B9009" s="2" t="s">
        <v>10578</v>
      </c>
      <c r="C9009" s="2" t="s">
        <v>1732</v>
      </c>
      <c r="D9009" s="2" t="s">
        <v>56</v>
      </c>
      <c r="E9009" s="2" t="s">
        <v>52</v>
      </c>
      <c r="F9009" s="2">
        <v>2</v>
      </c>
      <c r="G9009" s="2" t="s">
        <v>12</v>
      </c>
    </row>
    <row r="9010" spans="1:7" x14ac:dyDescent="0.2">
      <c r="A9010" s="2" t="s">
        <v>10464</v>
      </c>
      <c r="B9010" s="2" t="s">
        <v>7287</v>
      </c>
      <c r="C9010" s="2" t="s">
        <v>7288</v>
      </c>
      <c r="D9010" s="2" t="s">
        <v>56</v>
      </c>
      <c r="E9010" s="2" t="s">
        <v>52</v>
      </c>
      <c r="F9010" s="2">
        <v>2</v>
      </c>
      <c r="G9010" s="2" t="s">
        <v>17</v>
      </c>
    </row>
    <row r="9011" spans="1:7" x14ac:dyDescent="0.2">
      <c r="A9011" s="2" t="s">
        <v>10464</v>
      </c>
      <c r="B9011" s="2" t="s">
        <v>10579</v>
      </c>
      <c r="C9011" s="2" t="s">
        <v>7288</v>
      </c>
      <c r="D9011" s="2" t="s">
        <v>56</v>
      </c>
      <c r="E9011" s="2" t="s">
        <v>52</v>
      </c>
      <c r="F9011" s="2">
        <v>2</v>
      </c>
      <c r="G9011" s="2" t="s">
        <v>17</v>
      </c>
    </row>
    <row r="9012" spans="1:7" x14ac:dyDescent="0.2">
      <c r="A9012" s="2" t="s">
        <v>10464</v>
      </c>
      <c r="B9012" s="2" t="s">
        <v>10580</v>
      </c>
      <c r="C9012" s="2" t="s">
        <v>10470</v>
      </c>
      <c r="D9012" s="2" t="s">
        <v>56</v>
      </c>
      <c r="E9012" s="2" t="s">
        <v>52</v>
      </c>
      <c r="F9012" s="2">
        <v>3</v>
      </c>
      <c r="G9012" s="2" t="s">
        <v>12</v>
      </c>
    </row>
    <row r="9013" spans="1:7" x14ac:dyDescent="0.2">
      <c r="A9013" s="2" t="s">
        <v>10464</v>
      </c>
      <c r="B9013" s="2" t="s">
        <v>10581</v>
      </c>
      <c r="C9013" s="2" t="s">
        <v>10510</v>
      </c>
      <c r="D9013" s="2" t="s">
        <v>56</v>
      </c>
      <c r="E9013" s="2" t="s">
        <v>52</v>
      </c>
      <c r="F9013" s="2">
        <v>2</v>
      </c>
      <c r="G9013" s="2" t="s">
        <v>12</v>
      </c>
    </row>
    <row r="9014" spans="1:7" x14ac:dyDescent="0.2">
      <c r="A9014" s="2" t="s">
        <v>10464</v>
      </c>
      <c r="B9014" s="2" t="s">
        <v>10582</v>
      </c>
      <c r="C9014" s="2" t="s">
        <v>10470</v>
      </c>
      <c r="D9014" s="2" t="s">
        <v>56</v>
      </c>
      <c r="E9014" s="2" t="s">
        <v>52</v>
      </c>
      <c r="F9014" s="2">
        <v>3</v>
      </c>
      <c r="G9014" s="2" t="s">
        <v>12</v>
      </c>
    </row>
    <row r="9015" spans="1:7" x14ac:dyDescent="0.2">
      <c r="A9015" s="2" t="s">
        <v>10464</v>
      </c>
      <c r="B9015" s="2" t="s">
        <v>10583</v>
      </c>
      <c r="C9015" s="2" t="s">
        <v>805</v>
      </c>
      <c r="D9015" s="2" t="s">
        <v>56</v>
      </c>
      <c r="E9015" s="2" t="s">
        <v>52</v>
      </c>
      <c r="F9015" s="2">
        <v>2</v>
      </c>
      <c r="G9015" s="2" t="s">
        <v>12</v>
      </c>
    </row>
    <row r="9016" spans="1:7" x14ac:dyDescent="0.2">
      <c r="A9016" s="2" t="s">
        <v>10464</v>
      </c>
      <c r="B9016" s="2" t="s">
        <v>10584</v>
      </c>
      <c r="C9016" s="2" t="s">
        <v>10478</v>
      </c>
      <c r="D9016" s="2" t="s">
        <v>56</v>
      </c>
      <c r="E9016" s="2" t="s">
        <v>52</v>
      </c>
      <c r="F9016" s="2">
        <v>2</v>
      </c>
      <c r="G9016" s="2" t="s">
        <v>12</v>
      </c>
    </row>
    <row r="9017" spans="1:7" x14ac:dyDescent="0.2">
      <c r="A9017" s="2" t="s">
        <v>10464</v>
      </c>
      <c r="B9017" s="2" t="s">
        <v>10585</v>
      </c>
      <c r="C9017" s="2" t="s">
        <v>10507</v>
      </c>
      <c r="D9017" s="2" t="s">
        <v>56</v>
      </c>
      <c r="E9017" s="2" t="s">
        <v>16</v>
      </c>
      <c r="F9017" s="2">
        <v>1</v>
      </c>
      <c r="G9017" s="2" t="s">
        <v>17</v>
      </c>
    </row>
    <row r="9018" spans="1:7" x14ac:dyDescent="0.2">
      <c r="A9018" s="2" t="s">
        <v>10464</v>
      </c>
      <c r="B9018" s="2" t="s">
        <v>10586</v>
      </c>
      <c r="C9018" s="2" t="s">
        <v>10544</v>
      </c>
      <c r="D9018" s="2" t="s">
        <v>56</v>
      </c>
      <c r="E9018" s="2" t="s">
        <v>52</v>
      </c>
      <c r="F9018" s="2">
        <v>1</v>
      </c>
      <c r="G9018" s="2" t="s">
        <v>17</v>
      </c>
    </row>
    <row r="9019" spans="1:7" x14ac:dyDescent="0.2">
      <c r="A9019" s="2" t="s">
        <v>10464</v>
      </c>
      <c r="B9019" s="2" t="s">
        <v>1733</v>
      </c>
      <c r="C9019" s="2" t="s">
        <v>1732</v>
      </c>
      <c r="D9019" s="2" t="s">
        <v>56</v>
      </c>
      <c r="E9019" s="2" t="s">
        <v>52</v>
      </c>
      <c r="F9019" s="2">
        <v>2</v>
      </c>
      <c r="G9019" s="2" t="s">
        <v>12</v>
      </c>
    </row>
    <row r="9020" spans="1:7" x14ac:dyDescent="0.2">
      <c r="A9020" s="2" t="s">
        <v>10464</v>
      </c>
      <c r="B9020" s="2" t="s">
        <v>10587</v>
      </c>
      <c r="C9020" s="2" t="s">
        <v>10507</v>
      </c>
      <c r="D9020" s="2" t="s">
        <v>56</v>
      </c>
      <c r="E9020" s="2" t="s">
        <v>16</v>
      </c>
      <c r="F9020" s="2">
        <v>1</v>
      </c>
      <c r="G9020" s="2" t="s">
        <v>17</v>
      </c>
    </row>
    <row r="9021" spans="1:7" x14ac:dyDescent="0.2">
      <c r="A9021" s="2" t="s">
        <v>10464</v>
      </c>
      <c r="B9021" s="2" t="s">
        <v>10588</v>
      </c>
      <c r="C9021" s="2" t="s">
        <v>805</v>
      </c>
      <c r="D9021" s="2" t="s">
        <v>56</v>
      </c>
      <c r="E9021" s="2" t="s">
        <v>52</v>
      </c>
      <c r="F9021" s="2">
        <v>2</v>
      </c>
      <c r="G9021" s="2" t="s">
        <v>12</v>
      </c>
    </row>
    <row r="9022" spans="1:7" x14ac:dyDescent="0.2">
      <c r="A9022" s="2" t="s">
        <v>10464</v>
      </c>
      <c r="B9022" s="2" t="s">
        <v>10589</v>
      </c>
      <c r="C9022" s="2" t="s">
        <v>10507</v>
      </c>
      <c r="D9022" s="2" t="s">
        <v>56</v>
      </c>
      <c r="E9022" s="2" t="s">
        <v>16</v>
      </c>
      <c r="F9022" s="2">
        <v>1</v>
      </c>
      <c r="G9022" s="2" t="s">
        <v>17</v>
      </c>
    </row>
    <row r="9023" spans="1:7" x14ac:dyDescent="0.2">
      <c r="A9023" s="2" t="s">
        <v>10464</v>
      </c>
      <c r="B9023" s="2" t="s">
        <v>10590</v>
      </c>
      <c r="C9023" s="2" t="s">
        <v>1732</v>
      </c>
      <c r="D9023" s="2" t="s">
        <v>56</v>
      </c>
      <c r="E9023" s="2" t="s">
        <v>52</v>
      </c>
      <c r="F9023" s="2">
        <v>2</v>
      </c>
      <c r="G9023" s="2" t="s">
        <v>12</v>
      </c>
    </row>
    <row r="9024" spans="1:7" x14ac:dyDescent="0.2">
      <c r="A9024" s="2" t="s">
        <v>10464</v>
      </c>
      <c r="B9024" s="2" t="s">
        <v>8258</v>
      </c>
      <c r="C9024" s="2" t="s">
        <v>1732</v>
      </c>
      <c r="D9024" s="2" t="s">
        <v>56</v>
      </c>
      <c r="E9024" s="2" t="s">
        <v>52</v>
      </c>
      <c r="F9024" s="2">
        <v>2</v>
      </c>
      <c r="G9024" s="2" t="s">
        <v>12</v>
      </c>
    </row>
    <row r="9025" spans="1:7" x14ac:dyDescent="0.2">
      <c r="A9025" s="2" t="s">
        <v>10464</v>
      </c>
      <c r="B9025" s="2" t="s">
        <v>10591</v>
      </c>
      <c r="C9025" s="2" t="s">
        <v>10528</v>
      </c>
      <c r="D9025" s="2" t="s">
        <v>56</v>
      </c>
      <c r="E9025" s="2" t="s">
        <v>52</v>
      </c>
      <c r="F9025" s="2">
        <v>2</v>
      </c>
      <c r="G9025" s="2" t="s">
        <v>12</v>
      </c>
    </row>
    <row r="9026" spans="1:7" x14ac:dyDescent="0.2">
      <c r="A9026" s="2" t="s">
        <v>10464</v>
      </c>
      <c r="B9026" s="2" t="s">
        <v>8766</v>
      </c>
      <c r="C9026" s="2" t="s">
        <v>7288</v>
      </c>
      <c r="D9026" s="2" t="s">
        <v>56</v>
      </c>
      <c r="E9026" s="2" t="s">
        <v>52</v>
      </c>
      <c r="F9026" s="2">
        <v>2</v>
      </c>
      <c r="G9026" s="2" t="s">
        <v>17</v>
      </c>
    </row>
    <row r="9027" spans="1:7" x14ac:dyDescent="0.2">
      <c r="A9027" s="2" t="s">
        <v>10464</v>
      </c>
      <c r="B9027" s="2" t="s">
        <v>10592</v>
      </c>
      <c r="C9027" s="2" t="s">
        <v>1732</v>
      </c>
      <c r="D9027" s="2" t="s">
        <v>56</v>
      </c>
      <c r="E9027" s="2" t="s">
        <v>52</v>
      </c>
      <c r="F9027" s="2">
        <v>2</v>
      </c>
      <c r="G9027" s="2" t="s">
        <v>12</v>
      </c>
    </row>
    <row r="9028" spans="1:7" x14ac:dyDescent="0.2">
      <c r="A9028" s="2" t="s">
        <v>10464</v>
      </c>
      <c r="B9028" s="2" t="s">
        <v>10593</v>
      </c>
      <c r="C9028" s="2" t="s">
        <v>1732</v>
      </c>
      <c r="D9028" s="2" t="s">
        <v>56</v>
      </c>
      <c r="E9028" s="2" t="s">
        <v>52</v>
      </c>
      <c r="F9028" s="2">
        <v>2</v>
      </c>
      <c r="G9028" s="2" t="s">
        <v>12</v>
      </c>
    </row>
    <row r="9029" spans="1:7" x14ac:dyDescent="0.2">
      <c r="A9029" s="2" t="s">
        <v>10464</v>
      </c>
      <c r="B9029" s="2" t="s">
        <v>1254</v>
      </c>
      <c r="C9029" s="2" t="s">
        <v>10470</v>
      </c>
      <c r="D9029" s="2" t="s">
        <v>56</v>
      </c>
      <c r="E9029" s="2" t="s">
        <v>52</v>
      </c>
      <c r="F9029" s="2">
        <v>3</v>
      </c>
      <c r="G9029" s="2" t="s">
        <v>12</v>
      </c>
    </row>
    <row r="9030" spans="1:7" x14ac:dyDescent="0.2">
      <c r="A9030" s="2" t="s">
        <v>10464</v>
      </c>
      <c r="B9030" s="2" t="s">
        <v>10594</v>
      </c>
      <c r="C9030" s="2" t="s">
        <v>10528</v>
      </c>
      <c r="D9030" s="2" t="s">
        <v>56</v>
      </c>
      <c r="E9030" s="2" t="s">
        <v>52</v>
      </c>
      <c r="F9030" s="2">
        <v>2</v>
      </c>
      <c r="G9030" s="2" t="s">
        <v>12</v>
      </c>
    </row>
    <row r="9031" spans="1:7" x14ac:dyDescent="0.2">
      <c r="A9031" s="2" t="s">
        <v>10464</v>
      </c>
      <c r="B9031" s="2" t="s">
        <v>10595</v>
      </c>
      <c r="C9031" s="2" t="s">
        <v>10478</v>
      </c>
      <c r="D9031" s="2" t="s">
        <v>56</v>
      </c>
      <c r="E9031" s="2" t="s">
        <v>52</v>
      </c>
      <c r="F9031" s="2">
        <v>2</v>
      </c>
      <c r="G9031" s="2" t="s">
        <v>12</v>
      </c>
    </row>
    <row r="9032" spans="1:7" x14ac:dyDescent="0.2">
      <c r="A9032" s="2" t="s">
        <v>10464</v>
      </c>
      <c r="B9032" s="2" t="s">
        <v>10596</v>
      </c>
      <c r="C9032" s="2" t="s">
        <v>1732</v>
      </c>
      <c r="D9032" s="2" t="s">
        <v>56</v>
      </c>
      <c r="E9032" s="2" t="s">
        <v>52</v>
      </c>
      <c r="F9032" s="2">
        <v>2</v>
      </c>
      <c r="G9032" s="2" t="s">
        <v>12</v>
      </c>
    </row>
    <row r="9033" spans="1:7" x14ac:dyDescent="0.2">
      <c r="A9033" s="2" t="s">
        <v>10464</v>
      </c>
      <c r="B9033" s="2" t="s">
        <v>10597</v>
      </c>
      <c r="C9033" s="2" t="s">
        <v>805</v>
      </c>
      <c r="D9033" s="2" t="s">
        <v>56</v>
      </c>
      <c r="E9033" s="2" t="s">
        <v>52</v>
      </c>
      <c r="F9033" s="2">
        <v>2</v>
      </c>
      <c r="G9033" s="2" t="s">
        <v>12</v>
      </c>
    </row>
    <row r="9034" spans="1:7" x14ac:dyDescent="0.2">
      <c r="A9034" s="2" t="s">
        <v>10464</v>
      </c>
      <c r="B9034" s="2" t="s">
        <v>10598</v>
      </c>
      <c r="C9034" s="2" t="s">
        <v>10501</v>
      </c>
      <c r="D9034" s="2" t="s">
        <v>56</v>
      </c>
      <c r="E9034" s="2" t="s">
        <v>16</v>
      </c>
      <c r="F9034" s="2">
        <v>1</v>
      </c>
      <c r="G9034" s="2" t="s">
        <v>17</v>
      </c>
    </row>
    <row r="9035" spans="1:7" x14ac:dyDescent="0.2">
      <c r="A9035" s="2" t="s">
        <v>10464</v>
      </c>
      <c r="B9035" s="2" t="s">
        <v>10599</v>
      </c>
      <c r="C9035" s="2" t="s">
        <v>10501</v>
      </c>
      <c r="D9035" s="2" t="s">
        <v>56</v>
      </c>
      <c r="E9035" s="2" t="s">
        <v>16</v>
      </c>
      <c r="F9035" s="2">
        <v>1</v>
      </c>
      <c r="G9035" s="2" t="s">
        <v>17</v>
      </c>
    </row>
    <row r="9036" spans="1:7" x14ac:dyDescent="0.2">
      <c r="A9036" s="2" t="s">
        <v>10464</v>
      </c>
      <c r="B9036" s="2" t="s">
        <v>10600</v>
      </c>
      <c r="C9036" s="2" t="s">
        <v>10507</v>
      </c>
      <c r="D9036" s="2" t="s">
        <v>56</v>
      </c>
      <c r="E9036" s="2" t="s">
        <v>16</v>
      </c>
      <c r="F9036" s="2">
        <v>1</v>
      </c>
      <c r="G9036" s="2" t="s">
        <v>17</v>
      </c>
    </row>
    <row r="9037" spans="1:7" x14ac:dyDescent="0.2">
      <c r="A9037" s="2" t="s">
        <v>10464</v>
      </c>
      <c r="B9037" s="2" t="s">
        <v>7366</v>
      </c>
      <c r="C9037" s="2" t="s">
        <v>1732</v>
      </c>
      <c r="D9037" s="2" t="s">
        <v>56</v>
      </c>
      <c r="E9037" s="2" t="s">
        <v>52</v>
      </c>
      <c r="F9037" s="2">
        <v>2</v>
      </c>
      <c r="G9037" s="2" t="s">
        <v>12</v>
      </c>
    </row>
    <row r="9038" spans="1:7" x14ac:dyDescent="0.2">
      <c r="A9038" s="2" t="s">
        <v>10464</v>
      </c>
      <c r="B9038" s="2" t="s">
        <v>10601</v>
      </c>
      <c r="C9038" s="2" t="s">
        <v>1732</v>
      </c>
      <c r="D9038" s="2" t="s">
        <v>56</v>
      </c>
      <c r="E9038" s="2" t="s">
        <v>52</v>
      </c>
      <c r="F9038" s="2">
        <v>2</v>
      </c>
      <c r="G9038" s="2" t="s">
        <v>12</v>
      </c>
    </row>
    <row r="9039" spans="1:7" x14ac:dyDescent="0.2">
      <c r="A9039" s="2" t="s">
        <v>10464</v>
      </c>
      <c r="B9039" s="2" t="s">
        <v>10602</v>
      </c>
      <c r="C9039" s="2" t="s">
        <v>1732</v>
      </c>
      <c r="D9039" s="2" t="s">
        <v>56</v>
      </c>
      <c r="E9039" s="2" t="s">
        <v>52</v>
      </c>
      <c r="F9039" s="2">
        <v>2</v>
      </c>
      <c r="G9039" s="2" t="s">
        <v>12</v>
      </c>
    </row>
    <row r="9040" spans="1:7" x14ac:dyDescent="0.2">
      <c r="A9040" s="2" t="s">
        <v>10464</v>
      </c>
      <c r="B9040" s="2" t="s">
        <v>10603</v>
      </c>
      <c r="C9040" s="2" t="s">
        <v>805</v>
      </c>
      <c r="D9040" s="2" t="s">
        <v>56</v>
      </c>
      <c r="E9040" s="2" t="s">
        <v>52</v>
      </c>
      <c r="F9040" s="2">
        <v>2</v>
      </c>
      <c r="G9040" s="2" t="s">
        <v>12</v>
      </c>
    </row>
    <row r="9041" spans="1:7" x14ac:dyDescent="0.2">
      <c r="A9041" s="2" t="s">
        <v>10464</v>
      </c>
      <c r="B9041" s="2" t="s">
        <v>10604</v>
      </c>
      <c r="C9041" s="2" t="s">
        <v>10478</v>
      </c>
      <c r="D9041" s="2" t="s">
        <v>56</v>
      </c>
      <c r="E9041" s="2" t="s">
        <v>52</v>
      </c>
      <c r="F9041" s="2">
        <v>2</v>
      </c>
      <c r="G9041" s="2" t="s">
        <v>12</v>
      </c>
    </row>
    <row r="9042" spans="1:7" x14ac:dyDescent="0.2">
      <c r="A9042" s="2" t="s">
        <v>10464</v>
      </c>
      <c r="B9042" s="2" t="s">
        <v>10605</v>
      </c>
      <c r="C9042" s="2" t="s">
        <v>1732</v>
      </c>
      <c r="D9042" s="2" t="s">
        <v>56</v>
      </c>
      <c r="E9042" s="2" t="s">
        <v>52</v>
      </c>
      <c r="F9042" s="2">
        <v>2</v>
      </c>
      <c r="G9042" s="2" t="s">
        <v>12</v>
      </c>
    </row>
    <row r="9043" spans="1:7" x14ac:dyDescent="0.2">
      <c r="A9043" s="2" t="s">
        <v>10464</v>
      </c>
      <c r="B9043" s="2" t="s">
        <v>10606</v>
      </c>
      <c r="C9043" s="2" t="s">
        <v>1732</v>
      </c>
      <c r="D9043" s="2" t="s">
        <v>56</v>
      </c>
      <c r="E9043" s="2" t="s">
        <v>52</v>
      </c>
      <c r="F9043" s="2">
        <v>2</v>
      </c>
      <c r="G9043" s="2" t="s">
        <v>12</v>
      </c>
    </row>
    <row r="9044" spans="1:7" x14ac:dyDescent="0.2">
      <c r="A9044" s="2" t="s">
        <v>10464</v>
      </c>
      <c r="B9044" s="2" t="s">
        <v>10607</v>
      </c>
      <c r="C9044" s="2" t="s">
        <v>1732</v>
      </c>
      <c r="D9044" s="2" t="s">
        <v>56</v>
      </c>
      <c r="E9044" s="2" t="s">
        <v>52</v>
      </c>
      <c r="F9044" s="2">
        <v>2</v>
      </c>
      <c r="G9044" s="2" t="s">
        <v>12</v>
      </c>
    </row>
    <row r="9045" spans="1:7" x14ac:dyDescent="0.2">
      <c r="A9045" s="2" t="s">
        <v>10464</v>
      </c>
      <c r="B9045" s="2" t="s">
        <v>10608</v>
      </c>
      <c r="C9045" s="2" t="s">
        <v>10478</v>
      </c>
      <c r="D9045" s="2" t="s">
        <v>56</v>
      </c>
      <c r="E9045" s="2" t="s">
        <v>52</v>
      </c>
      <c r="F9045" s="2">
        <v>2</v>
      </c>
      <c r="G9045" s="2" t="s">
        <v>12</v>
      </c>
    </row>
    <row r="9046" spans="1:7" x14ac:dyDescent="0.2">
      <c r="A9046" s="2" t="s">
        <v>10609</v>
      </c>
      <c r="B9046" s="2" t="s">
        <v>10610</v>
      </c>
      <c r="C9046" s="2" t="s">
        <v>10611</v>
      </c>
      <c r="D9046" s="2" t="s">
        <v>10</v>
      </c>
      <c r="E9046" s="2" t="s">
        <v>16</v>
      </c>
      <c r="F9046" s="2">
        <v>1</v>
      </c>
      <c r="G9046" s="2" t="s">
        <v>17</v>
      </c>
    </row>
    <row r="9047" spans="1:7" x14ac:dyDescent="0.2">
      <c r="A9047" s="2" t="s">
        <v>10612</v>
      </c>
      <c r="B9047" s="2" t="s">
        <v>7836</v>
      </c>
      <c r="C9047" s="2" t="s">
        <v>7837</v>
      </c>
      <c r="D9047" s="2" t="s">
        <v>10</v>
      </c>
      <c r="E9047" s="2" t="s">
        <v>16</v>
      </c>
      <c r="F9047" s="2">
        <v>1</v>
      </c>
      <c r="G9047" s="2" t="s">
        <v>17</v>
      </c>
    </row>
    <row r="9048" spans="1:7" x14ac:dyDescent="0.2">
      <c r="A9048" s="2" t="s">
        <v>10612</v>
      </c>
      <c r="B9048" s="2" t="s">
        <v>7838</v>
      </c>
      <c r="C9048" s="2" t="s">
        <v>7837</v>
      </c>
      <c r="D9048" s="2" t="s">
        <v>10</v>
      </c>
      <c r="E9048" s="2" t="s">
        <v>16</v>
      </c>
      <c r="F9048" s="2">
        <v>1</v>
      </c>
      <c r="G9048" s="2" t="s">
        <v>17</v>
      </c>
    </row>
    <row r="9049" spans="1:7" x14ac:dyDescent="0.2">
      <c r="A9049" s="2" t="s">
        <v>10613</v>
      </c>
      <c r="B9049" s="2" t="s">
        <v>7845</v>
      </c>
      <c r="C9049" s="2" t="s">
        <v>7843</v>
      </c>
      <c r="D9049" s="2" t="s">
        <v>10</v>
      </c>
      <c r="E9049" s="2" t="s">
        <v>16</v>
      </c>
      <c r="F9049" s="2">
        <v>1</v>
      </c>
      <c r="G9049" s="2" t="s">
        <v>17</v>
      </c>
    </row>
    <row r="9050" spans="1:7" x14ac:dyDescent="0.2">
      <c r="A9050" s="2" t="s">
        <v>10613</v>
      </c>
      <c r="B9050" s="2" t="s">
        <v>7850</v>
      </c>
      <c r="C9050" s="2" t="s">
        <v>7843</v>
      </c>
      <c r="D9050" s="2" t="s">
        <v>10</v>
      </c>
      <c r="E9050" s="2" t="s">
        <v>16</v>
      </c>
      <c r="F9050" s="2">
        <v>1</v>
      </c>
      <c r="G9050" s="2" t="s">
        <v>17</v>
      </c>
    </row>
    <row r="9051" spans="1:7" x14ac:dyDescent="0.2">
      <c r="A9051" s="2" t="s">
        <v>10614</v>
      </c>
      <c r="B9051" s="2" t="s">
        <v>10615</v>
      </c>
      <c r="C9051" s="2" t="s">
        <v>10616</v>
      </c>
      <c r="D9051" s="2" t="s">
        <v>56</v>
      </c>
      <c r="E9051" s="2" t="s">
        <v>16</v>
      </c>
      <c r="F9051" s="2">
        <v>1</v>
      </c>
      <c r="G9051" s="2" t="s">
        <v>17</v>
      </c>
    </row>
    <row r="9052" spans="1:7" x14ac:dyDescent="0.2">
      <c r="A9052" s="2" t="s">
        <v>10617</v>
      </c>
      <c r="B9052" s="2" t="s">
        <v>10618</v>
      </c>
      <c r="C9052" s="2" t="s">
        <v>10619</v>
      </c>
      <c r="D9052" s="2" t="s">
        <v>10</v>
      </c>
      <c r="E9052" s="2" t="s">
        <v>16</v>
      </c>
      <c r="F9052" s="2">
        <v>1</v>
      </c>
      <c r="G9052" s="2" t="s">
        <v>17</v>
      </c>
    </row>
    <row r="9053" spans="1:7" x14ac:dyDescent="0.2">
      <c r="A9053" s="2" t="s">
        <v>10617</v>
      </c>
      <c r="B9053" s="2" t="s">
        <v>10620</v>
      </c>
      <c r="C9053" s="2" t="s">
        <v>10619</v>
      </c>
      <c r="D9053" s="2" t="s">
        <v>10</v>
      </c>
      <c r="E9053" s="2" t="s">
        <v>16</v>
      </c>
      <c r="F9053" s="2">
        <v>1</v>
      </c>
      <c r="G9053" s="2" t="s">
        <v>17</v>
      </c>
    </row>
    <row r="9054" spans="1:7" x14ac:dyDescent="0.2">
      <c r="A9054" s="2" t="s">
        <v>10621</v>
      </c>
      <c r="B9054" s="2" t="s">
        <v>10622</v>
      </c>
      <c r="C9054" s="2" t="s">
        <v>4757</v>
      </c>
      <c r="D9054" s="2" t="s">
        <v>10</v>
      </c>
      <c r="E9054" s="2" t="s">
        <v>11</v>
      </c>
      <c r="F9054" s="2">
        <v>1</v>
      </c>
      <c r="G9054" s="2" t="s">
        <v>12</v>
      </c>
    </row>
    <row r="9055" spans="1:7" x14ac:dyDescent="0.2">
      <c r="A9055" s="2" t="s">
        <v>10621</v>
      </c>
      <c r="B9055" s="2" t="s">
        <v>3400</v>
      </c>
      <c r="C9055" s="2" t="s">
        <v>593</v>
      </c>
      <c r="D9055" s="2" t="s">
        <v>56</v>
      </c>
      <c r="E9055" s="2" t="s">
        <v>52</v>
      </c>
      <c r="F9055" s="2">
        <v>2</v>
      </c>
      <c r="G9055" s="2" t="s">
        <v>12</v>
      </c>
    </row>
    <row r="9056" spans="1:7" x14ac:dyDescent="0.2">
      <c r="A9056" s="2" t="s">
        <v>10621</v>
      </c>
      <c r="B9056" s="2" t="s">
        <v>8891</v>
      </c>
      <c r="C9056" s="2" t="s">
        <v>8892</v>
      </c>
      <c r="D9056" s="2" t="s">
        <v>10</v>
      </c>
      <c r="E9056" s="2" t="s">
        <v>11</v>
      </c>
      <c r="F9056" s="2">
        <v>1</v>
      </c>
      <c r="G9056" s="2" t="s">
        <v>17</v>
      </c>
    </row>
    <row r="9057" spans="1:7" x14ac:dyDescent="0.2">
      <c r="A9057" s="2" t="s">
        <v>10621</v>
      </c>
      <c r="B9057" s="2" t="s">
        <v>672</v>
      </c>
      <c r="C9057" s="2" t="s">
        <v>593</v>
      </c>
      <c r="D9057" s="2" t="s">
        <v>56</v>
      </c>
      <c r="E9057" s="2" t="s">
        <v>52</v>
      </c>
      <c r="F9057" s="2">
        <v>2</v>
      </c>
      <c r="G9057" s="2" t="s">
        <v>12</v>
      </c>
    </row>
    <row r="9058" spans="1:7" x14ac:dyDescent="0.2">
      <c r="A9058" s="2" t="s">
        <v>10621</v>
      </c>
      <c r="B9058" s="2" t="s">
        <v>10623</v>
      </c>
      <c r="C9058" s="2" t="s">
        <v>4757</v>
      </c>
      <c r="D9058" s="2" t="s">
        <v>10</v>
      </c>
      <c r="E9058" s="2" t="s">
        <v>11</v>
      </c>
      <c r="F9058" s="2">
        <v>1</v>
      </c>
      <c r="G9058" s="2" t="s">
        <v>12</v>
      </c>
    </row>
    <row r="9059" spans="1:7" x14ac:dyDescent="0.2">
      <c r="A9059" s="2" t="s">
        <v>10621</v>
      </c>
      <c r="B9059" s="2" t="s">
        <v>10624</v>
      </c>
      <c r="C9059" s="2" t="s">
        <v>4757</v>
      </c>
      <c r="D9059" s="2" t="s">
        <v>10</v>
      </c>
      <c r="E9059" s="2" t="s">
        <v>11</v>
      </c>
      <c r="F9059" s="2">
        <v>1</v>
      </c>
      <c r="G9059" s="2" t="s">
        <v>12</v>
      </c>
    </row>
    <row r="9060" spans="1:7" x14ac:dyDescent="0.2">
      <c r="A9060" s="2" t="s">
        <v>10625</v>
      </c>
      <c r="B9060" s="2" t="s">
        <v>5186</v>
      </c>
      <c r="C9060" s="2" t="s">
        <v>5187</v>
      </c>
      <c r="D9060" s="2" t="s">
        <v>10</v>
      </c>
      <c r="E9060" s="2" t="s">
        <v>11</v>
      </c>
      <c r="F9060" s="2">
        <v>2</v>
      </c>
      <c r="G9060" s="2" t="s">
        <v>17</v>
      </c>
    </row>
    <row r="9061" spans="1:7" x14ac:dyDescent="0.2">
      <c r="A9061" s="2" t="s">
        <v>10626</v>
      </c>
      <c r="B9061" s="2" t="s">
        <v>10627</v>
      </c>
      <c r="C9061" s="2" t="s">
        <v>10628</v>
      </c>
      <c r="D9061" s="2" t="s">
        <v>10</v>
      </c>
      <c r="E9061" s="2" t="s">
        <v>11</v>
      </c>
      <c r="F9061" s="2">
        <v>1</v>
      </c>
      <c r="G9061" s="2" t="s">
        <v>17</v>
      </c>
    </row>
    <row r="9062" spans="1:7" x14ac:dyDescent="0.2">
      <c r="A9062" s="2" t="s">
        <v>10626</v>
      </c>
      <c r="B9062" s="2" t="s">
        <v>10629</v>
      </c>
      <c r="C9062" s="2" t="s">
        <v>10628</v>
      </c>
      <c r="D9062" s="2" t="s">
        <v>10</v>
      </c>
      <c r="E9062" s="2" t="s">
        <v>11</v>
      </c>
      <c r="F9062" s="2">
        <v>1</v>
      </c>
      <c r="G9062" s="2" t="s">
        <v>17</v>
      </c>
    </row>
    <row r="9063" spans="1:7" x14ac:dyDescent="0.2">
      <c r="A9063" s="2" t="s">
        <v>10626</v>
      </c>
      <c r="B9063" s="2" t="s">
        <v>10630</v>
      </c>
      <c r="C9063" s="2" t="s">
        <v>10631</v>
      </c>
      <c r="D9063" s="2" t="s">
        <v>10</v>
      </c>
      <c r="E9063" s="2" t="s">
        <v>16</v>
      </c>
      <c r="F9063" s="2">
        <v>1</v>
      </c>
      <c r="G9063" s="2" t="s">
        <v>17</v>
      </c>
    </row>
    <row r="9064" spans="1:7" x14ac:dyDescent="0.2">
      <c r="A9064" s="2" t="s">
        <v>10626</v>
      </c>
      <c r="B9064" s="2" t="s">
        <v>10632</v>
      </c>
      <c r="C9064" s="2" t="s">
        <v>10631</v>
      </c>
      <c r="D9064" s="2" t="s">
        <v>10</v>
      </c>
      <c r="E9064" s="2" t="s">
        <v>16</v>
      </c>
      <c r="F9064" s="2">
        <v>1</v>
      </c>
      <c r="G9064" s="2" t="s">
        <v>17</v>
      </c>
    </row>
    <row r="9065" spans="1:7" x14ac:dyDescent="0.2">
      <c r="A9065" s="2" t="s">
        <v>10626</v>
      </c>
      <c r="B9065" s="2" t="s">
        <v>10633</v>
      </c>
      <c r="C9065" s="2" t="s">
        <v>10631</v>
      </c>
      <c r="D9065" s="2" t="s">
        <v>10</v>
      </c>
      <c r="E9065" s="2" t="s">
        <v>16</v>
      </c>
      <c r="F9065" s="2">
        <v>1</v>
      </c>
      <c r="G9065" s="2" t="s">
        <v>17</v>
      </c>
    </row>
    <row r="9066" spans="1:7" x14ac:dyDescent="0.2">
      <c r="A9066" s="2" t="s">
        <v>10626</v>
      </c>
      <c r="B9066" s="2" t="s">
        <v>10634</v>
      </c>
      <c r="C9066" s="2" t="s">
        <v>10631</v>
      </c>
      <c r="D9066" s="2" t="s">
        <v>10</v>
      </c>
      <c r="E9066" s="2" t="s">
        <v>16</v>
      </c>
      <c r="F9066" s="2">
        <v>1</v>
      </c>
      <c r="G9066" s="2" t="s">
        <v>17</v>
      </c>
    </row>
    <row r="9067" spans="1:7" x14ac:dyDescent="0.2">
      <c r="A9067" s="2" t="s">
        <v>10635</v>
      </c>
      <c r="B9067" s="2" t="s">
        <v>7129</v>
      </c>
      <c r="C9067" s="2" t="s">
        <v>7114</v>
      </c>
      <c r="D9067" s="2" t="s">
        <v>10</v>
      </c>
      <c r="E9067" s="2" t="s">
        <v>16</v>
      </c>
      <c r="F9067" s="2">
        <v>1</v>
      </c>
      <c r="G9067" s="2" t="s">
        <v>17</v>
      </c>
    </row>
    <row r="9068" spans="1:7" x14ac:dyDescent="0.2">
      <c r="A9068" s="2" t="s">
        <v>10635</v>
      </c>
      <c r="B9068" s="2" t="s">
        <v>7141</v>
      </c>
      <c r="C9068" s="2" t="s">
        <v>7114</v>
      </c>
      <c r="D9068" s="2" t="s">
        <v>10</v>
      </c>
      <c r="E9068" s="2" t="s">
        <v>16</v>
      </c>
      <c r="F9068" s="2">
        <v>1</v>
      </c>
      <c r="G9068" s="2" t="s">
        <v>17</v>
      </c>
    </row>
    <row r="9069" spans="1:7" x14ac:dyDescent="0.2">
      <c r="A9069" s="2" t="s">
        <v>10636</v>
      </c>
      <c r="B9069" s="2" t="s">
        <v>6318</v>
      </c>
      <c r="C9069" s="2" t="s">
        <v>6319</v>
      </c>
      <c r="D9069" s="2" t="s">
        <v>10</v>
      </c>
      <c r="E9069" s="2" t="s">
        <v>16</v>
      </c>
      <c r="F9069" s="2">
        <v>1</v>
      </c>
      <c r="G9069" s="2" t="s">
        <v>17</v>
      </c>
    </row>
    <row r="9070" spans="1:7" x14ac:dyDescent="0.2">
      <c r="A9070" s="2" t="s">
        <v>10636</v>
      </c>
      <c r="B9070" s="2" t="s">
        <v>6320</v>
      </c>
      <c r="C9070" s="2" t="s">
        <v>6319</v>
      </c>
      <c r="D9070" s="2" t="s">
        <v>10</v>
      </c>
      <c r="E9070" s="2" t="s">
        <v>16</v>
      </c>
      <c r="F9070" s="2">
        <v>1</v>
      </c>
      <c r="G9070" s="2" t="s">
        <v>17</v>
      </c>
    </row>
    <row r="9071" spans="1:7" x14ac:dyDescent="0.2">
      <c r="A9071" s="2" t="s">
        <v>10637</v>
      </c>
      <c r="B9071" s="2" t="s">
        <v>10638</v>
      </c>
      <c r="C9071" s="2" t="s">
        <v>10639</v>
      </c>
      <c r="D9071" s="2" t="s">
        <v>10</v>
      </c>
      <c r="E9071" s="2" t="s">
        <v>16</v>
      </c>
      <c r="F9071" s="2">
        <v>1</v>
      </c>
      <c r="G9071" s="2" t="s">
        <v>17</v>
      </c>
    </row>
    <row r="9072" spans="1:7" x14ac:dyDescent="0.2">
      <c r="A9072" s="2" t="s">
        <v>10637</v>
      </c>
      <c r="B9072" s="2" t="s">
        <v>10640</v>
      </c>
      <c r="C9072" s="2" t="s">
        <v>10639</v>
      </c>
      <c r="D9072" s="2" t="s">
        <v>10</v>
      </c>
      <c r="E9072" s="2" t="s">
        <v>16</v>
      </c>
      <c r="F9072" s="2">
        <v>1</v>
      </c>
      <c r="G9072" s="2" t="s">
        <v>17</v>
      </c>
    </row>
    <row r="9073" spans="1:7" x14ac:dyDescent="0.2">
      <c r="A9073" s="2" t="s">
        <v>10641</v>
      </c>
      <c r="B9073" s="2" t="s">
        <v>10642</v>
      </c>
      <c r="C9073" s="2" t="s">
        <v>10643</v>
      </c>
      <c r="D9073" s="2" t="s">
        <v>10</v>
      </c>
      <c r="E9073" s="2" t="s">
        <v>16</v>
      </c>
      <c r="F9073" s="2">
        <v>1</v>
      </c>
      <c r="G9073" s="2" t="s">
        <v>17</v>
      </c>
    </row>
    <row r="9074" spans="1:7" x14ac:dyDescent="0.2">
      <c r="A9074" s="2" t="s">
        <v>10641</v>
      </c>
      <c r="B9074" s="2" t="s">
        <v>10644</v>
      </c>
      <c r="C9074" s="2" t="s">
        <v>10645</v>
      </c>
      <c r="D9074" s="2" t="s">
        <v>10</v>
      </c>
      <c r="E9074" s="2" t="s">
        <v>16</v>
      </c>
      <c r="F9074" s="2">
        <v>1</v>
      </c>
      <c r="G9074" s="2" t="s">
        <v>17</v>
      </c>
    </row>
    <row r="9075" spans="1:7" x14ac:dyDescent="0.2">
      <c r="A9075" s="2" t="s">
        <v>10646</v>
      </c>
      <c r="B9075" s="2" t="s">
        <v>10647</v>
      </c>
      <c r="C9075" s="2" t="s">
        <v>1716</v>
      </c>
      <c r="D9075" s="2" t="s">
        <v>10</v>
      </c>
      <c r="E9075" s="2" t="s">
        <v>16</v>
      </c>
      <c r="F9075" s="2">
        <v>1</v>
      </c>
      <c r="G9075" s="2" t="s">
        <v>17</v>
      </c>
    </row>
    <row r="9076" spans="1:7" x14ac:dyDescent="0.2">
      <c r="A9076" s="2" t="s">
        <v>10646</v>
      </c>
      <c r="B9076" s="2" t="s">
        <v>1717</v>
      </c>
      <c r="C9076" s="2" t="s">
        <v>1716</v>
      </c>
      <c r="D9076" s="2" t="s">
        <v>10</v>
      </c>
      <c r="E9076" s="2" t="s">
        <v>16</v>
      </c>
      <c r="F9076" s="2">
        <v>1</v>
      </c>
      <c r="G9076" s="2" t="s">
        <v>17</v>
      </c>
    </row>
    <row r="9077" spans="1:7" x14ac:dyDescent="0.2">
      <c r="A9077" s="2" t="s">
        <v>10648</v>
      </c>
      <c r="B9077" s="2" t="s">
        <v>10649</v>
      </c>
      <c r="C9077" s="2" t="s">
        <v>10650</v>
      </c>
      <c r="D9077" s="2" t="s">
        <v>10</v>
      </c>
      <c r="E9077" s="2" t="s">
        <v>16</v>
      </c>
      <c r="F9077" s="2">
        <v>1</v>
      </c>
      <c r="G9077" s="2" t="s">
        <v>17</v>
      </c>
    </row>
    <row r="9078" spans="1:7" x14ac:dyDescent="0.2">
      <c r="A9078" s="2" t="s">
        <v>10651</v>
      </c>
      <c r="B9078" s="2" t="s">
        <v>10652</v>
      </c>
      <c r="C9078" s="2" t="s">
        <v>10653</v>
      </c>
      <c r="D9078" s="2" t="s">
        <v>10</v>
      </c>
      <c r="E9078" s="2" t="s">
        <v>16</v>
      </c>
      <c r="F9078" s="2">
        <v>1</v>
      </c>
      <c r="G9078" s="2" t="s">
        <v>17</v>
      </c>
    </row>
    <row r="9079" spans="1:7" x14ac:dyDescent="0.2">
      <c r="A9079" s="2" t="s">
        <v>10651</v>
      </c>
      <c r="B9079" s="2" t="s">
        <v>1977</v>
      </c>
      <c r="C9079" s="2" t="s">
        <v>10653</v>
      </c>
      <c r="D9079" s="2" t="s">
        <v>10</v>
      </c>
      <c r="E9079" s="2" t="s">
        <v>16</v>
      </c>
      <c r="F9079" s="2">
        <v>1</v>
      </c>
      <c r="G9079" s="2" t="s">
        <v>17</v>
      </c>
    </row>
    <row r="9080" spans="1:7" x14ac:dyDescent="0.2">
      <c r="A9080" s="2" t="s">
        <v>10654</v>
      </c>
      <c r="B9080" s="2" t="s">
        <v>10655</v>
      </c>
      <c r="C9080" s="2" t="s">
        <v>4596</v>
      </c>
      <c r="D9080" s="2" t="s">
        <v>10</v>
      </c>
      <c r="E9080" s="2" t="s">
        <v>16</v>
      </c>
      <c r="F9080" s="2">
        <v>1</v>
      </c>
      <c r="G9080" s="2" t="s">
        <v>17</v>
      </c>
    </row>
    <row r="9081" spans="1:7" x14ac:dyDescent="0.2">
      <c r="A9081" s="2" t="s">
        <v>10654</v>
      </c>
      <c r="B9081" s="2" t="s">
        <v>10656</v>
      </c>
      <c r="C9081" s="2" t="s">
        <v>4596</v>
      </c>
      <c r="D9081" s="2" t="s">
        <v>10</v>
      </c>
      <c r="E9081" s="2" t="s">
        <v>16</v>
      </c>
      <c r="F9081" s="2">
        <v>1</v>
      </c>
      <c r="G9081" s="2" t="s">
        <v>17</v>
      </c>
    </row>
    <row r="9082" spans="1:7" x14ac:dyDescent="0.2">
      <c r="A9082" s="2" t="s">
        <v>10654</v>
      </c>
      <c r="B9082" s="2" t="s">
        <v>54</v>
      </c>
      <c r="C9082" s="2" t="s">
        <v>4596</v>
      </c>
      <c r="D9082" s="2" t="s">
        <v>10</v>
      </c>
      <c r="E9082" s="2" t="s">
        <v>16</v>
      </c>
      <c r="F9082" s="2">
        <v>1</v>
      </c>
      <c r="G9082" s="2" t="s">
        <v>17</v>
      </c>
    </row>
    <row r="9083" spans="1:7" x14ac:dyDescent="0.2">
      <c r="A9083" s="2" t="s">
        <v>10654</v>
      </c>
      <c r="B9083" s="2" t="s">
        <v>1761</v>
      </c>
      <c r="C9083" s="2" t="s">
        <v>4596</v>
      </c>
      <c r="D9083" s="2" t="s">
        <v>10</v>
      </c>
      <c r="E9083" s="2" t="s">
        <v>16</v>
      </c>
      <c r="F9083" s="2">
        <v>1</v>
      </c>
      <c r="G9083" s="2" t="s">
        <v>17</v>
      </c>
    </row>
    <row r="9084" spans="1:7" x14ac:dyDescent="0.2">
      <c r="A9084" s="2" t="s">
        <v>10657</v>
      </c>
      <c r="B9084" s="2" t="s">
        <v>1291</v>
      </c>
      <c r="C9084" s="2" t="s">
        <v>1292</v>
      </c>
      <c r="D9084" s="2" t="s">
        <v>10</v>
      </c>
      <c r="E9084" s="2" t="s">
        <v>16</v>
      </c>
      <c r="F9084" s="2">
        <v>1</v>
      </c>
      <c r="G9084" s="2" t="s">
        <v>17</v>
      </c>
    </row>
    <row r="9085" spans="1:7" x14ac:dyDescent="0.2">
      <c r="A9085" s="2" t="s">
        <v>10657</v>
      </c>
      <c r="B9085" s="2" t="s">
        <v>2595</v>
      </c>
      <c r="C9085" s="2" t="s">
        <v>10658</v>
      </c>
      <c r="D9085" s="2" t="s">
        <v>10</v>
      </c>
      <c r="E9085" s="2" t="s">
        <v>16</v>
      </c>
      <c r="F9085" s="2">
        <v>1</v>
      </c>
      <c r="G9085" s="2" t="s">
        <v>17</v>
      </c>
    </row>
    <row r="9086" spans="1:7" x14ac:dyDescent="0.2">
      <c r="A9086" s="2" t="s">
        <v>10659</v>
      </c>
      <c r="B9086" s="2" t="s">
        <v>10660</v>
      </c>
      <c r="C9086" s="2" t="s">
        <v>10661</v>
      </c>
      <c r="D9086" s="2" t="s">
        <v>10</v>
      </c>
      <c r="E9086" s="2" t="s">
        <v>16</v>
      </c>
      <c r="F9086" s="2">
        <v>2</v>
      </c>
      <c r="G9086" s="2" t="s">
        <v>17</v>
      </c>
    </row>
    <row r="9087" spans="1:7" x14ac:dyDescent="0.2">
      <c r="A9087" s="2" t="s">
        <v>10659</v>
      </c>
      <c r="B9087" s="2" t="s">
        <v>10662</v>
      </c>
      <c r="C9087" s="2" t="s">
        <v>10661</v>
      </c>
      <c r="D9087" s="2" t="s">
        <v>10</v>
      </c>
      <c r="E9087" s="2" t="s">
        <v>16</v>
      </c>
      <c r="F9087" s="2">
        <v>2</v>
      </c>
      <c r="G9087" s="2" t="s">
        <v>17</v>
      </c>
    </row>
    <row r="9088" spans="1:7" x14ac:dyDescent="0.2">
      <c r="A9088" s="2" t="s">
        <v>10663</v>
      </c>
      <c r="B9088" s="2" t="s">
        <v>10664</v>
      </c>
      <c r="C9088" s="2" t="s">
        <v>10665</v>
      </c>
      <c r="D9088" s="2" t="s">
        <v>10</v>
      </c>
      <c r="E9088" s="2" t="s">
        <v>16</v>
      </c>
      <c r="F9088" s="2">
        <v>1</v>
      </c>
      <c r="G9088" s="2" t="s">
        <v>17</v>
      </c>
    </row>
    <row r="9089" spans="1:7" x14ac:dyDescent="0.2">
      <c r="A9089" s="2" t="s">
        <v>10666</v>
      </c>
      <c r="B9089" s="2" t="s">
        <v>4595</v>
      </c>
      <c r="C9089" s="2" t="s">
        <v>4596</v>
      </c>
      <c r="D9089" s="2" t="s">
        <v>10</v>
      </c>
      <c r="E9089" s="2" t="s">
        <v>16</v>
      </c>
      <c r="F9089" s="2">
        <v>1</v>
      </c>
      <c r="G9089" s="2" t="s">
        <v>17</v>
      </c>
    </row>
    <row r="9090" spans="1:7" x14ac:dyDescent="0.2">
      <c r="A9090" s="2" t="s">
        <v>10666</v>
      </c>
      <c r="B9090" s="2" t="s">
        <v>10667</v>
      </c>
      <c r="C9090" s="2" t="s">
        <v>10668</v>
      </c>
      <c r="D9090" s="2" t="s">
        <v>10</v>
      </c>
      <c r="E9090" s="2" t="s">
        <v>16</v>
      </c>
      <c r="F9090" s="2">
        <v>1</v>
      </c>
      <c r="G9090" s="2" t="s">
        <v>17</v>
      </c>
    </row>
    <row r="9091" spans="1:7" x14ac:dyDescent="0.2">
      <c r="A9091" s="2" t="s">
        <v>10666</v>
      </c>
      <c r="B9091" s="2" t="s">
        <v>10669</v>
      </c>
      <c r="C9091" s="2" t="s">
        <v>10668</v>
      </c>
      <c r="D9091" s="2" t="s">
        <v>10</v>
      </c>
      <c r="E9091" s="2" t="s">
        <v>16</v>
      </c>
      <c r="F9091" s="2">
        <v>1</v>
      </c>
      <c r="G9091" s="2" t="s">
        <v>17</v>
      </c>
    </row>
    <row r="9092" spans="1:7" x14ac:dyDescent="0.2">
      <c r="A9092" s="2" t="s">
        <v>10666</v>
      </c>
      <c r="B9092" s="2" t="s">
        <v>279</v>
      </c>
      <c r="C9092" s="2" t="s">
        <v>280</v>
      </c>
      <c r="D9092" s="2" t="s">
        <v>10</v>
      </c>
      <c r="E9092" s="2" t="s">
        <v>16</v>
      </c>
      <c r="F9092" s="2">
        <v>1</v>
      </c>
      <c r="G9092" s="2" t="s">
        <v>17</v>
      </c>
    </row>
    <row r="9093" spans="1:7" x14ac:dyDescent="0.2">
      <c r="A9093" s="2" t="s">
        <v>10670</v>
      </c>
      <c r="B9093" s="2" t="s">
        <v>10671</v>
      </c>
      <c r="C9093" s="2" t="s">
        <v>10672</v>
      </c>
      <c r="D9093" s="2" t="s">
        <v>10</v>
      </c>
      <c r="E9093" s="2" t="s">
        <v>16</v>
      </c>
      <c r="F9093" s="2">
        <v>1</v>
      </c>
      <c r="G9093" s="2" t="s">
        <v>17</v>
      </c>
    </row>
    <row r="9094" spans="1:7" x14ac:dyDescent="0.2">
      <c r="A9094" s="2" t="s">
        <v>10670</v>
      </c>
      <c r="B9094" s="2" t="s">
        <v>10673</v>
      </c>
      <c r="C9094" s="2" t="s">
        <v>10672</v>
      </c>
      <c r="D9094" s="2" t="s">
        <v>10</v>
      </c>
      <c r="E9094" s="2" t="s">
        <v>16</v>
      </c>
      <c r="F9094" s="2">
        <v>1</v>
      </c>
      <c r="G9094" s="2" t="s">
        <v>17</v>
      </c>
    </row>
    <row r="9095" spans="1:7" x14ac:dyDescent="0.2">
      <c r="A9095" s="2" t="s">
        <v>10674</v>
      </c>
      <c r="B9095" s="2" t="s">
        <v>10675</v>
      </c>
      <c r="C9095" s="2" t="s">
        <v>10676</v>
      </c>
      <c r="D9095" s="2" t="s">
        <v>10</v>
      </c>
      <c r="E9095" s="2" t="s">
        <v>16</v>
      </c>
      <c r="F9095" s="2">
        <v>1</v>
      </c>
      <c r="G9095" s="2" t="s">
        <v>17</v>
      </c>
    </row>
    <row r="9096" spans="1:7" x14ac:dyDescent="0.2">
      <c r="A9096" s="2" t="s">
        <v>10674</v>
      </c>
      <c r="B9096" s="2" t="s">
        <v>5516</v>
      </c>
      <c r="C9096" s="2" t="s">
        <v>10676</v>
      </c>
      <c r="D9096" s="2" t="s">
        <v>10</v>
      </c>
      <c r="E9096" s="2" t="s">
        <v>16</v>
      </c>
      <c r="F9096" s="2">
        <v>1</v>
      </c>
      <c r="G9096" s="2" t="s">
        <v>17</v>
      </c>
    </row>
    <row r="9097" spans="1:7" x14ac:dyDescent="0.2">
      <c r="A9097" s="2" t="s">
        <v>10677</v>
      </c>
      <c r="B9097" s="2">
        <v>360</v>
      </c>
      <c r="C9097" s="2" t="s">
        <v>10678</v>
      </c>
      <c r="D9097" s="2" t="s">
        <v>10</v>
      </c>
      <c r="E9097" s="2" t="s">
        <v>16</v>
      </c>
      <c r="F9097" s="2">
        <v>1</v>
      </c>
      <c r="G9097" s="2" t="s">
        <v>17</v>
      </c>
    </row>
    <row r="9098" spans="1:7" x14ac:dyDescent="0.2">
      <c r="A9098" s="2" t="s">
        <v>10677</v>
      </c>
      <c r="B9098" s="2">
        <v>540</v>
      </c>
      <c r="C9098" s="2" t="s">
        <v>10679</v>
      </c>
      <c r="D9098" s="2" t="s">
        <v>10</v>
      </c>
      <c r="E9098" s="2" t="s">
        <v>16</v>
      </c>
      <c r="F9098" s="2">
        <v>1</v>
      </c>
      <c r="G9098" s="2" t="s">
        <v>17</v>
      </c>
    </row>
    <row r="9099" spans="1:7" x14ac:dyDescent="0.2">
      <c r="A9099" s="2" t="s">
        <v>10680</v>
      </c>
      <c r="B9099" s="2" t="s">
        <v>1324</v>
      </c>
      <c r="C9099" s="2" t="s">
        <v>1323</v>
      </c>
      <c r="D9099" s="2" t="s">
        <v>10</v>
      </c>
      <c r="E9099" s="2" t="s">
        <v>16</v>
      </c>
      <c r="F9099" s="2">
        <v>1</v>
      </c>
      <c r="G9099" s="2" t="s">
        <v>17</v>
      </c>
    </row>
    <row r="9100" spans="1:7" x14ac:dyDescent="0.2">
      <c r="A9100" s="2" t="s">
        <v>10680</v>
      </c>
      <c r="B9100" s="2" t="s">
        <v>1322</v>
      </c>
      <c r="C9100" s="2" t="s">
        <v>1323</v>
      </c>
      <c r="D9100" s="2" t="s">
        <v>10</v>
      </c>
      <c r="E9100" s="2" t="s">
        <v>16</v>
      </c>
      <c r="F9100" s="2">
        <v>1</v>
      </c>
      <c r="G9100" s="2" t="s">
        <v>17</v>
      </c>
    </row>
    <row r="9101" spans="1:7" x14ac:dyDescent="0.2">
      <c r="A9101" s="2" t="s">
        <v>10680</v>
      </c>
      <c r="B9101" s="2" t="s">
        <v>1325</v>
      </c>
      <c r="C9101" s="2" t="s">
        <v>1321</v>
      </c>
      <c r="D9101" s="2" t="s">
        <v>10</v>
      </c>
      <c r="E9101" s="2" t="s">
        <v>16</v>
      </c>
      <c r="F9101" s="2">
        <v>1</v>
      </c>
      <c r="G9101" s="2" t="s">
        <v>17</v>
      </c>
    </row>
    <row r="9102" spans="1:7" x14ac:dyDescent="0.2">
      <c r="A9102" s="2" t="s">
        <v>10680</v>
      </c>
      <c r="B9102" s="2" t="s">
        <v>1320</v>
      </c>
      <c r="C9102" s="2" t="s">
        <v>1321</v>
      </c>
      <c r="D9102" s="2" t="s">
        <v>10</v>
      </c>
      <c r="E9102" s="2" t="s">
        <v>16</v>
      </c>
      <c r="F9102" s="2">
        <v>1</v>
      </c>
      <c r="G9102" s="2" t="s">
        <v>17</v>
      </c>
    </row>
    <row r="9103" spans="1:7" x14ac:dyDescent="0.2">
      <c r="A9103" s="2" t="s">
        <v>10680</v>
      </c>
      <c r="B9103" s="2" t="s">
        <v>10681</v>
      </c>
      <c r="C9103" s="2" t="s">
        <v>10682</v>
      </c>
      <c r="D9103" s="2" t="s">
        <v>10</v>
      </c>
      <c r="E9103" s="2" t="s">
        <v>16</v>
      </c>
      <c r="F9103" s="2">
        <v>1</v>
      </c>
      <c r="G9103" s="2" t="s">
        <v>17</v>
      </c>
    </row>
    <row r="9104" spans="1:7" x14ac:dyDescent="0.2">
      <c r="A9104" s="2" t="s">
        <v>10683</v>
      </c>
      <c r="B9104" s="2" t="s">
        <v>5435</v>
      </c>
      <c r="C9104" s="2" t="s">
        <v>5729</v>
      </c>
      <c r="D9104" s="2" t="s">
        <v>10</v>
      </c>
      <c r="E9104" s="2" t="s">
        <v>16</v>
      </c>
      <c r="F9104" s="2">
        <v>1</v>
      </c>
      <c r="G9104" s="2" t="s">
        <v>17</v>
      </c>
    </row>
    <row r="9105" spans="1:7" x14ac:dyDescent="0.2">
      <c r="A9105" s="2" t="s">
        <v>10683</v>
      </c>
      <c r="B9105" s="2" t="s">
        <v>2015</v>
      </c>
      <c r="C9105" s="2" t="s">
        <v>2016</v>
      </c>
      <c r="D9105" s="2" t="s">
        <v>10</v>
      </c>
      <c r="E9105" s="2" t="s">
        <v>16</v>
      </c>
      <c r="F9105" s="2">
        <v>1</v>
      </c>
      <c r="G9105" s="2" t="s">
        <v>17</v>
      </c>
    </row>
    <row r="9106" spans="1:7" x14ac:dyDescent="0.2">
      <c r="A9106" s="2" t="s">
        <v>10683</v>
      </c>
      <c r="B9106" s="2" t="s">
        <v>10684</v>
      </c>
      <c r="C9106" s="2" t="s">
        <v>5729</v>
      </c>
      <c r="D9106" s="2" t="s">
        <v>10</v>
      </c>
      <c r="E9106" s="2" t="s">
        <v>16</v>
      </c>
      <c r="F9106" s="2">
        <v>1</v>
      </c>
      <c r="G9106" s="2" t="s">
        <v>17</v>
      </c>
    </row>
    <row r="9107" spans="1:7" x14ac:dyDescent="0.2">
      <c r="A9107" s="2" t="s">
        <v>10683</v>
      </c>
      <c r="B9107" s="2" t="s">
        <v>2017</v>
      </c>
      <c r="C9107" s="2" t="s">
        <v>2016</v>
      </c>
      <c r="D9107" s="2" t="s">
        <v>10</v>
      </c>
      <c r="E9107" s="2" t="s">
        <v>16</v>
      </c>
      <c r="F9107" s="2">
        <v>1</v>
      </c>
      <c r="G9107" s="2" t="s">
        <v>17</v>
      </c>
    </row>
    <row r="9108" spans="1:7" x14ac:dyDescent="0.2">
      <c r="A9108" s="2" t="s">
        <v>10683</v>
      </c>
      <c r="B9108" s="2" t="s">
        <v>10685</v>
      </c>
      <c r="C9108" s="2" t="s">
        <v>5729</v>
      </c>
      <c r="D9108" s="2" t="s">
        <v>10</v>
      </c>
      <c r="E9108" s="2" t="s">
        <v>16</v>
      </c>
      <c r="F9108" s="2">
        <v>1</v>
      </c>
      <c r="G9108" s="2" t="s">
        <v>17</v>
      </c>
    </row>
    <row r="9109" spans="1:7" x14ac:dyDescent="0.2">
      <c r="A9109" s="2" t="s">
        <v>10686</v>
      </c>
      <c r="B9109" s="2" t="s">
        <v>3746</v>
      </c>
      <c r="C9109" s="2" t="s">
        <v>10687</v>
      </c>
      <c r="D9109" s="2" t="s">
        <v>10</v>
      </c>
      <c r="E9109" s="2" t="s">
        <v>16</v>
      </c>
      <c r="F9109" s="2">
        <v>1</v>
      </c>
      <c r="G9109" s="2" t="s">
        <v>17</v>
      </c>
    </row>
    <row r="9110" spans="1:7" x14ac:dyDescent="0.2">
      <c r="A9110" s="2" t="s">
        <v>10686</v>
      </c>
      <c r="B9110" s="2" t="s">
        <v>6884</v>
      </c>
      <c r="C9110" s="2" t="s">
        <v>6885</v>
      </c>
      <c r="D9110" s="2" t="s">
        <v>10</v>
      </c>
      <c r="E9110" s="2" t="s">
        <v>16</v>
      </c>
      <c r="F9110" s="2">
        <v>1</v>
      </c>
      <c r="G9110" s="2" t="s">
        <v>17</v>
      </c>
    </row>
    <row r="9111" spans="1:7" x14ac:dyDescent="0.2">
      <c r="A9111" s="2" t="s">
        <v>10686</v>
      </c>
      <c r="B9111" s="2" t="s">
        <v>7080</v>
      </c>
      <c r="C9111" s="2" t="s">
        <v>6885</v>
      </c>
      <c r="D9111" s="2" t="s">
        <v>10</v>
      </c>
      <c r="E9111" s="2" t="s">
        <v>16</v>
      </c>
      <c r="F9111" s="2">
        <v>1</v>
      </c>
      <c r="G9111" s="2" t="s">
        <v>17</v>
      </c>
    </row>
    <row r="9112" spans="1:7" x14ac:dyDescent="0.2">
      <c r="A9112" s="2" t="s">
        <v>10686</v>
      </c>
      <c r="B9112" s="2" t="s">
        <v>10688</v>
      </c>
      <c r="C9112" s="2" t="s">
        <v>10689</v>
      </c>
      <c r="D9112" s="2" t="s">
        <v>10</v>
      </c>
      <c r="E9112" s="2" t="s">
        <v>16</v>
      </c>
      <c r="F9112" s="2">
        <v>1</v>
      </c>
      <c r="G9112" s="2" t="s">
        <v>17</v>
      </c>
    </row>
    <row r="9113" spans="1:7" x14ac:dyDescent="0.2">
      <c r="A9113" s="2" t="s">
        <v>10686</v>
      </c>
      <c r="B9113" s="2" t="s">
        <v>10690</v>
      </c>
      <c r="C9113" s="2" t="s">
        <v>10691</v>
      </c>
      <c r="D9113" s="2" t="s">
        <v>10</v>
      </c>
      <c r="E9113" s="2" t="s">
        <v>16</v>
      </c>
      <c r="F9113" s="2">
        <v>2</v>
      </c>
      <c r="G9113" s="2" t="s">
        <v>17</v>
      </c>
    </row>
    <row r="9114" spans="1:7" x14ac:dyDescent="0.2">
      <c r="A9114" s="2" t="s">
        <v>10686</v>
      </c>
      <c r="B9114" s="2" t="s">
        <v>6887</v>
      </c>
      <c r="C9114" s="2" t="s">
        <v>6888</v>
      </c>
      <c r="D9114" s="2" t="s">
        <v>10</v>
      </c>
      <c r="E9114" s="2" t="s">
        <v>16</v>
      </c>
      <c r="F9114" s="2">
        <v>2</v>
      </c>
      <c r="G9114" s="2" t="s">
        <v>17</v>
      </c>
    </row>
    <row r="9115" spans="1:7" x14ac:dyDescent="0.2">
      <c r="A9115" s="2" t="s">
        <v>10686</v>
      </c>
      <c r="B9115" s="2" t="s">
        <v>10692</v>
      </c>
      <c r="C9115" s="2" t="s">
        <v>6885</v>
      </c>
      <c r="D9115" s="2" t="s">
        <v>10</v>
      </c>
      <c r="E9115" s="2" t="s">
        <v>16</v>
      </c>
      <c r="F9115" s="2">
        <v>1</v>
      </c>
      <c r="G9115" s="2" t="s">
        <v>17</v>
      </c>
    </row>
    <row r="9116" spans="1:7" x14ac:dyDescent="0.2">
      <c r="A9116" s="2" t="s">
        <v>10693</v>
      </c>
      <c r="B9116" s="2" t="s">
        <v>2625</v>
      </c>
      <c r="C9116" s="2" t="s">
        <v>35</v>
      </c>
      <c r="D9116" s="2" t="s">
        <v>29</v>
      </c>
      <c r="E9116" s="2" t="s">
        <v>16</v>
      </c>
      <c r="F9116" s="2">
        <v>1</v>
      </c>
      <c r="G9116" s="2" t="s">
        <v>17</v>
      </c>
    </row>
    <row r="9117" spans="1:7" x14ac:dyDescent="0.2">
      <c r="A9117" s="2" t="s">
        <v>10694</v>
      </c>
      <c r="B9117" s="2" t="s">
        <v>10695</v>
      </c>
      <c r="C9117" s="2" t="s">
        <v>4444</v>
      </c>
      <c r="D9117" s="2" t="s">
        <v>10</v>
      </c>
      <c r="E9117" s="2" t="s">
        <v>16</v>
      </c>
      <c r="F9117" s="2">
        <v>1</v>
      </c>
      <c r="G9117" s="2" t="s">
        <v>17</v>
      </c>
    </row>
    <row r="9118" spans="1:7" x14ac:dyDescent="0.2">
      <c r="A9118" s="2" t="s">
        <v>10694</v>
      </c>
      <c r="B9118" s="2" t="s">
        <v>10696</v>
      </c>
      <c r="C9118" s="2" t="s">
        <v>4444</v>
      </c>
      <c r="D9118" s="2" t="s">
        <v>10</v>
      </c>
      <c r="E9118" s="2" t="s">
        <v>16</v>
      </c>
      <c r="F9118" s="2">
        <v>1</v>
      </c>
      <c r="G9118" s="2" t="s">
        <v>17</v>
      </c>
    </row>
    <row r="9119" spans="1:7" x14ac:dyDescent="0.2">
      <c r="A9119" s="2" t="s">
        <v>10694</v>
      </c>
      <c r="B9119" s="2" t="s">
        <v>10697</v>
      </c>
      <c r="C9119" s="2" t="s">
        <v>4444</v>
      </c>
      <c r="D9119" s="2" t="s">
        <v>10</v>
      </c>
      <c r="E9119" s="2" t="s">
        <v>16</v>
      </c>
      <c r="F9119" s="2">
        <v>1</v>
      </c>
      <c r="G9119" s="2" t="s">
        <v>17</v>
      </c>
    </row>
    <row r="9120" spans="1:7" x14ac:dyDescent="0.2">
      <c r="A9120" s="2" t="s">
        <v>10694</v>
      </c>
      <c r="B9120" s="2" t="s">
        <v>10698</v>
      </c>
      <c r="C9120" s="2" t="s">
        <v>4444</v>
      </c>
      <c r="D9120" s="2" t="s">
        <v>10</v>
      </c>
      <c r="E9120" s="2" t="s">
        <v>16</v>
      </c>
      <c r="F9120" s="2">
        <v>1</v>
      </c>
      <c r="G9120" s="2" t="s">
        <v>17</v>
      </c>
    </row>
    <row r="9121" spans="1:7" x14ac:dyDescent="0.2">
      <c r="A9121" s="2" t="s">
        <v>10699</v>
      </c>
      <c r="B9121" s="2" t="s">
        <v>10700</v>
      </c>
      <c r="C9121" s="2" t="s">
        <v>10701</v>
      </c>
      <c r="D9121" s="2" t="s">
        <v>10</v>
      </c>
      <c r="E9121" s="2" t="s">
        <v>16</v>
      </c>
      <c r="F9121" s="2">
        <v>1</v>
      </c>
      <c r="G9121" s="2" t="s">
        <v>17</v>
      </c>
    </row>
    <row r="9122" spans="1:7" x14ac:dyDescent="0.2">
      <c r="A9122" s="2" t="s">
        <v>10699</v>
      </c>
      <c r="B9122" s="2" t="s">
        <v>10702</v>
      </c>
      <c r="C9122" s="2" t="s">
        <v>10701</v>
      </c>
      <c r="D9122" s="2" t="s">
        <v>10</v>
      </c>
      <c r="E9122" s="2" t="s">
        <v>16</v>
      </c>
      <c r="F9122" s="2">
        <v>1</v>
      </c>
      <c r="G9122" s="2" t="s">
        <v>17</v>
      </c>
    </row>
    <row r="9123" spans="1:7" x14ac:dyDescent="0.2">
      <c r="A9123" s="2" t="s">
        <v>10703</v>
      </c>
      <c r="B9123" s="2" t="s">
        <v>10704</v>
      </c>
      <c r="C9123" s="2" t="s">
        <v>10705</v>
      </c>
      <c r="D9123" s="2" t="s">
        <v>10</v>
      </c>
      <c r="E9123" s="2" t="s">
        <v>16</v>
      </c>
      <c r="F9123" s="2">
        <v>1</v>
      </c>
      <c r="G9123" s="2" t="s">
        <v>17</v>
      </c>
    </row>
    <row r="9124" spans="1:7" x14ac:dyDescent="0.2">
      <c r="A9124" s="2" t="s">
        <v>10706</v>
      </c>
      <c r="B9124" s="2" t="s">
        <v>10707</v>
      </c>
      <c r="C9124" s="2" t="s">
        <v>10708</v>
      </c>
      <c r="D9124" s="2" t="s">
        <v>10</v>
      </c>
      <c r="E9124" s="2" t="s">
        <v>16</v>
      </c>
      <c r="F9124" s="2">
        <v>1</v>
      </c>
      <c r="G9124" s="2" t="s">
        <v>17</v>
      </c>
    </row>
    <row r="9125" spans="1:7" x14ac:dyDescent="0.2">
      <c r="A9125" s="2" t="s">
        <v>10709</v>
      </c>
      <c r="B9125" s="2" t="s">
        <v>2107</v>
      </c>
      <c r="C9125" s="2" t="s">
        <v>1301</v>
      </c>
      <c r="D9125" s="2" t="s">
        <v>10</v>
      </c>
      <c r="E9125" s="2" t="s">
        <v>16</v>
      </c>
      <c r="F9125" s="2">
        <v>1</v>
      </c>
      <c r="G9125" s="2" t="s">
        <v>17</v>
      </c>
    </row>
    <row r="9126" spans="1:7" x14ac:dyDescent="0.2">
      <c r="A9126" s="2" t="s">
        <v>10709</v>
      </c>
      <c r="B9126" s="2" t="s">
        <v>10710</v>
      </c>
      <c r="C9126" s="2" t="s">
        <v>10711</v>
      </c>
      <c r="D9126" s="2" t="s">
        <v>10</v>
      </c>
      <c r="E9126" s="2" t="s">
        <v>52</v>
      </c>
      <c r="F9126" s="2">
        <v>1</v>
      </c>
      <c r="G9126" s="2" t="s">
        <v>17</v>
      </c>
    </row>
    <row r="9127" spans="1:7" x14ac:dyDescent="0.2">
      <c r="A9127" s="2" t="s">
        <v>10709</v>
      </c>
      <c r="B9127" s="2" t="s">
        <v>2105</v>
      </c>
      <c r="C9127" s="2" t="s">
        <v>1301</v>
      </c>
      <c r="D9127" s="2" t="s">
        <v>10</v>
      </c>
      <c r="E9127" s="2" t="s">
        <v>16</v>
      </c>
      <c r="F9127" s="2">
        <v>1</v>
      </c>
      <c r="G9127" s="2" t="s">
        <v>17</v>
      </c>
    </row>
    <row r="9128" spans="1:7" x14ac:dyDescent="0.2">
      <c r="A9128" s="2" t="s">
        <v>10709</v>
      </c>
      <c r="B9128" s="2" t="s">
        <v>10712</v>
      </c>
      <c r="C9128" s="2" t="s">
        <v>10711</v>
      </c>
      <c r="D9128" s="2" t="s">
        <v>10</v>
      </c>
      <c r="E9128" s="2" t="s">
        <v>52</v>
      </c>
      <c r="F9128" s="2">
        <v>1</v>
      </c>
      <c r="G9128" s="2" t="s">
        <v>17</v>
      </c>
    </row>
    <row r="9129" spans="1:7" x14ac:dyDescent="0.2">
      <c r="A9129" s="2" t="s">
        <v>10713</v>
      </c>
      <c r="B9129" s="2" t="s">
        <v>10714</v>
      </c>
      <c r="C9129" s="2" t="s">
        <v>10715</v>
      </c>
      <c r="D9129" s="2" t="s">
        <v>10</v>
      </c>
      <c r="E9129" s="2" t="s">
        <v>16</v>
      </c>
      <c r="F9129" s="2">
        <v>1</v>
      </c>
      <c r="G9129" s="2" t="s">
        <v>17</v>
      </c>
    </row>
    <row r="9130" spans="1:7" x14ac:dyDescent="0.2">
      <c r="A9130" s="2" t="s">
        <v>10713</v>
      </c>
      <c r="B9130" s="2" t="s">
        <v>10716</v>
      </c>
      <c r="C9130" s="2" t="s">
        <v>10715</v>
      </c>
      <c r="D9130" s="2" t="s">
        <v>10</v>
      </c>
      <c r="E9130" s="2" t="s">
        <v>16</v>
      </c>
      <c r="F9130" s="2">
        <v>1</v>
      </c>
      <c r="G9130" s="2" t="s">
        <v>17</v>
      </c>
    </row>
    <row r="9131" spans="1:7" x14ac:dyDescent="0.2">
      <c r="A9131" s="2" t="s">
        <v>10717</v>
      </c>
      <c r="B9131" s="2" t="s">
        <v>3256</v>
      </c>
      <c r="C9131" s="2" t="s">
        <v>3257</v>
      </c>
      <c r="D9131" s="2" t="s">
        <v>64</v>
      </c>
      <c r="E9131" s="2" t="s">
        <v>16</v>
      </c>
      <c r="F9131" s="2">
        <v>1</v>
      </c>
      <c r="G9131" s="2" t="s">
        <v>17</v>
      </c>
    </row>
    <row r="9132" spans="1:7" x14ac:dyDescent="0.2">
      <c r="A9132" s="2" t="s">
        <v>10717</v>
      </c>
      <c r="B9132" s="2" t="s">
        <v>3258</v>
      </c>
      <c r="C9132" s="2" t="s">
        <v>3257</v>
      </c>
      <c r="D9132" s="2" t="s">
        <v>64</v>
      </c>
      <c r="E9132" s="2" t="s">
        <v>16</v>
      </c>
      <c r="F9132" s="2">
        <v>1</v>
      </c>
      <c r="G9132" s="2" t="s">
        <v>17</v>
      </c>
    </row>
    <row r="9133" spans="1:7" x14ac:dyDescent="0.2">
      <c r="A9133" s="2" t="s">
        <v>10718</v>
      </c>
      <c r="B9133" s="2" t="s">
        <v>10719</v>
      </c>
      <c r="C9133" s="2" t="s">
        <v>269</v>
      </c>
      <c r="D9133" s="2" t="s">
        <v>10</v>
      </c>
      <c r="E9133" s="2" t="s">
        <v>16</v>
      </c>
      <c r="F9133" s="2">
        <v>1</v>
      </c>
      <c r="G9133" s="2" t="s">
        <v>17</v>
      </c>
    </row>
    <row r="9134" spans="1:7" x14ac:dyDescent="0.2">
      <c r="A9134" s="2" t="s">
        <v>10720</v>
      </c>
      <c r="B9134" s="2" t="s">
        <v>4209</v>
      </c>
      <c r="C9134" s="2" t="s">
        <v>2630</v>
      </c>
      <c r="D9134" s="2" t="s">
        <v>10</v>
      </c>
      <c r="E9134" s="2" t="s">
        <v>16</v>
      </c>
      <c r="F9134" s="2">
        <v>1</v>
      </c>
      <c r="G9134" s="2" t="s">
        <v>17</v>
      </c>
    </row>
    <row r="9135" spans="1:7" x14ac:dyDescent="0.2">
      <c r="A9135" s="2" t="s">
        <v>10720</v>
      </c>
      <c r="B9135" s="2" t="s">
        <v>4210</v>
      </c>
      <c r="C9135" s="2" t="s">
        <v>2630</v>
      </c>
      <c r="D9135" s="2" t="s">
        <v>10</v>
      </c>
      <c r="E9135" s="2" t="s">
        <v>16</v>
      </c>
      <c r="F9135" s="2">
        <v>1</v>
      </c>
      <c r="G9135" s="2" t="s">
        <v>17</v>
      </c>
    </row>
    <row r="9136" spans="1:7" x14ac:dyDescent="0.2">
      <c r="A9136" s="2" t="s">
        <v>10721</v>
      </c>
      <c r="B9136" s="2" t="s">
        <v>10722</v>
      </c>
      <c r="C9136" s="2" t="s">
        <v>10723</v>
      </c>
      <c r="D9136" s="2" t="s">
        <v>10</v>
      </c>
      <c r="E9136" s="2" t="s">
        <v>16</v>
      </c>
      <c r="F9136" s="2">
        <v>1</v>
      </c>
      <c r="G9136" s="2" t="s">
        <v>17</v>
      </c>
    </row>
    <row r="9137" spans="1:7" x14ac:dyDescent="0.2">
      <c r="A9137" s="2" t="s">
        <v>10721</v>
      </c>
      <c r="B9137" s="2" t="s">
        <v>638</v>
      </c>
      <c r="C9137" s="2" t="s">
        <v>639</v>
      </c>
      <c r="D9137" s="2" t="s">
        <v>10</v>
      </c>
      <c r="E9137" s="2" t="s">
        <v>16</v>
      </c>
      <c r="F9137" s="2">
        <v>1</v>
      </c>
      <c r="G9137" s="2" t="s">
        <v>17</v>
      </c>
    </row>
    <row r="9138" spans="1:7" x14ac:dyDescent="0.2">
      <c r="A9138" s="2" t="s">
        <v>10721</v>
      </c>
      <c r="B9138" s="2" t="s">
        <v>10724</v>
      </c>
      <c r="C9138" s="2" t="s">
        <v>10725</v>
      </c>
      <c r="D9138" s="2" t="s">
        <v>10</v>
      </c>
      <c r="E9138" s="2" t="s">
        <v>16</v>
      </c>
      <c r="F9138" s="2">
        <v>1</v>
      </c>
      <c r="G9138" s="2" t="s">
        <v>17</v>
      </c>
    </row>
    <row r="9139" spans="1:7" x14ac:dyDescent="0.2">
      <c r="A9139" s="2" t="s">
        <v>10721</v>
      </c>
      <c r="B9139" s="2" t="s">
        <v>10726</v>
      </c>
      <c r="C9139" s="2" t="s">
        <v>8374</v>
      </c>
      <c r="D9139" s="2" t="s">
        <v>10</v>
      </c>
      <c r="E9139" s="2" t="s">
        <v>16</v>
      </c>
      <c r="F9139" s="2">
        <v>1</v>
      </c>
      <c r="G9139" s="2" t="s">
        <v>17</v>
      </c>
    </row>
    <row r="9140" spans="1:7" x14ac:dyDescent="0.2">
      <c r="A9140" s="2" t="s">
        <v>10721</v>
      </c>
      <c r="B9140" s="2" t="s">
        <v>10727</v>
      </c>
      <c r="C9140" s="2" t="s">
        <v>8374</v>
      </c>
      <c r="D9140" s="2" t="s">
        <v>10</v>
      </c>
      <c r="E9140" s="2" t="s">
        <v>16</v>
      </c>
      <c r="F9140" s="2">
        <v>1</v>
      </c>
      <c r="G9140" s="2" t="s">
        <v>17</v>
      </c>
    </row>
    <row r="9141" spans="1:7" x14ac:dyDescent="0.2">
      <c r="A9141" s="2" t="s">
        <v>10721</v>
      </c>
      <c r="B9141" s="2" t="s">
        <v>10728</v>
      </c>
      <c r="C9141" s="2" t="s">
        <v>8374</v>
      </c>
      <c r="D9141" s="2" t="s">
        <v>10</v>
      </c>
      <c r="E9141" s="2" t="s">
        <v>16</v>
      </c>
      <c r="F9141" s="2">
        <v>1</v>
      </c>
      <c r="G9141" s="2" t="s">
        <v>17</v>
      </c>
    </row>
    <row r="9142" spans="1:7" x14ac:dyDescent="0.2">
      <c r="A9142" s="2" t="s">
        <v>10721</v>
      </c>
      <c r="B9142" s="2" t="s">
        <v>10729</v>
      </c>
      <c r="C9142" s="2" t="s">
        <v>8374</v>
      </c>
      <c r="D9142" s="2" t="s">
        <v>10</v>
      </c>
      <c r="E9142" s="2" t="s">
        <v>16</v>
      </c>
      <c r="F9142" s="2">
        <v>1</v>
      </c>
      <c r="G9142" s="2" t="s">
        <v>17</v>
      </c>
    </row>
    <row r="9143" spans="1:7" x14ac:dyDescent="0.2">
      <c r="A9143" s="2" t="s">
        <v>10721</v>
      </c>
      <c r="B9143" s="2" t="s">
        <v>10730</v>
      </c>
      <c r="C9143" s="2" t="s">
        <v>8374</v>
      </c>
      <c r="D9143" s="2" t="s">
        <v>10</v>
      </c>
      <c r="E9143" s="2" t="s">
        <v>16</v>
      </c>
      <c r="F9143" s="2">
        <v>1</v>
      </c>
      <c r="G9143" s="2" t="s">
        <v>17</v>
      </c>
    </row>
    <row r="9144" spans="1:7" x14ac:dyDescent="0.2">
      <c r="A9144" s="2" t="s">
        <v>10721</v>
      </c>
      <c r="B9144" s="2" t="s">
        <v>10731</v>
      </c>
      <c r="C9144" s="2" t="s">
        <v>8374</v>
      </c>
      <c r="D9144" s="2" t="s">
        <v>10</v>
      </c>
      <c r="E9144" s="2" t="s">
        <v>16</v>
      </c>
      <c r="F9144" s="2">
        <v>1</v>
      </c>
      <c r="G9144" s="2" t="s">
        <v>17</v>
      </c>
    </row>
    <row r="9145" spans="1:7" x14ac:dyDescent="0.2">
      <c r="A9145" s="2" t="s">
        <v>10721</v>
      </c>
      <c r="B9145" s="2" t="s">
        <v>10732</v>
      </c>
      <c r="C9145" s="2" t="s">
        <v>8374</v>
      </c>
      <c r="D9145" s="2" t="s">
        <v>10</v>
      </c>
      <c r="E9145" s="2" t="s">
        <v>16</v>
      </c>
      <c r="F9145" s="2">
        <v>1</v>
      </c>
      <c r="G9145" s="2" t="s">
        <v>17</v>
      </c>
    </row>
    <row r="9146" spans="1:7" x14ac:dyDescent="0.2">
      <c r="A9146" s="2" t="s">
        <v>10721</v>
      </c>
      <c r="B9146" s="2" t="s">
        <v>5822</v>
      </c>
      <c r="C9146" s="2" t="s">
        <v>5823</v>
      </c>
      <c r="D9146" s="2" t="s">
        <v>10</v>
      </c>
      <c r="E9146" s="2" t="s">
        <v>16</v>
      </c>
      <c r="F9146" s="2">
        <v>1</v>
      </c>
      <c r="G9146" s="2" t="s">
        <v>17</v>
      </c>
    </row>
    <row r="9147" spans="1:7" x14ac:dyDescent="0.2">
      <c r="A9147" s="2" t="s">
        <v>10721</v>
      </c>
      <c r="B9147" s="2" t="s">
        <v>5531</v>
      </c>
      <c r="C9147" s="2" t="s">
        <v>5823</v>
      </c>
      <c r="D9147" s="2" t="s">
        <v>10</v>
      </c>
      <c r="E9147" s="2" t="s">
        <v>16</v>
      </c>
      <c r="F9147" s="2">
        <v>1</v>
      </c>
      <c r="G9147" s="2" t="s">
        <v>17</v>
      </c>
    </row>
    <row r="9148" spans="1:7" x14ac:dyDescent="0.2">
      <c r="A9148" s="2" t="s">
        <v>10721</v>
      </c>
      <c r="B9148" s="2" t="s">
        <v>10733</v>
      </c>
      <c r="C9148" s="2" t="s">
        <v>10734</v>
      </c>
      <c r="D9148" s="2" t="s">
        <v>10</v>
      </c>
      <c r="E9148" s="2" t="s">
        <v>16</v>
      </c>
      <c r="F9148" s="2">
        <v>1</v>
      </c>
      <c r="G9148" s="2" t="s">
        <v>17</v>
      </c>
    </row>
    <row r="9149" spans="1:7" x14ac:dyDescent="0.2">
      <c r="A9149" s="2" t="s">
        <v>10721</v>
      </c>
      <c r="B9149" s="2" t="s">
        <v>10735</v>
      </c>
      <c r="C9149" s="2" t="s">
        <v>10736</v>
      </c>
      <c r="D9149" s="2" t="s">
        <v>10</v>
      </c>
      <c r="E9149" s="2" t="s">
        <v>16</v>
      </c>
      <c r="F9149" s="2">
        <v>1</v>
      </c>
      <c r="G9149" s="2" t="s">
        <v>17</v>
      </c>
    </row>
    <row r="9150" spans="1:7" x14ac:dyDescent="0.2">
      <c r="A9150" s="2" t="s">
        <v>10721</v>
      </c>
      <c r="B9150" s="2" t="s">
        <v>10737</v>
      </c>
      <c r="C9150" s="2" t="s">
        <v>10725</v>
      </c>
      <c r="D9150" s="2" t="s">
        <v>10</v>
      </c>
      <c r="E9150" s="2" t="s">
        <v>16</v>
      </c>
      <c r="F9150" s="2">
        <v>1</v>
      </c>
      <c r="G9150" s="2" t="s">
        <v>17</v>
      </c>
    </row>
    <row r="9151" spans="1:7" x14ac:dyDescent="0.2">
      <c r="A9151" s="2" t="s">
        <v>10721</v>
      </c>
      <c r="B9151" s="2" t="s">
        <v>10738</v>
      </c>
      <c r="C9151" s="2" t="s">
        <v>8374</v>
      </c>
      <c r="D9151" s="2" t="s">
        <v>10</v>
      </c>
      <c r="E9151" s="2" t="s">
        <v>16</v>
      </c>
      <c r="F9151" s="2">
        <v>1</v>
      </c>
      <c r="G9151" s="2" t="s">
        <v>17</v>
      </c>
    </row>
    <row r="9152" spans="1:7" x14ac:dyDescent="0.2">
      <c r="A9152" s="2" t="s">
        <v>10721</v>
      </c>
      <c r="B9152" s="2" t="s">
        <v>8373</v>
      </c>
      <c r="C9152" s="2" t="s">
        <v>8374</v>
      </c>
      <c r="D9152" s="2" t="s">
        <v>10</v>
      </c>
      <c r="E9152" s="2" t="s">
        <v>16</v>
      </c>
      <c r="F9152" s="2">
        <v>1</v>
      </c>
      <c r="G9152" s="2" t="s">
        <v>17</v>
      </c>
    </row>
    <row r="9153" spans="1:7" x14ac:dyDescent="0.2">
      <c r="A9153" s="2" t="s">
        <v>10721</v>
      </c>
      <c r="B9153" s="2" t="s">
        <v>10739</v>
      </c>
      <c r="C9153" s="2" t="s">
        <v>8374</v>
      </c>
      <c r="D9153" s="2" t="s">
        <v>10</v>
      </c>
      <c r="E9153" s="2" t="s">
        <v>16</v>
      </c>
      <c r="F9153" s="2">
        <v>1</v>
      </c>
      <c r="G9153" s="2" t="s">
        <v>17</v>
      </c>
    </row>
    <row r="9154" spans="1:7" x14ac:dyDescent="0.2">
      <c r="A9154" s="2" t="s">
        <v>10721</v>
      </c>
      <c r="B9154" s="2" t="s">
        <v>10740</v>
      </c>
      <c r="C9154" s="2" t="s">
        <v>8374</v>
      </c>
      <c r="D9154" s="2" t="s">
        <v>10</v>
      </c>
      <c r="E9154" s="2" t="s">
        <v>16</v>
      </c>
      <c r="F9154" s="2">
        <v>1</v>
      </c>
      <c r="G9154" s="2" t="s">
        <v>17</v>
      </c>
    </row>
    <row r="9155" spans="1:7" x14ac:dyDescent="0.2">
      <c r="A9155" s="2" t="s">
        <v>10721</v>
      </c>
      <c r="B9155" s="2" t="s">
        <v>10741</v>
      </c>
      <c r="C9155" s="2" t="s">
        <v>8374</v>
      </c>
      <c r="D9155" s="2" t="s">
        <v>10</v>
      </c>
      <c r="E9155" s="2" t="s">
        <v>16</v>
      </c>
      <c r="F9155" s="2">
        <v>1</v>
      </c>
      <c r="G9155" s="2" t="s">
        <v>17</v>
      </c>
    </row>
    <row r="9156" spans="1:7" x14ac:dyDescent="0.2">
      <c r="A9156" s="2" t="s">
        <v>10721</v>
      </c>
      <c r="B9156" s="2" t="s">
        <v>10742</v>
      </c>
      <c r="C9156" s="2" t="s">
        <v>8374</v>
      </c>
      <c r="D9156" s="2" t="s">
        <v>10</v>
      </c>
      <c r="E9156" s="2" t="s">
        <v>16</v>
      </c>
      <c r="F9156" s="2">
        <v>1</v>
      </c>
      <c r="G9156" s="2" t="s">
        <v>17</v>
      </c>
    </row>
    <row r="9157" spans="1:7" x14ac:dyDescent="0.2">
      <c r="A9157" s="2" t="s">
        <v>10721</v>
      </c>
      <c r="B9157" s="2" t="s">
        <v>8380</v>
      </c>
      <c r="C9157" s="2" t="s">
        <v>8374</v>
      </c>
      <c r="D9157" s="2" t="s">
        <v>10</v>
      </c>
      <c r="E9157" s="2" t="s">
        <v>16</v>
      </c>
      <c r="F9157" s="2">
        <v>1</v>
      </c>
      <c r="G9157" s="2" t="s">
        <v>17</v>
      </c>
    </row>
    <row r="9158" spans="1:7" x14ac:dyDescent="0.2">
      <c r="A9158" s="2" t="s">
        <v>10721</v>
      </c>
      <c r="B9158" s="2" t="s">
        <v>10743</v>
      </c>
      <c r="C9158" s="2" t="s">
        <v>8374</v>
      </c>
      <c r="D9158" s="2" t="s">
        <v>10</v>
      </c>
      <c r="E9158" s="2" t="s">
        <v>16</v>
      </c>
      <c r="F9158" s="2">
        <v>1</v>
      </c>
      <c r="G9158" s="2" t="s">
        <v>17</v>
      </c>
    </row>
    <row r="9159" spans="1:7" x14ac:dyDescent="0.2">
      <c r="A9159" s="2" t="s">
        <v>10721</v>
      </c>
      <c r="B9159" s="2" t="s">
        <v>8381</v>
      </c>
      <c r="C9159" s="2" t="s">
        <v>8374</v>
      </c>
      <c r="D9159" s="2" t="s">
        <v>10</v>
      </c>
      <c r="E9159" s="2" t="s">
        <v>16</v>
      </c>
      <c r="F9159" s="2">
        <v>1</v>
      </c>
      <c r="G9159" s="2" t="s">
        <v>17</v>
      </c>
    </row>
    <row r="9160" spans="1:7" x14ac:dyDescent="0.2">
      <c r="A9160" s="2" t="s">
        <v>10721</v>
      </c>
      <c r="B9160" s="2" t="s">
        <v>10744</v>
      </c>
      <c r="C9160" s="2" t="s">
        <v>8374</v>
      </c>
      <c r="D9160" s="2" t="s">
        <v>10</v>
      </c>
      <c r="E9160" s="2" t="s">
        <v>16</v>
      </c>
      <c r="F9160" s="2">
        <v>1</v>
      </c>
      <c r="G9160" s="2" t="s">
        <v>17</v>
      </c>
    </row>
    <row r="9161" spans="1:7" x14ac:dyDescent="0.2">
      <c r="A9161" s="2" t="s">
        <v>10721</v>
      </c>
      <c r="B9161" s="2" t="s">
        <v>10745</v>
      </c>
      <c r="C9161" s="2" t="s">
        <v>10746</v>
      </c>
      <c r="D9161" s="2" t="s">
        <v>10</v>
      </c>
      <c r="E9161" s="2" t="s">
        <v>52</v>
      </c>
      <c r="F9161" s="2">
        <v>1</v>
      </c>
      <c r="G9161" s="2" t="s">
        <v>17</v>
      </c>
    </row>
    <row r="9162" spans="1:7" x14ac:dyDescent="0.2">
      <c r="A9162" s="2" t="s">
        <v>10721</v>
      </c>
      <c r="B9162" s="2" t="s">
        <v>10747</v>
      </c>
      <c r="C9162" s="2" t="s">
        <v>10723</v>
      </c>
      <c r="D9162" s="2" t="s">
        <v>10</v>
      </c>
      <c r="E9162" s="2" t="s">
        <v>16</v>
      </c>
      <c r="F9162" s="2">
        <v>1</v>
      </c>
      <c r="G9162" s="2" t="s">
        <v>17</v>
      </c>
    </row>
    <row r="9163" spans="1:7" x14ac:dyDescent="0.2">
      <c r="A9163" s="2" t="s">
        <v>10721</v>
      </c>
      <c r="B9163" s="2" t="s">
        <v>10748</v>
      </c>
      <c r="C9163" s="2" t="s">
        <v>8374</v>
      </c>
      <c r="D9163" s="2" t="s">
        <v>10</v>
      </c>
      <c r="E9163" s="2" t="s">
        <v>16</v>
      </c>
      <c r="F9163" s="2">
        <v>1</v>
      </c>
      <c r="G9163" s="2" t="s">
        <v>17</v>
      </c>
    </row>
    <row r="9164" spans="1:7" x14ac:dyDescent="0.2">
      <c r="A9164" s="2" t="s">
        <v>10721</v>
      </c>
      <c r="B9164" s="2" t="s">
        <v>10749</v>
      </c>
      <c r="C9164" s="2" t="s">
        <v>8374</v>
      </c>
      <c r="D9164" s="2" t="s">
        <v>10</v>
      </c>
      <c r="E9164" s="2" t="s">
        <v>16</v>
      </c>
      <c r="F9164" s="2">
        <v>1</v>
      </c>
      <c r="G9164" s="2" t="s">
        <v>17</v>
      </c>
    </row>
    <row r="9165" spans="1:7" x14ac:dyDescent="0.2">
      <c r="A9165" s="2" t="s">
        <v>10721</v>
      </c>
      <c r="B9165" s="2" t="s">
        <v>10750</v>
      </c>
      <c r="C9165" s="2" t="s">
        <v>8374</v>
      </c>
      <c r="D9165" s="2" t="s">
        <v>10</v>
      </c>
      <c r="E9165" s="2" t="s">
        <v>16</v>
      </c>
      <c r="F9165" s="2">
        <v>1</v>
      </c>
      <c r="G9165" s="2" t="s">
        <v>17</v>
      </c>
    </row>
    <row r="9166" spans="1:7" x14ac:dyDescent="0.2">
      <c r="A9166" s="2" t="s">
        <v>10721</v>
      </c>
      <c r="B9166" s="2" t="s">
        <v>10751</v>
      </c>
      <c r="C9166" s="2" t="s">
        <v>8374</v>
      </c>
      <c r="D9166" s="2" t="s">
        <v>10</v>
      </c>
      <c r="E9166" s="2" t="s">
        <v>16</v>
      </c>
      <c r="F9166" s="2">
        <v>1</v>
      </c>
      <c r="G9166" s="2" t="s">
        <v>17</v>
      </c>
    </row>
    <row r="9167" spans="1:7" x14ac:dyDescent="0.2">
      <c r="A9167" s="2" t="s">
        <v>10721</v>
      </c>
      <c r="B9167" s="2" t="s">
        <v>10752</v>
      </c>
      <c r="C9167" s="2" t="s">
        <v>8374</v>
      </c>
      <c r="D9167" s="2" t="s">
        <v>10</v>
      </c>
      <c r="E9167" s="2" t="s">
        <v>16</v>
      </c>
      <c r="F9167" s="2">
        <v>1</v>
      </c>
      <c r="G9167" s="2" t="s">
        <v>17</v>
      </c>
    </row>
    <row r="9168" spans="1:7" x14ac:dyDescent="0.2">
      <c r="A9168" s="2" t="s">
        <v>10721</v>
      </c>
      <c r="B9168" s="2" t="s">
        <v>8383</v>
      </c>
      <c r="C9168" s="2" t="s">
        <v>8374</v>
      </c>
      <c r="D9168" s="2" t="s">
        <v>10</v>
      </c>
      <c r="E9168" s="2" t="s">
        <v>16</v>
      </c>
      <c r="F9168" s="2">
        <v>1</v>
      </c>
      <c r="G9168" s="2" t="s">
        <v>17</v>
      </c>
    </row>
    <row r="9169" spans="1:7" x14ac:dyDescent="0.2">
      <c r="A9169" s="2" t="s">
        <v>10721</v>
      </c>
      <c r="B9169" s="2" t="s">
        <v>8384</v>
      </c>
      <c r="C9169" s="2" t="s">
        <v>8374</v>
      </c>
      <c r="D9169" s="2" t="s">
        <v>10</v>
      </c>
      <c r="E9169" s="2" t="s">
        <v>16</v>
      </c>
      <c r="F9169" s="2">
        <v>1</v>
      </c>
      <c r="G9169" s="2" t="s">
        <v>17</v>
      </c>
    </row>
    <row r="9170" spans="1:7" x14ac:dyDescent="0.2">
      <c r="A9170" s="2" t="s">
        <v>10721</v>
      </c>
      <c r="B9170" s="2" t="s">
        <v>10753</v>
      </c>
      <c r="C9170" s="2" t="s">
        <v>8374</v>
      </c>
      <c r="D9170" s="2" t="s">
        <v>10</v>
      </c>
      <c r="E9170" s="2" t="s">
        <v>16</v>
      </c>
      <c r="F9170" s="2">
        <v>1</v>
      </c>
      <c r="G9170" s="2" t="s">
        <v>17</v>
      </c>
    </row>
    <row r="9171" spans="1:7" x14ac:dyDescent="0.2">
      <c r="A9171" s="2" t="s">
        <v>10721</v>
      </c>
      <c r="B9171" s="2" t="s">
        <v>10754</v>
      </c>
      <c r="C9171" s="2" t="s">
        <v>10723</v>
      </c>
      <c r="D9171" s="2" t="s">
        <v>10</v>
      </c>
      <c r="E9171" s="2" t="s">
        <v>16</v>
      </c>
      <c r="F9171" s="2">
        <v>1</v>
      </c>
      <c r="G9171" s="2" t="s">
        <v>17</v>
      </c>
    </row>
    <row r="9172" spans="1:7" x14ac:dyDescent="0.2">
      <c r="A9172" s="2" t="s">
        <v>10721</v>
      </c>
      <c r="B9172" s="2" t="s">
        <v>10755</v>
      </c>
      <c r="C9172" s="2" t="s">
        <v>10723</v>
      </c>
      <c r="D9172" s="2" t="s">
        <v>10</v>
      </c>
      <c r="E9172" s="2" t="s">
        <v>16</v>
      </c>
      <c r="F9172" s="2">
        <v>1</v>
      </c>
      <c r="G9172" s="2" t="s">
        <v>17</v>
      </c>
    </row>
    <row r="9173" spans="1:7" x14ac:dyDescent="0.2">
      <c r="A9173" s="2" t="s">
        <v>10721</v>
      </c>
      <c r="B9173" s="2" t="s">
        <v>10756</v>
      </c>
      <c r="C9173" s="2" t="s">
        <v>10723</v>
      </c>
      <c r="D9173" s="2" t="s">
        <v>10</v>
      </c>
      <c r="E9173" s="2" t="s">
        <v>16</v>
      </c>
      <c r="F9173" s="2">
        <v>1</v>
      </c>
      <c r="G9173" s="2" t="s">
        <v>17</v>
      </c>
    </row>
    <row r="9174" spans="1:7" x14ac:dyDescent="0.2">
      <c r="A9174" s="2" t="s">
        <v>10721</v>
      </c>
      <c r="B9174" s="2" t="s">
        <v>10757</v>
      </c>
      <c r="C9174" s="2" t="s">
        <v>10723</v>
      </c>
      <c r="D9174" s="2" t="s">
        <v>10</v>
      </c>
      <c r="E9174" s="2" t="s">
        <v>16</v>
      </c>
      <c r="F9174" s="2">
        <v>1</v>
      </c>
      <c r="G9174" s="2" t="s">
        <v>17</v>
      </c>
    </row>
    <row r="9175" spans="1:7" x14ac:dyDescent="0.2">
      <c r="A9175" s="2" t="s">
        <v>10721</v>
      </c>
      <c r="B9175" s="2" t="s">
        <v>10758</v>
      </c>
      <c r="C9175" s="2" t="s">
        <v>10759</v>
      </c>
      <c r="D9175" s="2" t="s">
        <v>10</v>
      </c>
      <c r="E9175" s="2" t="s">
        <v>16</v>
      </c>
      <c r="F9175" s="2">
        <v>1</v>
      </c>
      <c r="G9175" s="2" t="s">
        <v>17</v>
      </c>
    </row>
    <row r="9176" spans="1:7" x14ac:dyDescent="0.2">
      <c r="A9176" s="2" t="s">
        <v>10721</v>
      </c>
      <c r="B9176" s="2" t="s">
        <v>10760</v>
      </c>
      <c r="C9176" s="2" t="s">
        <v>6175</v>
      </c>
      <c r="D9176" s="2" t="s">
        <v>10</v>
      </c>
      <c r="E9176" s="2" t="s">
        <v>16</v>
      </c>
      <c r="F9176" s="2">
        <v>2</v>
      </c>
      <c r="G9176" s="2" t="s">
        <v>17</v>
      </c>
    </row>
    <row r="9177" spans="1:7" x14ac:dyDescent="0.2">
      <c r="A9177" s="2" t="s">
        <v>10721</v>
      </c>
      <c r="B9177" s="2" t="s">
        <v>10761</v>
      </c>
      <c r="C9177" s="2" t="s">
        <v>10759</v>
      </c>
      <c r="D9177" s="2" t="s">
        <v>10</v>
      </c>
      <c r="E9177" s="2" t="s">
        <v>16</v>
      </c>
      <c r="F9177" s="2">
        <v>1</v>
      </c>
      <c r="G9177" s="2" t="s">
        <v>17</v>
      </c>
    </row>
    <row r="9178" spans="1:7" x14ac:dyDescent="0.2">
      <c r="A9178" s="2" t="s">
        <v>10721</v>
      </c>
      <c r="B9178" s="2" t="s">
        <v>10762</v>
      </c>
      <c r="C9178" s="2" t="s">
        <v>10763</v>
      </c>
      <c r="D9178" s="2" t="s">
        <v>10</v>
      </c>
      <c r="E9178" s="2" t="s">
        <v>16</v>
      </c>
      <c r="F9178" s="2">
        <v>1</v>
      </c>
      <c r="G9178" s="2" t="s">
        <v>17</v>
      </c>
    </row>
    <row r="9179" spans="1:7" x14ac:dyDescent="0.2">
      <c r="A9179" s="2" t="s">
        <v>10721</v>
      </c>
      <c r="B9179" s="2" t="s">
        <v>10764</v>
      </c>
      <c r="C9179" s="2" t="s">
        <v>10411</v>
      </c>
      <c r="D9179" s="2" t="s">
        <v>10</v>
      </c>
      <c r="E9179" s="2" t="s">
        <v>16</v>
      </c>
      <c r="F9179" s="2">
        <v>1</v>
      </c>
      <c r="G9179" s="2" t="s">
        <v>17</v>
      </c>
    </row>
    <row r="9180" spans="1:7" x14ac:dyDescent="0.2">
      <c r="A9180" s="2" t="s">
        <v>10721</v>
      </c>
      <c r="B9180" s="2" t="s">
        <v>10765</v>
      </c>
      <c r="C9180" s="2" t="s">
        <v>10411</v>
      </c>
      <c r="D9180" s="2" t="s">
        <v>10</v>
      </c>
      <c r="E9180" s="2" t="s">
        <v>16</v>
      </c>
      <c r="F9180" s="2">
        <v>1</v>
      </c>
      <c r="G9180" s="2" t="s">
        <v>17</v>
      </c>
    </row>
    <row r="9181" spans="1:7" x14ac:dyDescent="0.2">
      <c r="A9181" s="2" t="s">
        <v>10721</v>
      </c>
      <c r="B9181" s="2" t="s">
        <v>675</v>
      </c>
      <c r="C9181" s="2" t="s">
        <v>639</v>
      </c>
      <c r="D9181" s="2" t="s">
        <v>10</v>
      </c>
      <c r="E9181" s="2" t="s">
        <v>16</v>
      </c>
      <c r="F9181" s="2">
        <v>1</v>
      </c>
      <c r="G9181" s="2" t="s">
        <v>17</v>
      </c>
    </row>
    <row r="9182" spans="1:7" x14ac:dyDescent="0.2">
      <c r="A9182" s="2" t="s">
        <v>10721</v>
      </c>
      <c r="B9182" s="2" t="s">
        <v>10766</v>
      </c>
      <c r="C9182" s="2" t="s">
        <v>10746</v>
      </c>
      <c r="D9182" s="2" t="s">
        <v>10</v>
      </c>
      <c r="E9182" s="2" t="s">
        <v>52</v>
      </c>
      <c r="F9182" s="2">
        <v>1</v>
      </c>
      <c r="G9182" s="2" t="s">
        <v>17</v>
      </c>
    </row>
    <row r="9183" spans="1:7" x14ac:dyDescent="0.2">
      <c r="A9183" s="2" t="s">
        <v>10721</v>
      </c>
      <c r="B9183" s="2" t="s">
        <v>10767</v>
      </c>
      <c r="C9183" s="2" t="s">
        <v>10763</v>
      </c>
      <c r="D9183" s="2" t="s">
        <v>10</v>
      </c>
      <c r="E9183" s="2" t="s">
        <v>16</v>
      </c>
      <c r="F9183" s="2">
        <v>1</v>
      </c>
      <c r="G9183" s="2" t="s">
        <v>17</v>
      </c>
    </row>
    <row r="9184" spans="1:7" x14ac:dyDescent="0.2">
      <c r="A9184" s="2" t="s">
        <v>10721</v>
      </c>
      <c r="B9184" s="2" t="s">
        <v>10768</v>
      </c>
      <c r="C9184" s="2" t="s">
        <v>6175</v>
      </c>
      <c r="D9184" s="2" t="s">
        <v>10</v>
      </c>
      <c r="E9184" s="2" t="s">
        <v>16</v>
      </c>
      <c r="F9184" s="2">
        <v>2</v>
      </c>
      <c r="G9184" s="2" t="s">
        <v>17</v>
      </c>
    </row>
    <row r="9185" spans="1:7" x14ac:dyDescent="0.2">
      <c r="A9185" s="2" t="s">
        <v>10721</v>
      </c>
      <c r="B9185" s="2" t="s">
        <v>10769</v>
      </c>
      <c r="C9185" s="2" t="s">
        <v>10770</v>
      </c>
      <c r="D9185" s="2" t="s">
        <v>10</v>
      </c>
      <c r="E9185" s="2" t="s">
        <v>52</v>
      </c>
      <c r="F9185" s="2">
        <v>1</v>
      </c>
      <c r="G9185" s="2" t="s">
        <v>17</v>
      </c>
    </row>
    <row r="9186" spans="1:7" x14ac:dyDescent="0.2">
      <c r="A9186" s="2" t="s">
        <v>10721</v>
      </c>
      <c r="B9186" s="2" t="s">
        <v>10771</v>
      </c>
      <c r="C9186" s="2" t="s">
        <v>10763</v>
      </c>
      <c r="D9186" s="2" t="s">
        <v>10</v>
      </c>
      <c r="E9186" s="2" t="s">
        <v>16</v>
      </c>
      <c r="F9186" s="2">
        <v>1</v>
      </c>
      <c r="G9186" s="2" t="s">
        <v>17</v>
      </c>
    </row>
    <row r="9187" spans="1:7" x14ac:dyDescent="0.2">
      <c r="A9187" s="2" t="s">
        <v>10721</v>
      </c>
      <c r="B9187" s="2" t="s">
        <v>10772</v>
      </c>
      <c r="C9187" s="2" t="s">
        <v>10411</v>
      </c>
      <c r="D9187" s="2" t="s">
        <v>10</v>
      </c>
      <c r="E9187" s="2" t="s">
        <v>16</v>
      </c>
      <c r="F9187" s="2">
        <v>1</v>
      </c>
      <c r="G9187" s="2" t="s">
        <v>17</v>
      </c>
    </row>
    <row r="9188" spans="1:7" x14ac:dyDescent="0.2">
      <c r="A9188" s="2" t="s">
        <v>10721</v>
      </c>
      <c r="B9188" s="2" t="s">
        <v>10773</v>
      </c>
      <c r="C9188" s="2" t="s">
        <v>10411</v>
      </c>
      <c r="D9188" s="2" t="s">
        <v>10</v>
      </c>
      <c r="E9188" s="2" t="s">
        <v>16</v>
      </c>
      <c r="F9188" s="2">
        <v>1</v>
      </c>
      <c r="G9188" s="2" t="s">
        <v>17</v>
      </c>
    </row>
    <row r="9189" spans="1:7" x14ac:dyDescent="0.2">
      <c r="A9189" s="2" t="s">
        <v>10721</v>
      </c>
      <c r="B9189" s="2" t="s">
        <v>4361</v>
      </c>
      <c r="C9189" s="2" t="s">
        <v>4360</v>
      </c>
      <c r="D9189" s="2" t="s">
        <v>10</v>
      </c>
      <c r="E9189" s="2" t="s">
        <v>52</v>
      </c>
      <c r="F9189" s="2">
        <v>1</v>
      </c>
      <c r="G9189" s="2" t="s">
        <v>17</v>
      </c>
    </row>
    <row r="9190" spans="1:7" x14ac:dyDescent="0.2">
      <c r="A9190" s="2" t="s">
        <v>10721</v>
      </c>
      <c r="B9190" s="2" t="s">
        <v>10774</v>
      </c>
      <c r="C9190" s="2" t="s">
        <v>4360</v>
      </c>
      <c r="D9190" s="2" t="s">
        <v>10</v>
      </c>
      <c r="E9190" s="2" t="s">
        <v>52</v>
      </c>
      <c r="F9190" s="2">
        <v>1</v>
      </c>
      <c r="G9190" s="2" t="s">
        <v>17</v>
      </c>
    </row>
    <row r="9191" spans="1:7" x14ac:dyDescent="0.2">
      <c r="A9191" s="2" t="s">
        <v>10721</v>
      </c>
      <c r="B9191" s="2" t="s">
        <v>10775</v>
      </c>
      <c r="C9191" s="2" t="s">
        <v>10776</v>
      </c>
      <c r="D9191" s="2" t="s">
        <v>10</v>
      </c>
      <c r="E9191" s="2" t="s">
        <v>16</v>
      </c>
      <c r="F9191" s="2">
        <v>1</v>
      </c>
      <c r="G9191" s="2" t="s">
        <v>17</v>
      </c>
    </row>
    <row r="9192" spans="1:7" x14ac:dyDescent="0.2">
      <c r="A9192" s="2" t="s">
        <v>10721</v>
      </c>
      <c r="B9192" s="2" t="s">
        <v>10777</v>
      </c>
      <c r="C9192" s="2" t="s">
        <v>10776</v>
      </c>
      <c r="D9192" s="2" t="s">
        <v>10</v>
      </c>
      <c r="E9192" s="2" t="s">
        <v>16</v>
      </c>
      <c r="F9192" s="2">
        <v>1</v>
      </c>
      <c r="G9192" s="2" t="s">
        <v>17</v>
      </c>
    </row>
    <row r="9193" spans="1:7" x14ac:dyDescent="0.2">
      <c r="A9193" s="2" t="s">
        <v>10721</v>
      </c>
      <c r="B9193" s="2" t="s">
        <v>10778</v>
      </c>
      <c r="C9193" s="2" t="s">
        <v>10779</v>
      </c>
      <c r="D9193" s="2" t="s">
        <v>10</v>
      </c>
      <c r="E9193" s="2" t="s">
        <v>52</v>
      </c>
      <c r="F9193" s="2">
        <v>1</v>
      </c>
      <c r="G9193" s="2" t="s">
        <v>17</v>
      </c>
    </row>
    <row r="9194" spans="1:7" x14ac:dyDescent="0.2">
      <c r="A9194" s="2" t="s">
        <v>10721</v>
      </c>
      <c r="B9194" s="2" t="s">
        <v>10780</v>
      </c>
      <c r="C9194" s="2" t="s">
        <v>10779</v>
      </c>
      <c r="D9194" s="2" t="s">
        <v>10</v>
      </c>
      <c r="E9194" s="2" t="s">
        <v>52</v>
      </c>
      <c r="F9194" s="2">
        <v>1</v>
      </c>
      <c r="G9194" s="2" t="s">
        <v>17</v>
      </c>
    </row>
    <row r="9195" spans="1:7" x14ac:dyDescent="0.2">
      <c r="A9195" s="2" t="s">
        <v>10721</v>
      </c>
      <c r="B9195" s="2" t="s">
        <v>10781</v>
      </c>
      <c r="C9195" s="2" t="s">
        <v>10779</v>
      </c>
      <c r="D9195" s="2" t="s">
        <v>10</v>
      </c>
      <c r="E9195" s="2" t="s">
        <v>52</v>
      </c>
      <c r="F9195" s="2">
        <v>1</v>
      </c>
      <c r="G9195" s="2" t="s">
        <v>17</v>
      </c>
    </row>
    <row r="9196" spans="1:7" x14ac:dyDescent="0.2">
      <c r="A9196" s="2" t="s">
        <v>10721</v>
      </c>
      <c r="B9196" s="2" t="s">
        <v>10782</v>
      </c>
      <c r="C9196" s="2" t="s">
        <v>10770</v>
      </c>
      <c r="D9196" s="2" t="s">
        <v>10</v>
      </c>
      <c r="E9196" s="2" t="s">
        <v>52</v>
      </c>
      <c r="F9196" s="2">
        <v>1</v>
      </c>
      <c r="G9196" s="2" t="s">
        <v>17</v>
      </c>
    </row>
    <row r="9197" spans="1:7" x14ac:dyDescent="0.2">
      <c r="A9197" s="2" t="s">
        <v>10721</v>
      </c>
      <c r="B9197" s="2" t="s">
        <v>10783</v>
      </c>
      <c r="C9197" s="2" t="s">
        <v>4360</v>
      </c>
      <c r="D9197" s="2" t="s">
        <v>10</v>
      </c>
      <c r="E9197" s="2" t="s">
        <v>52</v>
      </c>
      <c r="F9197" s="2">
        <v>1</v>
      </c>
      <c r="G9197" s="2" t="s">
        <v>17</v>
      </c>
    </row>
    <row r="9198" spans="1:7" x14ac:dyDescent="0.2">
      <c r="A9198" s="2" t="s">
        <v>10721</v>
      </c>
      <c r="B9198" s="2" t="s">
        <v>4359</v>
      </c>
      <c r="C9198" s="2" t="s">
        <v>4360</v>
      </c>
      <c r="D9198" s="2" t="s">
        <v>10</v>
      </c>
      <c r="E9198" s="2" t="s">
        <v>52</v>
      </c>
      <c r="F9198" s="2">
        <v>1</v>
      </c>
      <c r="G9198" s="2" t="s">
        <v>17</v>
      </c>
    </row>
    <row r="9199" spans="1:7" x14ac:dyDescent="0.2">
      <c r="A9199" s="2" t="s">
        <v>10721</v>
      </c>
      <c r="B9199" s="2" t="s">
        <v>4363</v>
      </c>
      <c r="C9199" s="2" t="s">
        <v>4360</v>
      </c>
      <c r="D9199" s="2" t="s">
        <v>10</v>
      </c>
      <c r="E9199" s="2" t="s">
        <v>52</v>
      </c>
      <c r="F9199" s="2">
        <v>1</v>
      </c>
      <c r="G9199" s="2" t="s">
        <v>17</v>
      </c>
    </row>
    <row r="9200" spans="1:7" x14ac:dyDescent="0.2">
      <c r="A9200" s="2" t="s">
        <v>10721</v>
      </c>
      <c r="B9200" s="2" t="s">
        <v>4362</v>
      </c>
      <c r="C9200" s="2" t="s">
        <v>4360</v>
      </c>
      <c r="D9200" s="2" t="s">
        <v>10</v>
      </c>
      <c r="E9200" s="2" t="s">
        <v>52</v>
      </c>
      <c r="F9200" s="2">
        <v>1</v>
      </c>
      <c r="G9200" s="2" t="s">
        <v>17</v>
      </c>
    </row>
    <row r="9201" spans="1:7" x14ac:dyDescent="0.2">
      <c r="A9201" s="2" t="s">
        <v>10784</v>
      </c>
      <c r="B9201" s="2" t="s">
        <v>10785</v>
      </c>
      <c r="C9201" s="2" t="s">
        <v>10786</v>
      </c>
      <c r="D9201" s="2" t="s">
        <v>10</v>
      </c>
      <c r="E9201" s="2" t="s">
        <v>11</v>
      </c>
      <c r="F9201" s="2">
        <v>1</v>
      </c>
      <c r="G9201" s="2" t="s">
        <v>17</v>
      </c>
    </row>
    <row r="9202" spans="1:7" x14ac:dyDescent="0.2">
      <c r="A9202" s="2" t="s">
        <v>10784</v>
      </c>
      <c r="B9202" s="2" t="s">
        <v>10787</v>
      </c>
      <c r="C9202" s="2" t="s">
        <v>10788</v>
      </c>
      <c r="D9202" s="2" t="s">
        <v>10</v>
      </c>
      <c r="E9202" s="2" t="s">
        <v>16</v>
      </c>
      <c r="F9202" s="2">
        <v>1</v>
      </c>
      <c r="G9202" s="2" t="s">
        <v>17</v>
      </c>
    </row>
    <row r="9203" spans="1:7" x14ac:dyDescent="0.2">
      <c r="A9203" s="2" t="s">
        <v>10784</v>
      </c>
      <c r="B9203" s="2" t="s">
        <v>10789</v>
      </c>
      <c r="C9203" s="2" t="s">
        <v>10790</v>
      </c>
      <c r="D9203" s="2" t="s">
        <v>10</v>
      </c>
      <c r="E9203" s="2" t="s">
        <v>11</v>
      </c>
      <c r="F9203" s="2">
        <v>1</v>
      </c>
      <c r="G9203" s="2" t="s">
        <v>17</v>
      </c>
    </row>
    <row r="9204" spans="1:7" x14ac:dyDescent="0.2">
      <c r="A9204" s="2" t="s">
        <v>10784</v>
      </c>
      <c r="B9204" s="2" t="s">
        <v>10791</v>
      </c>
      <c r="C9204" s="2" t="s">
        <v>10792</v>
      </c>
      <c r="D9204" s="2" t="s">
        <v>10</v>
      </c>
      <c r="E9204" s="2" t="s">
        <v>11</v>
      </c>
      <c r="F9204" s="2">
        <v>1</v>
      </c>
      <c r="G9204" s="2" t="s">
        <v>17</v>
      </c>
    </row>
    <row r="9205" spans="1:7" x14ac:dyDescent="0.2">
      <c r="A9205" s="2" t="s">
        <v>10784</v>
      </c>
      <c r="B9205" s="2" t="s">
        <v>10793</v>
      </c>
      <c r="C9205" s="2" t="s">
        <v>10786</v>
      </c>
      <c r="D9205" s="2" t="s">
        <v>10</v>
      </c>
      <c r="E9205" s="2" t="s">
        <v>11</v>
      </c>
      <c r="F9205" s="2">
        <v>1</v>
      </c>
      <c r="G9205" s="2" t="s">
        <v>17</v>
      </c>
    </row>
    <row r="9206" spans="1:7" x14ac:dyDescent="0.2">
      <c r="A9206" s="2" t="s">
        <v>10784</v>
      </c>
      <c r="B9206" s="2" t="s">
        <v>10794</v>
      </c>
      <c r="C9206" s="2" t="s">
        <v>10788</v>
      </c>
      <c r="D9206" s="2" t="s">
        <v>10</v>
      </c>
      <c r="E9206" s="2" t="s">
        <v>16</v>
      </c>
      <c r="F9206" s="2">
        <v>1</v>
      </c>
      <c r="G9206" s="2" t="s">
        <v>17</v>
      </c>
    </row>
    <row r="9207" spans="1:7" x14ac:dyDescent="0.2">
      <c r="A9207" s="2" t="s">
        <v>10784</v>
      </c>
      <c r="B9207" s="2" t="s">
        <v>10795</v>
      </c>
      <c r="C9207" s="2" t="s">
        <v>55</v>
      </c>
      <c r="D9207" s="2" t="s">
        <v>56</v>
      </c>
      <c r="E9207" s="2" t="s">
        <v>52</v>
      </c>
      <c r="F9207" s="2">
        <v>1</v>
      </c>
      <c r="G9207" s="2" t="s">
        <v>17</v>
      </c>
    </row>
    <row r="9208" spans="1:7" x14ac:dyDescent="0.2">
      <c r="A9208" s="2" t="s">
        <v>10784</v>
      </c>
      <c r="B9208" s="2" t="s">
        <v>10796</v>
      </c>
      <c r="C9208" s="2" t="s">
        <v>10786</v>
      </c>
      <c r="D9208" s="2" t="s">
        <v>10</v>
      </c>
      <c r="E9208" s="2" t="s">
        <v>11</v>
      </c>
      <c r="F9208" s="2">
        <v>1</v>
      </c>
      <c r="G9208" s="2" t="s">
        <v>17</v>
      </c>
    </row>
    <row r="9209" spans="1:7" x14ac:dyDescent="0.2">
      <c r="A9209" s="2" t="s">
        <v>10784</v>
      </c>
      <c r="B9209" s="2" t="s">
        <v>10797</v>
      </c>
      <c r="C9209" s="2" t="s">
        <v>55</v>
      </c>
      <c r="D9209" s="2" t="s">
        <v>56</v>
      </c>
      <c r="E9209" s="2" t="s">
        <v>52</v>
      </c>
      <c r="F9209" s="2">
        <v>1</v>
      </c>
      <c r="G9209" s="2" t="s">
        <v>17</v>
      </c>
    </row>
    <row r="9210" spans="1:7" x14ac:dyDescent="0.2">
      <c r="A9210" s="2" t="s">
        <v>10784</v>
      </c>
      <c r="B9210" s="2" t="s">
        <v>10798</v>
      </c>
      <c r="C9210" s="2" t="s">
        <v>55</v>
      </c>
      <c r="D9210" s="2" t="s">
        <v>56</v>
      </c>
      <c r="E9210" s="2" t="s">
        <v>52</v>
      </c>
      <c r="F9210" s="2">
        <v>1</v>
      </c>
      <c r="G9210" s="2" t="s">
        <v>17</v>
      </c>
    </row>
    <row r="9211" spans="1:7" x14ac:dyDescent="0.2">
      <c r="A9211" s="2" t="s">
        <v>10784</v>
      </c>
      <c r="B9211" s="2" t="s">
        <v>10799</v>
      </c>
      <c r="C9211" s="2" t="s">
        <v>10792</v>
      </c>
      <c r="D9211" s="2" t="s">
        <v>10</v>
      </c>
      <c r="E9211" s="2" t="s">
        <v>11</v>
      </c>
      <c r="F9211" s="2">
        <v>1</v>
      </c>
      <c r="G9211" s="2" t="s">
        <v>17</v>
      </c>
    </row>
    <row r="9212" spans="1:7" x14ac:dyDescent="0.2">
      <c r="A9212" s="2" t="s">
        <v>10784</v>
      </c>
      <c r="B9212" s="2" t="s">
        <v>10800</v>
      </c>
      <c r="C9212" s="2" t="s">
        <v>10786</v>
      </c>
      <c r="D9212" s="2" t="s">
        <v>10</v>
      </c>
      <c r="E9212" s="2" t="s">
        <v>11</v>
      </c>
      <c r="F9212" s="2">
        <v>1</v>
      </c>
      <c r="G9212" s="2" t="s">
        <v>17</v>
      </c>
    </row>
    <row r="9213" spans="1:7" x14ac:dyDescent="0.2">
      <c r="A9213" s="2" t="s">
        <v>10784</v>
      </c>
      <c r="B9213" s="2" t="s">
        <v>10801</v>
      </c>
      <c r="C9213" s="2" t="s">
        <v>10786</v>
      </c>
      <c r="D9213" s="2" t="s">
        <v>10</v>
      </c>
      <c r="E9213" s="2" t="s">
        <v>11</v>
      </c>
      <c r="F9213" s="2">
        <v>1</v>
      </c>
      <c r="G9213" s="2" t="s">
        <v>17</v>
      </c>
    </row>
    <row r="9214" spans="1:7" x14ac:dyDescent="0.2">
      <c r="A9214" s="2" t="s">
        <v>10784</v>
      </c>
      <c r="B9214" s="2">
        <v>2</v>
      </c>
      <c r="C9214" s="2" t="s">
        <v>10802</v>
      </c>
      <c r="D9214" s="2" t="s">
        <v>10</v>
      </c>
      <c r="E9214" s="2" t="s">
        <v>16</v>
      </c>
      <c r="F9214" s="2">
        <v>1</v>
      </c>
      <c r="G9214" s="2" t="s">
        <v>17</v>
      </c>
    </row>
    <row r="9215" spans="1:7" x14ac:dyDescent="0.2">
      <c r="A9215" s="2" t="s">
        <v>10784</v>
      </c>
      <c r="B9215" s="2" t="s">
        <v>10803</v>
      </c>
      <c r="C9215" s="2" t="s">
        <v>10790</v>
      </c>
      <c r="D9215" s="2" t="s">
        <v>10</v>
      </c>
      <c r="E9215" s="2" t="s">
        <v>11</v>
      </c>
      <c r="F9215" s="2">
        <v>1</v>
      </c>
      <c r="G9215" s="2" t="s">
        <v>17</v>
      </c>
    </row>
    <row r="9216" spans="1:7" x14ac:dyDescent="0.2">
      <c r="A9216" s="2" t="s">
        <v>10784</v>
      </c>
      <c r="B9216" s="2" t="s">
        <v>10804</v>
      </c>
      <c r="C9216" s="2" t="s">
        <v>10792</v>
      </c>
      <c r="D9216" s="2" t="s">
        <v>10</v>
      </c>
      <c r="E9216" s="2" t="s">
        <v>11</v>
      </c>
      <c r="F9216" s="2">
        <v>1</v>
      </c>
      <c r="G9216" s="2" t="s">
        <v>17</v>
      </c>
    </row>
    <row r="9217" spans="1:7" x14ac:dyDescent="0.2">
      <c r="A9217" s="2" t="s">
        <v>10784</v>
      </c>
      <c r="B9217" s="2" t="s">
        <v>10805</v>
      </c>
      <c r="C9217" s="2" t="s">
        <v>10790</v>
      </c>
      <c r="D9217" s="2" t="s">
        <v>10</v>
      </c>
      <c r="E9217" s="2" t="s">
        <v>11</v>
      </c>
      <c r="F9217" s="2">
        <v>1</v>
      </c>
      <c r="G9217" s="2" t="s">
        <v>17</v>
      </c>
    </row>
    <row r="9218" spans="1:7" x14ac:dyDescent="0.2">
      <c r="A9218" s="2" t="s">
        <v>10784</v>
      </c>
      <c r="B9218" s="2" t="s">
        <v>10806</v>
      </c>
      <c r="C9218" s="2" t="s">
        <v>55</v>
      </c>
      <c r="D9218" s="2" t="s">
        <v>56</v>
      </c>
      <c r="E9218" s="2" t="s">
        <v>52</v>
      </c>
      <c r="F9218" s="2">
        <v>1</v>
      </c>
      <c r="G9218" s="2" t="s">
        <v>17</v>
      </c>
    </row>
    <row r="9219" spans="1:7" x14ac:dyDescent="0.2">
      <c r="A9219" s="2" t="s">
        <v>10784</v>
      </c>
      <c r="B9219" s="2" t="s">
        <v>10807</v>
      </c>
      <c r="C9219" s="2" t="s">
        <v>55</v>
      </c>
      <c r="D9219" s="2" t="s">
        <v>56</v>
      </c>
      <c r="E9219" s="2" t="s">
        <v>52</v>
      </c>
      <c r="F9219" s="2">
        <v>1</v>
      </c>
      <c r="G9219" s="2" t="s">
        <v>17</v>
      </c>
    </row>
    <row r="9220" spans="1:7" x14ac:dyDescent="0.2">
      <c r="A9220" s="2" t="s">
        <v>10784</v>
      </c>
      <c r="B9220" s="2" t="s">
        <v>10808</v>
      </c>
      <c r="C9220" s="2" t="s">
        <v>55</v>
      </c>
      <c r="D9220" s="2" t="s">
        <v>56</v>
      </c>
      <c r="E9220" s="2" t="s">
        <v>52</v>
      </c>
      <c r="F9220" s="2">
        <v>1</v>
      </c>
      <c r="G9220" s="2" t="s">
        <v>17</v>
      </c>
    </row>
    <row r="9221" spans="1:7" x14ac:dyDescent="0.2">
      <c r="A9221" s="2" t="s">
        <v>10784</v>
      </c>
      <c r="B9221" s="2" t="s">
        <v>10809</v>
      </c>
      <c r="C9221" s="2" t="s">
        <v>55</v>
      </c>
      <c r="D9221" s="2" t="s">
        <v>56</v>
      </c>
      <c r="E9221" s="2" t="s">
        <v>52</v>
      </c>
      <c r="F9221" s="2">
        <v>1</v>
      </c>
      <c r="G9221" s="2" t="s">
        <v>17</v>
      </c>
    </row>
    <row r="9222" spans="1:7" x14ac:dyDescent="0.2">
      <c r="A9222" s="2" t="s">
        <v>10784</v>
      </c>
      <c r="B9222" s="2" t="s">
        <v>10810</v>
      </c>
      <c r="C9222" s="2" t="s">
        <v>10786</v>
      </c>
      <c r="D9222" s="2" t="s">
        <v>10</v>
      </c>
      <c r="E9222" s="2" t="s">
        <v>11</v>
      </c>
      <c r="F9222" s="2">
        <v>1</v>
      </c>
      <c r="G9222" s="2" t="s">
        <v>17</v>
      </c>
    </row>
    <row r="9223" spans="1:7" x14ac:dyDescent="0.2">
      <c r="A9223" s="2" t="s">
        <v>10784</v>
      </c>
      <c r="B9223" s="2" t="s">
        <v>10811</v>
      </c>
      <c r="C9223" s="2" t="s">
        <v>10786</v>
      </c>
      <c r="D9223" s="2" t="s">
        <v>10</v>
      </c>
      <c r="E9223" s="2" t="s">
        <v>11</v>
      </c>
      <c r="F9223" s="2">
        <v>1</v>
      </c>
      <c r="G9223" s="2" t="s">
        <v>17</v>
      </c>
    </row>
    <row r="9224" spans="1:7" x14ac:dyDescent="0.2">
      <c r="A9224" s="2" t="s">
        <v>10784</v>
      </c>
      <c r="B9224" s="2" t="s">
        <v>10812</v>
      </c>
      <c r="C9224" s="2" t="s">
        <v>10788</v>
      </c>
      <c r="D9224" s="2" t="s">
        <v>10</v>
      </c>
      <c r="E9224" s="2" t="s">
        <v>16</v>
      </c>
      <c r="F9224" s="2">
        <v>1</v>
      </c>
      <c r="G9224" s="2" t="s">
        <v>17</v>
      </c>
    </row>
    <row r="9225" spans="1:7" x14ac:dyDescent="0.2">
      <c r="A9225" s="2" t="s">
        <v>10784</v>
      </c>
      <c r="B9225" s="2" t="s">
        <v>10813</v>
      </c>
      <c r="C9225" s="2" t="s">
        <v>10786</v>
      </c>
      <c r="D9225" s="2" t="s">
        <v>10</v>
      </c>
      <c r="E9225" s="2" t="s">
        <v>11</v>
      </c>
      <c r="F9225" s="2">
        <v>1</v>
      </c>
      <c r="G9225" s="2" t="s">
        <v>17</v>
      </c>
    </row>
    <row r="9226" spans="1:7" x14ac:dyDescent="0.2">
      <c r="A9226" s="2" t="s">
        <v>10814</v>
      </c>
      <c r="B9226" s="2" t="s">
        <v>10815</v>
      </c>
      <c r="C9226" s="2" t="s">
        <v>10816</v>
      </c>
      <c r="D9226" s="2" t="s">
        <v>10</v>
      </c>
      <c r="E9226" s="2" t="s">
        <v>11</v>
      </c>
      <c r="F9226" s="2">
        <v>2</v>
      </c>
      <c r="G9226" s="2" t="s">
        <v>12</v>
      </c>
    </row>
    <row r="9227" spans="1:7" x14ac:dyDescent="0.2">
      <c r="A9227" s="2" t="s">
        <v>10814</v>
      </c>
      <c r="B9227" s="2" t="s">
        <v>10817</v>
      </c>
      <c r="C9227" s="2" t="s">
        <v>10816</v>
      </c>
      <c r="D9227" s="2" t="s">
        <v>10</v>
      </c>
      <c r="E9227" s="2" t="s">
        <v>11</v>
      </c>
      <c r="F9227" s="2">
        <v>2</v>
      </c>
      <c r="G9227" s="2" t="s">
        <v>12</v>
      </c>
    </row>
    <row r="9228" spans="1:7" x14ac:dyDescent="0.2">
      <c r="A9228" s="2" t="s">
        <v>10814</v>
      </c>
      <c r="B9228" s="2" t="s">
        <v>10818</v>
      </c>
      <c r="C9228" s="2" t="s">
        <v>10816</v>
      </c>
      <c r="D9228" s="2" t="s">
        <v>10</v>
      </c>
      <c r="E9228" s="2" t="s">
        <v>11</v>
      </c>
      <c r="F9228" s="2">
        <v>2</v>
      </c>
      <c r="G9228" s="2" t="s">
        <v>12</v>
      </c>
    </row>
    <row r="9229" spans="1:7" x14ac:dyDescent="0.2">
      <c r="A9229" s="2" t="s">
        <v>10819</v>
      </c>
      <c r="B9229" s="2">
        <v>1</v>
      </c>
      <c r="C9229" s="2" t="s">
        <v>10820</v>
      </c>
      <c r="D9229" s="2" t="s">
        <v>10</v>
      </c>
      <c r="E9229" s="2" t="s">
        <v>1080</v>
      </c>
      <c r="F9229" s="2">
        <v>4</v>
      </c>
      <c r="G9229" s="2" t="s">
        <v>17</v>
      </c>
    </row>
    <row r="9230" spans="1:7" x14ac:dyDescent="0.2">
      <c r="A9230" s="2" t="s">
        <v>10819</v>
      </c>
      <c r="B9230" s="2">
        <v>2</v>
      </c>
      <c r="C9230" s="2" t="s">
        <v>10821</v>
      </c>
      <c r="D9230" s="2" t="s">
        <v>10</v>
      </c>
      <c r="E9230" s="2" t="s">
        <v>1080</v>
      </c>
      <c r="F9230" s="2">
        <v>4</v>
      </c>
      <c r="G9230" s="2" t="s">
        <v>17</v>
      </c>
    </row>
    <row r="9231" spans="1:7" x14ac:dyDescent="0.2">
      <c r="A9231" s="2" t="s">
        <v>10822</v>
      </c>
      <c r="B9231" s="2" t="s">
        <v>10823</v>
      </c>
      <c r="C9231" s="2" t="s">
        <v>10824</v>
      </c>
      <c r="D9231" s="2" t="s">
        <v>10</v>
      </c>
      <c r="E9231" s="2" t="s">
        <v>52</v>
      </c>
      <c r="F9231" s="2" t="s">
        <v>5438</v>
      </c>
      <c r="G9231" s="2" t="s">
        <v>17</v>
      </c>
    </row>
    <row r="9232" spans="1:7" x14ac:dyDescent="0.2">
      <c r="A9232" s="2" t="s">
        <v>10822</v>
      </c>
      <c r="B9232" s="2" t="s">
        <v>10825</v>
      </c>
      <c r="C9232" s="2" t="s">
        <v>10824</v>
      </c>
      <c r="D9232" s="2" t="s">
        <v>10</v>
      </c>
      <c r="E9232" s="2" t="s">
        <v>52</v>
      </c>
      <c r="F9232" s="2" t="s">
        <v>5438</v>
      </c>
      <c r="G9232" s="2" t="s">
        <v>17</v>
      </c>
    </row>
    <row r="9233" spans="1:7" x14ac:dyDescent="0.2">
      <c r="A9233" s="2" t="s">
        <v>10822</v>
      </c>
      <c r="B9233" s="2" t="s">
        <v>10826</v>
      </c>
      <c r="C9233" s="2" t="s">
        <v>10827</v>
      </c>
      <c r="D9233" s="2" t="s">
        <v>56</v>
      </c>
      <c r="E9233" s="2" t="s">
        <v>52</v>
      </c>
      <c r="F9233" s="2">
        <v>1</v>
      </c>
      <c r="G9233" s="2" t="s">
        <v>17</v>
      </c>
    </row>
    <row r="9234" spans="1:7" x14ac:dyDescent="0.2">
      <c r="A9234" s="2" t="s">
        <v>10822</v>
      </c>
      <c r="B9234" s="2" t="s">
        <v>10828</v>
      </c>
      <c r="C9234" s="2" t="s">
        <v>10824</v>
      </c>
      <c r="D9234" s="2" t="s">
        <v>10</v>
      </c>
      <c r="E9234" s="2" t="s">
        <v>52</v>
      </c>
      <c r="F9234" s="2" t="s">
        <v>5438</v>
      </c>
      <c r="G9234" s="2" t="s">
        <v>17</v>
      </c>
    </row>
    <row r="9235" spans="1:7" x14ac:dyDescent="0.2">
      <c r="A9235" s="2" t="s">
        <v>10822</v>
      </c>
      <c r="B9235" s="2" t="s">
        <v>10829</v>
      </c>
      <c r="C9235" s="2" t="s">
        <v>6529</v>
      </c>
      <c r="D9235" s="2" t="s">
        <v>56</v>
      </c>
      <c r="E9235" s="2" t="s">
        <v>52</v>
      </c>
      <c r="F9235" s="2">
        <v>1</v>
      </c>
      <c r="G9235" s="2" t="s">
        <v>17</v>
      </c>
    </row>
    <row r="9236" spans="1:7" x14ac:dyDescent="0.2">
      <c r="A9236" s="2" t="s">
        <v>10822</v>
      </c>
      <c r="B9236" s="2" t="s">
        <v>10830</v>
      </c>
      <c r="C9236" s="2" t="s">
        <v>10824</v>
      </c>
      <c r="D9236" s="2" t="s">
        <v>10</v>
      </c>
      <c r="E9236" s="2" t="s">
        <v>52</v>
      </c>
      <c r="F9236" s="2" t="s">
        <v>5438</v>
      </c>
      <c r="G9236" s="2" t="s">
        <v>17</v>
      </c>
    </row>
    <row r="9237" spans="1:7" x14ac:dyDescent="0.2">
      <c r="A9237" s="2" t="s">
        <v>10822</v>
      </c>
      <c r="B9237" s="2" t="s">
        <v>10831</v>
      </c>
      <c r="C9237" s="2" t="s">
        <v>3534</v>
      </c>
      <c r="D9237" s="2" t="s">
        <v>10</v>
      </c>
      <c r="E9237" s="2" t="s">
        <v>52</v>
      </c>
      <c r="F9237" s="2">
        <v>1</v>
      </c>
      <c r="G9237" s="2" t="s">
        <v>17</v>
      </c>
    </row>
    <row r="9238" spans="1:7" x14ac:dyDescent="0.2">
      <c r="A9238" s="2" t="s">
        <v>10822</v>
      </c>
      <c r="B9238" s="2" t="s">
        <v>10832</v>
      </c>
      <c r="C9238" s="2" t="s">
        <v>3538</v>
      </c>
      <c r="D9238" s="2" t="s">
        <v>10</v>
      </c>
      <c r="E9238" s="2" t="s">
        <v>52</v>
      </c>
      <c r="F9238" s="2">
        <v>1</v>
      </c>
      <c r="G9238" s="2" t="s">
        <v>17</v>
      </c>
    </row>
    <row r="9239" spans="1:7" x14ac:dyDescent="0.2">
      <c r="A9239" s="2" t="s">
        <v>10833</v>
      </c>
      <c r="B9239" s="2" t="s">
        <v>10834</v>
      </c>
      <c r="C9239" s="2" t="s">
        <v>1323</v>
      </c>
      <c r="D9239" s="2" t="s">
        <v>10</v>
      </c>
      <c r="E9239" s="2" t="s">
        <v>16</v>
      </c>
      <c r="F9239" s="2">
        <v>1</v>
      </c>
      <c r="G9239" s="2" t="s">
        <v>17</v>
      </c>
    </row>
    <row r="9240" spans="1:7" x14ac:dyDescent="0.2">
      <c r="A9240" s="2" t="s">
        <v>10833</v>
      </c>
      <c r="B9240" s="2" t="s">
        <v>10835</v>
      </c>
      <c r="C9240" s="2" t="s">
        <v>1323</v>
      </c>
      <c r="D9240" s="2" t="s">
        <v>10</v>
      </c>
      <c r="E9240" s="2" t="s">
        <v>16</v>
      </c>
      <c r="F9240" s="2">
        <v>1</v>
      </c>
      <c r="G9240" s="2" t="s">
        <v>17</v>
      </c>
    </row>
    <row r="9241" spans="1:7" x14ac:dyDescent="0.2">
      <c r="A9241" s="2" t="s">
        <v>10833</v>
      </c>
      <c r="B9241" s="2" t="s">
        <v>10719</v>
      </c>
      <c r="C9241" s="2" t="s">
        <v>1323</v>
      </c>
      <c r="D9241" s="2" t="s">
        <v>10</v>
      </c>
      <c r="E9241" s="2" t="s">
        <v>16</v>
      </c>
      <c r="F9241" s="2">
        <v>1</v>
      </c>
      <c r="G9241" s="2" t="s">
        <v>17</v>
      </c>
    </row>
    <row r="9242" spans="1:7" x14ac:dyDescent="0.2">
      <c r="A9242" s="2" t="s">
        <v>10836</v>
      </c>
      <c r="B9242" s="2" t="s">
        <v>10837</v>
      </c>
      <c r="C9242" s="2" t="s">
        <v>10838</v>
      </c>
      <c r="D9242" s="2" t="s">
        <v>10</v>
      </c>
      <c r="E9242" s="2" t="s">
        <v>16</v>
      </c>
      <c r="F9242" s="2">
        <v>1</v>
      </c>
      <c r="G9242" s="2" t="s">
        <v>17</v>
      </c>
    </row>
    <row r="9243" spans="1:7" x14ac:dyDescent="0.2">
      <c r="A9243" s="2" t="s">
        <v>10836</v>
      </c>
      <c r="B9243" s="2" t="s">
        <v>10839</v>
      </c>
      <c r="C9243" s="2" t="s">
        <v>10840</v>
      </c>
      <c r="D9243" s="2" t="s">
        <v>10</v>
      </c>
      <c r="E9243" s="2" t="s">
        <v>16</v>
      </c>
      <c r="F9243" s="2">
        <v>1</v>
      </c>
      <c r="G9243" s="2" t="s">
        <v>17</v>
      </c>
    </row>
    <row r="9244" spans="1:7" x14ac:dyDescent="0.2">
      <c r="A9244" s="2" t="s">
        <v>10836</v>
      </c>
      <c r="B9244" s="2" t="s">
        <v>10841</v>
      </c>
      <c r="C9244" s="2" t="s">
        <v>10842</v>
      </c>
      <c r="D9244" s="2" t="s">
        <v>10</v>
      </c>
      <c r="E9244" s="2" t="s">
        <v>16</v>
      </c>
      <c r="F9244" s="2">
        <v>1</v>
      </c>
      <c r="G9244" s="2" t="s">
        <v>17</v>
      </c>
    </row>
    <row r="9245" spans="1:7" x14ac:dyDescent="0.2">
      <c r="A9245" s="2" t="s">
        <v>10836</v>
      </c>
      <c r="B9245" s="2" t="s">
        <v>10843</v>
      </c>
      <c r="C9245" s="2" t="s">
        <v>10844</v>
      </c>
      <c r="D9245" s="2" t="s">
        <v>10</v>
      </c>
      <c r="E9245" s="2" t="s">
        <v>16</v>
      </c>
      <c r="F9245" s="2">
        <v>1</v>
      </c>
      <c r="G9245" s="2" t="s">
        <v>17</v>
      </c>
    </row>
    <row r="9246" spans="1:7" x14ac:dyDescent="0.2">
      <c r="A9246" s="2" t="s">
        <v>10836</v>
      </c>
      <c r="B9246" s="2" t="s">
        <v>10845</v>
      </c>
      <c r="C9246" s="2" t="s">
        <v>10846</v>
      </c>
      <c r="D9246" s="2" t="s">
        <v>10</v>
      </c>
      <c r="E9246" s="2" t="s">
        <v>11</v>
      </c>
      <c r="F9246" s="2">
        <v>1</v>
      </c>
      <c r="G9246" s="2" t="s">
        <v>17</v>
      </c>
    </row>
    <row r="9247" spans="1:7" x14ac:dyDescent="0.2">
      <c r="A9247" s="2" t="s">
        <v>10836</v>
      </c>
      <c r="B9247" s="2" t="s">
        <v>10847</v>
      </c>
      <c r="C9247" s="2" t="s">
        <v>10846</v>
      </c>
      <c r="D9247" s="2" t="s">
        <v>10</v>
      </c>
      <c r="E9247" s="2" t="s">
        <v>11</v>
      </c>
      <c r="F9247" s="2">
        <v>1</v>
      </c>
      <c r="G9247" s="2" t="s">
        <v>17</v>
      </c>
    </row>
    <row r="9248" spans="1:7" x14ac:dyDescent="0.2">
      <c r="A9248" s="2" t="s">
        <v>10848</v>
      </c>
      <c r="B9248" s="2" t="s">
        <v>2160</v>
      </c>
      <c r="C9248" s="2" t="s">
        <v>1298</v>
      </c>
      <c r="D9248" s="2" t="s">
        <v>10</v>
      </c>
      <c r="E9248" s="2" t="s">
        <v>16</v>
      </c>
      <c r="F9248" s="2">
        <v>1</v>
      </c>
      <c r="G9248" s="2" t="s">
        <v>17</v>
      </c>
    </row>
    <row r="9249" spans="1:7" x14ac:dyDescent="0.2">
      <c r="A9249" s="2" t="s">
        <v>10848</v>
      </c>
      <c r="B9249" s="2" t="s">
        <v>10849</v>
      </c>
      <c r="C9249" s="2" t="s">
        <v>1298</v>
      </c>
      <c r="D9249" s="2" t="s">
        <v>10</v>
      </c>
      <c r="E9249" s="2" t="s">
        <v>16</v>
      </c>
      <c r="F9249" s="2">
        <v>1</v>
      </c>
      <c r="G9249" s="2" t="s">
        <v>17</v>
      </c>
    </row>
    <row r="9250" spans="1:7" x14ac:dyDescent="0.2">
      <c r="A9250" s="2" t="s">
        <v>10848</v>
      </c>
      <c r="B9250" s="2" t="s">
        <v>10850</v>
      </c>
      <c r="C9250" s="2" t="s">
        <v>10851</v>
      </c>
      <c r="D9250" s="2" t="s">
        <v>10</v>
      </c>
      <c r="E9250" s="2" t="s">
        <v>16</v>
      </c>
      <c r="F9250" s="2">
        <v>1</v>
      </c>
      <c r="G9250" s="2" t="s">
        <v>17</v>
      </c>
    </row>
    <row r="9251" spans="1:7" x14ac:dyDescent="0.2">
      <c r="A9251" s="2" t="s">
        <v>10848</v>
      </c>
      <c r="B9251" s="2" t="s">
        <v>10852</v>
      </c>
      <c r="C9251" s="2" t="s">
        <v>10851</v>
      </c>
      <c r="D9251" s="2" t="s">
        <v>10</v>
      </c>
      <c r="E9251" s="2" t="s">
        <v>16</v>
      </c>
      <c r="F9251" s="2">
        <v>1</v>
      </c>
      <c r="G9251" s="2" t="s">
        <v>17</v>
      </c>
    </row>
    <row r="9252" spans="1:7" x14ac:dyDescent="0.2">
      <c r="A9252" s="2" t="s">
        <v>10848</v>
      </c>
      <c r="B9252" s="2" t="s">
        <v>10853</v>
      </c>
      <c r="C9252" s="2" t="s">
        <v>10854</v>
      </c>
      <c r="D9252" s="2" t="s">
        <v>10</v>
      </c>
      <c r="E9252" s="2" t="s">
        <v>16</v>
      </c>
      <c r="F9252" s="2">
        <v>1</v>
      </c>
      <c r="G9252" s="2" t="s">
        <v>17</v>
      </c>
    </row>
    <row r="9253" spans="1:7" x14ac:dyDescent="0.2">
      <c r="A9253" s="2" t="s">
        <v>10855</v>
      </c>
      <c r="B9253" s="2" t="s">
        <v>10856</v>
      </c>
      <c r="C9253" s="2" t="s">
        <v>10857</v>
      </c>
      <c r="D9253" s="2" t="s">
        <v>10</v>
      </c>
      <c r="E9253" s="2" t="s">
        <v>16</v>
      </c>
      <c r="F9253" s="2">
        <v>1</v>
      </c>
      <c r="G9253" s="2" t="s">
        <v>17</v>
      </c>
    </row>
    <row r="9254" spans="1:7" x14ac:dyDescent="0.2">
      <c r="A9254" s="2" t="s">
        <v>10855</v>
      </c>
      <c r="B9254" s="2" t="s">
        <v>3340</v>
      </c>
      <c r="C9254" s="2" t="s">
        <v>10858</v>
      </c>
      <c r="D9254" s="2" t="s">
        <v>10</v>
      </c>
      <c r="E9254" s="2" t="s">
        <v>16</v>
      </c>
      <c r="F9254" s="2">
        <v>1</v>
      </c>
      <c r="G9254" s="2" t="s">
        <v>17</v>
      </c>
    </row>
    <row r="9255" spans="1:7" x14ac:dyDescent="0.2">
      <c r="A9255" s="2" t="s">
        <v>10855</v>
      </c>
      <c r="B9255" s="2" t="s">
        <v>10859</v>
      </c>
      <c r="C9255" s="2" t="s">
        <v>10860</v>
      </c>
      <c r="D9255" s="2" t="s">
        <v>10</v>
      </c>
      <c r="E9255" s="2" t="s">
        <v>16</v>
      </c>
      <c r="F9255" s="2">
        <v>1</v>
      </c>
      <c r="G9255" s="2" t="s">
        <v>17</v>
      </c>
    </row>
    <row r="9256" spans="1:7" x14ac:dyDescent="0.2">
      <c r="A9256" s="2" t="s">
        <v>10855</v>
      </c>
      <c r="B9256" s="2" t="s">
        <v>10861</v>
      </c>
      <c r="C9256" s="2" t="s">
        <v>10858</v>
      </c>
      <c r="D9256" s="2" t="s">
        <v>10</v>
      </c>
      <c r="E9256" s="2" t="s">
        <v>16</v>
      </c>
      <c r="F9256" s="2">
        <v>1</v>
      </c>
      <c r="G9256" s="2" t="s">
        <v>17</v>
      </c>
    </row>
    <row r="9257" spans="1:7" x14ac:dyDescent="0.2">
      <c r="A9257" s="2" t="s">
        <v>10855</v>
      </c>
      <c r="B9257" s="2" t="s">
        <v>10862</v>
      </c>
      <c r="C9257" s="2" t="s">
        <v>10860</v>
      </c>
      <c r="D9257" s="2" t="s">
        <v>10</v>
      </c>
      <c r="E9257" s="2" t="s">
        <v>16</v>
      </c>
      <c r="F9257" s="2">
        <v>1</v>
      </c>
      <c r="G9257" s="2" t="s">
        <v>17</v>
      </c>
    </row>
    <row r="9258" spans="1:7" x14ac:dyDescent="0.2">
      <c r="A9258" s="2" t="s">
        <v>10855</v>
      </c>
      <c r="B9258" s="2" t="s">
        <v>10863</v>
      </c>
      <c r="C9258" s="2" t="s">
        <v>10857</v>
      </c>
      <c r="D9258" s="2" t="s">
        <v>10</v>
      </c>
      <c r="E9258" s="2" t="s">
        <v>16</v>
      </c>
      <c r="F9258" s="2">
        <v>1</v>
      </c>
      <c r="G9258" s="2" t="s">
        <v>17</v>
      </c>
    </row>
    <row r="9259" spans="1:7" x14ac:dyDescent="0.2">
      <c r="A9259" s="2" t="s">
        <v>10864</v>
      </c>
      <c r="B9259" s="2" t="s">
        <v>10865</v>
      </c>
      <c r="C9259" s="2" t="s">
        <v>10866</v>
      </c>
      <c r="D9259" s="2" t="s">
        <v>10</v>
      </c>
      <c r="E9259" s="2" t="s">
        <v>16</v>
      </c>
      <c r="F9259" s="2">
        <v>1</v>
      </c>
      <c r="G9259" s="2" t="s">
        <v>17</v>
      </c>
    </row>
    <row r="9260" spans="1:7" x14ac:dyDescent="0.2">
      <c r="A9260" s="2" t="s">
        <v>10864</v>
      </c>
      <c r="B9260" s="2" t="s">
        <v>8297</v>
      </c>
      <c r="C9260" s="2" t="s">
        <v>10866</v>
      </c>
      <c r="D9260" s="2" t="s">
        <v>10</v>
      </c>
      <c r="E9260" s="2" t="s">
        <v>16</v>
      </c>
      <c r="F9260" s="2">
        <v>1</v>
      </c>
      <c r="G9260" s="2" t="s">
        <v>17</v>
      </c>
    </row>
    <row r="9261" spans="1:7" x14ac:dyDescent="0.2">
      <c r="A9261" s="2" t="s">
        <v>10864</v>
      </c>
      <c r="B9261" s="2" t="s">
        <v>10867</v>
      </c>
      <c r="C9261" s="2" t="s">
        <v>10866</v>
      </c>
      <c r="D9261" s="2" t="s">
        <v>10</v>
      </c>
      <c r="E9261" s="2" t="s">
        <v>16</v>
      </c>
      <c r="F9261" s="2">
        <v>1</v>
      </c>
      <c r="G9261" s="2" t="s">
        <v>17</v>
      </c>
    </row>
    <row r="9262" spans="1:7" x14ac:dyDescent="0.2">
      <c r="A9262" s="2" t="s">
        <v>10868</v>
      </c>
      <c r="B9262" s="2" t="s">
        <v>10869</v>
      </c>
      <c r="C9262" s="2" t="s">
        <v>10870</v>
      </c>
      <c r="D9262" s="2" t="s">
        <v>10</v>
      </c>
      <c r="E9262" s="2" t="s">
        <v>16</v>
      </c>
      <c r="F9262" s="2">
        <v>1</v>
      </c>
      <c r="G9262" s="2" t="s">
        <v>17</v>
      </c>
    </row>
    <row r="9263" spans="1:7" x14ac:dyDescent="0.2">
      <c r="A9263" s="2" t="s">
        <v>10871</v>
      </c>
      <c r="B9263" s="2" t="s">
        <v>10872</v>
      </c>
      <c r="C9263" s="2" t="s">
        <v>10873</v>
      </c>
      <c r="D9263" s="2" t="s">
        <v>10</v>
      </c>
      <c r="E9263" s="2" t="s">
        <v>11</v>
      </c>
      <c r="F9263" s="2">
        <v>2</v>
      </c>
      <c r="G9263" s="2" t="s">
        <v>17</v>
      </c>
    </row>
    <row r="9264" spans="1:7" x14ac:dyDescent="0.2">
      <c r="A9264" s="2" t="s">
        <v>10871</v>
      </c>
      <c r="B9264" s="2" t="s">
        <v>10874</v>
      </c>
      <c r="C9264" s="2" t="s">
        <v>10873</v>
      </c>
      <c r="D9264" s="2" t="s">
        <v>10</v>
      </c>
      <c r="E9264" s="2" t="s">
        <v>11</v>
      </c>
      <c r="F9264" s="2">
        <v>2</v>
      </c>
      <c r="G9264" s="2" t="s">
        <v>17</v>
      </c>
    </row>
    <row r="9265" spans="1:7" x14ac:dyDescent="0.2">
      <c r="A9265" s="2" t="s">
        <v>10875</v>
      </c>
      <c r="B9265" s="2" t="s">
        <v>10876</v>
      </c>
      <c r="C9265" s="2" t="s">
        <v>9027</v>
      </c>
      <c r="D9265" s="2" t="s">
        <v>10</v>
      </c>
      <c r="E9265" s="2" t="s">
        <v>16</v>
      </c>
      <c r="F9265" s="2">
        <v>2</v>
      </c>
      <c r="G9265" s="2" t="s">
        <v>17</v>
      </c>
    </row>
    <row r="9266" spans="1:7" x14ac:dyDescent="0.2">
      <c r="A9266" s="2" t="s">
        <v>10875</v>
      </c>
      <c r="B9266" s="2" t="s">
        <v>9026</v>
      </c>
      <c r="C9266" s="2" t="s">
        <v>9027</v>
      </c>
      <c r="D9266" s="2" t="s">
        <v>10</v>
      </c>
      <c r="E9266" s="2" t="s">
        <v>16</v>
      </c>
      <c r="F9266" s="2">
        <v>2</v>
      </c>
      <c r="G9266" s="2" t="s">
        <v>17</v>
      </c>
    </row>
    <row r="9267" spans="1:7" x14ac:dyDescent="0.2">
      <c r="A9267" s="2" t="s">
        <v>10877</v>
      </c>
      <c r="B9267" s="2" t="s">
        <v>10878</v>
      </c>
      <c r="C9267" s="2" t="s">
        <v>10879</v>
      </c>
      <c r="D9267" s="2" t="s">
        <v>29</v>
      </c>
      <c r="E9267" s="2" t="s">
        <v>16</v>
      </c>
      <c r="F9267" s="2">
        <v>1</v>
      </c>
      <c r="G9267" s="2" t="s">
        <v>17</v>
      </c>
    </row>
    <row r="9268" spans="1:7" x14ac:dyDescent="0.2">
      <c r="A9268" s="2" t="s">
        <v>10877</v>
      </c>
      <c r="B9268" s="2" t="s">
        <v>10880</v>
      </c>
      <c r="C9268" s="2" t="s">
        <v>10881</v>
      </c>
      <c r="D9268" s="2" t="s">
        <v>29</v>
      </c>
      <c r="E9268" s="2" t="s">
        <v>16</v>
      </c>
      <c r="F9268" s="2">
        <v>1</v>
      </c>
      <c r="G9268" s="2" t="s">
        <v>17</v>
      </c>
    </row>
    <row r="9269" spans="1:7" x14ac:dyDescent="0.2">
      <c r="A9269" s="2" t="s">
        <v>10877</v>
      </c>
      <c r="B9269" s="2" t="s">
        <v>10882</v>
      </c>
      <c r="C9269" s="2" t="s">
        <v>10879</v>
      </c>
      <c r="D9269" s="2" t="s">
        <v>29</v>
      </c>
      <c r="E9269" s="2" t="s">
        <v>16</v>
      </c>
      <c r="F9269" s="2">
        <v>1</v>
      </c>
      <c r="G9269" s="2" t="s">
        <v>17</v>
      </c>
    </row>
    <row r="9270" spans="1:7" x14ac:dyDescent="0.2">
      <c r="A9270" s="2" t="s">
        <v>10883</v>
      </c>
      <c r="B9270" s="2" t="s">
        <v>10884</v>
      </c>
      <c r="C9270" s="2" t="s">
        <v>10885</v>
      </c>
      <c r="D9270" s="2" t="s">
        <v>10</v>
      </c>
      <c r="E9270" s="2" t="s">
        <v>16</v>
      </c>
      <c r="F9270" s="2">
        <v>1</v>
      </c>
      <c r="G9270" s="2" t="s">
        <v>17</v>
      </c>
    </row>
    <row r="9271" spans="1:7" x14ac:dyDescent="0.2">
      <c r="A9271" s="2" t="s">
        <v>10883</v>
      </c>
      <c r="B9271" s="2" t="s">
        <v>10886</v>
      </c>
      <c r="C9271" s="2" t="s">
        <v>10885</v>
      </c>
      <c r="D9271" s="2" t="s">
        <v>10</v>
      </c>
      <c r="E9271" s="2" t="s">
        <v>16</v>
      </c>
      <c r="F9271" s="2">
        <v>1</v>
      </c>
      <c r="G9271" s="2" t="s">
        <v>17</v>
      </c>
    </row>
    <row r="9272" spans="1:7" x14ac:dyDescent="0.2">
      <c r="A9272" s="2" t="s">
        <v>10887</v>
      </c>
      <c r="B9272" s="2" t="s">
        <v>10888</v>
      </c>
      <c r="C9272" s="2" t="s">
        <v>10889</v>
      </c>
      <c r="D9272" s="2" t="s">
        <v>64</v>
      </c>
      <c r="E9272" s="2" t="s">
        <v>16</v>
      </c>
      <c r="F9272" s="2">
        <v>1</v>
      </c>
      <c r="G9272" s="2" t="s">
        <v>17</v>
      </c>
    </row>
    <row r="9273" spans="1:7" x14ac:dyDescent="0.2">
      <c r="A9273" s="2" t="s">
        <v>10890</v>
      </c>
      <c r="B9273" s="2" t="s">
        <v>652</v>
      </c>
      <c r="C9273" s="2" t="s">
        <v>10891</v>
      </c>
      <c r="D9273" s="2" t="s">
        <v>10</v>
      </c>
      <c r="E9273" s="2" t="s">
        <v>16</v>
      </c>
      <c r="F9273" s="2">
        <v>1</v>
      </c>
      <c r="G9273" s="2" t="s">
        <v>17</v>
      </c>
    </row>
    <row r="9274" spans="1:7" x14ac:dyDescent="0.2">
      <c r="A9274" s="2" t="s">
        <v>10892</v>
      </c>
      <c r="B9274" s="2" t="s">
        <v>10893</v>
      </c>
      <c r="C9274" s="2" t="s">
        <v>10894</v>
      </c>
      <c r="D9274" s="2" t="s">
        <v>10</v>
      </c>
      <c r="E9274" s="2" t="s">
        <v>16</v>
      </c>
      <c r="F9274" s="2">
        <v>1</v>
      </c>
      <c r="G9274" s="2" t="s">
        <v>17</v>
      </c>
    </row>
    <row r="9275" spans="1:7" x14ac:dyDescent="0.2">
      <c r="A9275" s="2" t="s">
        <v>10895</v>
      </c>
      <c r="B9275" s="2" t="s">
        <v>7812</v>
      </c>
      <c r="C9275" s="2" t="s">
        <v>7813</v>
      </c>
      <c r="D9275" s="2" t="s">
        <v>10</v>
      </c>
      <c r="E9275" s="2" t="s">
        <v>16</v>
      </c>
      <c r="F9275" s="2">
        <v>1</v>
      </c>
      <c r="G9275" s="2" t="s">
        <v>17</v>
      </c>
    </row>
    <row r="9276" spans="1:7" x14ac:dyDescent="0.2">
      <c r="A9276" s="2" t="s">
        <v>10895</v>
      </c>
      <c r="B9276" s="2" t="s">
        <v>10896</v>
      </c>
      <c r="C9276" s="2" t="s">
        <v>10897</v>
      </c>
      <c r="D9276" s="2" t="s">
        <v>10</v>
      </c>
      <c r="E9276" s="2" t="s">
        <v>16</v>
      </c>
      <c r="F9276" s="2">
        <v>1</v>
      </c>
      <c r="G9276" s="2" t="s">
        <v>17</v>
      </c>
    </row>
    <row r="9277" spans="1:7" x14ac:dyDescent="0.2">
      <c r="A9277" s="2" t="s">
        <v>10895</v>
      </c>
      <c r="B9277" s="2" t="s">
        <v>1433</v>
      </c>
      <c r="C9277" s="2" t="s">
        <v>1434</v>
      </c>
      <c r="D9277" s="2" t="s">
        <v>10</v>
      </c>
      <c r="E9277" s="2" t="s">
        <v>16</v>
      </c>
      <c r="F9277" s="2">
        <v>1</v>
      </c>
      <c r="G9277" s="2" t="s">
        <v>17</v>
      </c>
    </row>
    <row r="9278" spans="1:7" x14ac:dyDescent="0.2">
      <c r="A9278" s="2" t="s">
        <v>10895</v>
      </c>
      <c r="B9278" s="2" t="s">
        <v>5727</v>
      </c>
      <c r="C9278" s="2" t="s">
        <v>292</v>
      </c>
      <c r="D9278" s="2" t="s">
        <v>10</v>
      </c>
      <c r="E9278" s="2" t="s">
        <v>16</v>
      </c>
      <c r="F9278" s="2">
        <v>1</v>
      </c>
      <c r="G9278" s="2" t="s">
        <v>17</v>
      </c>
    </row>
    <row r="9279" spans="1:7" x14ac:dyDescent="0.2">
      <c r="A9279" s="2" t="s">
        <v>10895</v>
      </c>
      <c r="B9279" s="2" t="s">
        <v>6495</v>
      </c>
      <c r="C9279" s="2" t="s">
        <v>292</v>
      </c>
      <c r="D9279" s="2" t="s">
        <v>10</v>
      </c>
      <c r="E9279" s="2" t="s">
        <v>16</v>
      </c>
      <c r="F9279" s="2">
        <v>1</v>
      </c>
      <c r="G9279" s="2" t="s">
        <v>17</v>
      </c>
    </row>
    <row r="9280" spans="1:7" x14ac:dyDescent="0.2">
      <c r="A9280" s="2" t="s">
        <v>10895</v>
      </c>
      <c r="B9280" s="2" t="s">
        <v>10898</v>
      </c>
      <c r="C9280" s="2" t="s">
        <v>10899</v>
      </c>
      <c r="D9280" s="2" t="s">
        <v>10</v>
      </c>
      <c r="E9280" s="2" t="s">
        <v>16</v>
      </c>
      <c r="F9280" s="2">
        <v>1</v>
      </c>
      <c r="G9280" s="2" t="s">
        <v>17</v>
      </c>
    </row>
    <row r="9281" spans="1:7" x14ac:dyDescent="0.2">
      <c r="A9281" s="2" t="s">
        <v>10895</v>
      </c>
      <c r="B9281" s="2" t="s">
        <v>7814</v>
      </c>
      <c r="C9281" s="2" t="s">
        <v>7813</v>
      </c>
      <c r="D9281" s="2" t="s">
        <v>10</v>
      </c>
      <c r="E9281" s="2" t="s">
        <v>16</v>
      </c>
      <c r="F9281" s="2">
        <v>1</v>
      </c>
      <c r="G9281" s="2" t="s">
        <v>17</v>
      </c>
    </row>
    <row r="9282" spans="1:7" x14ac:dyDescent="0.2">
      <c r="A9282" s="2" t="s">
        <v>10895</v>
      </c>
      <c r="B9282" s="2" t="s">
        <v>10900</v>
      </c>
      <c r="C9282" s="2" t="s">
        <v>10897</v>
      </c>
      <c r="D9282" s="2" t="s">
        <v>10</v>
      </c>
      <c r="E9282" s="2" t="s">
        <v>16</v>
      </c>
      <c r="F9282" s="2">
        <v>1</v>
      </c>
      <c r="G9282" s="2" t="s">
        <v>17</v>
      </c>
    </row>
    <row r="9283" spans="1:7" x14ac:dyDescent="0.2">
      <c r="A9283" s="2" t="s">
        <v>10895</v>
      </c>
      <c r="B9283" s="2" t="s">
        <v>6496</v>
      </c>
      <c r="C9283" s="2" t="s">
        <v>292</v>
      </c>
      <c r="D9283" s="2" t="s">
        <v>10</v>
      </c>
      <c r="E9283" s="2" t="s">
        <v>16</v>
      </c>
      <c r="F9283" s="2">
        <v>1</v>
      </c>
      <c r="G9283" s="2" t="s">
        <v>17</v>
      </c>
    </row>
    <row r="9284" spans="1:7" x14ac:dyDescent="0.2">
      <c r="A9284" s="2" t="s">
        <v>10895</v>
      </c>
      <c r="B9284" s="2" t="s">
        <v>10901</v>
      </c>
      <c r="C9284" s="2" t="s">
        <v>10899</v>
      </c>
      <c r="D9284" s="2" t="s">
        <v>10</v>
      </c>
      <c r="E9284" s="2" t="s">
        <v>16</v>
      </c>
      <c r="F9284" s="2">
        <v>1</v>
      </c>
      <c r="G9284" s="2" t="s">
        <v>17</v>
      </c>
    </row>
    <row r="9285" spans="1:7" x14ac:dyDescent="0.2">
      <c r="A9285" s="2" t="s">
        <v>10902</v>
      </c>
      <c r="B9285" s="2" t="s">
        <v>7396</v>
      </c>
      <c r="C9285" s="2" t="s">
        <v>7397</v>
      </c>
      <c r="D9285" s="2" t="s">
        <v>10</v>
      </c>
      <c r="E9285" s="2" t="s">
        <v>16</v>
      </c>
      <c r="F9285" s="2">
        <v>1</v>
      </c>
      <c r="G9285" s="2" t="s">
        <v>17</v>
      </c>
    </row>
    <row r="9286" spans="1:7" x14ac:dyDescent="0.2">
      <c r="A9286" s="2" t="s">
        <v>10902</v>
      </c>
      <c r="B9286" s="2" t="s">
        <v>7398</v>
      </c>
      <c r="C9286" s="2" t="s">
        <v>7399</v>
      </c>
      <c r="D9286" s="2" t="s">
        <v>10</v>
      </c>
      <c r="E9286" s="2" t="s">
        <v>16</v>
      </c>
      <c r="F9286" s="2">
        <v>1</v>
      </c>
      <c r="G9286" s="2" t="s">
        <v>17</v>
      </c>
    </row>
    <row r="9287" spans="1:7" x14ac:dyDescent="0.2">
      <c r="A9287" s="2" t="s">
        <v>10902</v>
      </c>
      <c r="B9287" s="2" t="s">
        <v>7400</v>
      </c>
      <c r="C9287" s="2" t="s">
        <v>7401</v>
      </c>
      <c r="D9287" s="2" t="s">
        <v>10</v>
      </c>
      <c r="E9287" s="2" t="s">
        <v>16</v>
      </c>
      <c r="F9287" s="2">
        <v>1</v>
      </c>
      <c r="G9287" s="2" t="s">
        <v>17</v>
      </c>
    </row>
    <row r="9288" spans="1:7" x14ac:dyDescent="0.2">
      <c r="A9288" s="2" t="s">
        <v>10903</v>
      </c>
      <c r="B9288" s="2">
        <v>107</v>
      </c>
      <c r="C9288" s="2" t="s">
        <v>10904</v>
      </c>
      <c r="D9288" s="2" t="s">
        <v>3928</v>
      </c>
      <c r="E9288" s="2" t="s">
        <v>16</v>
      </c>
      <c r="F9288" s="2">
        <v>1</v>
      </c>
      <c r="G9288" s="2" t="s">
        <v>17</v>
      </c>
    </row>
    <row r="9289" spans="1:7" x14ac:dyDescent="0.2">
      <c r="A9289" s="2" t="s">
        <v>10905</v>
      </c>
      <c r="B9289" s="2" t="s">
        <v>1883</v>
      </c>
      <c r="C9289" s="2" t="s">
        <v>10906</v>
      </c>
      <c r="D9289" s="2" t="s">
        <v>10</v>
      </c>
      <c r="E9289" s="2" t="s">
        <v>16</v>
      </c>
      <c r="F9289" s="2">
        <v>1</v>
      </c>
      <c r="G9289" s="2" t="s">
        <v>17</v>
      </c>
    </row>
    <row r="9290" spans="1:7" x14ac:dyDescent="0.2">
      <c r="A9290" s="2" t="s">
        <v>10905</v>
      </c>
      <c r="B9290" s="2" t="s">
        <v>10907</v>
      </c>
      <c r="C9290" s="2" t="s">
        <v>10906</v>
      </c>
      <c r="D9290" s="2" t="s">
        <v>10</v>
      </c>
      <c r="E9290" s="2" t="s">
        <v>16</v>
      </c>
      <c r="F9290" s="2">
        <v>1</v>
      </c>
      <c r="G9290" s="2" t="s">
        <v>17</v>
      </c>
    </row>
    <row r="9291" spans="1:7" x14ac:dyDescent="0.2">
      <c r="A9291" s="2" t="s">
        <v>10908</v>
      </c>
      <c r="B9291" s="2" t="s">
        <v>10909</v>
      </c>
      <c r="C9291" s="2" t="s">
        <v>10910</v>
      </c>
      <c r="D9291" s="2" t="s">
        <v>10</v>
      </c>
      <c r="E9291" s="2" t="s">
        <v>52</v>
      </c>
      <c r="F9291" s="2">
        <v>1</v>
      </c>
      <c r="G9291" s="2" t="s">
        <v>17</v>
      </c>
    </row>
    <row r="9292" spans="1:7" x14ac:dyDescent="0.2">
      <c r="A9292" s="2" t="s">
        <v>10908</v>
      </c>
      <c r="B9292" s="2" t="s">
        <v>10911</v>
      </c>
      <c r="C9292" s="2" t="s">
        <v>10910</v>
      </c>
      <c r="D9292" s="2" t="s">
        <v>10</v>
      </c>
      <c r="E9292" s="2" t="s">
        <v>52</v>
      </c>
      <c r="F9292" s="2">
        <v>1</v>
      </c>
      <c r="G9292" s="2" t="s">
        <v>17</v>
      </c>
    </row>
    <row r="9293" spans="1:7" x14ac:dyDescent="0.2">
      <c r="A9293" s="2" t="s">
        <v>10912</v>
      </c>
      <c r="B9293" s="2" t="s">
        <v>3181</v>
      </c>
      <c r="C9293" s="2" t="s">
        <v>207</v>
      </c>
      <c r="D9293" s="2" t="s">
        <v>10</v>
      </c>
      <c r="E9293" s="2" t="s">
        <v>16</v>
      </c>
      <c r="F9293" s="2">
        <v>1</v>
      </c>
      <c r="G9293" s="2" t="s">
        <v>17</v>
      </c>
    </row>
    <row r="9294" spans="1:7" x14ac:dyDescent="0.2">
      <c r="A9294" s="2" t="s">
        <v>10912</v>
      </c>
      <c r="B9294" s="2" t="s">
        <v>10913</v>
      </c>
      <c r="C9294" s="2" t="s">
        <v>207</v>
      </c>
      <c r="D9294" s="2" t="s">
        <v>10</v>
      </c>
      <c r="E9294" s="2" t="s">
        <v>16</v>
      </c>
      <c r="F9294" s="2">
        <v>1</v>
      </c>
      <c r="G9294" s="2" t="s">
        <v>17</v>
      </c>
    </row>
    <row r="9295" spans="1:7" x14ac:dyDescent="0.2">
      <c r="A9295" s="2" t="s">
        <v>10914</v>
      </c>
      <c r="B9295" s="2" t="s">
        <v>10915</v>
      </c>
      <c r="C9295" s="2" t="s">
        <v>9112</v>
      </c>
      <c r="D9295" s="2" t="s">
        <v>10</v>
      </c>
      <c r="E9295" s="2" t="s">
        <v>16</v>
      </c>
      <c r="F9295" s="2">
        <v>1</v>
      </c>
      <c r="G9295" s="2" t="s">
        <v>17</v>
      </c>
    </row>
    <row r="9296" spans="1:7" x14ac:dyDescent="0.2">
      <c r="A9296" s="2" t="s">
        <v>10914</v>
      </c>
      <c r="B9296" s="2" t="s">
        <v>10916</v>
      </c>
      <c r="C9296" s="2" t="s">
        <v>5994</v>
      </c>
      <c r="D9296" s="2" t="s">
        <v>10</v>
      </c>
      <c r="E9296" s="2" t="s">
        <v>16</v>
      </c>
      <c r="F9296" s="2">
        <v>1</v>
      </c>
      <c r="G9296" s="2" t="s">
        <v>17</v>
      </c>
    </row>
    <row r="9297" spans="1:7" x14ac:dyDescent="0.2">
      <c r="A9297" s="2" t="s">
        <v>10914</v>
      </c>
      <c r="B9297" s="2" t="s">
        <v>10917</v>
      </c>
      <c r="C9297" s="2" t="s">
        <v>10854</v>
      </c>
      <c r="D9297" s="2" t="s">
        <v>10</v>
      </c>
      <c r="E9297" s="2" t="s">
        <v>16</v>
      </c>
      <c r="F9297" s="2">
        <v>1</v>
      </c>
      <c r="G9297" s="2" t="s">
        <v>17</v>
      </c>
    </row>
    <row r="9298" spans="1:7" x14ac:dyDescent="0.2">
      <c r="A9298" s="2" t="s">
        <v>10918</v>
      </c>
      <c r="B9298" s="2" t="s">
        <v>1934</v>
      </c>
      <c r="C9298" s="2" t="s">
        <v>1935</v>
      </c>
      <c r="D9298" s="2" t="s">
        <v>10</v>
      </c>
      <c r="E9298" s="2" t="s">
        <v>16</v>
      </c>
      <c r="F9298" s="2">
        <v>1</v>
      </c>
      <c r="G9298" s="2" t="s">
        <v>17</v>
      </c>
    </row>
    <row r="9299" spans="1:7" x14ac:dyDescent="0.2">
      <c r="A9299" s="2" t="s">
        <v>10919</v>
      </c>
      <c r="B9299" s="2" t="s">
        <v>893</v>
      </c>
      <c r="C9299" s="2" t="s">
        <v>894</v>
      </c>
      <c r="D9299" s="2" t="s">
        <v>10</v>
      </c>
      <c r="E9299" s="2" t="s">
        <v>16</v>
      </c>
      <c r="F9299" s="2">
        <v>1</v>
      </c>
      <c r="G9299" s="2" t="s">
        <v>17</v>
      </c>
    </row>
    <row r="9300" spans="1:7" x14ac:dyDescent="0.2">
      <c r="A9300" s="2" t="s">
        <v>10920</v>
      </c>
      <c r="B9300" s="2" t="s">
        <v>10921</v>
      </c>
      <c r="C9300" s="2" t="s">
        <v>10922</v>
      </c>
      <c r="D9300" s="2" t="s">
        <v>10</v>
      </c>
      <c r="E9300" s="2" t="s">
        <v>16</v>
      </c>
      <c r="F9300" s="2">
        <v>1</v>
      </c>
      <c r="G9300" s="2" t="s">
        <v>17</v>
      </c>
    </row>
    <row r="9301" spans="1:7" x14ac:dyDescent="0.2">
      <c r="A9301" s="2" t="s">
        <v>10920</v>
      </c>
      <c r="B9301" s="2" t="s">
        <v>10923</v>
      </c>
      <c r="C9301" s="2" t="s">
        <v>10922</v>
      </c>
      <c r="D9301" s="2" t="s">
        <v>10</v>
      </c>
      <c r="E9301" s="2" t="s">
        <v>16</v>
      </c>
      <c r="F9301" s="2">
        <v>1</v>
      </c>
      <c r="G9301" s="2" t="s">
        <v>17</v>
      </c>
    </row>
    <row r="9302" spans="1:7" x14ac:dyDescent="0.2">
      <c r="A9302" s="2" t="s">
        <v>10924</v>
      </c>
      <c r="B9302" s="2" t="s">
        <v>10925</v>
      </c>
      <c r="C9302" s="2" t="s">
        <v>10926</v>
      </c>
      <c r="D9302" s="2" t="s">
        <v>10</v>
      </c>
      <c r="E9302" s="2" t="s">
        <v>16</v>
      </c>
      <c r="F9302" s="2">
        <v>1</v>
      </c>
      <c r="G9302" s="2" t="s">
        <v>17</v>
      </c>
    </row>
    <row r="9303" spans="1:7" x14ac:dyDescent="0.2">
      <c r="A9303" s="2" t="s">
        <v>10924</v>
      </c>
      <c r="B9303" s="2" t="s">
        <v>10927</v>
      </c>
      <c r="C9303" s="2" t="s">
        <v>10926</v>
      </c>
      <c r="D9303" s="2" t="s">
        <v>10</v>
      </c>
      <c r="E9303" s="2" t="s">
        <v>16</v>
      </c>
      <c r="F9303" s="2">
        <v>1</v>
      </c>
      <c r="G9303" s="2" t="s">
        <v>17</v>
      </c>
    </row>
    <row r="9304" spans="1:7" x14ac:dyDescent="0.2">
      <c r="A9304" s="2" t="s">
        <v>10928</v>
      </c>
      <c r="B9304" s="2" t="s">
        <v>10929</v>
      </c>
      <c r="C9304" s="2" t="s">
        <v>10930</v>
      </c>
      <c r="D9304" s="2" t="s">
        <v>10</v>
      </c>
      <c r="E9304" s="2" t="s">
        <v>16</v>
      </c>
      <c r="F9304" s="2">
        <v>1</v>
      </c>
      <c r="G9304" s="2" t="s">
        <v>17</v>
      </c>
    </row>
    <row r="9305" spans="1:7" x14ac:dyDescent="0.2">
      <c r="A9305" s="2" t="s">
        <v>10931</v>
      </c>
      <c r="B9305" s="2" t="s">
        <v>4209</v>
      </c>
      <c r="C9305" s="2" t="s">
        <v>2630</v>
      </c>
      <c r="D9305" s="2" t="s">
        <v>10</v>
      </c>
      <c r="E9305" s="2" t="s">
        <v>16</v>
      </c>
      <c r="F9305" s="2">
        <v>1</v>
      </c>
      <c r="G9305" s="2" t="s">
        <v>17</v>
      </c>
    </row>
    <row r="9306" spans="1:7" x14ac:dyDescent="0.2">
      <c r="A9306" s="2" t="s">
        <v>10931</v>
      </c>
      <c r="B9306" s="2" t="s">
        <v>4881</v>
      </c>
      <c r="C9306" s="2" t="s">
        <v>4882</v>
      </c>
      <c r="D9306" s="2" t="s">
        <v>10</v>
      </c>
      <c r="E9306" s="2" t="s">
        <v>16</v>
      </c>
      <c r="F9306" s="2">
        <v>1</v>
      </c>
      <c r="G9306" s="2" t="s">
        <v>17</v>
      </c>
    </row>
    <row r="9307" spans="1:7" x14ac:dyDescent="0.2">
      <c r="A9307" s="2" t="s">
        <v>10931</v>
      </c>
      <c r="B9307" s="2" t="s">
        <v>4210</v>
      </c>
      <c r="C9307" s="2" t="s">
        <v>2630</v>
      </c>
      <c r="D9307" s="2" t="s">
        <v>10</v>
      </c>
      <c r="E9307" s="2" t="s">
        <v>16</v>
      </c>
      <c r="F9307" s="2">
        <v>1</v>
      </c>
      <c r="G9307" s="2" t="s">
        <v>17</v>
      </c>
    </row>
    <row r="9308" spans="1:7" x14ac:dyDescent="0.2">
      <c r="A9308" s="2" t="s">
        <v>10931</v>
      </c>
      <c r="B9308" s="2" t="s">
        <v>4887</v>
      </c>
      <c r="C9308" s="2" t="s">
        <v>4882</v>
      </c>
      <c r="D9308" s="2" t="s">
        <v>10</v>
      </c>
      <c r="E9308" s="2" t="s">
        <v>16</v>
      </c>
      <c r="F9308" s="2">
        <v>1</v>
      </c>
      <c r="G9308" s="2" t="s">
        <v>17</v>
      </c>
    </row>
    <row r="9309" spans="1:7" x14ac:dyDescent="0.2">
      <c r="A9309" s="2" t="s">
        <v>10932</v>
      </c>
      <c r="B9309" s="2" t="s">
        <v>10933</v>
      </c>
      <c r="C9309" s="2" t="s">
        <v>10934</v>
      </c>
      <c r="D9309" s="2" t="s">
        <v>10</v>
      </c>
      <c r="E9309" s="2" t="s">
        <v>16</v>
      </c>
      <c r="F9309" s="2">
        <v>1</v>
      </c>
      <c r="G9309" s="2" t="s">
        <v>17</v>
      </c>
    </row>
    <row r="9310" spans="1:7" x14ac:dyDescent="0.2">
      <c r="A9310" s="2" t="s">
        <v>10935</v>
      </c>
      <c r="B9310" s="2" t="s">
        <v>10936</v>
      </c>
      <c r="C9310" s="2" t="s">
        <v>10937</v>
      </c>
      <c r="D9310" s="2" t="s">
        <v>10</v>
      </c>
      <c r="E9310" s="2" t="s">
        <v>16</v>
      </c>
      <c r="F9310" s="2">
        <v>2</v>
      </c>
      <c r="G9310" s="2" t="s">
        <v>17</v>
      </c>
    </row>
    <row r="9311" spans="1:7" x14ac:dyDescent="0.2">
      <c r="A9311" s="2" t="s">
        <v>10938</v>
      </c>
      <c r="B9311" s="2" t="s">
        <v>10939</v>
      </c>
      <c r="C9311" s="2" t="s">
        <v>97</v>
      </c>
      <c r="D9311" s="2" t="s">
        <v>10</v>
      </c>
      <c r="E9311" s="2" t="s">
        <v>16</v>
      </c>
      <c r="F9311" s="2">
        <v>1</v>
      </c>
      <c r="G9311" s="2" t="s">
        <v>17</v>
      </c>
    </row>
    <row r="9312" spans="1:7" x14ac:dyDescent="0.2">
      <c r="A9312" s="2" t="s">
        <v>10940</v>
      </c>
      <c r="B9312" s="2" t="s">
        <v>5435</v>
      </c>
      <c r="C9312" s="2" t="s">
        <v>10941</v>
      </c>
      <c r="D9312" s="2" t="s">
        <v>10</v>
      </c>
      <c r="E9312" s="2" t="s">
        <v>16</v>
      </c>
      <c r="F9312" s="2">
        <v>1</v>
      </c>
      <c r="G9312" s="2" t="s">
        <v>17</v>
      </c>
    </row>
    <row r="9313" spans="1:7" x14ac:dyDescent="0.2">
      <c r="A9313" s="2" t="s">
        <v>10942</v>
      </c>
      <c r="B9313" s="2" t="s">
        <v>10943</v>
      </c>
      <c r="C9313" s="2" t="s">
        <v>3935</v>
      </c>
      <c r="D9313" s="2" t="s">
        <v>29</v>
      </c>
      <c r="E9313" s="2" t="s">
        <v>16</v>
      </c>
      <c r="F9313" s="2">
        <v>2</v>
      </c>
      <c r="G9313" s="2" t="s">
        <v>17</v>
      </c>
    </row>
    <row r="9314" spans="1:7" x14ac:dyDescent="0.2">
      <c r="A9314" s="2" t="s">
        <v>10942</v>
      </c>
      <c r="B9314" s="2" t="s">
        <v>10944</v>
      </c>
      <c r="C9314" s="2" t="s">
        <v>3935</v>
      </c>
      <c r="D9314" s="2" t="s">
        <v>29</v>
      </c>
      <c r="E9314" s="2" t="s">
        <v>16</v>
      </c>
      <c r="F9314" s="2">
        <v>2</v>
      </c>
      <c r="G9314" s="2" t="s">
        <v>17</v>
      </c>
    </row>
    <row r="9315" spans="1:7" x14ac:dyDescent="0.2">
      <c r="A9315" s="2" t="s">
        <v>10945</v>
      </c>
      <c r="B9315" s="2" t="s">
        <v>10465</v>
      </c>
      <c r="C9315" s="2" t="s">
        <v>8904</v>
      </c>
      <c r="D9315" s="2" t="s">
        <v>10</v>
      </c>
      <c r="E9315" s="2" t="s">
        <v>16</v>
      </c>
      <c r="F9315" s="2">
        <v>1</v>
      </c>
      <c r="G9315" s="2" t="s">
        <v>17</v>
      </c>
    </row>
    <row r="9316" spans="1:7" x14ac:dyDescent="0.2">
      <c r="A9316" s="2" t="s">
        <v>10945</v>
      </c>
      <c r="B9316" s="2" t="s">
        <v>10946</v>
      </c>
      <c r="C9316" s="2" t="s">
        <v>10947</v>
      </c>
      <c r="D9316" s="2" t="s">
        <v>10</v>
      </c>
      <c r="E9316" s="2" t="s">
        <v>16</v>
      </c>
      <c r="F9316" s="2">
        <v>1</v>
      </c>
      <c r="G9316" s="2" t="s">
        <v>17</v>
      </c>
    </row>
    <row r="9317" spans="1:7" x14ac:dyDescent="0.2">
      <c r="A9317" s="2" t="s">
        <v>10948</v>
      </c>
      <c r="B9317" s="2" t="s">
        <v>2674</v>
      </c>
      <c r="C9317" s="2" t="s">
        <v>2675</v>
      </c>
      <c r="D9317" s="2" t="s">
        <v>10</v>
      </c>
      <c r="E9317" s="2" t="s">
        <v>16</v>
      </c>
      <c r="F9317" s="2">
        <v>1</v>
      </c>
      <c r="G9317" s="2" t="s">
        <v>17</v>
      </c>
    </row>
    <row r="9318" spans="1:7" x14ac:dyDescent="0.2">
      <c r="A9318" s="2" t="s">
        <v>10948</v>
      </c>
      <c r="B9318" s="2" t="s">
        <v>2812</v>
      </c>
      <c r="C9318" s="2" t="s">
        <v>2675</v>
      </c>
      <c r="D9318" s="2" t="s">
        <v>10</v>
      </c>
      <c r="E9318" s="2" t="s">
        <v>16</v>
      </c>
      <c r="F9318" s="2">
        <v>1</v>
      </c>
      <c r="G9318" s="2" t="s">
        <v>17</v>
      </c>
    </row>
    <row r="9319" spans="1:7" x14ac:dyDescent="0.2">
      <c r="A9319" s="2" t="s">
        <v>10948</v>
      </c>
      <c r="B9319" s="2" t="s">
        <v>2855</v>
      </c>
      <c r="C9319" s="2" t="s">
        <v>2675</v>
      </c>
      <c r="D9319" s="2" t="s">
        <v>10</v>
      </c>
      <c r="E9319" s="2" t="s">
        <v>16</v>
      </c>
      <c r="F9319" s="2">
        <v>1</v>
      </c>
      <c r="G9319" s="2" t="s">
        <v>17</v>
      </c>
    </row>
    <row r="9320" spans="1:7" x14ac:dyDescent="0.2">
      <c r="A9320" s="2" t="s">
        <v>10948</v>
      </c>
      <c r="B9320" s="2" t="s">
        <v>2856</v>
      </c>
      <c r="C9320" s="2" t="s">
        <v>2675</v>
      </c>
      <c r="D9320" s="2" t="s">
        <v>10</v>
      </c>
      <c r="E9320" s="2" t="s">
        <v>16</v>
      </c>
      <c r="F9320" s="2">
        <v>1</v>
      </c>
      <c r="G9320" s="2" t="s">
        <v>17</v>
      </c>
    </row>
    <row r="9321" spans="1:7" x14ac:dyDescent="0.2">
      <c r="A9321" s="2" t="s">
        <v>10948</v>
      </c>
      <c r="B9321" s="2" t="s">
        <v>10949</v>
      </c>
      <c r="C9321" s="2" t="s">
        <v>10950</v>
      </c>
      <c r="D9321" s="2" t="s">
        <v>10</v>
      </c>
      <c r="E9321" s="2" t="s">
        <v>16</v>
      </c>
      <c r="F9321" s="2">
        <v>1</v>
      </c>
      <c r="G9321" s="2" t="s">
        <v>17</v>
      </c>
    </row>
    <row r="9322" spans="1:7" x14ac:dyDescent="0.2">
      <c r="A9322" s="2" t="s">
        <v>10948</v>
      </c>
      <c r="B9322" s="2" t="s">
        <v>10951</v>
      </c>
      <c r="C9322" s="2" t="s">
        <v>10952</v>
      </c>
      <c r="D9322" s="2" t="s">
        <v>10</v>
      </c>
      <c r="E9322" s="2" t="s">
        <v>16</v>
      </c>
      <c r="F9322" s="2">
        <v>1</v>
      </c>
      <c r="G9322" s="2" t="s">
        <v>17</v>
      </c>
    </row>
    <row r="9323" spans="1:7" x14ac:dyDescent="0.2">
      <c r="A9323" s="2" t="s">
        <v>10948</v>
      </c>
      <c r="B9323" s="2" t="s">
        <v>10953</v>
      </c>
      <c r="C9323" s="2" t="s">
        <v>10952</v>
      </c>
      <c r="D9323" s="2" t="s">
        <v>10</v>
      </c>
      <c r="E9323" s="2" t="s">
        <v>16</v>
      </c>
      <c r="F9323" s="2">
        <v>1</v>
      </c>
      <c r="G9323" s="2" t="s">
        <v>17</v>
      </c>
    </row>
    <row r="9324" spans="1:7" x14ac:dyDescent="0.2">
      <c r="A9324" s="2" t="s">
        <v>10948</v>
      </c>
      <c r="B9324" s="2" t="s">
        <v>10954</v>
      </c>
      <c r="C9324" s="2" t="s">
        <v>10952</v>
      </c>
      <c r="D9324" s="2" t="s">
        <v>10</v>
      </c>
      <c r="E9324" s="2" t="s">
        <v>16</v>
      </c>
      <c r="F9324" s="2">
        <v>1</v>
      </c>
      <c r="G9324" s="2" t="s">
        <v>17</v>
      </c>
    </row>
    <row r="9325" spans="1:7" x14ac:dyDescent="0.2">
      <c r="A9325" s="2" t="s">
        <v>10948</v>
      </c>
      <c r="B9325" s="2" t="s">
        <v>10955</v>
      </c>
      <c r="C9325" s="2" t="s">
        <v>10952</v>
      </c>
      <c r="D9325" s="2" t="s">
        <v>10</v>
      </c>
      <c r="E9325" s="2" t="s">
        <v>16</v>
      </c>
      <c r="F9325" s="2">
        <v>1</v>
      </c>
      <c r="G9325" s="2" t="s">
        <v>17</v>
      </c>
    </row>
    <row r="9326" spans="1:7" x14ac:dyDescent="0.2">
      <c r="A9326" s="2" t="s">
        <v>10948</v>
      </c>
      <c r="B9326" s="2" t="s">
        <v>10956</v>
      </c>
      <c r="C9326" s="2" t="s">
        <v>10952</v>
      </c>
      <c r="D9326" s="2" t="s">
        <v>10</v>
      </c>
      <c r="E9326" s="2" t="s">
        <v>16</v>
      </c>
      <c r="F9326" s="2">
        <v>1</v>
      </c>
      <c r="G9326" s="2" t="s">
        <v>17</v>
      </c>
    </row>
    <row r="9327" spans="1:7" x14ac:dyDescent="0.2">
      <c r="A9327" s="2" t="s">
        <v>10948</v>
      </c>
      <c r="B9327" s="2" t="s">
        <v>10957</v>
      </c>
      <c r="C9327" s="2" t="s">
        <v>10958</v>
      </c>
      <c r="D9327" s="2" t="s">
        <v>10</v>
      </c>
      <c r="E9327" s="2" t="s">
        <v>16</v>
      </c>
      <c r="F9327" s="2">
        <v>1</v>
      </c>
      <c r="G9327" s="2" t="s">
        <v>17</v>
      </c>
    </row>
    <row r="9328" spans="1:7" x14ac:dyDescent="0.2">
      <c r="A9328" s="2" t="s">
        <v>10948</v>
      </c>
      <c r="B9328" s="2" t="s">
        <v>10959</v>
      </c>
      <c r="C9328" s="2" t="s">
        <v>10958</v>
      </c>
      <c r="D9328" s="2" t="s">
        <v>10</v>
      </c>
      <c r="E9328" s="2" t="s">
        <v>16</v>
      </c>
      <c r="F9328" s="2">
        <v>1</v>
      </c>
      <c r="G9328" s="2" t="s">
        <v>17</v>
      </c>
    </row>
    <row r="9329" spans="1:7" x14ac:dyDescent="0.2">
      <c r="A9329" s="2" t="s">
        <v>10948</v>
      </c>
      <c r="B9329" s="2" t="s">
        <v>10960</v>
      </c>
      <c r="C9329" s="2" t="s">
        <v>10958</v>
      </c>
      <c r="D9329" s="2" t="s">
        <v>10</v>
      </c>
      <c r="E9329" s="2" t="s">
        <v>16</v>
      </c>
      <c r="F9329" s="2">
        <v>1</v>
      </c>
      <c r="G9329" s="2" t="s">
        <v>17</v>
      </c>
    </row>
    <row r="9330" spans="1:7" x14ac:dyDescent="0.2">
      <c r="A9330" s="2" t="s">
        <v>10961</v>
      </c>
      <c r="B9330" s="2" t="s">
        <v>3919</v>
      </c>
      <c r="C9330" s="2" t="s">
        <v>10962</v>
      </c>
      <c r="D9330" s="2" t="s">
        <v>10</v>
      </c>
      <c r="E9330" s="2" t="s">
        <v>16</v>
      </c>
      <c r="F9330" s="2">
        <v>1</v>
      </c>
      <c r="G9330" s="2" t="s">
        <v>17</v>
      </c>
    </row>
    <row r="9331" spans="1:7" x14ac:dyDescent="0.2">
      <c r="A9331" s="2" t="s">
        <v>10963</v>
      </c>
      <c r="B9331" s="2" t="s">
        <v>10964</v>
      </c>
      <c r="C9331" s="2" t="s">
        <v>10965</v>
      </c>
      <c r="D9331" s="2" t="s">
        <v>10</v>
      </c>
      <c r="E9331" s="2" t="s">
        <v>16</v>
      </c>
      <c r="F9331" s="2">
        <v>1</v>
      </c>
      <c r="G9331" s="2" t="s">
        <v>17</v>
      </c>
    </row>
    <row r="9332" spans="1:7" x14ac:dyDescent="0.2">
      <c r="A9332" s="2" t="s">
        <v>10963</v>
      </c>
      <c r="B9332" s="2" t="s">
        <v>10966</v>
      </c>
      <c r="C9332" s="2" t="s">
        <v>10965</v>
      </c>
      <c r="D9332" s="2" t="s">
        <v>10</v>
      </c>
      <c r="E9332" s="2" t="s">
        <v>16</v>
      </c>
      <c r="F9332" s="2">
        <v>1</v>
      </c>
      <c r="G9332" s="2" t="s">
        <v>17</v>
      </c>
    </row>
    <row r="9333" spans="1:7" x14ac:dyDescent="0.2">
      <c r="A9333" s="2" t="s">
        <v>10963</v>
      </c>
      <c r="B9333" s="2" t="s">
        <v>10967</v>
      </c>
      <c r="C9333" s="2" t="s">
        <v>10965</v>
      </c>
      <c r="D9333" s="2" t="s">
        <v>10</v>
      </c>
      <c r="E9333" s="2" t="s">
        <v>16</v>
      </c>
      <c r="F9333" s="2">
        <v>1</v>
      </c>
      <c r="G9333" s="2" t="s">
        <v>17</v>
      </c>
    </row>
    <row r="9334" spans="1:7" x14ac:dyDescent="0.2">
      <c r="A9334" s="2" t="s">
        <v>10963</v>
      </c>
      <c r="B9334" s="2" t="s">
        <v>10968</v>
      </c>
      <c r="C9334" s="2" t="s">
        <v>10969</v>
      </c>
      <c r="D9334" s="2" t="s">
        <v>10</v>
      </c>
      <c r="E9334" s="2" t="s">
        <v>16</v>
      </c>
      <c r="F9334" s="2">
        <v>1</v>
      </c>
      <c r="G9334" s="2" t="s">
        <v>17</v>
      </c>
    </row>
    <row r="9335" spans="1:7" x14ac:dyDescent="0.2">
      <c r="A9335" s="2" t="s">
        <v>10963</v>
      </c>
      <c r="B9335" s="2" t="s">
        <v>10970</v>
      </c>
      <c r="C9335" s="2" t="s">
        <v>10969</v>
      </c>
      <c r="D9335" s="2" t="s">
        <v>10</v>
      </c>
      <c r="E9335" s="2" t="s">
        <v>16</v>
      </c>
      <c r="F9335" s="2">
        <v>1</v>
      </c>
      <c r="G9335" s="2" t="s">
        <v>17</v>
      </c>
    </row>
    <row r="9336" spans="1:7" x14ac:dyDescent="0.2">
      <c r="A9336" s="2" t="s">
        <v>10963</v>
      </c>
      <c r="B9336" s="2" t="s">
        <v>10971</v>
      </c>
      <c r="C9336" s="2" t="s">
        <v>10972</v>
      </c>
      <c r="D9336" s="2" t="s">
        <v>10</v>
      </c>
      <c r="E9336" s="2" t="s">
        <v>16</v>
      </c>
      <c r="F9336" s="2">
        <v>1</v>
      </c>
      <c r="G9336" s="2" t="s">
        <v>17</v>
      </c>
    </row>
    <row r="9337" spans="1:7" x14ac:dyDescent="0.2">
      <c r="A9337" s="2" t="s">
        <v>10963</v>
      </c>
      <c r="B9337" s="2" t="s">
        <v>10099</v>
      </c>
      <c r="C9337" s="2" t="s">
        <v>10100</v>
      </c>
      <c r="D9337" s="2" t="s">
        <v>10</v>
      </c>
      <c r="E9337" s="2" t="s">
        <v>16</v>
      </c>
      <c r="F9337" s="2">
        <v>1</v>
      </c>
      <c r="G9337" s="2" t="s">
        <v>17</v>
      </c>
    </row>
    <row r="9338" spans="1:7" x14ac:dyDescent="0.2">
      <c r="A9338" s="2" t="s">
        <v>10963</v>
      </c>
      <c r="B9338" s="2" t="s">
        <v>8010</v>
      </c>
      <c r="C9338" s="2" t="s">
        <v>10100</v>
      </c>
      <c r="D9338" s="2" t="s">
        <v>10</v>
      </c>
      <c r="E9338" s="2" t="s">
        <v>16</v>
      </c>
      <c r="F9338" s="2">
        <v>1</v>
      </c>
      <c r="G9338" s="2" t="s">
        <v>17</v>
      </c>
    </row>
    <row r="9339" spans="1:7" x14ac:dyDescent="0.2">
      <c r="A9339" s="2" t="s">
        <v>10963</v>
      </c>
      <c r="B9339" s="2" t="s">
        <v>10973</v>
      </c>
      <c r="C9339" s="2" t="s">
        <v>9771</v>
      </c>
      <c r="D9339" s="2" t="s">
        <v>10</v>
      </c>
      <c r="E9339" s="2" t="s">
        <v>16</v>
      </c>
      <c r="F9339" s="2">
        <v>1</v>
      </c>
      <c r="G9339" s="2" t="s">
        <v>17</v>
      </c>
    </row>
    <row r="9340" spans="1:7" x14ac:dyDescent="0.2">
      <c r="A9340" s="2" t="s">
        <v>10963</v>
      </c>
      <c r="B9340" s="2" t="s">
        <v>9771</v>
      </c>
      <c r="C9340" s="2" t="s">
        <v>9771</v>
      </c>
      <c r="D9340" s="2" t="s">
        <v>10</v>
      </c>
      <c r="E9340" s="2" t="s">
        <v>16</v>
      </c>
      <c r="F9340" s="2">
        <v>1</v>
      </c>
      <c r="G9340" s="2" t="s">
        <v>17</v>
      </c>
    </row>
    <row r="9341" spans="1:7" x14ac:dyDescent="0.2">
      <c r="A9341" s="2" t="s">
        <v>10963</v>
      </c>
      <c r="B9341" s="2" t="s">
        <v>10974</v>
      </c>
      <c r="C9341" s="2" t="s">
        <v>10975</v>
      </c>
      <c r="D9341" s="2" t="s">
        <v>10</v>
      </c>
      <c r="E9341" s="2" t="s">
        <v>16</v>
      </c>
      <c r="F9341" s="2">
        <v>1</v>
      </c>
      <c r="G9341" s="2" t="s">
        <v>17</v>
      </c>
    </row>
    <row r="9342" spans="1:7" x14ac:dyDescent="0.2">
      <c r="A9342" s="2" t="s">
        <v>10976</v>
      </c>
      <c r="B9342" s="2" t="s">
        <v>10977</v>
      </c>
      <c r="C9342" s="2" t="s">
        <v>10978</v>
      </c>
      <c r="D9342" s="2" t="s">
        <v>10</v>
      </c>
      <c r="E9342" s="2" t="s">
        <v>16</v>
      </c>
      <c r="F9342" s="2">
        <v>1</v>
      </c>
      <c r="G9342" s="2" t="s">
        <v>17</v>
      </c>
    </row>
    <row r="9343" spans="1:7" x14ac:dyDescent="0.2">
      <c r="A9343" s="2" t="s">
        <v>10979</v>
      </c>
      <c r="B9343" s="2" t="s">
        <v>10980</v>
      </c>
      <c r="C9343" s="2" t="s">
        <v>10981</v>
      </c>
      <c r="D9343" s="2" t="s">
        <v>10</v>
      </c>
      <c r="E9343" s="2" t="s">
        <v>16</v>
      </c>
      <c r="F9343" s="2">
        <v>1</v>
      </c>
      <c r="G9343" s="2" t="s">
        <v>17</v>
      </c>
    </row>
    <row r="9344" spans="1:7" x14ac:dyDescent="0.2">
      <c r="A9344" s="2" t="s">
        <v>10979</v>
      </c>
      <c r="B9344" s="2" t="s">
        <v>10982</v>
      </c>
      <c r="C9344" s="2" t="s">
        <v>10981</v>
      </c>
      <c r="D9344" s="2" t="s">
        <v>10</v>
      </c>
      <c r="E9344" s="2" t="s">
        <v>16</v>
      </c>
      <c r="F9344" s="2">
        <v>1</v>
      </c>
      <c r="G9344" s="2" t="s">
        <v>17</v>
      </c>
    </row>
    <row r="9345" spans="1:7" x14ac:dyDescent="0.2">
      <c r="A9345" s="2" t="s">
        <v>10983</v>
      </c>
      <c r="B9345" s="2" t="s">
        <v>10984</v>
      </c>
      <c r="C9345" s="2" t="s">
        <v>10985</v>
      </c>
      <c r="D9345" s="2" t="s">
        <v>10</v>
      </c>
      <c r="E9345" s="2" t="s">
        <v>16</v>
      </c>
      <c r="F9345" s="2">
        <v>1</v>
      </c>
      <c r="G9345" s="2" t="s">
        <v>17</v>
      </c>
    </row>
    <row r="9346" spans="1:7" x14ac:dyDescent="0.2">
      <c r="A9346" s="2" t="s">
        <v>10983</v>
      </c>
      <c r="B9346" s="2" t="s">
        <v>10986</v>
      </c>
      <c r="C9346" s="2" t="s">
        <v>10985</v>
      </c>
      <c r="D9346" s="2" t="s">
        <v>10</v>
      </c>
      <c r="E9346" s="2" t="s">
        <v>16</v>
      </c>
      <c r="F9346" s="2">
        <v>1</v>
      </c>
      <c r="G9346" s="2" t="s">
        <v>17</v>
      </c>
    </row>
    <row r="9347" spans="1:7" x14ac:dyDescent="0.2">
      <c r="A9347" s="2" t="s">
        <v>10987</v>
      </c>
      <c r="B9347" s="2" t="s">
        <v>10988</v>
      </c>
      <c r="C9347" s="2" t="s">
        <v>10989</v>
      </c>
      <c r="D9347" s="2" t="s">
        <v>10</v>
      </c>
      <c r="E9347" s="2" t="s">
        <v>16</v>
      </c>
      <c r="F9347" s="2">
        <v>1</v>
      </c>
      <c r="G9347" s="2" t="s">
        <v>17</v>
      </c>
    </row>
    <row r="9348" spans="1:7" x14ac:dyDescent="0.2">
      <c r="A9348" s="2" t="s">
        <v>10990</v>
      </c>
      <c r="B9348" s="2" t="s">
        <v>10991</v>
      </c>
      <c r="C9348" s="2" t="s">
        <v>10992</v>
      </c>
      <c r="D9348" s="2" t="s">
        <v>10</v>
      </c>
      <c r="E9348" s="2" t="s">
        <v>16</v>
      </c>
      <c r="F9348" s="2">
        <v>1</v>
      </c>
      <c r="G9348" s="2" t="s">
        <v>17</v>
      </c>
    </row>
    <row r="9349" spans="1:7" x14ac:dyDescent="0.2">
      <c r="A9349" s="2" t="s">
        <v>10990</v>
      </c>
      <c r="B9349" s="2" t="s">
        <v>10993</v>
      </c>
      <c r="C9349" s="2" t="s">
        <v>10994</v>
      </c>
      <c r="D9349" s="2" t="s">
        <v>10</v>
      </c>
      <c r="E9349" s="2" t="s">
        <v>16</v>
      </c>
      <c r="F9349" s="2">
        <v>1</v>
      </c>
      <c r="G9349" s="2" t="s">
        <v>17</v>
      </c>
    </row>
    <row r="9350" spans="1:7" x14ac:dyDescent="0.2">
      <c r="A9350" s="2" t="s">
        <v>10990</v>
      </c>
      <c r="B9350" s="2" t="s">
        <v>10995</v>
      </c>
      <c r="C9350" s="2" t="s">
        <v>10994</v>
      </c>
      <c r="D9350" s="2" t="s">
        <v>10</v>
      </c>
      <c r="E9350" s="2" t="s">
        <v>16</v>
      </c>
      <c r="F9350" s="2">
        <v>1</v>
      </c>
      <c r="G9350" s="2" t="s">
        <v>17</v>
      </c>
    </row>
    <row r="9351" spans="1:7" x14ac:dyDescent="0.2">
      <c r="A9351" s="2" t="s">
        <v>10990</v>
      </c>
      <c r="B9351" s="2" t="s">
        <v>10996</v>
      </c>
      <c r="C9351" s="2" t="s">
        <v>10992</v>
      </c>
      <c r="D9351" s="2" t="s">
        <v>10</v>
      </c>
      <c r="E9351" s="2" t="s">
        <v>16</v>
      </c>
      <c r="F9351" s="2">
        <v>1</v>
      </c>
      <c r="G9351" s="2" t="s">
        <v>17</v>
      </c>
    </row>
    <row r="9352" spans="1:7" x14ac:dyDescent="0.2">
      <c r="A9352" s="2" t="s">
        <v>10990</v>
      </c>
      <c r="B9352" s="2" t="s">
        <v>10997</v>
      </c>
      <c r="C9352" s="2" t="s">
        <v>10994</v>
      </c>
      <c r="D9352" s="2" t="s">
        <v>10</v>
      </c>
      <c r="E9352" s="2" t="s">
        <v>16</v>
      </c>
      <c r="F9352" s="2">
        <v>1</v>
      </c>
      <c r="G9352" s="2" t="s">
        <v>17</v>
      </c>
    </row>
    <row r="9353" spans="1:7" x14ac:dyDescent="0.2">
      <c r="A9353" s="2" t="s">
        <v>10998</v>
      </c>
      <c r="B9353" s="2" t="s">
        <v>10999</v>
      </c>
      <c r="C9353" s="2" t="s">
        <v>11000</v>
      </c>
      <c r="D9353" s="2" t="s">
        <v>10</v>
      </c>
      <c r="E9353" s="2" t="s">
        <v>16</v>
      </c>
      <c r="F9353" s="2">
        <v>1</v>
      </c>
      <c r="G9353" s="2" t="s">
        <v>17</v>
      </c>
    </row>
    <row r="9354" spans="1:7" x14ac:dyDescent="0.2">
      <c r="A9354" s="2" t="s">
        <v>10998</v>
      </c>
      <c r="B9354" s="2">
        <v>105</v>
      </c>
      <c r="C9354" s="2" t="s">
        <v>11000</v>
      </c>
      <c r="D9354" s="2" t="s">
        <v>10</v>
      </c>
      <c r="E9354" s="2" t="s">
        <v>16</v>
      </c>
      <c r="F9354" s="2">
        <v>1</v>
      </c>
      <c r="G9354" s="2" t="s">
        <v>17</v>
      </c>
    </row>
    <row r="9355" spans="1:7" x14ac:dyDescent="0.2">
      <c r="A9355" s="2" t="s">
        <v>10998</v>
      </c>
      <c r="B9355" s="2" t="s">
        <v>9169</v>
      </c>
      <c r="C9355" s="2" t="s">
        <v>9170</v>
      </c>
      <c r="D9355" s="2" t="s">
        <v>10</v>
      </c>
      <c r="E9355" s="2" t="s">
        <v>16</v>
      </c>
      <c r="F9355" s="2">
        <v>1</v>
      </c>
      <c r="G9355" s="2" t="s">
        <v>17</v>
      </c>
    </row>
    <row r="9356" spans="1:7" x14ac:dyDescent="0.2">
      <c r="A9356" s="2" t="s">
        <v>10998</v>
      </c>
      <c r="B9356" s="2" t="s">
        <v>9171</v>
      </c>
      <c r="C9356" s="2" t="s">
        <v>9170</v>
      </c>
      <c r="D9356" s="2" t="s">
        <v>10</v>
      </c>
      <c r="E9356" s="2" t="s">
        <v>16</v>
      </c>
      <c r="F9356" s="2">
        <v>1</v>
      </c>
      <c r="G9356" s="2" t="s">
        <v>17</v>
      </c>
    </row>
    <row r="9357" spans="1:7" x14ac:dyDescent="0.2">
      <c r="A9357" s="2" t="s">
        <v>10998</v>
      </c>
      <c r="B9357" s="2" t="s">
        <v>11001</v>
      </c>
      <c r="C9357" s="2" t="s">
        <v>11002</v>
      </c>
      <c r="D9357" s="2" t="s">
        <v>10</v>
      </c>
      <c r="E9357" s="2" t="s">
        <v>16</v>
      </c>
      <c r="F9357" s="2">
        <v>3</v>
      </c>
      <c r="G9357" s="2" t="s">
        <v>17</v>
      </c>
    </row>
    <row r="9358" spans="1:7" x14ac:dyDescent="0.2">
      <c r="A9358" s="2" t="s">
        <v>10998</v>
      </c>
      <c r="B9358" s="2" t="s">
        <v>11003</v>
      </c>
      <c r="C9358" s="2" t="s">
        <v>11004</v>
      </c>
      <c r="D9358" s="2" t="s">
        <v>10</v>
      </c>
      <c r="E9358" s="2" t="s">
        <v>16</v>
      </c>
      <c r="F9358" s="2">
        <v>1</v>
      </c>
      <c r="G9358" s="2" t="s">
        <v>17</v>
      </c>
    </row>
    <row r="9359" spans="1:7" x14ac:dyDescent="0.2">
      <c r="A9359" s="2" t="s">
        <v>10998</v>
      </c>
      <c r="B9359" s="2" t="s">
        <v>11005</v>
      </c>
      <c r="C9359" s="2" t="s">
        <v>11000</v>
      </c>
      <c r="D9359" s="2" t="s">
        <v>10</v>
      </c>
      <c r="E9359" s="2" t="s">
        <v>16</v>
      </c>
      <c r="F9359" s="2">
        <v>1</v>
      </c>
      <c r="G9359" s="2" t="s">
        <v>17</v>
      </c>
    </row>
    <row r="9360" spans="1:7" x14ac:dyDescent="0.2">
      <c r="A9360" s="2" t="s">
        <v>10998</v>
      </c>
      <c r="B9360" s="2" t="s">
        <v>11006</v>
      </c>
      <c r="C9360" s="2" t="s">
        <v>11000</v>
      </c>
      <c r="D9360" s="2" t="s">
        <v>10</v>
      </c>
      <c r="E9360" s="2" t="s">
        <v>16</v>
      </c>
      <c r="F9360" s="2">
        <v>1</v>
      </c>
      <c r="G9360" s="2" t="s">
        <v>17</v>
      </c>
    </row>
    <row r="9361" spans="1:7" x14ac:dyDescent="0.2">
      <c r="A9361" s="2" t="s">
        <v>10998</v>
      </c>
      <c r="B9361" s="2" t="s">
        <v>11007</v>
      </c>
      <c r="C9361" s="2" t="s">
        <v>11008</v>
      </c>
      <c r="D9361" s="2" t="s">
        <v>10</v>
      </c>
      <c r="E9361" s="2" t="s">
        <v>16</v>
      </c>
      <c r="F9361" s="2">
        <v>1</v>
      </c>
      <c r="G9361" s="2" t="s">
        <v>17</v>
      </c>
    </row>
    <row r="9362" spans="1:7" x14ac:dyDescent="0.2">
      <c r="A9362" s="2" t="s">
        <v>10998</v>
      </c>
      <c r="B9362" s="2" t="s">
        <v>11009</v>
      </c>
      <c r="C9362" s="2" t="s">
        <v>11008</v>
      </c>
      <c r="D9362" s="2" t="s">
        <v>10</v>
      </c>
      <c r="E9362" s="2" t="s">
        <v>16</v>
      </c>
      <c r="F9362" s="2">
        <v>1</v>
      </c>
      <c r="G9362" s="2" t="s">
        <v>17</v>
      </c>
    </row>
    <row r="9363" spans="1:7" x14ac:dyDescent="0.2">
      <c r="A9363" s="2" t="s">
        <v>10998</v>
      </c>
      <c r="B9363" s="2" t="s">
        <v>11010</v>
      </c>
      <c r="C9363" s="2" t="s">
        <v>11004</v>
      </c>
      <c r="D9363" s="2" t="s">
        <v>10</v>
      </c>
      <c r="E9363" s="2" t="s">
        <v>16</v>
      </c>
      <c r="F9363" s="2">
        <v>1</v>
      </c>
      <c r="G9363" s="2" t="s">
        <v>17</v>
      </c>
    </row>
    <row r="9364" spans="1:7" x14ac:dyDescent="0.2">
      <c r="A9364" s="2" t="s">
        <v>10998</v>
      </c>
      <c r="B9364" s="2" t="s">
        <v>2485</v>
      </c>
      <c r="C9364" s="2" t="s">
        <v>11008</v>
      </c>
      <c r="D9364" s="2" t="s">
        <v>10</v>
      </c>
      <c r="E9364" s="2" t="s">
        <v>16</v>
      </c>
      <c r="F9364" s="2">
        <v>1</v>
      </c>
      <c r="G9364" s="2" t="s">
        <v>17</v>
      </c>
    </row>
    <row r="9365" spans="1:7" x14ac:dyDescent="0.2">
      <c r="A9365" s="2" t="s">
        <v>10998</v>
      </c>
      <c r="B9365" s="2" t="s">
        <v>11011</v>
      </c>
      <c r="C9365" s="2" t="s">
        <v>11012</v>
      </c>
      <c r="D9365" s="2" t="s">
        <v>10</v>
      </c>
      <c r="E9365" s="2" t="s">
        <v>16</v>
      </c>
      <c r="F9365" s="2">
        <v>3</v>
      </c>
      <c r="G9365" s="2" t="s">
        <v>17</v>
      </c>
    </row>
    <row r="9366" spans="1:7" x14ac:dyDescent="0.2">
      <c r="A9366" s="2" t="s">
        <v>10998</v>
      </c>
      <c r="B9366" s="2" t="s">
        <v>11013</v>
      </c>
      <c r="C9366" s="2" t="s">
        <v>11004</v>
      </c>
      <c r="D9366" s="2" t="s">
        <v>10</v>
      </c>
      <c r="E9366" s="2" t="s">
        <v>16</v>
      </c>
      <c r="F9366" s="2">
        <v>1</v>
      </c>
      <c r="G9366" s="2" t="s">
        <v>17</v>
      </c>
    </row>
    <row r="9367" spans="1:7" x14ac:dyDescent="0.2">
      <c r="A9367" s="2" t="s">
        <v>10998</v>
      </c>
      <c r="B9367" s="2" t="s">
        <v>9283</v>
      </c>
      <c r="C9367" s="2" t="s">
        <v>9170</v>
      </c>
      <c r="D9367" s="2" t="s">
        <v>10</v>
      </c>
      <c r="E9367" s="2" t="s">
        <v>16</v>
      </c>
      <c r="F9367" s="2">
        <v>1</v>
      </c>
      <c r="G9367" s="2" t="s">
        <v>17</v>
      </c>
    </row>
    <row r="9368" spans="1:7" x14ac:dyDescent="0.2">
      <c r="A9368" s="2" t="s">
        <v>10998</v>
      </c>
      <c r="B9368" s="2" t="s">
        <v>11014</v>
      </c>
      <c r="C9368" s="2" t="s">
        <v>11012</v>
      </c>
      <c r="D9368" s="2" t="s">
        <v>10</v>
      </c>
      <c r="E9368" s="2" t="s">
        <v>16</v>
      </c>
      <c r="F9368" s="2">
        <v>3</v>
      </c>
      <c r="G9368" s="2" t="s">
        <v>17</v>
      </c>
    </row>
    <row r="9369" spans="1:7" x14ac:dyDescent="0.2">
      <c r="A9369" s="2" t="s">
        <v>10998</v>
      </c>
      <c r="B9369" s="2" t="s">
        <v>11015</v>
      </c>
      <c r="C9369" s="2" t="s">
        <v>11002</v>
      </c>
      <c r="D9369" s="2" t="s">
        <v>10</v>
      </c>
      <c r="E9369" s="2" t="s">
        <v>16</v>
      </c>
      <c r="F9369" s="2">
        <v>3</v>
      </c>
      <c r="G9369" s="2" t="s">
        <v>17</v>
      </c>
    </row>
    <row r="9370" spans="1:7" x14ac:dyDescent="0.2">
      <c r="A9370" s="2" t="s">
        <v>10998</v>
      </c>
      <c r="B9370" s="2" t="s">
        <v>11016</v>
      </c>
      <c r="C9370" s="2" t="s">
        <v>11012</v>
      </c>
      <c r="D9370" s="2" t="s">
        <v>10</v>
      </c>
      <c r="E9370" s="2" t="s">
        <v>16</v>
      </c>
      <c r="F9370" s="2">
        <v>3</v>
      </c>
      <c r="G9370" s="2" t="s">
        <v>17</v>
      </c>
    </row>
    <row r="9371" spans="1:7" x14ac:dyDescent="0.2">
      <c r="A9371" s="2" t="s">
        <v>10998</v>
      </c>
      <c r="B9371" s="2" t="s">
        <v>11017</v>
      </c>
      <c r="C9371" s="2" t="s">
        <v>11008</v>
      </c>
      <c r="D9371" s="2" t="s">
        <v>10</v>
      </c>
      <c r="E9371" s="2" t="s">
        <v>16</v>
      </c>
      <c r="F9371" s="2">
        <v>1</v>
      </c>
      <c r="G9371" s="2" t="s">
        <v>17</v>
      </c>
    </row>
    <row r="9372" spans="1:7" x14ac:dyDescent="0.2">
      <c r="A9372" s="2" t="s">
        <v>10998</v>
      </c>
      <c r="B9372" s="2" t="s">
        <v>11018</v>
      </c>
      <c r="C9372" s="2" t="s">
        <v>11008</v>
      </c>
      <c r="D9372" s="2" t="s">
        <v>10</v>
      </c>
      <c r="E9372" s="2" t="s">
        <v>16</v>
      </c>
      <c r="F9372" s="2">
        <v>1</v>
      </c>
      <c r="G9372" s="2" t="s">
        <v>17</v>
      </c>
    </row>
    <row r="9373" spans="1:7" x14ac:dyDescent="0.2">
      <c r="A9373" s="2" t="s">
        <v>10998</v>
      </c>
      <c r="B9373" s="2" t="s">
        <v>11019</v>
      </c>
      <c r="C9373" s="2" t="s">
        <v>11004</v>
      </c>
      <c r="D9373" s="2" t="s">
        <v>10</v>
      </c>
      <c r="E9373" s="2" t="s">
        <v>16</v>
      </c>
      <c r="F9373" s="2">
        <v>1</v>
      </c>
      <c r="G9373" s="2" t="s">
        <v>17</v>
      </c>
    </row>
    <row r="9374" spans="1:7" x14ac:dyDescent="0.2">
      <c r="A9374" s="2" t="s">
        <v>10998</v>
      </c>
      <c r="B9374" s="2" t="s">
        <v>11020</v>
      </c>
      <c r="C9374" s="2" t="s">
        <v>11000</v>
      </c>
      <c r="D9374" s="2" t="s">
        <v>10</v>
      </c>
      <c r="E9374" s="2" t="s">
        <v>16</v>
      </c>
      <c r="F9374" s="2">
        <v>1</v>
      </c>
      <c r="G9374" s="2" t="s">
        <v>17</v>
      </c>
    </row>
    <row r="9375" spans="1:7" x14ac:dyDescent="0.2">
      <c r="A9375" s="2" t="s">
        <v>10998</v>
      </c>
      <c r="B9375" s="2" t="s">
        <v>11021</v>
      </c>
      <c r="C9375" s="2" t="s">
        <v>9170</v>
      </c>
      <c r="D9375" s="2" t="s">
        <v>10</v>
      </c>
      <c r="E9375" s="2" t="s">
        <v>16</v>
      </c>
      <c r="F9375" s="2">
        <v>1</v>
      </c>
      <c r="G9375" s="2" t="s">
        <v>17</v>
      </c>
    </row>
    <row r="9376" spans="1:7" x14ac:dyDescent="0.2">
      <c r="A9376" s="2" t="s">
        <v>11022</v>
      </c>
      <c r="B9376" s="2" t="s">
        <v>11023</v>
      </c>
      <c r="C9376" s="2" t="s">
        <v>11024</v>
      </c>
      <c r="D9376" s="2" t="s">
        <v>10</v>
      </c>
      <c r="E9376" s="2" t="s">
        <v>16</v>
      </c>
      <c r="F9376" s="2">
        <v>1</v>
      </c>
      <c r="G9376" s="2" t="s">
        <v>17</v>
      </c>
    </row>
    <row r="9377" spans="1:7" x14ac:dyDescent="0.2">
      <c r="A9377" s="2" t="s">
        <v>11022</v>
      </c>
      <c r="B9377" s="2" t="s">
        <v>11025</v>
      </c>
      <c r="C9377" s="2" t="s">
        <v>11026</v>
      </c>
      <c r="D9377" s="2" t="s">
        <v>10</v>
      </c>
      <c r="E9377" s="2" t="s">
        <v>16</v>
      </c>
      <c r="F9377" s="2">
        <v>1</v>
      </c>
      <c r="G9377" s="2" t="s">
        <v>17</v>
      </c>
    </row>
    <row r="9378" spans="1:7" x14ac:dyDescent="0.2">
      <c r="A9378" s="2" t="s">
        <v>11022</v>
      </c>
      <c r="B9378" s="2" t="s">
        <v>11027</v>
      </c>
      <c r="C9378" s="2" t="s">
        <v>11028</v>
      </c>
      <c r="D9378" s="2" t="s">
        <v>10</v>
      </c>
      <c r="E9378" s="2" t="s">
        <v>16</v>
      </c>
      <c r="F9378" s="2">
        <v>1</v>
      </c>
      <c r="G9378" s="2" t="s">
        <v>17</v>
      </c>
    </row>
    <row r="9379" spans="1:7" x14ac:dyDescent="0.2">
      <c r="A9379" s="2" t="s">
        <v>11022</v>
      </c>
      <c r="B9379" s="2" t="s">
        <v>11029</v>
      </c>
      <c r="C9379" s="2" t="s">
        <v>11026</v>
      </c>
      <c r="D9379" s="2" t="s">
        <v>10</v>
      </c>
      <c r="E9379" s="2" t="s">
        <v>16</v>
      </c>
      <c r="F9379" s="2">
        <v>1</v>
      </c>
      <c r="G9379" s="2" t="s">
        <v>17</v>
      </c>
    </row>
    <row r="9380" spans="1:7" x14ac:dyDescent="0.2">
      <c r="A9380" s="2" t="s">
        <v>11022</v>
      </c>
      <c r="B9380" s="2" t="s">
        <v>11030</v>
      </c>
      <c r="C9380" s="2" t="s">
        <v>11024</v>
      </c>
      <c r="D9380" s="2" t="s">
        <v>10</v>
      </c>
      <c r="E9380" s="2" t="s">
        <v>16</v>
      </c>
      <c r="F9380" s="2">
        <v>1</v>
      </c>
      <c r="G9380" s="2" t="s">
        <v>17</v>
      </c>
    </row>
    <row r="9381" spans="1:7" x14ac:dyDescent="0.2">
      <c r="A9381" s="2" t="s">
        <v>11022</v>
      </c>
      <c r="B9381" s="2" t="s">
        <v>11031</v>
      </c>
      <c r="C9381" s="2" t="s">
        <v>11032</v>
      </c>
      <c r="D9381" s="2" t="s">
        <v>10</v>
      </c>
      <c r="E9381" s="2" t="s">
        <v>16</v>
      </c>
      <c r="F9381" s="2">
        <v>1</v>
      </c>
      <c r="G9381" s="2" t="s">
        <v>17</v>
      </c>
    </row>
    <row r="9382" spans="1:7" x14ac:dyDescent="0.2">
      <c r="A9382" s="2" t="s">
        <v>11022</v>
      </c>
      <c r="B9382" s="2" t="s">
        <v>11033</v>
      </c>
      <c r="C9382" s="2" t="s">
        <v>11028</v>
      </c>
      <c r="D9382" s="2" t="s">
        <v>10</v>
      </c>
      <c r="E9382" s="2" t="s">
        <v>16</v>
      </c>
      <c r="F9382" s="2">
        <v>1</v>
      </c>
      <c r="G9382" s="2" t="s">
        <v>17</v>
      </c>
    </row>
    <row r="9383" spans="1:7" x14ac:dyDescent="0.2">
      <c r="A9383" s="2" t="s">
        <v>11022</v>
      </c>
      <c r="B9383" s="2" t="s">
        <v>11034</v>
      </c>
      <c r="C9383" s="2" t="s">
        <v>11032</v>
      </c>
      <c r="D9383" s="2" t="s">
        <v>10</v>
      </c>
      <c r="E9383" s="2" t="s">
        <v>16</v>
      </c>
      <c r="F9383" s="2">
        <v>1</v>
      </c>
      <c r="G9383" s="2" t="s">
        <v>17</v>
      </c>
    </row>
    <row r="9384" spans="1:7" x14ac:dyDescent="0.2">
      <c r="A9384" s="2" t="s">
        <v>11035</v>
      </c>
      <c r="B9384" s="2" t="s">
        <v>5933</v>
      </c>
      <c r="C9384" s="2" t="s">
        <v>5934</v>
      </c>
      <c r="D9384" s="2" t="s">
        <v>10</v>
      </c>
      <c r="E9384" s="2" t="s">
        <v>16</v>
      </c>
      <c r="F9384" s="2">
        <v>1</v>
      </c>
      <c r="G9384" s="2" t="s">
        <v>17</v>
      </c>
    </row>
    <row r="9385" spans="1:7" x14ac:dyDescent="0.2">
      <c r="A9385" s="2" t="s">
        <v>11035</v>
      </c>
      <c r="B9385" s="2" t="s">
        <v>5930</v>
      </c>
      <c r="C9385" s="2" t="s">
        <v>5931</v>
      </c>
      <c r="D9385" s="2" t="s">
        <v>10</v>
      </c>
      <c r="E9385" s="2" t="s">
        <v>16</v>
      </c>
      <c r="F9385" s="2">
        <v>1</v>
      </c>
      <c r="G9385" s="2" t="s">
        <v>17</v>
      </c>
    </row>
    <row r="9386" spans="1:7" x14ac:dyDescent="0.2">
      <c r="A9386" s="2" t="s">
        <v>11035</v>
      </c>
      <c r="B9386" s="2" t="s">
        <v>11036</v>
      </c>
      <c r="C9386" s="2" t="s">
        <v>5931</v>
      </c>
      <c r="D9386" s="2" t="s">
        <v>10</v>
      </c>
      <c r="E9386" s="2" t="s">
        <v>16</v>
      </c>
      <c r="F9386" s="2">
        <v>1</v>
      </c>
      <c r="G9386" s="2" t="s">
        <v>17</v>
      </c>
    </row>
    <row r="9387" spans="1:7" x14ac:dyDescent="0.2">
      <c r="A9387" s="2" t="s">
        <v>11035</v>
      </c>
      <c r="B9387" s="2" t="s">
        <v>11037</v>
      </c>
      <c r="C9387" s="2" t="s">
        <v>11038</v>
      </c>
      <c r="D9387" s="2" t="s">
        <v>10</v>
      </c>
      <c r="E9387" s="2" t="s">
        <v>52</v>
      </c>
      <c r="F9387" s="2">
        <v>1</v>
      </c>
      <c r="G9387" s="2" t="s">
        <v>17</v>
      </c>
    </row>
    <row r="9388" spans="1:7" x14ac:dyDescent="0.2">
      <c r="A9388" s="2" t="s">
        <v>11039</v>
      </c>
      <c r="B9388" s="2" t="s">
        <v>11040</v>
      </c>
      <c r="C9388" s="2" t="s">
        <v>11041</v>
      </c>
      <c r="D9388" s="2" t="s">
        <v>10</v>
      </c>
      <c r="E9388" s="2" t="s">
        <v>16</v>
      </c>
      <c r="F9388" s="2">
        <v>1</v>
      </c>
      <c r="G9388" s="2" t="s">
        <v>17</v>
      </c>
    </row>
    <row r="9389" spans="1:7" x14ac:dyDescent="0.2">
      <c r="A9389" s="2" t="s">
        <v>11039</v>
      </c>
      <c r="B9389" s="2" t="s">
        <v>11042</v>
      </c>
      <c r="C9389" s="2" t="s">
        <v>11043</v>
      </c>
      <c r="D9389" s="2" t="s">
        <v>10</v>
      </c>
      <c r="E9389" s="2" t="s">
        <v>16</v>
      </c>
      <c r="F9389" s="2">
        <v>1</v>
      </c>
      <c r="G9389" s="2" t="s">
        <v>17</v>
      </c>
    </row>
    <row r="9390" spans="1:7" x14ac:dyDescent="0.2">
      <c r="A9390" s="2" t="s">
        <v>11039</v>
      </c>
      <c r="B9390" s="2" t="s">
        <v>11044</v>
      </c>
      <c r="C9390" s="2" t="s">
        <v>11045</v>
      </c>
      <c r="D9390" s="2" t="s">
        <v>10</v>
      </c>
      <c r="E9390" s="2" t="s">
        <v>16</v>
      </c>
      <c r="F9390" s="2">
        <v>1</v>
      </c>
      <c r="G9390" s="2" t="s">
        <v>17</v>
      </c>
    </row>
    <row r="9391" spans="1:7" x14ac:dyDescent="0.2">
      <c r="A9391" s="2" t="s">
        <v>11039</v>
      </c>
      <c r="B9391" s="2" t="s">
        <v>11046</v>
      </c>
      <c r="C9391" s="2" t="s">
        <v>11047</v>
      </c>
      <c r="D9391" s="2" t="s">
        <v>10</v>
      </c>
      <c r="E9391" s="2" t="s">
        <v>16</v>
      </c>
      <c r="F9391" s="2">
        <v>1</v>
      </c>
      <c r="G9391" s="2" t="s">
        <v>17</v>
      </c>
    </row>
    <row r="9392" spans="1:7" x14ac:dyDescent="0.2">
      <c r="A9392" s="2" t="s">
        <v>11039</v>
      </c>
      <c r="B9392" s="2" t="s">
        <v>11048</v>
      </c>
      <c r="C9392" s="2" t="s">
        <v>11049</v>
      </c>
      <c r="D9392" s="2" t="s">
        <v>10</v>
      </c>
      <c r="E9392" s="2" t="s">
        <v>16</v>
      </c>
      <c r="F9392" s="2">
        <v>1</v>
      </c>
      <c r="G9392" s="2" t="s">
        <v>17</v>
      </c>
    </row>
    <row r="9393" spans="1:7" x14ac:dyDescent="0.2">
      <c r="A9393" s="2" t="s">
        <v>11039</v>
      </c>
      <c r="B9393" s="2" t="s">
        <v>11050</v>
      </c>
      <c r="C9393" s="2" t="s">
        <v>11041</v>
      </c>
      <c r="D9393" s="2" t="s">
        <v>10</v>
      </c>
      <c r="E9393" s="2" t="s">
        <v>16</v>
      </c>
      <c r="F9393" s="2">
        <v>1</v>
      </c>
      <c r="G9393" s="2" t="s">
        <v>17</v>
      </c>
    </row>
    <row r="9394" spans="1:7" x14ac:dyDescent="0.2">
      <c r="A9394" s="2" t="s">
        <v>11039</v>
      </c>
      <c r="B9394" s="2" t="s">
        <v>11051</v>
      </c>
      <c r="C9394" s="2" t="s">
        <v>11043</v>
      </c>
      <c r="D9394" s="2" t="s">
        <v>10</v>
      </c>
      <c r="E9394" s="2" t="s">
        <v>16</v>
      </c>
      <c r="F9394" s="2">
        <v>1</v>
      </c>
      <c r="G9394" s="2" t="s">
        <v>17</v>
      </c>
    </row>
    <row r="9395" spans="1:7" x14ac:dyDescent="0.2">
      <c r="A9395" s="2" t="s">
        <v>11039</v>
      </c>
      <c r="B9395" s="2" t="s">
        <v>11052</v>
      </c>
      <c r="C9395" s="2" t="s">
        <v>11045</v>
      </c>
      <c r="D9395" s="2" t="s">
        <v>10</v>
      </c>
      <c r="E9395" s="2" t="s">
        <v>16</v>
      </c>
      <c r="F9395" s="2">
        <v>1</v>
      </c>
      <c r="G9395" s="2" t="s">
        <v>17</v>
      </c>
    </row>
    <row r="9396" spans="1:7" x14ac:dyDescent="0.2">
      <c r="A9396" s="2" t="s">
        <v>11039</v>
      </c>
      <c r="B9396" s="2" t="s">
        <v>11053</v>
      </c>
      <c r="C9396" s="2" t="s">
        <v>11047</v>
      </c>
      <c r="D9396" s="2" t="s">
        <v>10</v>
      </c>
      <c r="E9396" s="2" t="s">
        <v>16</v>
      </c>
      <c r="F9396" s="2">
        <v>1</v>
      </c>
      <c r="G9396" s="2" t="s">
        <v>17</v>
      </c>
    </row>
    <row r="9397" spans="1:7" x14ac:dyDescent="0.2">
      <c r="A9397" s="2" t="s">
        <v>11039</v>
      </c>
      <c r="B9397" s="2" t="s">
        <v>4215</v>
      </c>
      <c r="C9397" s="2" t="s">
        <v>11049</v>
      </c>
      <c r="D9397" s="2" t="s">
        <v>10</v>
      </c>
      <c r="E9397" s="2" t="s">
        <v>16</v>
      </c>
      <c r="F9397" s="2">
        <v>1</v>
      </c>
      <c r="G9397" s="2" t="s">
        <v>17</v>
      </c>
    </row>
    <row r="9398" spans="1:7" x14ac:dyDescent="0.2">
      <c r="A9398" s="2" t="s">
        <v>11039</v>
      </c>
      <c r="B9398" s="2" t="s">
        <v>11054</v>
      </c>
      <c r="C9398" s="2" t="s">
        <v>11055</v>
      </c>
      <c r="D9398" s="2" t="s">
        <v>10</v>
      </c>
      <c r="E9398" s="2" t="s">
        <v>16</v>
      </c>
      <c r="F9398" s="2">
        <v>1</v>
      </c>
      <c r="G9398" s="2" t="s">
        <v>17</v>
      </c>
    </row>
    <row r="9399" spans="1:7" x14ac:dyDescent="0.2">
      <c r="A9399" s="2" t="s">
        <v>11056</v>
      </c>
      <c r="B9399" s="2" t="s">
        <v>10675</v>
      </c>
      <c r="C9399" s="2" t="s">
        <v>10676</v>
      </c>
      <c r="D9399" s="2" t="s">
        <v>10</v>
      </c>
      <c r="E9399" s="2" t="s">
        <v>16</v>
      </c>
      <c r="F9399" s="2">
        <v>1</v>
      </c>
      <c r="G9399" s="2" t="s">
        <v>17</v>
      </c>
    </row>
    <row r="9400" spans="1:7" x14ac:dyDescent="0.2">
      <c r="A9400" s="2" t="s">
        <v>11056</v>
      </c>
      <c r="B9400" s="2" t="s">
        <v>11057</v>
      </c>
      <c r="C9400" s="2" t="s">
        <v>10676</v>
      </c>
      <c r="D9400" s="2" t="s">
        <v>10</v>
      </c>
      <c r="E9400" s="2" t="s">
        <v>16</v>
      </c>
      <c r="F9400" s="2">
        <v>1</v>
      </c>
      <c r="G9400" s="2" t="s">
        <v>17</v>
      </c>
    </row>
    <row r="9401" spans="1:7" x14ac:dyDescent="0.2">
      <c r="A9401" s="2" t="s">
        <v>11056</v>
      </c>
      <c r="B9401" s="2" t="s">
        <v>5516</v>
      </c>
      <c r="C9401" s="2" t="s">
        <v>10676</v>
      </c>
      <c r="D9401" s="2" t="s">
        <v>10</v>
      </c>
      <c r="E9401" s="2" t="s">
        <v>16</v>
      </c>
      <c r="F9401" s="2">
        <v>1</v>
      </c>
      <c r="G9401" s="2" t="s">
        <v>17</v>
      </c>
    </row>
    <row r="9402" spans="1:7" x14ac:dyDescent="0.2">
      <c r="A9402" s="2" t="s">
        <v>11056</v>
      </c>
      <c r="B9402" s="2" t="s">
        <v>11058</v>
      </c>
      <c r="C9402" s="2" t="s">
        <v>10676</v>
      </c>
      <c r="D9402" s="2" t="s">
        <v>10</v>
      </c>
      <c r="E9402" s="2" t="s">
        <v>16</v>
      </c>
      <c r="F9402" s="2">
        <v>1</v>
      </c>
      <c r="G9402" s="2" t="s">
        <v>17</v>
      </c>
    </row>
    <row r="9403" spans="1:7" x14ac:dyDescent="0.2">
      <c r="A9403" s="2" t="s">
        <v>11059</v>
      </c>
      <c r="B9403" s="2" t="s">
        <v>10352</v>
      </c>
      <c r="C9403" s="2" t="s">
        <v>9437</v>
      </c>
      <c r="D9403" s="2" t="s">
        <v>10</v>
      </c>
      <c r="E9403" s="2" t="s">
        <v>16</v>
      </c>
      <c r="F9403" s="2">
        <v>1</v>
      </c>
      <c r="G9403" s="2" t="s">
        <v>17</v>
      </c>
    </row>
    <row r="9404" spans="1:7" x14ac:dyDescent="0.2">
      <c r="A9404" s="2" t="s">
        <v>11059</v>
      </c>
      <c r="B9404" s="2" t="s">
        <v>10355</v>
      </c>
      <c r="C9404" s="2" t="s">
        <v>10356</v>
      </c>
      <c r="D9404" s="2" t="s">
        <v>10</v>
      </c>
      <c r="E9404" s="2" t="s">
        <v>16</v>
      </c>
      <c r="F9404" s="2">
        <v>1</v>
      </c>
      <c r="G9404" s="2" t="s">
        <v>17</v>
      </c>
    </row>
    <row r="9405" spans="1:7" x14ac:dyDescent="0.2">
      <c r="A9405" s="2" t="s">
        <v>11060</v>
      </c>
      <c r="B9405" s="2" t="s">
        <v>11061</v>
      </c>
      <c r="C9405" s="2" t="s">
        <v>11062</v>
      </c>
      <c r="D9405" s="2" t="s">
        <v>10</v>
      </c>
      <c r="E9405" s="2" t="s">
        <v>16</v>
      </c>
      <c r="F9405" s="2">
        <v>1</v>
      </c>
      <c r="G9405" s="2" t="s">
        <v>17</v>
      </c>
    </row>
    <row r="9406" spans="1:7" x14ac:dyDescent="0.2">
      <c r="A9406" s="2" t="s">
        <v>11060</v>
      </c>
      <c r="B9406" s="2" t="s">
        <v>11063</v>
      </c>
      <c r="C9406" s="2" t="s">
        <v>11062</v>
      </c>
      <c r="D9406" s="2" t="s">
        <v>10</v>
      </c>
      <c r="E9406" s="2" t="s">
        <v>16</v>
      </c>
      <c r="F9406" s="2">
        <v>1</v>
      </c>
      <c r="G9406" s="2" t="s">
        <v>17</v>
      </c>
    </row>
    <row r="9407" spans="1:7" x14ac:dyDescent="0.2">
      <c r="A9407" s="2" t="s">
        <v>11060</v>
      </c>
      <c r="B9407" s="2" t="s">
        <v>11064</v>
      </c>
      <c r="C9407" s="2" t="s">
        <v>11065</v>
      </c>
      <c r="D9407" s="2" t="s">
        <v>10</v>
      </c>
      <c r="E9407" s="2" t="s">
        <v>16</v>
      </c>
      <c r="F9407" s="2">
        <v>1</v>
      </c>
      <c r="G9407" s="2" t="s">
        <v>17</v>
      </c>
    </row>
    <row r="9408" spans="1:7" x14ac:dyDescent="0.2">
      <c r="A9408" s="2" t="s">
        <v>11060</v>
      </c>
      <c r="B9408" s="2" t="s">
        <v>11066</v>
      </c>
      <c r="C9408" s="2" t="s">
        <v>11065</v>
      </c>
      <c r="D9408" s="2" t="s">
        <v>10</v>
      </c>
      <c r="E9408" s="2" t="s">
        <v>16</v>
      </c>
      <c r="F9408" s="2">
        <v>1</v>
      </c>
      <c r="G9408" s="2" t="s">
        <v>17</v>
      </c>
    </row>
    <row r="9409" spans="1:7" x14ac:dyDescent="0.2">
      <c r="A9409" s="2" t="s">
        <v>11060</v>
      </c>
      <c r="B9409" s="2" t="s">
        <v>11067</v>
      </c>
      <c r="C9409" s="2" t="s">
        <v>11062</v>
      </c>
      <c r="D9409" s="2" t="s">
        <v>10</v>
      </c>
      <c r="E9409" s="2" t="s">
        <v>16</v>
      </c>
      <c r="F9409" s="2">
        <v>1</v>
      </c>
      <c r="G9409" s="2" t="s">
        <v>17</v>
      </c>
    </row>
    <row r="9410" spans="1:7" x14ac:dyDescent="0.2">
      <c r="A9410" s="2" t="s">
        <v>11060</v>
      </c>
      <c r="B9410" s="2" t="s">
        <v>11068</v>
      </c>
      <c r="C9410" s="2" t="s">
        <v>11062</v>
      </c>
      <c r="D9410" s="2" t="s">
        <v>10</v>
      </c>
      <c r="E9410" s="2" t="s">
        <v>16</v>
      </c>
      <c r="F9410" s="2">
        <v>1</v>
      </c>
      <c r="G9410" s="2" t="s">
        <v>17</v>
      </c>
    </row>
    <row r="9411" spans="1:7" x14ac:dyDescent="0.2">
      <c r="A9411" s="2" t="s">
        <v>11069</v>
      </c>
      <c r="B9411" s="2" t="s">
        <v>11070</v>
      </c>
      <c r="C9411" s="2" t="s">
        <v>11071</v>
      </c>
      <c r="D9411" s="2" t="s">
        <v>10</v>
      </c>
      <c r="E9411" s="2" t="s">
        <v>16</v>
      </c>
      <c r="F9411" s="2">
        <v>1</v>
      </c>
      <c r="G9411" s="2" t="s">
        <v>17</v>
      </c>
    </row>
    <row r="9412" spans="1:7" x14ac:dyDescent="0.2">
      <c r="A9412" s="2" t="s">
        <v>11069</v>
      </c>
      <c r="B9412" s="2" t="s">
        <v>2615</v>
      </c>
      <c r="C9412" s="2" t="s">
        <v>11071</v>
      </c>
      <c r="D9412" s="2" t="s">
        <v>10</v>
      </c>
      <c r="E9412" s="2" t="s">
        <v>16</v>
      </c>
      <c r="F9412" s="2">
        <v>1</v>
      </c>
      <c r="G9412" s="2" t="s">
        <v>17</v>
      </c>
    </row>
    <row r="9413" spans="1:7" x14ac:dyDescent="0.2">
      <c r="A9413" s="2" t="s">
        <v>11072</v>
      </c>
      <c r="B9413" s="2" t="s">
        <v>10719</v>
      </c>
      <c r="C9413" s="2" t="s">
        <v>11073</v>
      </c>
      <c r="D9413" s="2" t="s">
        <v>10</v>
      </c>
      <c r="E9413" s="2" t="s">
        <v>16</v>
      </c>
      <c r="F9413" s="2">
        <v>1</v>
      </c>
      <c r="G9413" s="2" t="s">
        <v>17</v>
      </c>
    </row>
    <row r="9414" spans="1:7" x14ac:dyDescent="0.2">
      <c r="A9414" s="2" t="s">
        <v>11074</v>
      </c>
      <c r="B9414" s="2" t="s">
        <v>588</v>
      </c>
      <c r="C9414" s="2" t="s">
        <v>589</v>
      </c>
      <c r="D9414" s="2" t="s">
        <v>56</v>
      </c>
      <c r="E9414" s="2" t="s">
        <v>52</v>
      </c>
      <c r="F9414" s="2">
        <v>1</v>
      </c>
      <c r="G9414" s="2" t="s">
        <v>17</v>
      </c>
    </row>
    <row r="9415" spans="1:7" x14ac:dyDescent="0.2">
      <c r="A9415" s="2" t="s">
        <v>11074</v>
      </c>
      <c r="B9415" s="2" t="s">
        <v>590</v>
      </c>
      <c r="C9415" s="2" t="s">
        <v>591</v>
      </c>
      <c r="D9415" s="2" t="s">
        <v>56</v>
      </c>
      <c r="E9415" s="2" t="s">
        <v>52</v>
      </c>
      <c r="F9415" s="2">
        <v>1</v>
      </c>
      <c r="G9415" s="2" t="s">
        <v>17</v>
      </c>
    </row>
    <row r="9416" spans="1:7" x14ac:dyDescent="0.2">
      <c r="A9416" s="2" t="s">
        <v>11074</v>
      </c>
      <c r="B9416" s="2" t="s">
        <v>625</v>
      </c>
      <c r="C9416" s="2" t="s">
        <v>626</v>
      </c>
      <c r="D9416" s="2" t="s">
        <v>10</v>
      </c>
      <c r="E9416" s="2" t="s">
        <v>11</v>
      </c>
      <c r="F9416" s="2">
        <v>2</v>
      </c>
      <c r="G9416" s="2" t="s">
        <v>17</v>
      </c>
    </row>
    <row r="9417" spans="1:7" x14ac:dyDescent="0.2">
      <c r="A9417" s="2" t="s">
        <v>11074</v>
      </c>
      <c r="B9417" s="2" t="s">
        <v>11075</v>
      </c>
      <c r="C9417" s="2" t="s">
        <v>11076</v>
      </c>
      <c r="D9417" s="2" t="s">
        <v>56</v>
      </c>
      <c r="E9417" s="2" t="s">
        <v>52</v>
      </c>
      <c r="F9417" s="2">
        <v>1</v>
      </c>
      <c r="G9417" s="2" t="s">
        <v>17</v>
      </c>
    </row>
    <row r="9418" spans="1:7" x14ac:dyDescent="0.2">
      <c r="A9418" s="2" t="s">
        <v>11074</v>
      </c>
      <c r="B9418" s="2" t="s">
        <v>1200</v>
      </c>
      <c r="C9418" s="2" t="s">
        <v>6304</v>
      </c>
      <c r="D9418" s="2" t="s">
        <v>10</v>
      </c>
      <c r="E9418" s="2" t="s">
        <v>16</v>
      </c>
      <c r="F9418" s="2">
        <v>1</v>
      </c>
      <c r="G9418" s="2" t="s">
        <v>17</v>
      </c>
    </row>
    <row r="9419" spans="1:7" x14ac:dyDescent="0.2">
      <c r="A9419" s="2" t="s">
        <v>11074</v>
      </c>
      <c r="B9419" s="2" t="s">
        <v>54</v>
      </c>
      <c r="C9419" s="2" t="s">
        <v>55</v>
      </c>
      <c r="D9419" s="2" t="s">
        <v>56</v>
      </c>
      <c r="E9419" s="2" t="s">
        <v>52</v>
      </c>
      <c r="F9419" s="2">
        <v>1</v>
      </c>
      <c r="G9419" s="2" t="s">
        <v>17</v>
      </c>
    </row>
    <row r="9420" spans="1:7" x14ac:dyDescent="0.2">
      <c r="A9420" s="2" t="s">
        <v>11074</v>
      </c>
      <c r="B9420" s="2" t="s">
        <v>5822</v>
      </c>
      <c r="C9420" s="2" t="s">
        <v>5823</v>
      </c>
      <c r="D9420" s="2" t="s">
        <v>10</v>
      </c>
      <c r="E9420" s="2" t="s">
        <v>16</v>
      </c>
      <c r="F9420" s="2">
        <v>1</v>
      </c>
      <c r="G9420" s="2" t="s">
        <v>17</v>
      </c>
    </row>
    <row r="9421" spans="1:7" x14ac:dyDescent="0.2">
      <c r="A9421" s="2" t="s">
        <v>11074</v>
      </c>
      <c r="B9421" s="2" t="s">
        <v>5531</v>
      </c>
      <c r="C9421" s="2" t="s">
        <v>5823</v>
      </c>
      <c r="D9421" s="2" t="s">
        <v>10</v>
      </c>
      <c r="E9421" s="2" t="s">
        <v>16</v>
      </c>
      <c r="F9421" s="2">
        <v>1</v>
      </c>
      <c r="G9421" s="2" t="s">
        <v>17</v>
      </c>
    </row>
    <row r="9422" spans="1:7" x14ac:dyDescent="0.2">
      <c r="A9422" s="2" t="s">
        <v>11074</v>
      </c>
      <c r="B9422" s="2" t="s">
        <v>646</v>
      </c>
      <c r="C9422" s="2" t="s">
        <v>647</v>
      </c>
      <c r="D9422" s="2" t="s">
        <v>56</v>
      </c>
      <c r="E9422" s="2" t="s">
        <v>52</v>
      </c>
      <c r="F9422" s="2">
        <v>1</v>
      </c>
      <c r="G9422" s="2" t="s">
        <v>17</v>
      </c>
    </row>
    <row r="9423" spans="1:7" x14ac:dyDescent="0.2">
      <c r="A9423" s="2" t="s">
        <v>11074</v>
      </c>
      <c r="B9423" s="2" t="s">
        <v>648</v>
      </c>
      <c r="C9423" s="2" t="s">
        <v>626</v>
      </c>
      <c r="D9423" s="2" t="s">
        <v>10</v>
      </c>
      <c r="E9423" s="2" t="s">
        <v>11</v>
      </c>
      <c r="F9423" s="2">
        <v>2</v>
      </c>
      <c r="G9423" s="2" t="s">
        <v>17</v>
      </c>
    </row>
    <row r="9424" spans="1:7" x14ac:dyDescent="0.2">
      <c r="A9424" s="2" t="s">
        <v>11074</v>
      </c>
      <c r="B9424" s="2" t="s">
        <v>653</v>
      </c>
      <c r="C9424" s="2" t="s">
        <v>624</v>
      </c>
      <c r="D9424" s="2" t="s">
        <v>56</v>
      </c>
      <c r="E9424" s="2" t="s">
        <v>52</v>
      </c>
      <c r="F9424" s="2">
        <v>2</v>
      </c>
      <c r="G9424" s="2" t="s">
        <v>17</v>
      </c>
    </row>
    <row r="9425" spans="1:7" x14ac:dyDescent="0.2">
      <c r="A9425" s="2" t="s">
        <v>11074</v>
      </c>
      <c r="B9425" s="2" t="s">
        <v>10506</v>
      </c>
      <c r="C9425" s="2" t="s">
        <v>10507</v>
      </c>
      <c r="D9425" s="2" t="s">
        <v>56</v>
      </c>
      <c r="E9425" s="2" t="s">
        <v>16</v>
      </c>
      <c r="F9425" s="2">
        <v>1</v>
      </c>
      <c r="G9425" s="2" t="s">
        <v>17</v>
      </c>
    </row>
    <row r="9426" spans="1:7" x14ac:dyDescent="0.2">
      <c r="A9426" s="2" t="s">
        <v>11074</v>
      </c>
      <c r="B9426" s="2" t="s">
        <v>654</v>
      </c>
      <c r="C9426" s="2" t="s">
        <v>647</v>
      </c>
      <c r="D9426" s="2" t="s">
        <v>56</v>
      </c>
      <c r="E9426" s="2" t="s">
        <v>52</v>
      </c>
      <c r="F9426" s="2">
        <v>1</v>
      </c>
      <c r="G9426" s="2" t="s">
        <v>17</v>
      </c>
    </row>
    <row r="9427" spans="1:7" x14ac:dyDescent="0.2">
      <c r="A9427" s="2" t="s">
        <v>11074</v>
      </c>
      <c r="B9427" s="2" t="s">
        <v>655</v>
      </c>
      <c r="C9427" s="2" t="s">
        <v>591</v>
      </c>
      <c r="D9427" s="2" t="s">
        <v>56</v>
      </c>
      <c r="E9427" s="2" t="s">
        <v>52</v>
      </c>
      <c r="F9427" s="2">
        <v>1</v>
      </c>
      <c r="G9427" s="2" t="s">
        <v>17</v>
      </c>
    </row>
    <row r="9428" spans="1:7" x14ac:dyDescent="0.2">
      <c r="A9428" s="2" t="s">
        <v>11074</v>
      </c>
      <c r="B9428" s="2" t="s">
        <v>656</v>
      </c>
      <c r="C9428" s="2" t="s">
        <v>589</v>
      </c>
      <c r="D9428" s="2" t="s">
        <v>56</v>
      </c>
      <c r="E9428" s="2" t="s">
        <v>52</v>
      </c>
      <c r="F9428" s="2">
        <v>1</v>
      </c>
      <c r="G9428" s="2" t="s">
        <v>17</v>
      </c>
    </row>
    <row r="9429" spans="1:7" x14ac:dyDescent="0.2">
      <c r="A9429" s="2" t="s">
        <v>11074</v>
      </c>
      <c r="B9429" s="2" t="s">
        <v>657</v>
      </c>
      <c r="C9429" s="2" t="s">
        <v>591</v>
      </c>
      <c r="D9429" s="2" t="s">
        <v>56</v>
      </c>
      <c r="E9429" s="2" t="s">
        <v>52</v>
      </c>
      <c r="F9429" s="2">
        <v>1</v>
      </c>
      <c r="G9429" s="2" t="s">
        <v>17</v>
      </c>
    </row>
    <row r="9430" spans="1:7" x14ac:dyDescent="0.2">
      <c r="A9430" s="2" t="s">
        <v>11074</v>
      </c>
      <c r="B9430" s="2" t="s">
        <v>658</v>
      </c>
      <c r="C9430" s="2" t="s">
        <v>659</v>
      </c>
      <c r="D9430" s="2" t="s">
        <v>56</v>
      </c>
      <c r="E9430" s="2" t="s">
        <v>52</v>
      </c>
      <c r="F9430" s="2">
        <v>3</v>
      </c>
      <c r="G9430" s="2" t="s">
        <v>12</v>
      </c>
    </row>
    <row r="9431" spans="1:7" x14ac:dyDescent="0.2">
      <c r="A9431" s="2" t="s">
        <v>11074</v>
      </c>
      <c r="B9431" s="2" t="s">
        <v>660</v>
      </c>
      <c r="C9431" s="2" t="s">
        <v>624</v>
      </c>
      <c r="D9431" s="2" t="s">
        <v>56</v>
      </c>
      <c r="E9431" s="2" t="s">
        <v>52</v>
      </c>
      <c r="F9431" s="2">
        <v>2</v>
      </c>
      <c r="G9431" s="2" t="s">
        <v>17</v>
      </c>
    </row>
    <row r="9432" spans="1:7" x14ac:dyDescent="0.2">
      <c r="A9432" s="2" t="s">
        <v>11074</v>
      </c>
      <c r="B9432" s="2" t="s">
        <v>661</v>
      </c>
      <c r="C9432" s="2" t="s">
        <v>55</v>
      </c>
      <c r="D9432" s="2" t="s">
        <v>56</v>
      </c>
      <c r="E9432" s="2" t="s">
        <v>52</v>
      </c>
      <c r="F9432" s="2">
        <v>1</v>
      </c>
      <c r="G9432" s="2" t="s">
        <v>17</v>
      </c>
    </row>
    <row r="9433" spans="1:7" x14ac:dyDescent="0.2">
      <c r="A9433" s="2" t="s">
        <v>11074</v>
      </c>
      <c r="B9433" s="2" t="s">
        <v>57</v>
      </c>
      <c r="C9433" s="2" t="s">
        <v>55</v>
      </c>
      <c r="D9433" s="2" t="s">
        <v>56</v>
      </c>
      <c r="E9433" s="2" t="s">
        <v>52</v>
      </c>
      <c r="F9433" s="2">
        <v>1</v>
      </c>
      <c r="G9433" s="2" t="s">
        <v>17</v>
      </c>
    </row>
    <row r="9434" spans="1:7" x14ac:dyDescent="0.2">
      <c r="A9434" s="2" t="s">
        <v>11074</v>
      </c>
      <c r="B9434" s="2" t="s">
        <v>11077</v>
      </c>
      <c r="C9434" s="2" t="s">
        <v>589</v>
      </c>
      <c r="D9434" s="2" t="s">
        <v>56</v>
      </c>
      <c r="E9434" s="2" t="s">
        <v>52</v>
      </c>
      <c r="F9434" s="2">
        <v>1</v>
      </c>
      <c r="G9434" s="2" t="s">
        <v>17</v>
      </c>
    </row>
    <row r="9435" spans="1:7" x14ac:dyDescent="0.2">
      <c r="A9435" s="2" t="s">
        <v>11074</v>
      </c>
      <c r="B9435" s="2" t="s">
        <v>11078</v>
      </c>
      <c r="C9435" s="2" t="s">
        <v>589</v>
      </c>
      <c r="D9435" s="2" t="s">
        <v>56</v>
      </c>
      <c r="E9435" s="2" t="s">
        <v>52</v>
      </c>
      <c r="F9435" s="2">
        <v>1</v>
      </c>
      <c r="G9435" s="2" t="s">
        <v>17</v>
      </c>
    </row>
    <row r="9436" spans="1:7" x14ac:dyDescent="0.2">
      <c r="A9436" s="2" t="s">
        <v>11074</v>
      </c>
      <c r="B9436" s="2" t="s">
        <v>9786</v>
      </c>
      <c r="C9436" s="2" t="s">
        <v>589</v>
      </c>
      <c r="D9436" s="2" t="s">
        <v>56</v>
      </c>
      <c r="E9436" s="2" t="s">
        <v>52</v>
      </c>
      <c r="F9436" s="2">
        <v>1</v>
      </c>
      <c r="G9436" s="2" t="s">
        <v>17</v>
      </c>
    </row>
    <row r="9437" spans="1:7" x14ac:dyDescent="0.2">
      <c r="A9437" s="2" t="s">
        <v>11074</v>
      </c>
      <c r="B9437" s="2" t="s">
        <v>5346</v>
      </c>
      <c r="C9437" s="2" t="s">
        <v>591</v>
      </c>
      <c r="D9437" s="2" t="s">
        <v>56</v>
      </c>
      <c r="E9437" s="2" t="s">
        <v>52</v>
      </c>
      <c r="F9437" s="2">
        <v>1</v>
      </c>
      <c r="G9437" s="2" t="s">
        <v>17</v>
      </c>
    </row>
    <row r="9438" spans="1:7" x14ac:dyDescent="0.2">
      <c r="A9438" s="2" t="s">
        <v>11074</v>
      </c>
      <c r="B9438" s="2" t="s">
        <v>11079</v>
      </c>
      <c r="C9438" s="2" t="s">
        <v>11076</v>
      </c>
      <c r="D9438" s="2" t="s">
        <v>56</v>
      </c>
      <c r="E9438" s="2" t="s">
        <v>52</v>
      </c>
      <c r="F9438" s="2">
        <v>1</v>
      </c>
      <c r="G9438" s="2" t="s">
        <v>17</v>
      </c>
    </row>
    <row r="9439" spans="1:7" x14ac:dyDescent="0.2">
      <c r="A9439" s="2" t="s">
        <v>11074</v>
      </c>
      <c r="B9439" s="2" t="s">
        <v>11080</v>
      </c>
      <c r="C9439" s="2" t="s">
        <v>11081</v>
      </c>
      <c r="D9439" s="2" t="s">
        <v>10</v>
      </c>
      <c r="E9439" s="2" t="s">
        <v>11</v>
      </c>
      <c r="F9439" s="2">
        <v>2</v>
      </c>
      <c r="G9439" s="2" t="s">
        <v>12</v>
      </c>
    </row>
    <row r="9440" spans="1:7" x14ac:dyDescent="0.2">
      <c r="A9440" s="2" t="s">
        <v>11074</v>
      </c>
      <c r="B9440" s="2" t="s">
        <v>671</v>
      </c>
      <c r="C9440" s="2" t="s">
        <v>659</v>
      </c>
      <c r="D9440" s="2" t="s">
        <v>56</v>
      </c>
      <c r="E9440" s="2" t="s">
        <v>52</v>
      </c>
      <c r="F9440" s="2">
        <v>3</v>
      </c>
      <c r="G9440" s="2" t="s">
        <v>12</v>
      </c>
    </row>
    <row r="9441" spans="1:7" x14ac:dyDescent="0.2">
      <c r="A9441" s="2" t="s">
        <v>11074</v>
      </c>
      <c r="B9441" s="2" t="s">
        <v>11082</v>
      </c>
      <c r="C9441" s="2" t="s">
        <v>6304</v>
      </c>
      <c r="D9441" s="2" t="s">
        <v>10</v>
      </c>
      <c r="E9441" s="2" t="s">
        <v>16</v>
      </c>
      <c r="F9441" s="2">
        <v>1</v>
      </c>
      <c r="G9441" s="2" t="s">
        <v>17</v>
      </c>
    </row>
    <row r="9442" spans="1:7" x14ac:dyDescent="0.2">
      <c r="A9442" s="2" t="s">
        <v>11074</v>
      </c>
      <c r="B9442" s="2" t="s">
        <v>11083</v>
      </c>
      <c r="C9442" s="2" t="s">
        <v>11081</v>
      </c>
      <c r="D9442" s="2" t="s">
        <v>10</v>
      </c>
      <c r="E9442" s="2" t="s">
        <v>11</v>
      </c>
      <c r="F9442" s="2">
        <v>2</v>
      </c>
      <c r="G9442" s="2" t="s">
        <v>12</v>
      </c>
    </row>
    <row r="9443" spans="1:7" x14ac:dyDescent="0.2">
      <c r="A9443" s="2" t="s">
        <v>11084</v>
      </c>
      <c r="B9443" s="2" t="s">
        <v>588</v>
      </c>
      <c r="C9443" s="2" t="s">
        <v>589</v>
      </c>
      <c r="D9443" s="2" t="s">
        <v>56</v>
      </c>
      <c r="E9443" s="2" t="s">
        <v>52</v>
      </c>
      <c r="F9443" s="2">
        <v>1</v>
      </c>
      <c r="G9443" s="2" t="s">
        <v>17</v>
      </c>
    </row>
    <row r="9444" spans="1:7" x14ac:dyDescent="0.2">
      <c r="A9444" s="2" t="s">
        <v>11084</v>
      </c>
      <c r="B9444" s="2" t="s">
        <v>9786</v>
      </c>
      <c r="C9444" s="2" t="s">
        <v>589</v>
      </c>
      <c r="D9444" s="2" t="s">
        <v>56</v>
      </c>
      <c r="E9444" s="2" t="s">
        <v>52</v>
      </c>
      <c r="F9444" s="2">
        <v>1</v>
      </c>
      <c r="G9444" s="2" t="s">
        <v>17</v>
      </c>
    </row>
    <row r="9445" spans="1:7" x14ac:dyDescent="0.2">
      <c r="A9445" s="2" t="s">
        <v>11085</v>
      </c>
      <c r="B9445" s="2" t="s">
        <v>11075</v>
      </c>
      <c r="C9445" s="2" t="s">
        <v>11076</v>
      </c>
      <c r="D9445" s="2" t="s">
        <v>56</v>
      </c>
      <c r="E9445" s="2" t="s">
        <v>52</v>
      </c>
      <c r="F9445" s="2">
        <v>1</v>
      </c>
      <c r="G9445" s="2" t="s">
        <v>17</v>
      </c>
    </row>
    <row r="9446" spans="1:7" x14ac:dyDescent="0.2">
      <c r="A9446" s="2" t="s">
        <v>11085</v>
      </c>
      <c r="B9446" s="2" t="s">
        <v>11079</v>
      </c>
      <c r="C9446" s="2" t="s">
        <v>11076</v>
      </c>
      <c r="D9446" s="2" t="s">
        <v>56</v>
      </c>
      <c r="E9446" s="2" t="s">
        <v>52</v>
      </c>
      <c r="F9446" s="2">
        <v>1</v>
      </c>
      <c r="G9446" s="2" t="s">
        <v>17</v>
      </c>
    </row>
    <row r="9447" spans="1:7" x14ac:dyDescent="0.2">
      <c r="A9447" s="2" t="s">
        <v>11086</v>
      </c>
      <c r="B9447" s="2" t="s">
        <v>625</v>
      </c>
      <c r="C9447" s="2" t="s">
        <v>626</v>
      </c>
      <c r="D9447" s="2" t="s">
        <v>10</v>
      </c>
      <c r="E9447" s="2" t="s">
        <v>11</v>
      </c>
      <c r="F9447" s="2">
        <v>2</v>
      </c>
      <c r="G9447" s="2" t="s">
        <v>17</v>
      </c>
    </row>
    <row r="9448" spans="1:7" x14ac:dyDescent="0.2">
      <c r="A9448" s="2" t="s">
        <v>11086</v>
      </c>
      <c r="B9448" s="2" t="s">
        <v>648</v>
      </c>
      <c r="C9448" s="2" t="s">
        <v>626</v>
      </c>
      <c r="D9448" s="2" t="s">
        <v>10</v>
      </c>
      <c r="E9448" s="2" t="s">
        <v>11</v>
      </c>
      <c r="F9448" s="2">
        <v>2</v>
      </c>
      <c r="G9448" s="2" t="s">
        <v>17</v>
      </c>
    </row>
    <row r="9449" spans="1:7" x14ac:dyDescent="0.2">
      <c r="A9449" s="2" t="s">
        <v>11087</v>
      </c>
      <c r="B9449" s="2" t="s">
        <v>2612</v>
      </c>
      <c r="C9449" s="2" t="s">
        <v>11088</v>
      </c>
      <c r="D9449" s="2" t="s">
        <v>10</v>
      </c>
      <c r="E9449" s="2" t="s">
        <v>11</v>
      </c>
      <c r="F9449" s="2">
        <v>2</v>
      </c>
      <c r="G9449" s="2" t="s">
        <v>12</v>
      </c>
    </row>
    <row r="9450" spans="1:7" x14ac:dyDescent="0.2">
      <c r="A9450" s="2" t="s">
        <v>11087</v>
      </c>
      <c r="B9450" s="2" t="s">
        <v>10385</v>
      </c>
      <c r="C9450" s="2" t="s">
        <v>6577</v>
      </c>
      <c r="D9450" s="2" t="s">
        <v>10</v>
      </c>
      <c r="E9450" s="2" t="s">
        <v>11</v>
      </c>
      <c r="F9450" s="2">
        <v>2</v>
      </c>
      <c r="G9450" s="2" t="s">
        <v>12</v>
      </c>
    </row>
    <row r="9451" spans="1:7" x14ac:dyDescent="0.2">
      <c r="A9451" s="2" t="s">
        <v>11087</v>
      </c>
      <c r="B9451" s="2" t="s">
        <v>11089</v>
      </c>
      <c r="C9451" s="2" t="s">
        <v>6577</v>
      </c>
      <c r="D9451" s="2" t="s">
        <v>10</v>
      </c>
      <c r="E9451" s="2" t="s">
        <v>11</v>
      </c>
      <c r="F9451" s="2">
        <v>2</v>
      </c>
      <c r="G9451" s="2" t="s">
        <v>12</v>
      </c>
    </row>
    <row r="9452" spans="1:7" x14ac:dyDescent="0.2">
      <c r="A9452" s="2" t="s">
        <v>11087</v>
      </c>
      <c r="B9452" s="2" t="s">
        <v>11090</v>
      </c>
      <c r="C9452" s="2" t="s">
        <v>11088</v>
      </c>
      <c r="D9452" s="2" t="s">
        <v>10</v>
      </c>
      <c r="E9452" s="2" t="s">
        <v>11</v>
      </c>
      <c r="F9452" s="2">
        <v>2</v>
      </c>
      <c r="G9452" s="2" t="s">
        <v>12</v>
      </c>
    </row>
    <row r="9453" spans="1:7" x14ac:dyDescent="0.2">
      <c r="A9453" s="2" t="s">
        <v>11087</v>
      </c>
      <c r="B9453" s="2" t="s">
        <v>3841</v>
      </c>
      <c r="C9453" s="2" t="s">
        <v>11091</v>
      </c>
      <c r="D9453" s="2" t="s">
        <v>10</v>
      </c>
      <c r="E9453" s="2" t="s">
        <v>11</v>
      </c>
      <c r="F9453" s="2">
        <v>2</v>
      </c>
      <c r="G9453" s="2" t="s">
        <v>12</v>
      </c>
    </row>
    <row r="9454" spans="1:7" x14ac:dyDescent="0.2">
      <c r="A9454" s="2" t="s">
        <v>11087</v>
      </c>
      <c r="B9454" s="2" t="s">
        <v>11092</v>
      </c>
      <c r="C9454" s="2" t="s">
        <v>11093</v>
      </c>
      <c r="D9454" s="2" t="s">
        <v>10</v>
      </c>
      <c r="E9454" s="2" t="s">
        <v>11</v>
      </c>
      <c r="F9454" s="2">
        <v>1</v>
      </c>
      <c r="G9454" s="2" t="s">
        <v>12</v>
      </c>
    </row>
    <row r="9455" spans="1:7" x14ac:dyDescent="0.2">
      <c r="A9455" s="2" t="s">
        <v>11087</v>
      </c>
      <c r="B9455" s="2" t="s">
        <v>11094</v>
      </c>
      <c r="C9455" s="2" t="s">
        <v>11095</v>
      </c>
      <c r="D9455" s="2" t="s">
        <v>10</v>
      </c>
      <c r="E9455" s="2" t="s">
        <v>11</v>
      </c>
      <c r="F9455" s="2">
        <v>1</v>
      </c>
      <c r="G9455" s="2" t="s">
        <v>12</v>
      </c>
    </row>
    <row r="9456" spans="1:7" x14ac:dyDescent="0.2">
      <c r="A9456" s="2" t="s">
        <v>11087</v>
      </c>
      <c r="B9456" s="2" t="s">
        <v>11096</v>
      </c>
      <c r="C9456" s="2" t="s">
        <v>11095</v>
      </c>
      <c r="D9456" s="2" t="s">
        <v>10</v>
      </c>
      <c r="E9456" s="2" t="s">
        <v>11</v>
      </c>
      <c r="F9456" s="2">
        <v>1</v>
      </c>
      <c r="G9456" s="2" t="s">
        <v>12</v>
      </c>
    </row>
    <row r="9457" spans="1:7" x14ac:dyDescent="0.2">
      <c r="A9457" s="2" t="s">
        <v>11087</v>
      </c>
      <c r="B9457" s="2" t="s">
        <v>11097</v>
      </c>
      <c r="C9457" s="2" t="s">
        <v>11095</v>
      </c>
      <c r="D9457" s="2" t="s">
        <v>10</v>
      </c>
      <c r="E9457" s="2" t="s">
        <v>11</v>
      </c>
      <c r="F9457" s="2">
        <v>1</v>
      </c>
      <c r="G9457" s="2" t="s">
        <v>12</v>
      </c>
    </row>
    <row r="9458" spans="1:7" x14ac:dyDescent="0.2">
      <c r="A9458" s="2" t="s">
        <v>11087</v>
      </c>
      <c r="B9458" s="2" t="s">
        <v>11098</v>
      </c>
      <c r="C9458" s="2" t="s">
        <v>11099</v>
      </c>
      <c r="D9458" s="2" t="s">
        <v>10</v>
      </c>
      <c r="E9458" s="2" t="s">
        <v>11</v>
      </c>
      <c r="F9458" s="2">
        <v>2</v>
      </c>
      <c r="G9458" s="2" t="s">
        <v>12</v>
      </c>
    </row>
    <row r="9459" spans="1:7" x14ac:dyDescent="0.2">
      <c r="A9459" s="2" t="s">
        <v>11087</v>
      </c>
      <c r="B9459" s="2" t="s">
        <v>11100</v>
      </c>
      <c r="C9459" s="2" t="s">
        <v>11091</v>
      </c>
      <c r="D9459" s="2" t="s">
        <v>10</v>
      </c>
      <c r="E9459" s="2" t="s">
        <v>11</v>
      </c>
      <c r="F9459" s="2">
        <v>2</v>
      </c>
      <c r="G9459" s="2" t="s">
        <v>12</v>
      </c>
    </row>
    <row r="9460" spans="1:7" x14ac:dyDescent="0.2">
      <c r="A9460" s="2" t="s">
        <v>11087</v>
      </c>
      <c r="B9460" s="2" t="s">
        <v>11101</v>
      </c>
      <c r="C9460" s="2" t="s">
        <v>11091</v>
      </c>
      <c r="D9460" s="2" t="s">
        <v>10</v>
      </c>
      <c r="E9460" s="2" t="s">
        <v>11</v>
      </c>
      <c r="F9460" s="2">
        <v>2</v>
      </c>
      <c r="G9460" s="2" t="s">
        <v>12</v>
      </c>
    </row>
    <row r="9461" spans="1:7" x14ac:dyDescent="0.2">
      <c r="A9461" s="2" t="s">
        <v>11087</v>
      </c>
      <c r="B9461" s="2" t="s">
        <v>11102</v>
      </c>
      <c r="C9461" s="2" t="s">
        <v>11103</v>
      </c>
      <c r="D9461" s="2" t="s">
        <v>10</v>
      </c>
      <c r="E9461" s="2" t="s">
        <v>16</v>
      </c>
      <c r="F9461" s="2">
        <v>1</v>
      </c>
      <c r="G9461" s="2" t="s">
        <v>17</v>
      </c>
    </row>
    <row r="9462" spans="1:7" x14ac:dyDescent="0.2">
      <c r="A9462" s="2" t="s">
        <v>11087</v>
      </c>
      <c r="B9462" s="2" t="s">
        <v>11104</v>
      </c>
      <c r="C9462" s="2" t="s">
        <v>6577</v>
      </c>
      <c r="D9462" s="2" t="s">
        <v>10</v>
      </c>
      <c r="E9462" s="2" t="s">
        <v>11</v>
      </c>
      <c r="F9462" s="2">
        <v>2</v>
      </c>
      <c r="G9462" s="2" t="s">
        <v>12</v>
      </c>
    </row>
    <row r="9463" spans="1:7" x14ac:dyDescent="0.2">
      <c r="A9463" s="2" t="s">
        <v>11087</v>
      </c>
      <c r="B9463" s="2" t="s">
        <v>11105</v>
      </c>
      <c r="C9463" s="2" t="s">
        <v>11091</v>
      </c>
      <c r="D9463" s="2" t="s">
        <v>10</v>
      </c>
      <c r="E9463" s="2" t="s">
        <v>11</v>
      </c>
      <c r="F9463" s="2">
        <v>2</v>
      </c>
      <c r="G9463" s="2" t="s">
        <v>12</v>
      </c>
    </row>
    <row r="9464" spans="1:7" x14ac:dyDescent="0.2">
      <c r="A9464" s="2" t="s">
        <v>11087</v>
      </c>
      <c r="B9464" s="2" t="s">
        <v>11106</v>
      </c>
      <c r="C9464" s="2" t="s">
        <v>11107</v>
      </c>
      <c r="D9464" s="2" t="s">
        <v>10</v>
      </c>
      <c r="E9464" s="2" t="s">
        <v>16</v>
      </c>
      <c r="F9464" s="2">
        <v>1</v>
      </c>
      <c r="G9464" s="2" t="s">
        <v>17</v>
      </c>
    </row>
    <row r="9465" spans="1:7" x14ac:dyDescent="0.2">
      <c r="A9465" s="2" t="s">
        <v>11087</v>
      </c>
      <c r="B9465" s="2" t="s">
        <v>6576</v>
      </c>
      <c r="C9465" s="2" t="s">
        <v>6577</v>
      </c>
      <c r="D9465" s="2" t="s">
        <v>10</v>
      </c>
      <c r="E9465" s="2" t="s">
        <v>11</v>
      </c>
      <c r="F9465" s="2">
        <v>2</v>
      </c>
      <c r="G9465" s="2" t="s">
        <v>12</v>
      </c>
    </row>
    <row r="9466" spans="1:7" x14ac:dyDescent="0.2">
      <c r="A9466" s="2" t="s">
        <v>11087</v>
      </c>
      <c r="B9466" s="2" t="s">
        <v>11108</v>
      </c>
      <c r="C9466" s="2" t="s">
        <v>11109</v>
      </c>
      <c r="D9466" s="2" t="s">
        <v>10</v>
      </c>
      <c r="E9466" s="2" t="s">
        <v>16</v>
      </c>
      <c r="F9466" s="2">
        <v>1</v>
      </c>
      <c r="G9466" s="2" t="s">
        <v>17</v>
      </c>
    </row>
    <row r="9467" spans="1:7" x14ac:dyDescent="0.2">
      <c r="A9467" s="2" t="s">
        <v>11087</v>
      </c>
      <c r="B9467" s="2" t="s">
        <v>11110</v>
      </c>
      <c r="C9467" s="2" t="s">
        <v>6577</v>
      </c>
      <c r="D9467" s="2" t="s">
        <v>10</v>
      </c>
      <c r="E9467" s="2" t="s">
        <v>11</v>
      </c>
      <c r="F9467" s="2">
        <v>2</v>
      </c>
      <c r="G9467" s="2" t="s">
        <v>12</v>
      </c>
    </row>
    <row r="9468" spans="1:7" x14ac:dyDescent="0.2">
      <c r="A9468" s="2" t="s">
        <v>11087</v>
      </c>
      <c r="B9468" s="2" t="s">
        <v>11111</v>
      </c>
      <c r="C9468" s="2" t="s">
        <v>6577</v>
      </c>
      <c r="D9468" s="2" t="s">
        <v>10</v>
      </c>
      <c r="E9468" s="2" t="s">
        <v>11</v>
      </c>
      <c r="F9468" s="2">
        <v>2</v>
      </c>
      <c r="G9468" s="2" t="s">
        <v>12</v>
      </c>
    </row>
    <row r="9469" spans="1:7" x14ac:dyDescent="0.2">
      <c r="A9469" s="2" t="s">
        <v>11087</v>
      </c>
      <c r="B9469" s="2" t="s">
        <v>11112</v>
      </c>
      <c r="C9469" s="2" t="s">
        <v>6577</v>
      </c>
      <c r="D9469" s="2" t="s">
        <v>10</v>
      </c>
      <c r="E9469" s="2" t="s">
        <v>11</v>
      </c>
      <c r="F9469" s="2">
        <v>2</v>
      </c>
      <c r="G9469" s="2" t="s">
        <v>12</v>
      </c>
    </row>
    <row r="9470" spans="1:7" x14ac:dyDescent="0.2">
      <c r="A9470" s="2" t="s">
        <v>11087</v>
      </c>
      <c r="B9470" s="2" t="s">
        <v>11113</v>
      </c>
      <c r="C9470" s="2" t="s">
        <v>6577</v>
      </c>
      <c r="D9470" s="2" t="s">
        <v>10</v>
      </c>
      <c r="E9470" s="2" t="s">
        <v>11</v>
      </c>
      <c r="F9470" s="2">
        <v>2</v>
      </c>
      <c r="G9470" s="2" t="s">
        <v>12</v>
      </c>
    </row>
    <row r="9471" spans="1:7" x14ac:dyDescent="0.2">
      <c r="A9471" s="2" t="s">
        <v>11087</v>
      </c>
      <c r="B9471" s="2" t="s">
        <v>11114</v>
      </c>
      <c r="C9471" s="2" t="s">
        <v>6577</v>
      </c>
      <c r="D9471" s="2" t="s">
        <v>10</v>
      </c>
      <c r="E9471" s="2" t="s">
        <v>11</v>
      </c>
      <c r="F9471" s="2">
        <v>2</v>
      </c>
      <c r="G9471" s="2" t="s">
        <v>12</v>
      </c>
    </row>
    <row r="9472" spans="1:7" x14ac:dyDescent="0.2">
      <c r="A9472" s="2" t="s">
        <v>11087</v>
      </c>
      <c r="B9472" s="2" t="s">
        <v>11115</v>
      </c>
      <c r="C9472" s="2" t="s">
        <v>11116</v>
      </c>
      <c r="D9472" s="2" t="s">
        <v>10</v>
      </c>
      <c r="E9472" s="2" t="s">
        <v>16</v>
      </c>
      <c r="F9472" s="2">
        <v>1</v>
      </c>
      <c r="G9472" s="2" t="s">
        <v>17</v>
      </c>
    </row>
    <row r="9473" spans="1:7" x14ac:dyDescent="0.2">
      <c r="A9473" s="2" t="s">
        <v>11087</v>
      </c>
      <c r="B9473" s="2" t="s">
        <v>11117</v>
      </c>
      <c r="C9473" s="2" t="s">
        <v>11091</v>
      </c>
      <c r="D9473" s="2" t="s">
        <v>10</v>
      </c>
      <c r="E9473" s="2" t="s">
        <v>11</v>
      </c>
      <c r="F9473" s="2">
        <v>2</v>
      </c>
      <c r="G9473" s="2" t="s">
        <v>12</v>
      </c>
    </row>
    <row r="9474" spans="1:7" x14ac:dyDescent="0.2">
      <c r="A9474" s="2" t="s">
        <v>11087</v>
      </c>
      <c r="B9474" s="2" t="s">
        <v>11118</v>
      </c>
      <c r="C9474" s="2" t="s">
        <v>11088</v>
      </c>
      <c r="D9474" s="2" t="s">
        <v>10</v>
      </c>
      <c r="E9474" s="2" t="s">
        <v>11</v>
      </c>
      <c r="F9474" s="2">
        <v>2</v>
      </c>
      <c r="G9474" s="2" t="s">
        <v>12</v>
      </c>
    </row>
    <row r="9475" spans="1:7" x14ac:dyDescent="0.2">
      <c r="A9475" s="2" t="s">
        <v>11087</v>
      </c>
      <c r="B9475" s="2" t="s">
        <v>11119</v>
      </c>
      <c r="C9475" s="2" t="s">
        <v>11120</v>
      </c>
      <c r="D9475" s="2" t="s">
        <v>10</v>
      </c>
      <c r="E9475" s="2" t="s">
        <v>52</v>
      </c>
      <c r="F9475" s="2">
        <v>2</v>
      </c>
      <c r="G9475" s="2" t="s">
        <v>12</v>
      </c>
    </row>
    <row r="9476" spans="1:7" x14ac:dyDescent="0.2">
      <c r="A9476" s="2" t="s">
        <v>11087</v>
      </c>
      <c r="B9476" s="2" t="s">
        <v>11121</v>
      </c>
      <c r="C9476" s="2" t="s">
        <v>11122</v>
      </c>
      <c r="D9476" s="2" t="s">
        <v>10</v>
      </c>
      <c r="E9476" s="2" t="s">
        <v>11</v>
      </c>
      <c r="F9476" s="2">
        <v>2</v>
      </c>
      <c r="G9476" s="2" t="s">
        <v>12</v>
      </c>
    </row>
    <row r="9477" spans="1:7" x14ac:dyDescent="0.2">
      <c r="A9477" s="2" t="s">
        <v>11087</v>
      </c>
      <c r="B9477" s="2" t="s">
        <v>11123</v>
      </c>
      <c r="C9477" s="2" t="s">
        <v>11124</v>
      </c>
      <c r="D9477" s="2" t="s">
        <v>10</v>
      </c>
      <c r="E9477" s="2" t="s">
        <v>11</v>
      </c>
      <c r="F9477" s="2">
        <v>2</v>
      </c>
      <c r="G9477" s="2" t="s">
        <v>12</v>
      </c>
    </row>
    <row r="9478" spans="1:7" x14ac:dyDescent="0.2">
      <c r="A9478" s="2" t="s">
        <v>11087</v>
      </c>
      <c r="B9478" s="2" t="s">
        <v>11125</v>
      </c>
      <c r="C9478" s="2" t="s">
        <v>11124</v>
      </c>
      <c r="D9478" s="2" t="s">
        <v>10</v>
      </c>
      <c r="E9478" s="2" t="s">
        <v>11</v>
      </c>
      <c r="F9478" s="2">
        <v>2</v>
      </c>
      <c r="G9478" s="2" t="s">
        <v>12</v>
      </c>
    </row>
    <row r="9479" spans="1:7" x14ac:dyDescent="0.2">
      <c r="A9479" s="2" t="s">
        <v>11126</v>
      </c>
      <c r="B9479" s="2" t="s">
        <v>11127</v>
      </c>
      <c r="C9479" s="2" t="s">
        <v>1995</v>
      </c>
      <c r="D9479" s="2" t="s">
        <v>10</v>
      </c>
      <c r="E9479" s="2" t="s">
        <v>16</v>
      </c>
      <c r="F9479" s="2">
        <v>2</v>
      </c>
      <c r="G9479" s="2" t="s">
        <v>17</v>
      </c>
    </row>
    <row r="9480" spans="1:7" x14ac:dyDescent="0.2">
      <c r="A9480" s="2" t="s">
        <v>11126</v>
      </c>
      <c r="B9480" s="2" t="s">
        <v>11128</v>
      </c>
      <c r="C9480" s="2" t="s">
        <v>1995</v>
      </c>
      <c r="D9480" s="2" t="s">
        <v>10</v>
      </c>
      <c r="E9480" s="2" t="s">
        <v>16</v>
      </c>
      <c r="F9480" s="2">
        <v>2</v>
      </c>
      <c r="G9480" s="2" t="s">
        <v>17</v>
      </c>
    </row>
    <row r="9481" spans="1:7" x14ac:dyDescent="0.2">
      <c r="A9481" s="2" t="s">
        <v>11129</v>
      </c>
      <c r="B9481" s="2" t="s">
        <v>4047</v>
      </c>
      <c r="C9481" s="2" t="s">
        <v>4048</v>
      </c>
      <c r="D9481" s="2" t="s">
        <v>10</v>
      </c>
      <c r="E9481" s="2" t="s">
        <v>16</v>
      </c>
      <c r="F9481" s="2">
        <v>1</v>
      </c>
      <c r="G9481" s="2" t="s">
        <v>17</v>
      </c>
    </row>
    <row r="9482" spans="1:7" x14ac:dyDescent="0.2">
      <c r="A9482" s="2" t="s">
        <v>11130</v>
      </c>
      <c r="B9482" s="2" t="s">
        <v>569</v>
      </c>
      <c r="C9482" s="2" t="s">
        <v>570</v>
      </c>
      <c r="D9482" s="2" t="s">
        <v>10</v>
      </c>
      <c r="E9482" s="2" t="s">
        <v>16</v>
      </c>
      <c r="F9482" s="2">
        <v>1</v>
      </c>
      <c r="G9482" s="2" t="s">
        <v>17</v>
      </c>
    </row>
    <row r="9483" spans="1:7" x14ac:dyDescent="0.2">
      <c r="A9483" s="2" t="s">
        <v>11131</v>
      </c>
      <c r="B9483" s="2" t="s">
        <v>1302</v>
      </c>
      <c r="C9483" s="2" t="s">
        <v>1301</v>
      </c>
      <c r="D9483" s="2" t="s">
        <v>10</v>
      </c>
      <c r="E9483" s="2" t="s">
        <v>16</v>
      </c>
      <c r="F9483" s="2">
        <v>1</v>
      </c>
      <c r="G9483" s="2" t="s">
        <v>17</v>
      </c>
    </row>
    <row r="9484" spans="1:7" x14ac:dyDescent="0.2">
      <c r="A9484" s="2" t="s">
        <v>11131</v>
      </c>
      <c r="B9484" s="2" t="s">
        <v>1300</v>
      </c>
      <c r="C9484" s="2" t="s">
        <v>1301</v>
      </c>
      <c r="D9484" s="2" t="s">
        <v>10</v>
      </c>
      <c r="E9484" s="2" t="s">
        <v>16</v>
      </c>
      <c r="F9484" s="2">
        <v>1</v>
      </c>
      <c r="G9484" s="2" t="s">
        <v>17</v>
      </c>
    </row>
    <row r="9485" spans="1:7" x14ac:dyDescent="0.2">
      <c r="A9485" s="2" t="s">
        <v>11132</v>
      </c>
      <c r="B9485" s="2" t="s">
        <v>7518</v>
      </c>
      <c r="C9485" s="2" t="s">
        <v>7519</v>
      </c>
      <c r="D9485" s="2" t="s">
        <v>10</v>
      </c>
      <c r="E9485" s="2" t="s">
        <v>16</v>
      </c>
      <c r="F9485" s="2">
        <v>1</v>
      </c>
      <c r="G9485" s="2" t="s">
        <v>17</v>
      </c>
    </row>
    <row r="9486" spans="1:7" x14ac:dyDescent="0.2">
      <c r="A9486" s="2" t="s">
        <v>11133</v>
      </c>
      <c r="B9486" s="2" t="s">
        <v>11134</v>
      </c>
      <c r="C9486" s="2" t="s">
        <v>11135</v>
      </c>
      <c r="D9486" s="2" t="s">
        <v>10</v>
      </c>
      <c r="E9486" s="2" t="s">
        <v>16</v>
      </c>
      <c r="F9486" s="2">
        <v>1</v>
      </c>
      <c r="G9486" s="2" t="s">
        <v>17</v>
      </c>
    </row>
    <row r="9487" spans="1:7" x14ac:dyDescent="0.2">
      <c r="A9487" s="2" t="s">
        <v>11133</v>
      </c>
      <c r="B9487" s="2" t="s">
        <v>6959</v>
      </c>
      <c r="C9487" s="2" t="s">
        <v>11135</v>
      </c>
      <c r="D9487" s="2" t="s">
        <v>10</v>
      </c>
      <c r="E9487" s="2" t="s">
        <v>16</v>
      </c>
      <c r="F9487" s="2">
        <v>1</v>
      </c>
      <c r="G9487" s="2" t="s">
        <v>17</v>
      </c>
    </row>
    <row r="9488" spans="1:7" x14ac:dyDescent="0.2">
      <c r="A9488" s="2" t="s">
        <v>11133</v>
      </c>
      <c r="B9488" s="2" t="s">
        <v>1977</v>
      </c>
      <c r="C9488" s="2" t="s">
        <v>11136</v>
      </c>
      <c r="D9488" s="2" t="s">
        <v>10</v>
      </c>
      <c r="E9488" s="2" t="s">
        <v>11</v>
      </c>
      <c r="F9488" s="2">
        <v>1</v>
      </c>
      <c r="G9488" s="2" t="s">
        <v>12</v>
      </c>
    </row>
    <row r="9489" spans="1:7" x14ac:dyDescent="0.2">
      <c r="A9489" s="2" t="s">
        <v>11137</v>
      </c>
      <c r="B9489" s="2" t="s">
        <v>11138</v>
      </c>
      <c r="C9489" s="2" t="s">
        <v>11139</v>
      </c>
      <c r="D9489" s="2" t="s">
        <v>10</v>
      </c>
      <c r="E9489" s="2" t="s">
        <v>16</v>
      </c>
      <c r="F9489" s="2">
        <v>1</v>
      </c>
      <c r="G9489" s="2" t="s">
        <v>17</v>
      </c>
    </row>
    <row r="9490" spans="1:7" x14ac:dyDescent="0.2">
      <c r="A9490" s="2" t="s">
        <v>11137</v>
      </c>
      <c r="B9490" s="2" t="s">
        <v>11140</v>
      </c>
      <c r="C9490" s="2" t="s">
        <v>11139</v>
      </c>
      <c r="D9490" s="2" t="s">
        <v>10</v>
      </c>
      <c r="E9490" s="2" t="s">
        <v>16</v>
      </c>
      <c r="F9490" s="2">
        <v>1</v>
      </c>
      <c r="G9490" s="2" t="s">
        <v>17</v>
      </c>
    </row>
    <row r="9491" spans="1:7" x14ac:dyDescent="0.2">
      <c r="A9491" s="2" t="s">
        <v>11141</v>
      </c>
      <c r="B9491" s="2" t="s">
        <v>11142</v>
      </c>
      <c r="C9491" s="2" t="s">
        <v>2216</v>
      </c>
      <c r="D9491" s="2" t="s">
        <v>10</v>
      </c>
      <c r="E9491" s="2" t="s">
        <v>16</v>
      </c>
      <c r="F9491" s="2">
        <v>2</v>
      </c>
      <c r="G9491" s="2" t="s">
        <v>17</v>
      </c>
    </row>
    <row r="9492" spans="1:7" x14ac:dyDescent="0.2">
      <c r="A9492" s="2" t="s">
        <v>11141</v>
      </c>
      <c r="B9492" s="2" t="s">
        <v>11143</v>
      </c>
      <c r="C9492" s="2" t="s">
        <v>2224</v>
      </c>
      <c r="D9492" s="2" t="s">
        <v>10</v>
      </c>
      <c r="E9492" s="2" t="s">
        <v>16</v>
      </c>
      <c r="F9492" s="2">
        <v>2</v>
      </c>
      <c r="G9492" s="2" t="s">
        <v>17</v>
      </c>
    </row>
    <row r="9493" spans="1:7" x14ac:dyDescent="0.2">
      <c r="A9493" s="2" t="s">
        <v>11141</v>
      </c>
      <c r="B9493" s="2" t="s">
        <v>5290</v>
      </c>
      <c r="C9493" s="2" t="s">
        <v>2206</v>
      </c>
      <c r="D9493" s="2" t="s">
        <v>10</v>
      </c>
      <c r="E9493" s="2" t="s">
        <v>16</v>
      </c>
      <c r="F9493" s="2">
        <v>2</v>
      </c>
      <c r="G9493" s="2" t="s">
        <v>17</v>
      </c>
    </row>
    <row r="9494" spans="1:7" x14ac:dyDescent="0.2">
      <c r="A9494" s="2" t="s">
        <v>11141</v>
      </c>
      <c r="B9494" s="2" t="s">
        <v>11144</v>
      </c>
      <c r="C9494" s="2" t="s">
        <v>11145</v>
      </c>
      <c r="D9494" s="2" t="s">
        <v>10</v>
      </c>
      <c r="E9494" s="2" t="s">
        <v>52</v>
      </c>
      <c r="F9494" s="2">
        <v>2</v>
      </c>
      <c r="G9494" s="2" t="s">
        <v>17</v>
      </c>
    </row>
    <row r="9495" spans="1:7" x14ac:dyDescent="0.2">
      <c r="A9495" s="2" t="s">
        <v>11141</v>
      </c>
      <c r="B9495" s="2" t="s">
        <v>5379</v>
      </c>
      <c r="C9495" s="2" t="s">
        <v>5370</v>
      </c>
      <c r="D9495" s="2" t="s">
        <v>10</v>
      </c>
      <c r="E9495" s="2" t="s">
        <v>52</v>
      </c>
      <c r="F9495" s="2">
        <v>2</v>
      </c>
      <c r="G9495" s="2" t="s">
        <v>17</v>
      </c>
    </row>
    <row r="9496" spans="1:7" x14ac:dyDescent="0.2">
      <c r="A9496" s="2" t="s">
        <v>11141</v>
      </c>
      <c r="B9496" s="2" t="s">
        <v>5380</v>
      </c>
      <c r="C9496" s="2" t="s">
        <v>5354</v>
      </c>
      <c r="D9496" s="2" t="s">
        <v>10</v>
      </c>
      <c r="E9496" s="2" t="s">
        <v>52</v>
      </c>
      <c r="F9496" s="2">
        <v>2</v>
      </c>
      <c r="G9496" s="2" t="s">
        <v>1058</v>
      </c>
    </row>
    <row r="9497" spans="1:7" x14ac:dyDescent="0.2">
      <c r="A9497" s="2" t="s">
        <v>11141</v>
      </c>
      <c r="B9497" s="2" t="s">
        <v>5382</v>
      </c>
      <c r="C9497" s="2" t="s">
        <v>5354</v>
      </c>
      <c r="D9497" s="2" t="s">
        <v>10</v>
      </c>
      <c r="E9497" s="2" t="s">
        <v>52</v>
      </c>
      <c r="F9497" s="2">
        <v>2</v>
      </c>
      <c r="G9497" s="2" t="s">
        <v>1058</v>
      </c>
    </row>
    <row r="9498" spans="1:7" x14ac:dyDescent="0.2">
      <c r="A9498" s="2" t="s">
        <v>11141</v>
      </c>
      <c r="B9498" s="2" t="s">
        <v>11146</v>
      </c>
      <c r="C9498" s="2" t="s">
        <v>11145</v>
      </c>
      <c r="D9498" s="2" t="s">
        <v>10</v>
      </c>
      <c r="E9498" s="2" t="s">
        <v>52</v>
      </c>
      <c r="F9498" s="2">
        <v>2</v>
      </c>
      <c r="G9498" s="2" t="s">
        <v>17</v>
      </c>
    </row>
    <row r="9499" spans="1:7" x14ac:dyDescent="0.2">
      <c r="A9499" s="2" t="s">
        <v>11141</v>
      </c>
      <c r="B9499" s="2" t="s">
        <v>11147</v>
      </c>
      <c r="C9499" s="2" t="s">
        <v>5354</v>
      </c>
      <c r="D9499" s="2" t="s">
        <v>10</v>
      </c>
      <c r="E9499" s="2" t="s">
        <v>52</v>
      </c>
      <c r="F9499" s="2">
        <v>2</v>
      </c>
      <c r="G9499" s="2" t="s">
        <v>1058</v>
      </c>
    </row>
    <row r="9500" spans="1:7" x14ac:dyDescent="0.2">
      <c r="A9500" s="2" t="s">
        <v>11141</v>
      </c>
      <c r="B9500" s="2" t="s">
        <v>11148</v>
      </c>
      <c r="C9500" s="2" t="s">
        <v>5370</v>
      </c>
      <c r="D9500" s="2" t="s">
        <v>10</v>
      </c>
      <c r="E9500" s="2" t="s">
        <v>52</v>
      </c>
      <c r="F9500" s="2">
        <v>2</v>
      </c>
      <c r="G9500" s="2" t="s">
        <v>17</v>
      </c>
    </row>
    <row r="9501" spans="1:7" x14ac:dyDescent="0.2">
      <c r="A9501" s="2" t="s">
        <v>11141</v>
      </c>
      <c r="B9501" s="2" t="s">
        <v>5432</v>
      </c>
      <c r="C9501" s="2" t="s">
        <v>5370</v>
      </c>
      <c r="D9501" s="2" t="s">
        <v>10</v>
      </c>
      <c r="E9501" s="2" t="s">
        <v>52</v>
      </c>
      <c r="F9501" s="2">
        <v>2</v>
      </c>
      <c r="G9501" s="2" t="s">
        <v>17</v>
      </c>
    </row>
    <row r="9502" spans="1:7" x14ac:dyDescent="0.2">
      <c r="A9502" s="2" t="s">
        <v>11141</v>
      </c>
      <c r="B9502" s="2" t="s">
        <v>5433</v>
      </c>
      <c r="C9502" s="2" t="s">
        <v>5354</v>
      </c>
      <c r="D9502" s="2" t="s">
        <v>10</v>
      </c>
      <c r="E9502" s="2" t="s">
        <v>52</v>
      </c>
      <c r="F9502" s="2">
        <v>2</v>
      </c>
      <c r="G9502" s="2" t="s">
        <v>1058</v>
      </c>
    </row>
    <row r="9503" spans="1:7" x14ac:dyDescent="0.2">
      <c r="A9503" s="2" t="s">
        <v>11141</v>
      </c>
      <c r="B9503" s="2" t="s">
        <v>5186</v>
      </c>
      <c r="C9503" s="2" t="s">
        <v>5187</v>
      </c>
      <c r="D9503" s="2" t="s">
        <v>10</v>
      </c>
      <c r="E9503" s="2" t="s">
        <v>11</v>
      </c>
      <c r="F9503" s="2">
        <v>2</v>
      </c>
      <c r="G9503" s="2" t="s">
        <v>17</v>
      </c>
    </row>
    <row r="9504" spans="1:7" x14ac:dyDescent="0.2">
      <c r="A9504" s="2" t="s">
        <v>11141</v>
      </c>
      <c r="B9504" s="2" t="s">
        <v>11149</v>
      </c>
      <c r="C9504" s="2" t="s">
        <v>11150</v>
      </c>
      <c r="D9504" s="2" t="s">
        <v>10</v>
      </c>
      <c r="E9504" s="2" t="s">
        <v>16</v>
      </c>
      <c r="F9504" s="2">
        <v>1</v>
      </c>
      <c r="G9504" s="2" t="s">
        <v>17</v>
      </c>
    </row>
    <row r="9505" spans="1:7" x14ac:dyDescent="0.2">
      <c r="A9505" s="2" t="s">
        <v>11141</v>
      </c>
      <c r="B9505" s="2" t="s">
        <v>7019</v>
      </c>
      <c r="C9505" s="2" t="s">
        <v>2234</v>
      </c>
      <c r="D9505" s="2" t="s">
        <v>10</v>
      </c>
      <c r="E9505" s="2" t="s">
        <v>52</v>
      </c>
      <c r="F9505" s="2">
        <v>2</v>
      </c>
      <c r="G9505" s="2" t="s">
        <v>17</v>
      </c>
    </row>
    <row r="9506" spans="1:7" x14ac:dyDescent="0.2">
      <c r="A9506" s="2" t="s">
        <v>11151</v>
      </c>
      <c r="B9506" s="2" t="s">
        <v>11152</v>
      </c>
      <c r="C9506" s="2" t="s">
        <v>11153</v>
      </c>
      <c r="D9506" s="2" t="s">
        <v>10</v>
      </c>
      <c r="E9506" s="2" t="s">
        <v>16</v>
      </c>
      <c r="F9506" s="2">
        <v>1</v>
      </c>
      <c r="G9506" s="2" t="s">
        <v>17</v>
      </c>
    </row>
    <row r="9507" spans="1:7" x14ac:dyDescent="0.2">
      <c r="A9507" s="2" t="s">
        <v>11154</v>
      </c>
      <c r="B9507" s="2" t="s">
        <v>9385</v>
      </c>
      <c r="C9507" s="2" t="s">
        <v>9386</v>
      </c>
      <c r="D9507" s="2" t="s">
        <v>10</v>
      </c>
      <c r="E9507" s="2" t="s">
        <v>16</v>
      </c>
      <c r="F9507" s="2">
        <v>1</v>
      </c>
      <c r="G9507" s="2" t="s">
        <v>17</v>
      </c>
    </row>
    <row r="9508" spans="1:7" x14ac:dyDescent="0.2">
      <c r="A9508" s="2" t="s">
        <v>11155</v>
      </c>
      <c r="B9508" s="2" t="s">
        <v>11156</v>
      </c>
      <c r="C9508" s="2" t="s">
        <v>8829</v>
      </c>
      <c r="D9508" s="2" t="s">
        <v>10</v>
      </c>
      <c r="E9508" s="2" t="s">
        <v>16</v>
      </c>
      <c r="F9508" s="2">
        <v>1</v>
      </c>
      <c r="G9508" s="2" t="s">
        <v>17</v>
      </c>
    </row>
    <row r="9509" spans="1:7" x14ac:dyDescent="0.2">
      <c r="A9509" s="2" t="s">
        <v>11155</v>
      </c>
      <c r="B9509" s="2" t="s">
        <v>8830</v>
      </c>
      <c r="C9509" s="2" t="s">
        <v>8829</v>
      </c>
      <c r="D9509" s="2" t="s">
        <v>10</v>
      </c>
      <c r="E9509" s="2" t="s">
        <v>16</v>
      </c>
      <c r="F9509" s="2">
        <v>1</v>
      </c>
      <c r="G9509" s="2" t="s">
        <v>17</v>
      </c>
    </row>
    <row r="9510" spans="1:7" x14ac:dyDescent="0.2">
      <c r="A9510" s="2" t="s">
        <v>11157</v>
      </c>
      <c r="B9510" s="2" t="s">
        <v>2615</v>
      </c>
      <c r="C9510" s="2" t="s">
        <v>2616</v>
      </c>
      <c r="D9510" s="2" t="s">
        <v>10</v>
      </c>
      <c r="E9510" s="2" t="s">
        <v>16</v>
      </c>
      <c r="F9510" s="2">
        <v>1</v>
      </c>
      <c r="G9510" s="2" t="s">
        <v>17</v>
      </c>
    </row>
    <row r="9511" spans="1:7" x14ac:dyDescent="0.2">
      <c r="A9511" s="2" t="s">
        <v>11158</v>
      </c>
      <c r="B9511" s="2" t="s">
        <v>11159</v>
      </c>
      <c r="C9511" s="2" t="s">
        <v>11160</v>
      </c>
      <c r="D9511" s="2" t="s">
        <v>10</v>
      </c>
      <c r="E9511" s="2" t="s">
        <v>16</v>
      </c>
      <c r="F9511" s="2">
        <v>1</v>
      </c>
      <c r="G9511" s="2" t="s">
        <v>17</v>
      </c>
    </row>
    <row r="9512" spans="1:7" x14ac:dyDescent="0.2">
      <c r="A9512" s="2" t="s">
        <v>11158</v>
      </c>
      <c r="B9512" s="2" t="s">
        <v>11161</v>
      </c>
      <c r="C9512" s="2" t="s">
        <v>11162</v>
      </c>
      <c r="D9512" s="2" t="s">
        <v>10</v>
      </c>
      <c r="E9512" s="2" t="s">
        <v>16</v>
      </c>
      <c r="F9512" s="2">
        <v>1</v>
      </c>
      <c r="G9512" s="2" t="s">
        <v>17</v>
      </c>
    </row>
    <row r="9513" spans="1:7" x14ac:dyDescent="0.2">
      <c r="A9513" s="2" t="s">
        <v>11158</v>
      </c>
      <c r="B9513" s="2" t="s">
        <v>11163</v>
      </c>
      <c r="C9513" s="2" t="s">
        <v>11160</v>
      </c>
      <c r="D9513" s="2" t="s">
        <v>10</v>
      </c>
      <c r="E9513" s="2" t="s">
        <v>16</v>
      </c>
      <c r="F9513" s="2">
        <v>1</v>
      </c>
      <c r="G9513" s="2" t="s">
        <v>17</v>
      </c>
    </row>
    <row r="9514" spans="1:7" x14ac:dyDescent="0.2">
      <c r="A9514" s="2" t="s">
        <v>11158</v>
      </c>
      <c r="B9514" s="2" t="s">
        <v>11164</v>
      </c>
      <c r="C9514" s="2" t="s">
        <v>11162</v>
      </c>
      <c r="D9514" s="2" t="s">
        <v>10</v>
      </c>
      <c r="E9514" s="2" t="s">
        <v>16</v>
      </c>
      <c r="F9514" s="2">
        <v>1</v>
      </c>
      <c r="G9514" s="2" t="s">
        <v>17</v>
      </c>
    </row>
    <row r="9515" spans="1:7" x14ac:dyDescent="0.2">
      <c r="A9515" s="2" t="s">
        <v>11165</v>
      </c>
      <c r="B9515" s="2" t="s">
        <v>768</v>
      </c>
      <c r="C9515" s="2" t="s">
        <v>4218</v>
      </c>
      <c r="D9515" s="2" t="s">
        <v>10</v>
      </c>
      <c r="E9515" s="2" t="s">
        <v>16</v>
      </c>
      <c r="F9515" s="2">
        <v>1</v>
      </c>
      <c r="G9515" s="2" t="s">
        <v>17</v>
      </c>
    </row>
    <row r="9516" spans="1:7" x14ac:dyDescent="0.2">
      <c r="A9516" s="2" t="s">
        <v>11166</v>
      </c>
      <c r="B9516" s="2" t="s">
        <v>9983</v>
      </c>
      <c r="C9516" s="2" t="s">
        <v>593</v>
      </c>
      <c r="D9516" s="2" t="s">
        <v>56</v>
      </c>
      <c r="E9516" s="2" t="s">
        <v>52</v>
      </c>
      <c r="F9516" s="2">
        <v>2</v>
      </c>
      <c r="G9516" s="2" t="s">
        <v>12</v>
      </c>
    </row>
    <row r="9517" spans="1:7" x14ac:dyDescent="0.2">
      <c r="A9517" s="2" t="s">
        <v>11166</v>
      </c>
      <c r="B9517" s="2" t="s">
        <v>1093</v>
      </c>
      <c r="C9517" s="2" t="s">
        <v>1094</v>
      </c>
      <c r="D9517" s="2" t="s">
        <v>10</v>
      </c>
      <c r="E9517" s="2" t="s">
        <v>52</v>
      </c>
      <c r="F9517" s="2">
        <v>2</v>
      </c>
      <c r="G9517" s="2" t="s">
        <v>12</v>
      </c>
    </row>
    <row r="9518" spans="1:7" x14ac:dyDescent="0.2">
      <c r="A9518" s="2" t="s">
        <v>11166</v>
      </c>
      <c r="B9518" s="2" t="s">
        <v>1095</v>
      </c>
      <c r="C9518" s="2" t="s">
        <v>1094</v>
      </c>
      <c r="D9518" s="2" t="s">
        <v>10</v>
      </c>
      <c r="E9518" s="2" t="s">
        <v>52</v>
      </c>
      <c r="F9518" s="2">
        <v>2</v>
      </c>
      <c r="G9518" s="2" t="s">
        <v>12</v>
      </c>
    </row>
    <row r="9519" spans="1:7" x14ac:dyDescent="0.2">
      <c r="A9519" s="2" t="s">
        <v>11166</v>
      </c>
      <c r="B9519" s="2" t="s">
        <v>5679</v>
      </c>
      <c r="C9519" s="2" t="s">
        <v>5680</v>
      </c>
      <c r="D9519" s="2" t="s">
        <v>10</v>
      </c>
      <c r="E9519" s="2" t="s">
        <v>11</v>
      </c>
      <c r="F9519" s="2">
        <v>1</v>
      </c>
      <c r="G9519" s="2" t="s">
        <v>12</v>
      </c>
    </row>
    <row r="9520" spans="1:7" x14ac:dyDescent="0.2">
      <c r="A9520" s="2" t="s">
        <v>11166</v>
      </c>
      <c r="B9520" s="2" t="s">
        <v>10452</v>
      </c>
      <c r="C9520" s="2" t="s">
        <v>155</v>
      </c>
      <c r="D9520" s="2" t="s">
        <v>10</v>
      </c>
      <c r="E9520" s="2" t="s">
        <v>16</v>
      </c>
      <c r="F9520" s="2">
        <v>1</v>
      </c>
      <c r="G9520" s="2" t="s">
        <v>17</v>
      </c>
    </row>
    <row r="9521" spans="1:7" x14ac:dyDescent="0.2">
      <c r="A9521" s="2" t="s">
        <v>11166</v>
      </c>
      <c r="B9521" s="2" t="s">
        <v>11167</v>
      </c>
      <c r="C9521" s="2" t="s">
        <v>11167</v>
      </c>
      <c r="D9521" s="2" t="s">
        <v>10</v>
      </c>
      <c r="E9521" s="2" t="s">
        <v>16</v>
      </c>
      <c r="F9521" s="2">
        <v>1</v>
      </c>
      <c r="G9521" s="2" t="s">
        <v>17</v>
      </c>
    </row>
    <row r="9522" spans="1:7" x14ac:dyDescent="0.2">
      <c r="A9522" s="2" t="s">
        <v>11166</v>
      </c>
      <c r="B9522" s="2" t="s">
        <v>842</v>
      </c>
      <c r="C9522" s="2" t="s">
        <v>788</v>
      </c>
      <c r="D9522" s="2" t="s">
        <v>56</v>
      </c>
      <c r="E9522" s="2" t="s">
        <v>52</v>
      </c>
      <c r="F9522" s="2">
        <v>2</v>
      </c>
      <c r="G9522" s="2" t="s">
        <v>17</v>
      </c>
    </row>
    <row r="9523" spans="1:7" x14ac:dyDescent="0.2">
      <c r="A9523" s="2" t="s">
        <v>11166</v>
      </c>
      <c r="B9523" s="2" t="s">
        <v>88</v>
      </c>
      <c r="C9523" s="2" t="s">
        <v>593</v>
      </c>
      <c r="D9523" s="2" t="s">
        <v>56</v>
      </c>
      <c r="E9523" s="2" t="s">
        <v>52</v>
      </c>
      <c r="F9523" s="2">
        <v>2</v>
      </c>
      <c r="G9523" s="2" t="s">
        <v>12</v>
      </c>
    </row>
    <row r="9524" spans="1:7" x14ac:dyDescent="0.2">
      <c r="A9524" s="2" t="s">
        <v>11166</v>
      </c>
      <c r="B9524" s="2" t="s">
        <v>1338</v>
      </c>
      <c r="C9524" s="2" t="s">
        <v>1094</v>
      </c>
      <c r="D9524" s="2" t="s">
        <v>10</v>
      </c>
      <c r="E9524" s="2" t="s">
        <v>52</v>
      </c>
      <c r="F9524" s="2">
        <v>2</v>
      </c>
      <c r="G9524" s="2" t="s">
        <v>12</v>
      </c>
    </row>
    <row r="9525" spans="1:7" x14ac:dyDescent="0.2">
      <c r="A9525" s="2" t="s">
        <v>11166</v>
      </c>
      <c r="B9525" s="2" t="s">
        <v>5687</v>
      </c>
      <c r="C9525" s="2" t="s">
        <v>5680</v>
      </c>
      <c r="D9525" s="2" t="s">
        <v>10</v>
      </c>
      <c r="E9525" s="2" t="s">
        <v>11</v>
      </c>
      <c r="F9525" s="2">
        <v>1</v>
      </c>
      <c r="G9525" s="2" t="s">
        <v>12</v>
      </c>
    </row>
    <row r="9526" spans="1:7" x14ac:dyDescent="0.2">
      <c r="A9526" s="2" t="s">
        <v>11166</v>
      </c>
      <c r="B9526" s="2" t="s">
        <v>11168</v>
      </c>
      <c r="C9526" s="2" t="s">
        <v>11169</v>
      </c>
      <c r="D9526" s="2" t="s">
        <v>10</v>
      </c>
      <c r="E9526" s="2" t="s">
        <v>52</v>
      </c>
      <c r="F9526" s="2">
        <v>1</v>
      </c>
      <c r="G9526" s="2" t="s">
        <v>17</v>
      </c>
    </row>
    <row r="9527" spans="1:7" x14ac:dyDescent="0.2">
      <c r="A9527" s="2" t="s">
        <v>11166</v>
      </c>
      <c r="B9527" s="2" t="s">
        <v>11170</v>
      </c>
      <c r="C9527" s="2" t="s">
        <v>4355</v>
      </c>
      <c r="D9527" s="2" t="s">
        <v>10</v>
      </c>
      <c r="E9527" s="2" t="s">
        <v>52</v>
      </c>
      <c r="F9527" s="2">
        <v>1</v>
      </c>
      <c r="G9527" s="2" t="s">
        <v>17</v>
      </c>
    </row>
    <row r="9528" spans="1:7" x14ac:dyDescent="0.2">
      <c r="A9528" s="2" t="s">
        <v>11166</v>
      </c>
      <c r="B9528" s="2" t="s">
        <v>11171</v>
      </c>
      <c r="C9528" s="2" t="s">
        <v>11169</v>
      </c>
      <c r="D9528" s="2" t="s">
        <v>10</v>
      </c>
      <c r="E9528" s="2" t="s">
        <v>52</v>
      </c>
      <c r="F9528" s="2">
        <v>1</v>
      </c>
      <c r="G9528" s="2" t="s">
        <v>17</v>
      </c>
    </row>
    <row r="9529" spans="1:7" x14ac:dyDescent="0.2">
      <c r="A9529" s="2" t="s">
        <v>11166</v>
      </c>
      <c r="B9529" s="2" t="s">
        <v>11172</v>
      </c>
      <c r="C9529" s="2" t="s">
        <v>11173</v>
      </c>
      <c r="D9529" s="2" t="s">
        <v>10</v>
      </c>
      <c r="E9529" s="2" t="s">
        <v>16</v>
      </c>
      <c r="F9529" s="2">
        <v>1</v>
      </c>
      <c r="G9529" s="2" t="s">
        <v>17</v>
      </c>
    </row>
    <row r="9530" spans="1:7" x14ac:dyDescent="0.2">
      <c r="A9530" s="2" t="s">
        <v>11174</v>
      </c>
      <c r="B9530" s="2" t="s">
        <v>11175</v>
      </c>
      <c r="C9530" s="2" t="s">
        <v>4890</v>
      </c>
      <c r="D9530" s="2" t="s">
        <v>10</v>
      </c>
      <c r="E9530" s="2" t="s">
        <v>16</v>
      </c>
      <c r="F9530" s="2">
        <v>1</v>
      </c>
      <c r="G9530" s="2" t="s">
        <v>17</v>
      </c>
    </row>
    <row r="9531" spans="1:7" x14ac:dyDescent="0.2">
      <c r="A9531" s="2" t="s">
        <v>11174</v>
      </c>
      <c r="B9531" s="2" t="s">
        <v>4891</v>
      </c>
      <c r="C9531" s="2" t="s">
        <v>4890</v>
      </c>
      <c r="D9531" s="2" t="s">
        <v>10</v>
      </c>
      <c r="E9531" s="2" t="s">
        <v>16</v>
      </c>
      <c r="F9531" s="2">
        <v>1</v>
      </c>
      <c r="G9531" s="2" t="s">
        <v>17</v>
      </c>
    </row>
    <row r="9532" spans="1:7" x14ac:dyDescent="0.2">
      <c r="A9532" s="2" t="s">
        <v>11176</v>
      </c>
      <c r="B9532" s="2" t="s">
        <v>11177</v>
      </c>
      <c r="C9532" s="2" t="s">
        <v>11178</v>
      </c>
      <c r="D9532" s="2" t="s">
        <v>10</v>
      </c>
      <c r="E9532" s="2" t="s">
        <v>16</v>
      </c>
      <c r="F9532" s="2">
        <v>1</v>
      </c>
      <c r="G9532" s="2" t="s">
        <v>17</v>
      </c>
    </row>
    <row r="9533" spans="1:7" x14ac:dyDescent="0.2">
      <c r="A9533" s="2" t="s">
        <v>11176</v>
      </c>
      <c r="B9533" s="2" t="s">
        <v>11179</v>
      </c>
      <c r="C9533" s="2" t="s">
        <v>11180</v>
      </c>
      <c r="D9533" s="2" t="s">
        <v>10</v>
      </c>
      <c r="E9533" s="2" t="s">
        <v>16</v>
      </c>
      <c r="F9533" s="2">
        <v>1</v>
      </c>
      <c r="G9533" s="2" t="s">
        <v>17</v>
      </c>
    </row>
    <row r="9534" spans="1:7" x14ac:dyDescent="0.2">
      <c r="A9534" s="2" t="s">
        <v>11176</v>
      </c>
      <c r="B9534" s="2" t="s">
        <v>11181</v>
      </c>
      <c r="C9534" s="2" t="s">
        <v>11180</v>
      </c>
      <c r="D9534" s="2" t="s">
        <v>10</v>
      </c>
      <c r="E9534" s="2" t="s">
        <v>16</v>
      </c>
      <c r="F9534" s="2">
        <v>1</v>
      </c>
      <c r="G9534" s="2" t="s">
        <v>17</v>
      </c>
    </row>
    <row r="9535" spans="1:7" x14ac:dyDescent="0.2">
      <c r="A9535" s="2" t="s">
        <v>11182</v>
      </c>
      <c r="B9535" s="2" t="s">
        <v>11183</v>
      </c>
      <c r="C9535" s="2" t="s">
        <v>8025</v>
      </c>
      <c r="D9535" s="2" t="s">
        <v>10</v>
      </c>
      <c r="E9535" s="2" t="s">
        <v>11</v>
      </c>
      <c r="F9535" s="2">
        <v>2</v>
      </c>
      <c r="G9535" s="2" t="s">
        <v>17</v>
      </c>
    </row>
    <row r="9536" spans="1:7" x14ac:dyDescent="0.2">
      <c r="A9536" s="2" t="s">
        <v>11184</v>
      </c>
      <c r="B9536" s="2" t="s">
        <v>2283</v>
      </c>
      <c r="C9536" s="2" t="s">
        <v>6460</v>
      </c>
      <c r="D9536" s="2" t="s">
        <v>56</v>
      </c>
      <c r="E9536" s="2" t="s">
        <v>16</v>
      </c>
      <c r="F9536" s="2">
        <v>1</v>
      </c>
      <c r="G9536" s="2" t="s">
        <v>17</v>
      </c>
    </row>
    <row r="9537" spans="1:7" x14ac:dyDescent="0.2">
      <c r="A9537" s="2" t="s">
        <v>11184</v>
      </c>
      <c r="B9537" s="2" t="s">
        <v>6461</v>
      </c>
      <c r="C9537" s="2" t="s">
        <v>6460</v>
      </c>
      <c r="D9537" s="2" t="s">
        <v>56</v>
      </c>
      <c r="E9537" s="2" t="s">
        <v>16</v>
      </c>
      <c r="F9537" s="2">
        <v>1</v>
      </c>
      <c r="G9537" s="2" t="s">
        <v>17</v>
      </c>
    </row>
    <row r="9538" spans="1:7" x14ac:dyDescent="0.2">
      <c r="A9538" s="2" t="s">
        <v>11185</v>
      </c>
      <c r="B9538" s="2" t="s">
        <v>8933</v>
      </c>
      <c r="C9538" s="2" t="s">
        <v>8934</v>
      </c>
      <c r="D9538" s="2" t="s">
        <v>10</v>
      </c>
      <c r="E9538" s="2" t="s">
        <v>52</v>
      </c>
      <c r="F9538" s="2">
        <v>2</v>
      </c>
      <c r="G9538" s="2" t="s">
        <v>17</v>
      </c>
    </row>
    <row r="9539" spans="1:7" x14ac:dyDescent="0.2">
      <c r="A9539" s="2" t="s">
        <v>11185</v>
      </c>
      <c r="B9539" s="2" t="s">
        <v>6511</v>
      </c>
      <c r="C9539" s="2" t="s">
        <v>8527</v>
      </c>
      <c r="D9539" s="2" t="s">
        <v>10</v>
      </c>
      <c r="E9539" s="2" t="s">
        <v>16</v>
      </c>
      <c r="F9539" s="2">
        <v>1</v>
      </c>
      <c r="G9539" s="2" t="s">
        <v>17</v>
      </c>
    </row>
    <row r="9540" spans="1:7" x14ac:dyDescent="0.2">
      <c r="A9540" s="2" t="s">
        <v>11185</v>
      </c>
      <c r="B9540" s="2" t="s">
        <v>8528</v>
      </c>
      <c r="C9540" s="2" t="s">
        <v>8527</v>
      </c>
      <c r="D9540" s="2" t="s">
        <v>10</v>
      </c>
      <c r="E9540" s="2" t="s">
        <v>16</v>
      </c>
      <c r="F9540" s="2">
        <v>1</v>
      </c>
      <c r="G9540" s="2" t="s">
        <v>17</v>
      </c>
    </row>
    <row r="9541" spans="1:7" x14ac:dyDescent="0.2">
      <c r="A9541" s="2" t="s">
        <v>11185</v>
      </c>
      <c r="B9541" s="2" t="s">
        <v>7849</v>
      </c>
      <c r="C9541" s="2" t="s">
        <v>8938</v>
      </c>
      <c r="D9541" s="2" t="s">
        <v>10</v>
      </c>
      <c r="E9541" s="2" t="s">
        <v>16</v>
      </c>
      <c r="F9541" s="2">
        <v>2</v>
      </c>
      <c r="G9541" s="2" t="s">
        <v>17</v>
      </c>
    </row>
    <row r="9542" spans="1:7" x14ac:dyDescent="0.2">
      <c r="A9542" s="2" t="s">
        <v>11185</v>
      </c>
      <c r="B9542" s="2" t="s">
        <v>8944</v>
      </c>
      <c r="C9542" s="2" t="s">
        <v>8938</v>
      </c>
      <c r="D9542" s="2" t="s">
        <v>10</v>
      </c>
      <c r="E9542" s="2" t="s">
        <v>16</v>
      </c>
      <c r="F9542" s="2">
        <v>2</v>
      </c>
      <c r="G9542" s="2" t="s">
        <v>17</v>
      </c>
    </row>
    <row r="9543" spans="1:7" x14ac:dyDescent="0.2">
      <c r="A9543" s="2" t="s">
        <v>11185</v>
      </c>
      <c r="B9543" s="2" t="s">
        <v>8945</v>
      </c>
      <c r="C9543" s="2" t="s">
        <v>8938</v>
      </c>
      <c r="D9543" s="2" t="s">
        <v>10</v>
      </c>
      <c r="E9543" s="2" t="s">
        <v>16</v>
      </c>
      <c r="F9543" s="2">
        <v>2</v>
      </c>
      <c r="G9543" s="2" t="s">
        <v>17</v>
      </c>
    </row>
    <row r="9544" spans="1:7" x14ac:dyDescent="0.2">
      <c r="A9544" s="2" t="s">
        <v>11185</v>
      </c>
      <c r="B9544" s="2" t="s">
        <v>96</v>
      </c>
      <c r="C9544" s="2" t="s">
        <v>97</v>
      </c>
      <c r="D9544" s="2" t="s">
        <v>10</v>
      </c>
      <c r="E9544" s="2" t="s">
        <v>16</v>
      </c>
      <c r="F9544" s="2">
        <v>1</v>
      </c>
      <c r="G9544" s="2" t="s">
        <v>17</v>
      </c>
    </row>
    <row r="9545" spans="1:7" x14ac:dyDescent="0.2">
      <c r="A9545" s="2" t="s">
        <v>11185</v>
      </c>
      <c r="B9545" s="2" t="s">
        <v>8948</v>
      </c>
      <c r="C9545" s="2" t="s">
        <v>8934</v>
      </c>
      <c r="D9545" s="2" t="s">
        <v>10</v>
      </c>
      <c r="E9545" s="2" t="s">
        <v>52</v>
      </c>
      <c r="F9545" s="2">
        <v>2</v>
      </c>
      <c r="G9545" s="2" t="s">
        <v>17</v>
      </c>
    </row>
    <row r="9546" spans="1:7" x14ac:dyDescent="0.2">
      <c r="A9546" s="2" t="s">
        <v>11186</v>
      </c>
      <c r="B9546" s="2" t="s">
        <v>11187</v>
      </c>
      <c r="C9546" s="2" t="s">
        <v>11188</v>
      </c>
      <c r="D9546" s="2" t="s">
        <v>10</v>
      </c>
      <c r="E9546" s="2" t="s">
        <v>16</v>
      </c>
      <c r="F9546" s="2">
        <v>1</v>
      </c>
      <c r="G9546" s="2" t="s">
        <v>17</v>
      </c>
    </row>
    <row r="9547" spans="1:7" x14ac:dyDescent="0.2">
      <c r="A9547" s="2" t="s">
        <v>11186</v>
      </c>
      <c r="B9547" s="2" t="s">
        <v>8978</v>
      </c>
      <c r="C9547" s="2" t="s">
        <v>8979</v>
      </c>
      <c r="D9547" s="2" t="s">
        <v>10</v>
      </c>
      <c r="E9547" s="2" t="s">
        <v>16</v>
      </c>
      <c r="F9547" s="2">
        <v>1</v>
      </c>
      <c r="G9547" s="2" t="s">
        <v>17</v>
      </c>
    </row>
    <row r="9548" spans="1:7" x14ac:dyDescent="0.2">
      <c r="A9548" s="2" t="s">
        <v>11189</v>
      </c>
      <c r="B9548" s="2" t="s">
        <v>11190</v>
      </c>
      <c r="C9548" s="2" t="s">
        <v>11191</v>
      </c>
      <c r="D9548" s="2" t="s">
        <v>10</v>
      </c>
      <c r="E9548" s="2" t="s">
        <v>16</v>
      </c>
      <c r="F9548" s="2">
        <v>1</v>
      </c>
      <c r="G9548" s="2" t="s">
        <v>17</v>
      </c>
    </row>
    <row r="9549" spans="1:7" x14ac:dyDescent="0.2">
      <c r="A9549" s="2" t="s">
        <v>11189</v>
      </c>
      <c r="B9549" s="2" t="s">
        <v>9189</v>
      </c>
      <c r="C9549" s="2" t="s">
        <v>9190</v>
      </c>
      <c r="D9549" s="2" t="s">
        <v>10</v>
      </c>
      <c r="E9549" s="2" t="s">
        <v>16</v>
      </c>
      <c r="F9549" s="2">
        <v>1</v>
      </c>
      <c r="G9549" s="2" t="s">
        <v>17</v>
      </c>
    </row>
    <row r="9550" spans="1:7" x14ac:dyDescent="0.2">
      <c r="A9550" s="2" t="s">
        <v>11189</v>
      </c>
      <c r="B9550" s="2" t="s">
        <v>11192</v>
      </c>
      <c r="C9550" s="2" t="s">
        <v>11191</v>
      </c>
      <c r="D9550" s="2" t="s">
        <v>10</v>
      </c>
      <c r="E9550" s="2" t="s">
        <v>16</v>
      </c>
      <c r="F9550" s="2">
        <v>1</v>
      </c>
      <c r="G9550" s="2" t="s">
        <v>17</v>
      </c>
    </row>
    <row r="9551" spans="1:7" x14ac:dyDescent="0.2">
      <c r="A9551" s="2" t="s">
        <v>11189</v>
      </c>
      <c r="B9551" s="2" t="s">
        <v>9198</v>
      </c>
      <c r="C9551" s="2" t="s">
        <v>9190</v>
      </c>
      <c r="D9551" s="2" t="s">
        <v>10</v>
      </c>
      <c r="E9551" s="2" t="s">
        <v>16</v>
      </c>
      <c r="F9551" s="2">
        <v>1</v>
      </c>
      <c r="G9551" s="2" t="s">
        <v>17</v>
      </c>
    </row>
    <row r="9552" spans="1:7" x14ac:dyDescent="0.2">
      <c r="A9552" s="2" t="s">
        <v>11193</v>
      </c>
      <c r="B9552" s="2" t="s">
        <v>365</v>
      </c>
      <c r="C9552" s="2" t="s">
        <v>366</v>
      </c>
      <c r="D9552" s="2" t="s">
        <v>29</v>
      </c>
      <c r="E9552" s="2" t="s">
        <v>16</v>
      </c>
      <c r="F9552" s="2">
        <v>1</v>
      </c>
      <c r="G9552" s="2" t="s">
        <v>17</v>
      </c>
    </row>
    <row r="9553" spans="1:7" x14ac:dyDescent="0.2">
      <c r="A9553" s="2" t="s">
        <v>11193</v>
      </c>
      <c r="B9553" s="2" t="s">
        <v>367</v>
      </c>
      <c r="C9553" s="2" t="s">
        <v>368</v>
      </c>
      <c r="D9553" s="2" t="s">
        <v>10</v>
      </c>
      <c r="E9553" s="2" t="s">
        <v>16</v>
      </c>
      <c r="F9553" s="2">
        <v>1</v>
      </c>
      <c r="G9553" s="2" t="s">
        <v>17</v>
      </c>
    </row>
    <row r="9554" spans="1:7" x14ac:dyDescent="0.2">
      <c r="A9554" s="2" t="s">
        <v>11193</v>
      </c>
      <c r="B9554" s="2" t="s">
        <v>369</v>
      </c>
      <c r="C9554" s="2" t="s">
        <v>366</v>
      </c>
      <c r="D9554" s="2" t="s">
        <v>29</v>
      </c>
      <c r="E9554" s="2" t="s">
        <v>16</v>
      </c>
      <c r="F9554" s="2">
        <v>1</v>
      </c>
      <c r="G9554" s="2" t="s">
        <v>17</v>
      </c>
    </row>
    <row r="9555" spans="1:7" x14ac:dyDescent="0.2">
      <c r="A9555" s="2" t="s">
        <v>11194</v>
      </c>
      <c r="B9555" s="2" t="s">
        <v>11195</v>
      </c>
      <c r="C9555" s="2" t="s">
        <v>11196</v>
      </c>
      <c r="D9555" s="2" t="s">
        <v>10</v>
      </c>
      <c r="E9555" s="2" t="s">
        <v>16</v>
      </c>
      <c r="F9555" s="2">
        <v>1</v>
      </c>
      <c r="G9555" s="2" t="s">
        <v>17</v>
      </c>
    </row>
    <row r="9556" spans="1:7" x14ac:dyDescent="0.2">
      <c r="A9556" s="2" t="s">
        <v>11194</v>
      </c>
      <c r="B9556" s="2" t="s">
        <v>11197</v>
      </c>
      <c r="C9556" s="2" t="s">
        <v>11196</v>
      </c>
      <c r="D9556" s="2" t="s">
        <v>10</v>
      </c>
      <c r="E9556" s="2" t="s">
        <v>16</v>
      </c>
      <c r="F9556" s="2">
        <v>1</v>
      </c>
      <c r="G9556" s="2" t="s">
        <v>17</v>
      </c>
    </row>
    <row r="9557" spans="1:7" x14ac:dyDescent="0.2">
      <c r="A9557" s="2" t="s">
        <v>11194</v>
      </c>
      <c r="B9557" s="2" t="s">
        <v>11198</v>
      </c>
      <c r="C9557" s="2" t="s">
        <v>11196</v>
      </c>
      <c r="D9557" s="2" t="s">
        <v>10</v>
      </c>
      <c r="E9557" s="2" t="s">
        <v>16</v>
      </c>
      <c r="F9557" s="2">
        <v>1</v>
      </c>
      <c r="G9557" s="2" t="s">
        <v>17</v>
      </c>
    </row>
    <row r="9558" spans="1:7" x14ac:dyDescent="0.2">
      <c r="A9558" s="2" t="s">
        <v>11199</v>
      </c>
      <c r="B9558" s="2" t="s">
        <v>11200</v>
      </c>
      <c r="C9558" s="2" t="s">
        <v>11201</v>
      </c>
      <c r="D9558" s="2" t="s">
        <v>10</v>
      </c>
      <c r="E9558" s="2" t="s">
        <v>16</v>
      </c>
      <c r="F9558" s="2">
        <v>1</v>
      </c>
      <c r="G9558" s="2" t="s">
        <v>17</v>
      </c>
    </row>
    <row r="9559" spans="1:7" x14ac:dyDescent="0.2">
      <c r="A9559" s="2" t="s">
        <v>11199</v>
      </c>
      <c r="B9559" s="2" t="s">
        <v>11202</v>
      </c>
      <c r="C9559" s="2" t="s">
        <v>11201</v>
      </c>
      <c r="D9559" s="2" t="s">
        <v>10</v>
      </c>
      <c r="E9559" s="2" t="s">
        <v>16</v>
      </c>
      <c r="F9559" s="2">
        <v>1</v>
      </c>
      <c r="G9559" s="2" t="s">
        <v>17</v>
      </c>
    </row>
    <row r="9560" spans="1:7" x14ac:dyDescent="0.2">
      <c r="A9560" s="2" t="s">
        <v>11203</v>
      </c>
      <c r="B9560" s="2" t="s">
        <v>11204</v>
      </c>
      <c r="C9560" s="2" t="s">
        <v>11205</v>
      </c>
      <c r="D9560" s="2" t="s">
        <v>10</v>
      </c>
      <c r="E9560" s="2" t="s">
        <v>16</v>
      </c>
      <c r="F9560" s="2">
        <v>1</v>
      </c>
      <c r="G9560" s="2" t="s">
        <v>17</v>
      </c>
    </row>
    <row r="9561" spans="1:7" x14ac:dyDescent="0.2">
      <c r="A9561" s="2" t="s">
        <v>11206</v>
      </c>
      <c r="B9561" s="2" t="s">
        <v>11207</v>
      </c>
      <c r="C9561" s="2" t="s">
        <v>11208</v>
      </c>
      <c r="D9561" s="2" t="s">
        <v>10</v>
      </c>
      <c r="E9561" s="2" t="s">
        <v>16</v>
      </c>
      <c r="F9561" s="2">
        <v>1</v>
      </c>
      <c r="G9561" s="2" t="s">
        <v>17</v>
      </c>
    </row>
    <row r="9562" spans="1:7" x14ac:dyDescent="0.2">
      <c r="A9562" s="2" t="s">
        <v>11206</v>
      </c>
      <c r="B9562" s="2" t="s">
        <v>11209</v>
      </c>
      <c r="C9562" s="2" t="s">
        <v>11153</v>
      </c>
      <c r="D9562" s="2" t="s">
        <v>10</v>
      </c>
      <c r="E9562" s="2" t="s">
        <v>16</v>
      </c>
      <c r="F9562" s="2">
        <v>1</v>
      </c>
      <c r="G9562" s="2" t="s">
        <v>17</v>
      </c>
    </row>
    <row r="9563" spans="1:7" x14ac:dyDescent="0.2">
      <c r="A9563" s="2" t="s">
        <v>11206</v>
      </c>
      <c r="B9563" s="2" t="s">
        <v>11210</v>
      </c>
      <c r="C9563" s="2" t="s">
        <v>11153</v>
      </c>
      <c r="D9563" s="2" t="s">
        <v>10</v>
      </c>
      <c r="E9563" s="2" t="s">
        <v>16</v>
      </c>
      <c r="F9563" s="2">
        <v>1</v>
      </c>
      <c r="G9563" s="2" t="s">
        <v>17</v>
      </c>
    </row>
    <row r="9564" spans="1:7" x14ac:dyDescent="0.2">
      <c r="A9564" s="2" t="s">
        <v>11206</v>
      </c>
      <c r="B9564" s="2" t="s">
        <v>11211</v>
      </c>
      <c r="C9564" s="2" t="s">
        <v>11153</v>
      </c>
      <c r="D9564" s="2" t="s">
        <v>10</v>
      </c>
      <c r="E9564" s="2" t="s">
        <v>16</v>
      </c>
      <c r="F9564" s="2">
        <v>1</v>
      </c>
      <c r="G9564" s="2" t="s">
        <v>17</v>
      </c>
    </row>
    <row r="9565" spans="1:7" x14ac:dyDescent="0.2">
      <c r="A9565" s="2" t="s">
        <v>11212</v>
      </c>
      <c r="B9565" s="2" t="s">
        <v>11213</v>
      </c>
      <c r="C9565" s="2" t="s">
        <v>11214</v>
      </c>
      <c r="D9565" s="2" t="s">
        <v>10</v>
      </c>
      <c r="E9565" s="2" t="s">
        <v>16</v>
      </c>
      <c r="F9565" s="2">
        <v>1</v>
      </c>
      <c r="G9565" s="2" t="s">
        <v>17</v>
      </c>
    </row>
    <row r="9566" spans="1:7" x14ac:dyDescent="0.2">
      <c r="A9566" s="2" t="s">
        <v>11212</v>
      </c>
      <c r="B9566" s="2" t="s">
        <v>11215</v>
      </c>
      <c r="C9566" s="2" t="s">
        <v>11214</v>
      </c>
      <c r="D9566" s="2" t="s">
        <v>10</v>
      </c>
      <c r="E9566" s="2" t="s">
        <v>16</v>
      </c>
      <c r="F9566" s="2">
        <v>1</v>
      </c>
      <c r="G9566" s="2" t="s">
        <v>17</v>
      </c>
    </row>
    <row r="9567" spans="1:7" x14ac:dyDescent="0.2">
      <c r="A9567" s="2" t="s">
        <v>11212</v>
      </c>
      <c r="B9567" s="2" t="s">
        <v>11216</v>
      </c>
      <c r="C9567" s="2" t="s">
        <v>11217</v>
      </c>
      <c r="D9567" s="2" t="s">
        <v>10</v>
      </c>
      <c r="E9567" s="2" t="s">
        <v>16</v>
      </c>
      <c r="F9567" s="2">
        <v>1</v>
      </c>
      <c r="G9567" s="2" t="s">
        <v>17</v>
      </c>
    </row>
    <row r="9568" spans="1:7" x14ac:dyDescent="0.2">
      <c r="A9568" s="2" t="s">
        <v>11212</v>
      </c>
      <c r="B9568" s="2" t="s">
        <v>11218</v>
      </c>
      <c r="C9568" s="2" t="s">
        <v>11219</v>
      </c>
      <c r="D9568" s="2" t="s">
        <v>10</v>
      </c>
      <c r="E9568" s="2" t="s">
        <v>16</v>
      </c>
      <c r="F9568" s="2">
        <v>1</v>
      </c>
      <c r="G9568" s="2" t="s">
        <v>17</v>
      </c>
    </row>
    <row r="9569" spans="1:7" x14ac:dyDescent="0.2">
      <c r="A9569" s="2" t="s">
        <v>11212</v>
      </c>
      <c r="B9569" s="2" t="s">
        <v>11220</v>
      </c>
      <c r="C9569" s="2" t="s">
        <v>11219</v>
      </c>
      <c r="D9569" s="2" t="s">
        <v>10</v>
      </c>
      <c r="E9569" s="2" t="s">
        <v>16</v>
      </c>
      <c r="F9569" s="2">
        <v>1</v>
      </c>
      <c r="G9569" s="2" t="s">
        <v>17</v>
      </c>
    </row>
    <row r="9570" spans="1:7" x14ac:dyDescent="0.2">
      <c r="A9570" s="2" t="s">
        <v>11212</v>
      </c>
      <c r="B9570" s="2" t="s">
        <v>11221</v>
      </c>
      <c r="C9570" s="2" t="s">
        <v>11219</v>
      </c>
      <c r="D9570" s="2" t="s">
        <v>10</v>
      </c>
      <c r="E9570" s="2" t="s">
        <v>16</v>
      </c>
      <c r="F9570" s="2">
        <v>1</v>
      </c>
      <c r="G9570" s="2" t="s">
        <v>17</v>
      </c>
    </row>
    <row r="9571" spans="1:7" x14ac:dyDescent="0.2">
      <c r="A9571" s="2" t="s">
        <v>11212</v>
      </c>
      <c r="B9571" s="2" t="s">
        <v>11222</v>
      </c>
      <c r="C9571" s="2" t="s">
        <v>11219</v>
      </c>
      <c r="D9571" s="2" t="s">
        <v>10</v>
      </c>
      <c r="E9571" s="2" t="s">
        <v>16</v>
      </c>
      <c r="F9571" s="2">
        <v>1</v>
      </c>
      <c r="G9571" s="2" t="s">
        <v>17</v>
      </c>
    </row>
    <row r="9572" spans="1:7" x14ac:dyDescent="0.2">
      <c r="A9572" s="2" t="s">
        <v>11212</v>
      </c>
      <c r="B9572" s="2" t="s">
        <v>11207</v>
      </c>
      <c r="C9572" s="2" t="s">
        <v>11208</v>
      </c>
      <c r="D9572" s="2" t="s">
        <v>10</v>
      </c>
      <c r="E9572" s="2" t="s">
        <v>16</v>
      </c>
      <c r="F9572" s="2">
        <v>1</v>
      </c>
      <c r="G9572" s="2" t="s">
        <v>17</v>
      </c>
    </row>
    <row r="9573" spans="1:7" x14ac:dyDescent="0.2">
      <c r="A9573" s="2" t="s">
        <v>11212</v>
      </c>
      <c r="B9573" s="2" t="s">
        <v>11223</v>
      </c>
      <c r="C9573" s="2" t="s">
        <v>11153</v>
      </c>
      <c r="D9573" s="2" t="s">
        <v>10</v>
      </c>
      <c r="E9573" s="2" t="s">
        <v>16</v>
      </c>
      <c r="F9573" s="2">
        <v>1</v>
      </c>
      <c r="G9573" s="2" t="s">
        <v>17</v>
      </c>
    </row>
    <row r="9574" spans="1:7" x14ac:dyDescent="0.2">
      <c r="A9574" s="2" t="s">
        <v>11212</v>
      </c>
      <c r="B9574" s="2" t="s">
        <v>11209</v>
      </c>
      <c r="C9574" s="2" t="s">
        <v>11153</v>
      </c>
      <c r="D9574" s="2" t="s">
        <v>10</v>
      </c>
      <c r="E9574" s="2" t="s">
        <v>16</v>
      </c>
      <c r="F9574" s="2">
        <v>1</v>
      </c>
      <c r="G9574" s="2" t="s">
        <v>17</v>
      </c>
    </row>
    <row r="9575" spans="1:7" x14ac:dyDescent="0.2">
      <c r="A9575" s="2" t="s">
        <v>11212</v>
      </c>
      <c r="B9575" s="2" t="s">
        <v>11224</v>
      </c>
      <c r="C9575" s="2" t="s">
        <v>11153</v>
      </c>
      <c r="D9575" s="2" t="s">
        <v>10</v>
      </c>
      <c r="E9575" s="2" t="s">
        <v>16</v>
      </c>
      <c r="F9575" s="2">
        <v>1</v>
      </c>
      <c r="G9575" s="2" t="s">
        <v>17</v>
      </c>
    </row>
    <row r="9576" spans="1:7" x14ac:dyDescent="0.2">
      <c r="A9576" s="2" t="s">
        <v>11212</v>
      </c>
      <c r="B9576" s="2" t="s">
        <v>11225</v>
      </c>
      <c r="C9576" s="2" t="s">
        <v>11153</v>
      </c>
      <c r="D9576" s="2" t="s">
        <v>10</v>
      </c>
      <c r="E9576" s="2" t="s">
        <v>16</v>
      </c>
      <c r="F9576" s="2">
        <v>1</v>
      </c>
      <c r="G9576" s="2" t="s">
        <v>17</v>
      </c>
    </row>
    <row r="9577" spans="1:7" x14ac:dyDescent="0.2">
      <c r="A9577" s="2" t="s">
        <v>11212</v>
      </c>
      <c r="B9577" s="2" t="s">
        <v>11226</v>
      </c>
      <c r="C9577" s="2" t="s">
        <v>11153</v>
      </c>
      <c r="D9577" s="2" t="s">
        <v>10</v>
      </c>
      <c r="E9577" s="2" t="s">
        <v>16</v>
      </c>
      <c r="F9577" s="2">
        <v>1</v>
      </c>
      <c r="G9577" s="2" t="s">
        <v>17</v>
      </c>
    </row>
    <row r="9578" spans="1:7" x14ac:dyDescent="0.2">
      <c r="A9578" s="2" t="s">
        <v>11212</v>
      </c>
      <c r="B9578" s="2" t="s">
        <v>11227</v>
      </c>
      <c r="C9578" s="2" t="s">
        <v>11153</v>
      </c>
      <c r="D9578" s="2" t="s">
        <v>10</v>
      </c>
      <c r="E9578" s="2" t="s">
        <v>16</v>
      </c>
      <c r="F9578" s="2">
        <v>1</v>
      </c>
      <c r="G9578" s="2" t="s">
        <v>17</v>
      </c>
    </row>
    <row r="9579" spans="1:7" x14ac:dyDescent="0.2">
      <c r="A9579" s="2" t="s">
        <v>11212</v>
      </c>
      <c r="B9579" s="2" t="s">
        <v>11210</v>
      </c>
      <c r="C9579" s="2" t="s">
        <v>11153</v>
      </c>
      <c r="D9579" s="2" t="s">
        <v>10</v>
      </c>
      <c r="E9579" s="2" t="s">
        <v>16</v>
      </c>
      <c r="F9579" s="2">
        <v>1</v>
      </c>
      <c r="G9579" s="2" t="s">
        <v>17</v>
      </c>
    </row>
    <row r="9580" spans="1:7" x14ac:dyDescent="0.2">
      <c r="A9580" s="2" t="s">
        <v>11212</v>
      </c>
      <c r="B9580" s="2" t="s">
        <v>11211</v>
      </c>
      <c r="C9580" s="2" t="s">
        <v>11153</v>
      </c>
      <c r="D9580" s="2" t="s">
        <v>10</v>
      </c>
      <c r="E9580" s="2" t="s">
        <v>16</v>
      </c>
      <c r="F9580" s="2">
        <v>1</v>
      </c>
      <c r="G9580" s="2" t="s">
        <v>17</v>
      </c>
    </row>
    <row r="9581" spans="1:7" x14ac:dyDescent="0.2">
      <c r="A9581" s="2" t="s">
        <v>11212</v>
      </c>
      <c r="B9581" s="2" t="s">
        <v>11228</v>
      </c>
      <c r="C9581" s="2" t="s">
        <v>11229</v>
      </c>
      <c r="D9581" s="2" t="s">
        <v>10</v>
      </c>
      <c r="E9581" s="2" t="s">
        <v>16</v>
      </c>
      <c r="F9581" s="2">
        <v>1</v>
      </c>
      <c r="G9581" s="2" t="s">
        <v>17</v>
      </c>
    </row>
    <row r="9582" spans="1:7" x14ac:dyDescent="0.2">
      <c r="A9582" s="2" t="s">
        <v>11212</v>
      </c>
      <c r="B9582" s="2" t="s">
        <v>11230</v>
      </c>
      <c r="C9582" s="2" t="s">
        <v>11231</v>
      </c>
      <c r="D9582" s="2" t="s">
        <v>10</v>
      </c>
      <c r="E9582" s="2" t="s">
        <v>16</v>
      </c>
      <c r="F9582" s="2">
        <v>1</v>
      </c>
      <c r="G9582" s="2" t="s">
        <v>17</v>
      </c>
    </row>
    <row r="9583" spans="1:7" x14ac:dyDescent="0.2">
      <c r="A9583" s="2" t="s">
        <v>11212</v>
      </c>
      <c r="B9583" s="2" t="s">
        <v>11232</v>
      </c>
      <c r="C9583" s="2" t="s">
        <v>11231</v>
      </c>
      <c r="D9583" s="2" t="s">
        <v>10</v>
      </c>
      <c r="E9583" s="2" t="s">
        <v>16</v>
      </c>
      <c r="F9583" s="2">
        <v>1</v>
      </c>
      <c r="G9583" s="2" t="s">
        <v>17</v>
      </c>
    </row>
    <row r="9584" spans="1:7" x14ac:dyDescent="0.2">
      <c r="A9584" s="2" t="s">
        <v>11212</v>
      </c>
      <c r="B9584" s="2" t="s">
        <v>11233</v>
      </c>
      <c r="C9584" s="2" t="s">
        <v>11231</v>
      </c>
      <c r="D9584" s="2" t="s">
        <v>10</v>
      </c>
      <c r="E9584" s="2" t="s">
        <v>16</v>
      </c>
      <c r="F9584" s="2">
        <v>1</v>
      </c>
      <c r="G9584" s="2" t="s">
        <v>17</v>
      </c>
    </row>
    <row r="9585" spans="1:7" x14ac:dyDescent="0.2">
      <c r="A9585" s="2" t="s">
        <v>11212</v>
      </c>
      <c r="B9585" s="2" t="s">
        <v>11234</v>
      </c>
      <c r="C9585" s="2" t="s">
        <v>11231</v>
      </c>
      <c r="D9585" s="2" t="s">
        <v>10</v>
      </c>
      <c r="E9585" s="2" t="s">
        <v>16</v>
      </c>
      <c r="F9585" s="2">
        <v>1</v>
      </c>
      <c r="G9585" s="2" t="s">
        <v>17</v>
      </c>
    </row>
    <row r="9586" spans="1:7" x14ac:dyDescent="0.2">
      <c r="A9586" s="2" t="s">
        <v>11212</v>
      </c>
      <c r="B9586" s="2" t="s">
        <v>11235</v>
      </c>
      <c r="C9586" s="2" t="s">
        <v>11217</v>
      </c>
      <c r="D9586" s="2" t="s">
        <v>10</v>
      </c>
      <c r="E9586" s="2" t="s">
        <v>16</v>
      </c>
      <c r="F9586" s="2">
        <v>1</v>
      </c>
      <c r="G9586" s="2" t="s">
        <v>17</v>
      </c>
    </row>
    <row r="9587" spans="1:7" x14ac:dyDescent="0.2">
      <c r="A9587" s="2" t="s">
        <v>11212</v>
      </c>
      <c r="B9587" s="2" t="s">
        <v>11236</v>
      </c>
      <c r="C9587" s="2" t="s">
        <v>11205</v>
      </c>
      <c r="D9587" s="2" t="s">
        <v>10</v>
      </c>
      <c r="E9587" s="2" t="s">
        <v>16</v>
      </c>
      <c r="F9587" s="2">
        <v>1</v>
      </c>
      <c r="G9587" s="2" t="s">
        <v>17</v>
      </c>
    </row>
    <row r="9588" spans="1:7" x14ac:dyDescent="0.2">
      <c r="A9588" s="2" t="s">
        <v>11212</v>
      </c>
      <c r="B9588" s="2" t="s">
        <v>11237</v>
      </c>
      <c r="C9588" s="2" t="s">
        <v>11229</v>
      </c>
      <c r="D9588" s="2" t="s">
        <v>10</v>
      </c>
      <c r="E9588" s="2" t="s">
        <v>16</v>
      </c>
      <c r="F9588" s="2">
        <v>1</v>
      </c>
      <c r="G9588" s="2" t="s">
        <v>17</v>
      </c>
    </row>
    <row r="9589" spans="1:7" x14ac:dyDescent="0.2">
      <c r="A9589" s="2" t="s">
        <v>11212</v>
      </c>
      <c r="B9589" s="2" t="s">
        <v>11238</v>
      </c>
      <c r="C9589" s="2" t="s">
        <v>11229</v>
      </c>
      <c r="D9589" s="2" t="s">
        <v>10</v>
      </c>
      <c r="E9589" s="2" t="s">
        <v>16</v>
      </c>
      <c r="F9589" s="2">
        <v>1</v>
      </c>
      <c r="G9589" s="2" t="s">
        <v>17</v>
      </c>
    </row>
    <row r="9590" spans="1:7" x14ac:dyDescent="0.2">
      <c r="A9590" s="2" t="s">
        <v>11212</v>
      </c>
      <c r="B9590" s="2" t="s">
        <v>11239</v>
      </c>
      <c r="C9590" s="2" t="s">
        <v>11229</v>
      </c>
      <c r="D9590" s="2" t="s">
        <v>10</v>
      </c>
      <c r="E9590" s="2" t="s">
        <v>16</v>
      </c>
      <c r="F9590" s="2">
        <v>1</v>
      </c>
      <c r="G9590" s="2" t="s">
        <v>17</v>
      </c>
    </row>
    <row r="9591" spans="1:7" x14ac:dyDescent="0.2">
      <c r="A9591" s="2" t="s">
        <v>11212</v>
      </c>
      <c r="B9591" s="2" t="s">
        <v>11240</v>
      </c>
      <c r="C9591" s="2" t="s">
        <v>11229</v>
      </c>
      <c r="D9591" s="2" t="s">
        <v>10</v>
      </c>
      <c r="E9591" s="2" t="s">
        <v>16</v>
      </c>
      <c r="F9591" s="2">
        <v>1</v>
      </c>
      <c r="G9591" s="2" t="s">
        <v>17</v>
      </c>
    </row>
    <row r="9592" spans="1:7" x14ac:dyDescent="0.2">
      <c r="A9592" s="2" t="s">
        <v>11212</v>
      </c>
      <c r="B9592" s="2" t="s">
        <v>11241</v>
      </c>
      <c r="C9592" s="2" t="s">
        <v>11229</v>
      </c>
      <c r="D9592" s="2" t="s">
        <v>10</v>
      </c>
      <c r="E9592" s="2" t="s">
        <v>16</v>
      </c>
      <c r="F9592" s="2">
        <v>1</v>
      </c>
      <c r="G9592" s="2" t="s">
        <v>17</v>
      </c>
    </row>
    <row r="9593" spans="1:7" x14ac:dyDescent="0.2">
      <c r="A9593" s="2" t="s">
        <v>11212</v>
      </c>
      <c r="B9593" s="2" t="s">
        <v>11242</v>
      </c>
      <c r="C9593" s="2" t="s">
        <v>11214</v>
      </c>
      <c r="D9593" s="2" t="s">
        <v>10</v>
      </c>
      <c r="E9593" s="2" t="s">
        <v>16</v>
      </c>
      <c r="F9593" s="2">
        <v>1</v>
      </c>
      <c r="G9593" s="2" t="s">
        <v>17</v>
      </c>
    </row>
    <row r="9594" spans="1:7" x14ac:dyDescent="0.2">
      <c r="A9594" s="2" t="s">
        <v>11212</v>
      </c>
      <c r="B9594" s="2" t="s">
        <v>11243</v>
      </c>
      <c r="C9594" s="2" t="s">
        <v>11231</v>
      </c>
      <c r="D9594" s="2" t="s">
        <v>10</v>
      </c>
      <c r="E9594" s="2" t="s">
        <v>16</v>
      </c>
      <c r="F9594" s="2">
        <v>1</v>
      </c>
      <c r="G9594" s="2" t="s">
        <v>17</v>
      </c>
    </row>
    <row r="9595" spans="1:7" x14ac:dyDescent="0.2">
      <c r="A9595" s="2" t="s">
        <v>11212</v>
      </c>
      <c r="B9595" s="2" t="s">
        <v>11244</v>
      </c>
      <c r="C9595" s="2" t="s">
        <v>11231</v>
      </c>
      <c r="D9595" s="2" t="s">
        <v>10</v>
      </c>
      <c r="E9595" s="2" t="s">
        <v>16</v>
      </c>
      <c r="F9595" s="2">
        <v>1</v>
      </c>
      <c r="G9595" s="2" t="s">
        <v>17</v>
      </c>
    </row>
    <row r="9596" spans="1:7" x14ac:dyDescent="0.2">
      <c r="A9596" s="2" t="s">
        <v>11212</v>
      </c>
      <c r="B9596" s="2" t="s">
        <v>11245</v>
      </c>
      <c r="C9596" s="2" t="s">
        <v>11219</v>
      </c>
      <c r="D9596" s="2" t="s">
        <v>10</v>
      </c>
      <c r="E9596" s="2" t="s">
        <v>16</v>
      </c>
      <c r="F9596" s="2">
        <v>1</v>
      </c>
      <c r="G9596" s="2" t="s">
        <v>17</v>
      </c>
    </row>
    <row r="9597" spans="1:7" x14ac:dyDescent="0.2">
      <c r="A9597" s="2" t="s">
        <v>11212</v>
      </c>
      <c r="B9597" s="2" t="s">
        <v>2483</v>
      </c>
      <c r="C9597" s="2" t="s">
        <v>11229</v>
      </c>
      <c r="D9597" s="2" t="s">
        <v>10</v>
      </c>
      <c r="E9597" s="2" t="s">
        <v>16</v>
      </c>
      <c r="F9597" s="2">
        <v>1</v>
      </c>
      <c r="G9597" s="2" t="s">
        <v>17</v>
      </c>
    </row>
    <row r="9598" spans="1:7" x14ac:dyDescent="0.2">
      <c r="A9598" s="2" t="s">
        <v>11212</v>
      </c>
      <c r="B9598" s="2" t="s">
        <v>11246</v>
      </c>
      <c r="C9598" s="2" t="s">
        <v>11219</v>
      </c>
      <c r="D9598" s="2" t="s">
        <v>10</v>
      </c>
      <c r="E9598" s="2" t="s">
        <v>16</v>
      </c>
      <c r="F9598" s="2">
        <v>1</v>
      </c>
      <c r="G9598" s="2" t="s">
        <v>17</v>
      </c>
    </row>
    <row r="9599" spans="1:7" x14ac:dyDescent="0.2">
      <c r="A9599" s="2" t="s">
        <v>11212</v>
      </c>
      <c r="B9599" s="2" t="s">
        <v>11247</v>
      </c>
      <c r="C9599" s="2" t="s">
        <v>11153</v>
      </c>
      <c r="D9599" s="2" t="s">
        <v>10</v>
      </c>
      <c r="E9599" s="2" t="s">
        <v>16</v>
      </c>
      <c r="F9599" s="2">
        <v>1</v>
      </c>
      <c r="G9599" s="2" t="s">
        <v>17</v>
      </c>
    </row>
    <row r="9600" spans="1:7" x14ac:dyDescent="0.2">
      <c r="A9600" s="2" t="s">
        <v>11212</v>
      </c>
      <c r="B9600" s="2" t="s">
        <v>11248</v>
      </c>
      <c r="C9600" s="2" t="s">
        <v>11217</v>
      </c>
      <c r="D9600" s="2" t="s">
        <v>10</v>
      </c>
      <c r="E9600" s="2" t="s">
        <v>16</v>
      </c>
      <c r="F9600" s="2">
        <v>1</v>
      </c>
      <c r="G9600" s="2" t="s">
        <v>17</v>
      </c>
    </row>
    <row r="9601" spans="1:7" x14ac:dyDescent="0.2">
      <c r="A9601" s="2" t="s">
        <v>11212</v>
      </c>
      <c r="B9601" s="2" t="s">
        <v>11249</v>
      </c>
      <c r="C9601" s="2" t="s">
        <v>11219</v>
      </c>
      <c r="D9601" s="2" t="s">
        <v>10</v>
      </c>
      <c r="E9601" s="2" t="s">
        <v>16</v>
      </c>
      <c r="F9601" s="2">
        <v>1</v>
      </c>
      <c r="G9601" s="2" t="s">
        <v>17</v>
      </c>
    </row>
    <row r="9602" spans="1:7" x14ac:dyDescent="0.2">
      <c r="A9602" s="2" t="s">
        <v>11212</v>
      </c>
      <c r="B9602" s="2" t="s">
        <v>11250</v>
      </c>
      <c r="C9602" s="2" t="s">
        <v>11214</v>
      </c>
      <c r="D9602" s="2" t="s">
        <v>10</v>
      </c>
      <c r="E9602" s="2" t="s">
        <v>16</v>
      </c>
      <c r="F9602" s="2">
        <v>1</v>
      </c>
      <c r="G9602" s="2" t="s">
        <v>17</v>
      </c>
    </row>
    <row r="9603" spans="1:7" x14ac:dyDescent="0.2">
      <c r="A9603" s="2" t="s">
        <v>11212</v>
      </c>
      <c r="B9603" s="2" t="s">
        <v>4561</v>
      </c>
      <c r="C9603" s="2" t="s">
        <v>11229</v>
      </c>
      <c r="D9603" s="2" t="s">
        <v>10</v>
      </c>
      <c r="E9603" s="2" t="s">
        <v>16</v>
      </c>
      <c r="F9603" s="2">
        <v>1</v>
      </c>
      <c r="G9603" s="2" t="s">
        <v>17</v>
      </c>
    </row>
    <row r="9604" spans="1:7" x14ac:dyDescent="0.2">
      <c r="A9604" s="2" t="s">
        <v>11212</v>
      </c>
      <c r="B9604" s="2" t="s">
        <v>11251</v>
      </c>
      <c r="C9604" s="2" t="s">
        <v>11153</v>
      </c>
      <c r="D9604" s="2" t="s">
        <v>10</v>
      </c>
      <c r="E9604" s="2" t="s">
        <v>16</v>
      </c>
      <c r="F9604" s="2">
        <v>1</v>
      </c>
      <c r="G9604" s="2" t="s">
        <v>17</v>
      </c>
    </row>
    <row r="9605" spans="1:7" x14ac:dyDescent="0.2">
      <c r="A9605" s="2" t="s">
        <v>11212</v>
      </c>
      <c r="B9605" s="2" t="s">
        <v>11252</v>
      </c>
      <c r="C9605" s="2" t="s">
        <v>11229</v>
      </c>
      <c r="D9605" s="2" t="s">
        <v>10</v>
      </c>
      <c r="E9605" s="2" t="s">
        <v>16</v>
      </c>
      <c r="F9605" s="2">
        <v>1</v>
      </c>
      <c r="G9605" s="2" t="s">
        <v>17</v>
      </c>
    </row>
    <row r="9606" spans="1:7" x14ac:dyDescent="0.2">
      <c r="A9606" s="2" t="s">
        <v>11212</v>
      </c>
      <c r="B9606" s="2" t="s">
        <v>2503</v>
      </c>
      <c r="C9606" s="2" t="s">
        <v>11229</v>
      </c>
      <c r="D9606" s="2" t="s">
        <v>10</v>
      </c>
      <c r="E9606" s="2" t="s">
        <v>16</v>
      </c>
      <c r="F9606" s="2">
        <v>1</v>
      </c>
      <c r="G9606" s="2" t="s">
        <v>17</v>
      </c>
    </row>
    <row r="9607" spans="1:7" x14ac:dyDescent="0.2">
      <c r="A9607" s="2" t="s">
        <v>11212</v>
      </c>
      <c r="B9607" s="2" t="s">
        <v>11253</v>
      </c>
      <c r="C9607" s="2" t="s">
        <v>11153</v>
      </c>
      <c r="D9607" s="2" t="s">
        <v>10</v>
      </c>
      <c r="E9607" s="2" t="s">
        <v>16</v>
      </c>
      <c r="F9607" s="2">
        <v>1</v>
      </c>
      <c r="G9607" s="2" t="s">
        <v>17</v>
      </c>
    </row>
    <row r="9608" spans="1:7" x14ac:dyDescent="0.2">
      <c r="A9608" s="2" t="s">
        <v>11212</v>
      </c>
      <c r="B9608" s="2" t="s">
        <v>11254</v>
      </c>
      <c r="C9608" s="2" t="s">
        <v>11219</v>
      </c>
      <c r="D9608" s="2" t="s">
        <v>10</v>
      </c>
      <c r="E9608" s="2" t="s">
        <v>16</v>
      </c>
      <c r="F9608" s="2">
        <v>1</v>
      </c>
      <c r="G9608" s="2" t="s">
        <v>17</v>
      </c>
    </row>
    <row r="9609" spans="1:7" x14ac:dyDescent="0.2">
      <c r="A9609" s="2" t="s">
        <v>11255</v>
      </c>
      <c r="B9609" s="2" t="s">
        <v>11256</v>
      </c>
      <c r="C9609" s="2" t="s">
        <v>11257</v>
      </c>
      <c r="D9609" s="2" t="s">
        <v>10</v>
      </c>
      <c r="E9609" s="2" t="s">
        <v>16</v>
      </c>
      <c r="F9609" s="2">
        <v>1</v>
      </c>
      <c r="G9609" s="2" t="s">
        <v>17</v>
      </c>
    </row>
    <row r="9610" spans="1:7" x14ac:dyDescent="0.2">
      <c r="A9610" s="2" t="s">
        <v>11255</v>
      </c>
      <c r="B9610" s="2" t="s">
        <v>11258</v>
      </c>
      <c r="C9610" s="2" t="s">
        <v>11259</v>
      </c>
      <c r="D9610" s="2" t="s">
        <v>10</v>
      </c>
      <c r="E9610" s="2" t="s">
        <v>16</v>
      </c>
      <c r="F9610" s="2">
        <v>1</v>
      </c>
      <c r="G9610" s="2" t="s">
        <v>17</v>
      </c>
    </row>
    <row r="9611" spans="1:7" x14ac:dyDescent="0.2">
      <c r="A9611" s="2" t="s">
        <v>11255</v>
      </c>
      <c r="B9611" s="2" t="s">
        <v>11260</v>
      </c>
      <c r="C9611" s="2" t="s">
        <v>11261</v>
      </c>
      <c r="D9611" s="2" t="s">
        <v>10</v>
      </c>
      <c r="E9611" s="2" t="s">
        <v>16</v>
      </c>
      <c r="F9611" s="2">
        <v>1</v>
      </c>
      <c r="G9611" s="2" t="s">
        <v>17</v>
      </c>
    </row>
    <row r="9612" spans="1:7" x14ac:dyDescent="0.2">
      <c r="A9612" s="2" t="s">
        <v>11255</v>
      </c>
      <c r="B9612" s="2" t="s">
        <v>1845</v>
      </c>
      <c r="C9612" s="2" t="s">
        <v>1806</v>
      </c>
      <c r="D9612" s="2" t="s">
        <v>10</v>
      </c>
      <c r="E9612" s="2" t="s">
        <v>16</v>
      </c>
      <c r="F9612" s="2">
        <v>1</v>
      </c>
      <c r="G9612" s="2" t="s">
        <v>17</v>
      </c>
    </row>
    <row r="9613" spans="1:7" x14ac:dyDescent="0.2">
      <c r="A9613" s="2" t="s">
        <v>11255</v>
      </c>
      <c r="B9613" s="2" t="s">
        <v>1846</v>
      </c>
      <c r="C9613" s="2" t="s">
        <v>1806</v>
      </c>
      <c r="D9613" s="2" t="s">
        <v>10</v>
      </c>
      <c r="E9613" s="2" t="s">
        <v>16</v>
      </c>
      <c r="F9613" s="2">
        <v>1</v>
      </c>
      <c r="G9613" s="2" t="s">
        <v>17</v>
      </c>
    </row>
    <row r="9614" spans="1:7" x14ac:dyDescent="0.2">
      <c r="A9614" s="2" t="s">
        <v>11255</v>
      </c>
      <c r="B9614" s="2" t="s">
        <v>1847</v>
      </c>
      <c r="C9614" s="2" t="s">
        <v>1833</v>
      </c>
      <c r="D9614" s="2" t="s">
        <v>10</v>
      </c>
      <c r="E9614" s="2" t="s">
        <v>16</v>
      </c>
      <c r="F9614" s="2">
        <v>1</v>
      </c>
      <c r="G9614" s="2" t="s">
        <v>17</v>
      </c>
    </row>
    <row r="9615" spans="1:7" x14ac:dyDescent="0.2">
      <c r="A9615" s="2" t="s">
        <v>11255</v>
      </c>
      <c r="B9615" s="2" t="s">
        <v>1796</v>
      </c>
      <c r="C9615" s="2" t="s">
        <v>1797</v>
      </c>
      <c r="D9615" s="2" t="s">
        <v>10</v>
      </c>
      <c r="E9615" s="2" t="s">
        <v>16</v>
      </c>
      <c r="F9615" s="2">
        <v>1</v>
      </c>
      <c r="G9615" s="2" t="s">
        <v>17</v>
      </c>
    </row>
    <row r="9616" spans="1:7" x14ac:dyDescent="0.2">
      <c r="A9616" s="2" t="s">
        <v>11255</v>
      </c>
      <c r="B9616" s="2" t="s">
        <v>5523</v>
      </c>
      <c r="C9616" s="2" t="s">
        <v>11259</v>
      </c>
      <c r="D9616" s="2" t="s">
        <v>10</v>
      </c>
      <c r="E9616" s="2" t="s">
        <v>16</v>
      </c>
      <c r="F9616" s="2">
        <v>1</v>
      </c>
      <c r="G9616" s="2" t="s">
        <v>17</v>
      </c>
    </row>
    <row r="9617" spans="1:7" x14ac:dyDescent="0.2">
      <c r="A9617" s="2" t="s">
        <v>11255</v>
      </c>
      <c r="B9617" s="2" t="s">
        <v>4386</v>
      </c>
      <c r="C9617" s="2" t="s">
        <v>11261</v>
      </c>
      <c r="D9617" s="2" t="s">
        <v>10</v>
      </c>
      <c r="E9617" s="2" t="s">
        <v>16</v>
      </c>
      <c r="F9617" s="2">
        <v>1</v>
      </c>
      <c r="G9617" s="2" t="s">
        <v>17</v>
      </c>
    </row>
    <row r="9618" spans="1:7" x14ac:dyDescent="0.2">
      <c r="A9618" s="2" t="s">
        <v>11255</v>
      </c>
      <c r="B9618" s="2" t="s">
        <v>1121</v>
      </c>
      <c r="C9618" s="2" t="s">
        <v>1806</v>
      </c>
      <c r="D9618" s="2" t="s">
        <v>10</v>
      </c>
      <c r="E9618" s="2" t="s">
        <v>16</v>
      </c>
      <c r="F9618" s="2">
        <v>1</v>
      </c>
      <c r="G9618" s="2" t="s">
        <v>17</v>
      </c>
    </row>
    <row r="9619" spans="1:7" x14ac:dyDescent="0.2">
      <c r="A9619" s="2" t="s">
        <v>11255</v>
      </c>
      <c r="B9619" s="2" t="s">
        <v>1809</v>
      </c>
      <c r="C9619" s="2" t="s">
        <v>1797</v>
      </c>
      <c r="D9619" s="2" t="s">
        <v>10</v>
      </c>
      <c r="E9619" s="2" t="s">
        <v>16</v>
      </c>
      <c r="F9619" s="2">
        <v>1</v>
      </c>
      <c r="G9619" s="2" t="s">
        <v>17</v>
      </c>
    </row>
    <row r="9620" spans="1:7" x14ac:dyDescent="0.2">
      <c r="A9620" s="2" t="s">
        <v>11255</v>
      </c>
      <c r="B9620" s="2" t="s">
        <v>1832</v>
      </c>
      <c r="C9620" s="2" t="s">
        <v>1833</v>
      </c>
      <c r="D9620" s="2" t="s">
        <v>10</v>
      </c>
      <c r="E9620" s="2" t="s">
        <v>16</v>
      </c>
      <c r="F9620" s="2">
        <v>1</v>
      </c>
      <c r="G9620" s="2" t="s">
        <v>17</v>
      </c>
    </row>
    <row r="9621" spans="1:7" x14ac:dyDescent="0.2">
      <c r="A9621" s="2" t="s">
        <v>11255</v>
      </c>
      <c r="B9621" s="2" t="s">
        <v>11262</v>
      </c>
      <c r="C9621" s="2" t="s">
        <v>11257</v>
      </c>
      <c r="D9621" s="2" t="s">
        <v>10</v>
      </c>
      <c r="E9621" s="2" t="s">
        <v>16</v>
      </c>
      <c r="F9621" s="2">
        <v>1</v>
      </c>
      <c r="G9621" s="2" t="s">
        <v>17</v>
      </c>
    </row>
    <row r="9622" spans="1:7" x14ac:dyDescent="0.2">
      <c r="A9622" s="2" t="s">
        <v>11255</v>
      </c>
      <c r="B9622" s="2" t="s">
        <v>11263</v>
      </c>
      <c r="C9622" s="2" t="s">
        <v>11257</v>
      </c>
      <c r="D9622" s="2" t="s">
        <v>10</v>
      </c>
      <c r="E9622" s="2" t="s">
        <v>16</v>
      </c>
      <c r="F9622" s="2">
        <v>1</v>
      </c>
      <c r="G9622" s="2" t="s">
        <v>17</v>
      </c>
    </row>
    <row r="9623" spans="1:7" x14ac:dyDescent="0.2">
      <c r="A9623" s="2" t="s">
        <v>5908</v>
      </c>
      <c r="B9623" s="2" t="s">
        <v>11264</v>
      </c>
      <c r="C9623" s="2" t="s">
        <v>10779</v>
      </c>
      <c r="D9623" s="2" t="s">
        <v>10</v>
      </c>
      <c r="E9623" s="2" t="s">
        <v>52</v>
      </c>
      <c r="F9623" s="2">
        <v>1</v>
      </c>
      <c r="G9623" s="2" t="s">
        <v>17</v>
      </c>
    </row>
    <row r="9624" spans="1:7" x14ac:dyDescent="0.2">
      <c r="A9624" s="2" t="s">
        <v>5908</v>
      </c>
      <c r="B9624" s="2" t="s">
        <v>10778</v>
      </c>
      <c r="C9624" s="2" t="s">
        <v>10779</v>
      </c>
      <c r="D9624" s="2" t="s">
        <v>10</v>
      </c>
      <c r="E9624" s="2" t="s">
        <v>52</v>
      </c>
      <c r="F9624" s="2">
        <v>1</v>
      </c>
      <c r="G9624" s="2" t="s">
        <v>17</v>
      </c>
    </row>
    <row r="9625" spans="1:7" x14ac:dyDescent="0.2">
      <c r="A9625" s="2" t="s">
        <v>10303</v>
      </c>
      <c r="B9625" s="2" t="s">
        <v>10302</v>
      </c>
      <c r="C9625" s="2" t="s">
        <v>10303</v>
      </c>
      <c r="D9625" s="2" t="s">
        <v>29</v>
      </c>
      <c r="E9625" s="2" t="s">
        <v>16</v>
      </c>
      <c r="F9625" s="2">
        <v>1</v>
      </c>
      <c r="G9625" s="2" t="s">
        <v>17</v>
      </c>
    </row>
    <row r="9626" spans="1:7" x14ac:dyDescent="0.2">
      <c r="A9626" s="2" t="s">
        <v>10303</v>
      </c>
      <c r="B9626" s="2" t="s">
        <v>10305</v>
      </c>
      <c r="C9626" s="2" t="s">
        <v>10303</v>
      </c>
      <c r="D9626" s="2" t="s">
        <v>29</v>
      </c>
      <c r="E9626" s="2" t="s">
        <v>16</v>
      </c>
      <c r="F9626" s="2">
        <v>1</v>
      </c>
      <c r="G9626" s="2" t="s">
        <v>17</v>
      </c>
    </row>
    <row r="9627" spans="1:7" x14ac:dyDescent="0.2">
      <c r="A9627" s="2" t="s">
        <v>11265</v>
      </c>
      <c r="B9627" s="2" t="s">
        <v>8240</v>
      </c>
      <c r="C9627" s="2" t="s">
        <v>11266</v>
      </c>
      <c r="D9627" s="2" t="s">
        <v>10</v>
      </c>
      <c r="E9627" s="2" t="s">
        <v>16</v>
      </c>
      <c r="F9627" s="2">
        <v>1</v>
      </c>
      <c r="G9627" s="2" t="s">
        <v>17</v>
      </c>
    </row>
    <row r="9628" spans="1:7" x14ac:dyDescent="0.2">
      <c r="A9628" s="2" t="s">
        <v>11267</v>
      </c>
      <c r="B9628" s="2" t="s">
        <v>11268</v>
      </c>
      <c r="C9628" s="2" t="s">
        <v>11269</v>
      </c>
      <c r="D9628" s="2" t="s">
        <v>10</v>
      </c>
      <c r="E9628" s="2" t="s">
        <v>16</v>
      </c>
      <c r="F9628" s="2">
        <v>1</v>
      </c>
      <c r="G9628" s="2" t="s">
        <v>17</v>
      </c>
    </row>
    <row r="9629" spans="1:7" x14ac:dyDescent="0.2">
      <c r="A9629" s="2" t="s">
        <v>11267</v>
      </c>
      <c r="B9629" s="2" t="s">
        <v>11270</v>
      </c>
      <c r="C9629" s="2" t="s">
        <v>11271</v>
      </c>
      <c r="D9629" s="2" t="s">
        <v>10</v>
      </c>
      <c r="E9629" s="2" t="s">
        <v>16</v>
      </c>
      <c r="F9629" s="2">
        <v>1</v>
      </c>
      <c r="G9629" s="2" t="s">
        <v>17</v>
      </c>
    </row>
    <row r="9630" spans="1:7" x14ac:dyDescent="0.2">
      <c r="A9630" s="2" t="s">
        <v>11272</v>
      </c>
      <c r="B9630" s="2" t="s">
        <v>5489</v>
      </c>
      <c r="C9630" s="2" t="s">
        <v>5490</v>
      </c>
      <c r="D9630" s="2" t="s">
        <v>10</v>
      </c>
      <c r="E9630" s="2" t="s">
        <v>16</v>
      </c>
      <c r="F9630" s="2">
        <v>1</v>
      </c>
      <c r="G9630" s="2" t="s">
        <v>17</v>
      </c>
    </row>
    <row r="9631" spans="1:7" x14ac:dyDescent="0.2">
      <c r="A9631" s="2" t="s">
        <v>11273</v>
      </c>
      <c r="B9631" s="2" t="s">
        <v>11274</v>
      </c>
      <c r="C9631" s="2" t="s">
        <v>8394</v>
      </c>
      <c r="D9631" s="2" t="s">
        <v>10</v>
      </c>
      <c r="E9631" s="2" t="s">
        <v>16</v>
      </c>
      <c r="F9631" s="2">
        <v>1</v>
      </c>
      <c r="G9631" s="2" t="s">
        <v>17</v>
      </c>
    </row>
    <row r="9632" spans="1:7" x14ac:dyDescent="0.2">
      <c r="A9632" s="2" t="s">
        <v>11273</v>
      </c>
      <c r="B9632" s="2" t="s">
        <v>11275</v>
      </c>
      <c r="C9632" s="2" t="s">
        <v>11276</v>
      </c>
      <c r="D9632" s="2" t="s">
        <v>10</v>
      </c>
      <c r="E9632" s="2" t="s">
        <v>16</v>
      </c>
      <c r="F9632" s="2">
        <v>1</v>
      </c>
      <c r="G9632" s="2" t="s">
        <v>17</v>
      </c>
    </row>
    <row r="9633" spans="1:7" x14ac:dyDescent="0.2">
      <c r="A9633" s="2" t="s">
        <v>11273</v>
      </c>
      <c r="B9633" s="2" t="s">
        <v>11277</v>
      </c>
      <c r="C9633" s="2" t="s">
        <v>8394</v>
      </c>
      <c r="D9633" s="2" t="s">
        <v>10</v>
      </c>
      <c r="E9633" s="2" t="s">
        <v>16</v>
      </c>
      <c r="F9633" s="2">
        <v>1</v>
      </c>
      <c r="G9633" s="2" t="s">
        <v>17</v>
      </c>
    </row>
    <row r="9634" spans="1:7" x14ac:dyDescent="0.2">
      <c r="A9634" s="2" t="s">
        <v>11273</v>
      </c>
      <c r="B9634" s="2" t="s">
        <v>11278</v>
      </c>
      <c r="C9634" s="2" t="s">
        <v>11279</v>
      </c>
      <c r="D9634" s="2" t="s">
        <v>10</v>
      </c>
      <c r="E9634" s="2" t="s">
        <v>52</v>
      </c>
      <c r="F9634" s="2">
        <v>1</v>
      </c>
      <c r="G9634" s="2" t="s">
        <v>17</v>
      </c>
    </row>
    <row r="9635" spans="1:7" x14ac:dyDescent="0.2">
      <c r="A9635" s="2" t="s">
        <v>11273</v>
      </c>
      <c r="B9635" s="2" t="s">
        <v>11280</v>
      </c>
      <c r="C9635" s="2" t="s">
        <v>11281</v>
      </c>
      <c r="D9635" s="2" t="s">
        <v>10</v>
      </c>
      <c r="E9635" s="2" t="s">
        <v>16</v>
      </c>
      <c r="F9635" s="2">
        <v>1</v>
      </c>
      <c r="G9635" s="2" t="s">
        <v>17</v>
      </c>
    </row>
    <row r="9636" spans="1:7" x14ac:dyDescent="0.2">
      <c r="A9636" s="2" t="s">
        <v>11273</v>
      </c>
      <c r="B9636" s="2" t="s">
        <v>11282</v>
      </c>
      <c r="C9636" s="2" t="s">
        <v>11283</v>
      </c>
      <c r="D9636" s="2" t="s">
        <v>10</v>
      </c>
      <c r="E9636" s="2" t="s">
        <v>52</v>
      </c>
      <c r="F9636" s="2">
        <v>1</v>
      </c>
      <c r="G9636" s="2" t="s">
        <v>17</v>
      </c>
    </row>
    <row r="9637" spans="1:7" x14ac:dyDescent="0.2">
      <c r="A9637" s="2" t="s">
        <v>11273</v>
      </c>
      <c r="B9637" s="2" t="s">
        <v>11284</v>
      </c>
      <c r="C9637" s="2" t="s">
        <v>11281</v>
      </c>
      <c r="D9637" s="2" t="s">
        <v>10</v>
      </c>
      <c r="E9637" s="2" t="s">
        <v>16</v>
      </c>
      <c r="F9637" s="2">
        <v>1</v>
      </c>
      <c r="G9637" s="2" t="s">
        <v>17</v>
      </c>
    </row>
    <row r="9638" spans="1:7" x14ac:dyDescent="0.2">
      <c r="A9638" s="2" t="s">
        <v>11273</v>
      </c>
      <c r="B9638" s="2" t="s">
        <v>11285</v>
      </c>
      <c r="C9638" s="2" t="s">
        <v>11279</v>
      </c>
      <c r="D9638" s="2" t="s">
        <v>10</v>
      </c>
      <c r="E9638" s="2" t="s">
        <v>52</v>
      </c>
      <c r="F9638" s="2">
        <v>1</v>
      </c>
      <c r="G9638" s="2" t="s">
        <v>17</v>
      </c>
    </row>
    <row r="9639" spans="1:7" x14ac:dyDescent="0.2">
      <c r="A9639" s="2" t="s">
        <v>11273</v>
      </c>
      <c r="B9639" s="2" t="s">
        <v>11286</v>
      </c>
      <c r="C9639" s="2" t="s">
        <v>11287</v>
      </c>
      <c r="D9639" s="2" t="s">
        <v>10</v>
      </c>
      <c r="E9639" s="2" t="s">
        <v>16</v>
      </c>
      <c r="F9639" s="2">
        <v>1</v>
      </c>
      <c r="G9639" s="2" t="s">
        <v>17</v>
      </c>
    </row>
    <row r="9640" spans="1:7" x14ac:dyDescent="0.2">
      <c r="A9640" s="2" t="s">
        <v>11273</v>
      </c>
      <c r="B9640" s="2" t="s">
        <v>11288</v>
      </c>
      <c r="C9640" s="2" t="s">
        <v>11276</v>
      </c>
      <c r="D9640" s="2" t="s">
        <v>10</v>
      </c>
      <c r="E9640" s="2" t="s">
        <v>16</v>
      </c>
      <c r="F9640" s="2">
        <v>1</v>
      </c>
      <c r="G9640" s="2" t="s">
        <v>17</v>
      </c>
    </row>
    <row r="9641" spans="1:7" x14ac:dyDescent="0.2">
      <c r="A9641" s="2" t="s">
        <v>11273</v>
      </c>
      <c r="B9641" s="2" t="s">
        <v>11289</v>
      </c>
      <c r="C9641" s="2" t="s">
        <v>11290</v>
      </c>
      <c r="D9641" s="2" t="s">
        <v>10</v>
      </c>
      <c r="E9641" s="2" t="s">
        <v>16</v>
      </c>
      <c r="F9641" s="2">
        <v>1</v>
      </c>
      <c r="G9641" s="2" t="s">
        <v>17</v>
      </c>
    </row>
    <row r="9642" spans="1:7" x14ac:dyDescent="0.2">
      <c r="A9642" s="2" t="s">
        <v>11273</v>
      </c>
      <c r="B9642" s="2" t="s">
        <v>11291</v>
      </c>
      <c r="C9642" s="2" t="s">
        <v>11279</v>
      </c>
      <c r="D9642" s="2" t="s">
        <v>10</v>
      </c>
      <c r="E9642" s="2" t="s">
        <v>52</v>
      </c>
      <c r="F9642" s="2">
        <v>1</v>
      </c>
      <c r="G9642" s="2" t="s">
        <v>17</v>
      </c>
    </row>
    <row r="9643" spans="1:7" x14ac:dyDescent="0.2">
      <c r="A9643" s="2" t="s">
        <v>11273</v>
      </c>
      <c r="B9643" s="2" t="s">
        <v>9453</v>
      </c>
      <c r="C9643" s="2" t="s">
        <v>9454</v>
      </c>
      <c r="D9643" s="2" t="s">
        <v>10</v>
      </c>
      <c r="E9643" s="2" t="s">
        <v>52</v>
      </c>
      <c r="F9643" s="2">
        <v>2</v>
      </c>
      <c r="G9643" s="2" t="s">
        <v>17</v>
      </c>
    </row>
    <row r="9644" spans="1:7" x14ac:dyDescent="0.2">
      <c r="A9644" s="2" t="s">
        <v>11292</v>
      </c>
      <c r="B9644" s="2" t="s">
        <v>1580</v>
      </c>
      <c r="C9644" s="2" t="s">
        <v>1581</v>
      </c>
      <c r="D9644" s="2" t="s">
        <v>10</v>
      </c>
      <c r="E9644" s="2" t="s">
        <v>16</v>
      </c>
      <c r="F9644" s="2">
        <v>1</v>
      </c>
      <c r="G9644" s="2" t="s">
        <v>17</v>
      </c>
    </row>
    <row r="9645" spans="1:7" x14ac:dyDescent="0.2">
      <c r="A9645" s="2" t="s">
        <v>11292</v>
      </c>
      <c r="B9645" s="2" t="s">
        <v>11293</v>
      </c>
      <c r="C9645" s="2" t="s">
        <v>1581</v>
      </c>
      <c r="D9645" s="2" t="s">
        <v>10</v>
      </c>
      <c r="E9645" s="2" t="s">
        <v>16</v>
      </c>
      <c r="F9645" s="2">
        <v>1</v>
      </c>
      <c r="G9645" s="2" t="s">
        <v>17</v>
      </c>
    </row>
    <row r="9646" spans="1:7" x14ac:dyDescent="0.2">
      <c r="A9646" s="2" t="s">
        <v>11294</v>
      </c>
      <c r="B9646" s="2" t="s">
        <v>357</v>
      </c>
      <c r="C9646" s="2" t="s">
        <v>11295</v>
      </c>
      <c r="D9646" s="2" t="s">
        <v>10</v>
      </c>
      <c r="E9646" s="2" t="s">
        <v>16</v>
      </c>
      <c r="F9646" s="2">
        <v>1</v>
      </c>
      <c r="G9646" s="2" t="s">
        <v>17</v>
      </c>
    </row>
    <row r="9647" spans="1:7" x14ac:dyDescent="0.2">
      <c r="A9647" s="2" t="s">
        <v>11294</v>
      </c>
      <c r="B9647" s="2" t="s">
        <v>11296</v>
      </c>
      <c r="C9647" s="2" t="s">
        <v>11297</v>
      </c>
      <c r="D9647" s="2" t="s">
        <v>10</v>
      </c>
      <c r="E9647" s="2" t="s">
        <v>16</v>
      </c>
      <c r="F9647" s="2">
        <v>1</v>
      </c>
      <c r="G9647" s="2" t="s">
        <v>17</v>
      </c>
    </row>
    <row r="9648" spans="1:7" x14ac:dyDescent="0.2">
      <c r="A9648" s="2" t="s">
        <v>11294</v>
      </c>
      <c r="B9648" s="2" t="s">
        <v>11298</v>
      </c>
      <c r="C9648" s="2" t="s">
        <v>11299</v>
      </c>
      <c r="D9648" s="2" t="s">
        <v>10</v>
      </c>
      <c r="E9648" s="2" t="s">
        <v>16</v>
      </c>
      <c r="F9648" s="2">
        <v>1</v>
      </c>
      <c r="G9648" s="2" t="s">
        <v>17</v>
      </c>
    </row>
    <row r="9649" spans="1:7" x14ac:dyDescent="0.2">
      <c r="A9649" s="2" t="s">
        <v>11294</v>
      </c>
      <c r="B9649" s="2" t="s">
        <v>11300</v>
      </c>
      <c r="C9649" s="2" t="s">
        <v>11297</v>
      </c>
      <c r="D9649" s="2" t="s">
        <v>10</v>
      </c>
      <c r="E9649" s="2" t="s">
        <v>16</v>
      </c>
      <c r="F9649" s="2">
        <v>1</v>
      </c>
      <c r="G9649" s="2" t="s">
        <v>17</v>
      </c>
    </row>
    <row r="9650" spans="1:7" x14ac:dyDescent="0.2">
      <c r="A9650" s="2" t="s">
        <v>11294</v>
      </c>
      <c r="B9650" s="2" t="s">
        <v>11301</v>
      </c>
      <c r="C9650" s="2" t="s">
        <v>11297</v>
      </c>
      <c r="D9650" s="2" t="s">
        <v>10</v>
      </c>
      <c r="E9650" s="2" t="s">
        <v>16</v>
      </c>
      <c r="F9650" s="2">
        <v>1</v>
      </c>
      <c r="G9650" s="2" t="s">
        <v>17</v>
      </c>
    </row>
    <row r="9651" spans="1:7" x14ac:dyDescent="0.2">
      <c r="A9651" s="2" t="s">
        <v>11294</v>
      </c>
      <c r="B9651" s="2" t="s">
        <v>11302</v>
      </c>
      <c r="C9651" s="2" t="s">
        <v>11299</v>
      </c>
      <c r="D9651" s="2" t="s">
        <v>10</v>
      </c>
      <c r="E9651" s="2" t="s">
        <v>16</v>
      </c>
      <c r="F9651" s="2">
        <v>1</v>
      </c>
      <c r="G9651" s="2" t="s">
        <v>17</v>
      </c>
    </row>
    <row r="9652" spans="1:7" x14ac:dyDescent="0.2">
      <c r="A9652" s="2" t="s">
        <v>11294</v>
      </c>
      <c r="B9652" s="2" t="s">
        <v>11303</v>
      </c>
      <c r="C9652" s="2" t="s">
        <v>11304</v>
      </c>
      <c r="D9652" s="2" t="s">
        <v>10</v>
      </c>
      <c r="E9652" s="2" t="s">
        <v>16</v>
      </c>
      <c r="F9652" s="2">
        <v>1</v>
      </c>
      <c r="G9652" s="2" t="s">
        <v>17</v>
      </c>
    </row>
    <row r="9653" spans="1:7" x14ac:dyDescent="0.2">
      <c r="A9653" s="2" t="s">
        <v>11294</v>
      </c>
      <c r="B9653" s="2" t="s">
        <v>11305</v>
      </c>
      <c r="C9653" s="2" t="s">
        <v>11295</v>
      </c>
      <c r="D9653" s="2" t="s">
        <v>10</v>
      </c>
      <c r="E9653" s="2" t="s">
        <v>16</v>
      </c>
      <c r="F9653" s="2">
        <v>1</v>
      </c>
      <c r="G9653" s="2" t="s">
        <v>17</v>
      </c>
    </row>
    <row r="9654" spans="1:7" x14ac:dyDescent="0.2">
      <c r="A9654" s="2" t="s">
        <v>11294</v>
      </c>
      <c r="B9654" s="2" t="s">
        <v>11306</v>
      </c>
      <c r="C9654" s="2" t="s">
        <v>11297</v>
      </c>
      <c r="D9654" s="2" t="s">
        <v>10</v>
      </c>
      <c r="E9654" s="2" t="s">
        <v>16</v>
      </c>
      <c r="F9654" s="2">
        <v>1</v>
      </c>
      <c r="G9654" s="2" t="s">
        <v>17</v>
      </c>
    </row>
    <row r="9655" spans="1:7" x14ac:dyDescent="0.2">
      <c r="A9655" s="2" t="s">
        <v>11294</v>
      </c>
      <c r="B9655" s="2" t="s">
        <v>2316</v>
      </c>
      <c r="C9655" s="2" t="s">
        <v>11304</v>
      </c>
      <c r="D9655" s="2" t="s">
        <v>10</v>
      </c>
      <c r="E9655" s="2" t="s">
        <v>16</v>
      </c>
      <c r="F9655" s="2">
        <v>1</v>
      </c>
      <c r="G9655" s="2" t="s">
        <v>17</v>
      </c>
    </row>
    <row r="9656" spans="1:7" x14ac:dyDescent="0.2">
      <c r="A9656" s="2" t="s">
        <v>11294</v>
      </c>
      <c r="B9656" s="2" t="s">
        <v>11307</v>
      </c>
      <c r="C9656" s="2" t="s">
        <v>11308</v>
      </c>
      <c r="D9656" s="2" t="s">
        <v>10</v>
      </c>
      <c r="E9656" s="2" t="s">
        <v>16</v>
      </c>
      <c r="F9656" s="2">
        <v>1</v>
      </c>
      <c r="G9656" s="2" t="s">
        <v>17</v>
      </c>
    </row>
    <row r="9657" spans="1:7" x14ac:dyDescent="0.2">
      <c r="A9657" s="2" t="s">
        <v>11294</v>
      </c>
      <c r="B9657" s="2" t="s">
        <v>11309</v>
      </c>
      <c r="C9657" s="2" t="s">
        <v>11310</v>
      </c>
      <c r="D9657" s="2" t="s">
        <v>10</v>
      </c>
      <c r="E9657" s="2" t="s">
        <v>16</v>
      </c>
      <c r="F9657" s="2">
        <v>1</v>
      </c>
      <c r="G9657" s="2" t="s">
        <v>17</v>
      </c>
    </row>
    <row r="9658" spans="1:7" x14ac:dyDescent="0.2">
      <c r="A9658" s="2" t="s">
        <v>11294</v>
      </c>
      <c r="B9658" s="2" t="s">
        <v>11311</v>
      </c>
      <c r="C9658" s="2" t="s">
        <v>11310</v>
      </c>
      <c r="D9658" s="2" t="s">
        <v>10</v>
      </c>
      <c r="E9658" s="2" t="s">
        <v>16</v>
      </c>
      <c r="F9658" s="2">
        <v>1</v>
      </c>
      <c r="G9658" s="2" t="s">
        <v>17</v>
      </c>
    </row>
    <row r="9659" spans="1:7" x14ac:dyDescent="0.2">
      <c r="A9659" s="2" t="s">
        <v>11294</v>
      </c>
      <c r="B9659" s="2" t="s">
        <v>11312</v>
      </c>
      <c r="C9659" s="2" t="s">
        <v>11313</v>
      </c>
      <c r="D9659" s="2" t="s">
        <v>10</v>
      </c>
      <c r="E9659" s="2" t="s">
        <v>16</v>
      </c>
      <c r="F9659" s="2">
        <v>2</v>
      </c>
      <c r="G9659" s="2" t="s">
        <v>17</v>
      </c>
    </row>
    <row r="9660" spans="1:7" x14ac:dyDescent="0.2">
      <c r="A9660" s="2" t="s">
        <v>11294</v>
      </c>
      <c r="B9660" s="2" t="s">
        <v>11251</v>
      </c>
      <c r="C9660" s="2" t="s">
        <v>11313</v>
      </c>
      <c r="D9660" s="2" t="s">
        <v>10</v>
      </c>
      <c r="E9660" s="2" t="s">
        <v>16</v>
      </c>
      <c r="F9660" s="2">
        <v>2</v>
      </c>
      <c r="G9660" s="2" t="s">
        <v>17</v>
      </c>
    </row>
    <row r="9661" spans="1:7" x14ac:dyDescent="0.2">
      <c r="A9661" s="2" t="s">
        <v>11294</v>
      </c>
      <c r="B9661" s="2" t="s">
        <v>4377</v>
      </c>
      <c r="C9661" s="2" t="s">
        <v>4378</v>
      </c>
      <c r="D9661" s="2" t="s">
        <v>10</v>
      </c>
      <c r="E9661" s="2" t="s">
        <v>16</v>
      </c>
      <c r="F9661" s="2">
        <v>1</v>
      </c>
      <c r="G9661" s="2" t="s">
        <v>17</v>
      </c>
    </row>
    <row r="9662" spans="1:7" x14ac:dyDescent="0.2">
      <c r="A9662" s="2" t="s">
        <v>11294</v>
      </c>
      <c r="B9662" s="2" t="s">
        <v>4379</v>
      </c>
      <c r="C9662" s="2" t="s">
        <v>4378</v>
      </c>
      <c r="D9662" s="2" t="s">
        <v>10</v>
      </c>
      <c r="E9662" s="2" t="s">
        <v>16</v>
      </c>
      <c r="F9662" s="2">
        <v>1</v>
      </c>
      <c r="G9662" s="2" t="s">
        <v>17</v>
      </c>
    </row>
    <row r="9663" spans="1:7" x14ac:dyDescent="0.2">
      <c r="A9663" s="2" t="s">
        <v>11294</v>
      </c>
      <c r="B9663" s="2" t="s">
        <v>4380</v>
      </c>
      <c r="C9663" s="2" t="s">
        <v>4378</v>
      </c>
      <c r="D9663" s="2" t="s">
        <v>10</v>
      </c>
      <c r="E9663" s="2" t="s">
        <v>16</v>
      </c>
      <c r="F9663" s="2">
        <v>1</v>
      </c>
      <c r="G9663" s="2" t="s">
        <v>17</v>
      </c>
    </row>
    <row r="9664" spans="1:7" x14ac:dyDescent="0.2">
      <c r="A9664" s="2" t="s">
        <v>11294</v>
      </c>
      <c r="B9664" s="2" t="s">
        <v>11314</v>
      </c>
      <c r="C9664" s="2" t="s">
        <v>11304</v>
      </c>
      <c r="D9664" s="2" t="s">
        <v>10</v>
      </c>
      <c r="E9664" s="2" t="s">
        <v>16</v>
      </c>
      <c r="F9664" s="2">
        <v>1</v>
      </c>
      <c r="G9664" s="2" t="s">
        <v>17</v>
      </c>
    </row>
    <row r="9665" spans="1:7" x14ac:dyDescent="0.2">
      <c r="A9665" s="2" t="s">
        <v>11294</v>
      </c>
      <c r="B9665" s="2" t="s">
        <v>11315</v>
      </c>
      <c r="C9665" s="2" t="s">
        <v>11316</v>
      </c>
      <c r="D9665" s="2" t="s">
        <v>10</v>
      </c>
      <c r="E9665" s="2" t="s">
        <v>16</v>
      </c>
      <c r="F9665" s="2">
        <v>2</v>
      </c>
      <c r="G9665" s="2" t="s">
        <v>17</v>
      </c>
    </row>
    <row r="9666" spans="1:7" x14ac:dyDescent="0.2">
      <c r="A9666" s="2" t="s">
        <v>11294</v>
      </c>
      <c r="B9666" s="2" t="s">
        <v>11317</v>
      </c>
      <c r="C9666" s="2" t="s">
        <v>11318</v>
      </c>
      <c r="D9666" s="2" t="s">
        <v>10</v>
      </c>
      <c r="E9666" s="2" t="s">
        <v>16</v>
      </c>
      <c r="F9666" s="2">
        <v>1</v>
      </c>
      <c r="G9666" s="2" t="s">
        <v>17</v>
      </c>
    </row>
    <row r="9667" spans="1:7" x14ac:dyDescent="0.2">
      <c r="A9667" s="2" t="s">
        <v>11294</v>
      </c>
      <c r="B9667" s="2" t="s">
        <v>11319</v>
      </c>
      <c r="C9667" s="2" t="s">
        <v>11297</v>
      </c>
      <c r="D9667" s="2" t="s">
        <v>10</v>
      </c>
      <c r="E9667" s="2" t="s">
        <v>16</v>
      </c>
      <c r="F9667" s="2">
        <v>1</v>
      </c>
      <c r="G9667" s="2" t="s">
        <v>17</v>
      </c>
    </row>
    <row r="9668" spans="1:7" x14ac:dyDescent="0.2">
      <c r="A9668" s="2" t="s">
        <v>11294</v>
      </c>
      <c r="B9668" s="2" t="s">
        <v>5240</v>
      </c>
      <c r="C9668" s="2" t="s">
        <v>11297</v>
      </c>
      <c r="D9668" s="2" t="s">
        <v>10</v>
      </c>
      <c r="E9668" s="2" t="s">
        <v>16</v>
      </c>
      <c r="F9668" s="2">
        <v>1</v>
      </c>
      <c r="G9668" s="2" t="s">
        <v>17</v>
      </c>
    </row>
    <row r="9669" spans="1:7" x14ac:dyDescent="0.2">
      <c r="A9669" s="2" t="s">
        <v>11320</v>
      </c>
      <c r="B9669" s="2" t="s">
        <v>896</v>
      </c>
      <c r="C9669" s="2" t="s">
        <v>693</v>
      </c>
      <c r="D9669" s="2" t="s">
        <v>10</v>
      </c>
      <c r="E9669" s="2" t="s">
        <v>16</v>
      </c>
      <c r="F9669" s="2">
        <v>2</v>
      </c>
      <c r="G9669" s="2" t="s">
        <v>17</v>
      </c>
    </row>
    <row r="9670" spans="1:7" x14ac:dyDescent="0.2">
      <c r="A9670" s="2" t="s">
        <v>11321</v>
      </c>
      <c r="B9670" s="2" t="s">
        <v>7845</v>
      </c>
      <c r="C9670" s="2" t="s">
        <v>7843</v>
      </c>
      <c r="D9670" s="2" t="s">
        <v>10</v>
      </c>
      <c r="E9670" s="2" t="s">
        <v>16</v>
      </c>
      <c r="F9670" s="2">
        <v>1</v>
      </c>
      <c r="G9670" s="2" t="s">
        <v>17</v>
      </c>
    </row>
    <row r="9671" spans="1:7" x14ac:dyDescent="0.2">
      <c r="A9671" s="2" t="s">
        <v>11321</v>
      </c>
      <c r="B9671" s="2" t="s">
        <v>7847</v>
      </c>
      <c r="C9671" s="2" t="s">
        <v>7848</v>
      </c>
      <c r="D9671" s="2" t="s">
        <v>10</v>
      </c>
      <c r="E9671" s="2" t="s">
        <v>16</v>
      </c>
      <c r="F9671" s="2">
        <v>1</v>
      </c>
      <c r="G9671" s="2" t="s">
        <v>17</v>
      </c>
    </row>
    <row r="9672" spans="1:7" x14ac:dyDescent="0.2">
      <c r="A9672" s="2" t="s">
        <v>11321</v>
      </c>
      <c r="B9672" s="2" t="s">
        <v>11322</v>
      </c>
      <c r="C9672" s="2" t="s">
        <v>11323</v>
      </c>
      <c r="D9672" s="2" t="s">
        <v>10</v>
      </c>
      <c r="E9672" s="2" t="s">
        <v>16</v>
      </c>
      <c r="F9672" s="2">
        <v>1</v>
      </c>
      <c r="G9672" s="2" t="s">
        <v>17</v>
      </c>
    </row>
    <row r="9673" spans="1:7" x14ac:dyDescent="0.2">
      <c r="A9673" s="2" t="s">
        <v>11321</v>
      </c>
      <c r="B9673" s="2" t="s">
        <v>11324</v>
      </c>
      <c r="C9673" s="2" t="s">
        <v>3261</v>
      </c>
      <c r="D9673" s="2" t="s">
        <v>10</v>
      </c>
      <c r="E9673" s="2" t="s">
        <v>16</v>
      </c>
      <c r="F9673" s="2">
        <v>2</v>
      </c>
      <c r="G9673" s="2" t="s">
        <v>17</v>
      </c>
    </row>
    <row r="9674" spans="1:7" x14ac:dyDescent="0.2">
      <c r="A9674" s="2" t="s">
        <v>11321</v>
      </c>
      <c r="B9674" s="2" t="s">
        <v>5952</v>
      </c>
      <c r="C9674" s="2" t="s">
        <v>5953</v>
      </c>
      <c r="D9674" s="2" t="s">
        <v>10</v>
      </c>
      <c r="E9674" s="2" t="s">
        <v>16</v>
      </c>
      <c r="F9674" s="2">
        <v>1</v>
      </c>
      <c r="G9674" s="2" t="s">
        <v>17</v>
      </c>
    </row>
    <row r="9675" spans="1:7" x14ac:dyDescent="0.2">
      <c r="A9675" s="2" t="s">
        <v>11321</v>
      </c>
      <c r="B9675" s="2" t="s">
        <v>464</v>
      </c>
      <c r="C9675" s="2" t="s">
        <v>7848</v>
      </c>
      <c r="D9675" s="2" t="s">
        <v>10</v>
      </c>
      <c r="E9675" s="2" t="s">
        <v>16</v>
      </c>
      <c r="F9675" s="2">
        <v>1</v>
      </c>
      <c r="G9675" s="2" t="s">
        <v>17</v>
      </c>
    </row>
    <row r="9676" spans="1:7" x14ac:dyDescent="0.2">
      <c r="A9676" s="2" t="s">
        <v>11321</v>
      </c>
      <c r="B9676" s="2" t="s">
        <v>7850</v>
      </c>
      <c r="C9676" s="2" t="s">
        <v>7843</v>
      </c>
      <c r="D9676" s="2" t="s">
        <v>10</v>
      </c>
      <c r="E9676" s="2" t="s">
        <v>16</v>
      </c>
      <c r="F9676" s="2">
        <v>1</v>
      </c>
      <c r="G9676" s="2" t="s">
        <v>17</v>
      </c>
    </row>
    <row r="9677" spans="1:7" x14ac:dyDescent="0.2">
      <c r="A9677" s="2" t="s">
        <v>11321</v>
      </c>
      <c r="B9677" s="2" t="s">
        <v>1977</v>
      </c>
      <c r="C9677" s="2" t="s">
        <v>5953</v>
      </c>
      <c r="D9677" s="2" t="s">
        <v>10</v>
      </c>
      <c r="E9677" s="2" t="s">
        <v>16</v>
      </c>
      <c r="F9677" s="2">
        <v>1</v>
      </c>
      <c r="G9677" s="2" t="s">
        <v>17</v>
      </c>
    </row>
    <row r="9678" spans="1:7" x14ac:dyDescent="0.2">
      <c r="A9678" s="2" t="s">
        <v>11321</v>
      </c>
      <c r="B9678" s="2" t="s">
        <v>11325</v>
      </c>
      <c r="C9678" s="2" t="s">
        <v>11323</v>
      </c>
      <c r="D9678" s="2" t="s">
        <v>10</v>
      </c>
      <c r="E9678" s="2" t="s">
        <v>16</v>
      </c>
      <c r="F9678" s="2">
        <v>1</v>
      </c>
      <c r="G9678" s="2" t="s">
        <v>17</v>
      </c>
    </row>
    <row r="9679" spans="1:7" x14ac:dyDescent="0.2">
      <c r="A9679" s="2" t="s">
        <v>11321</v>
      </c>
      <c r="B9679" s="2" t="s">
        <v>11326</v>
      </c>
      <c r="C9679" s="2" t="s">
        <v>11323</v>
      </c>
      <c r="D9679" s="2" t="s">
        <v>10</v>
      </c>
      <c r="E9679" s="2" t="s">
        <v>16</v>
      </c>
      <c r="F9679" s="2">
        <v>1</v>
      </c>
      <c r="G9679" s="2" t="s">
        <v>17</v>
      </c>
    </row>
    <row r="9680" spans="1:7" x14ac:dyDescent="0.2">
      <c r="A9680" s="2" t="s">
        <v>11321</v>
      </c>
      <c r="B9680" s="2" t="s">
        <v>3262</v>
      </c>
      <c r="C9680" s="2" t="s">
        <v>3261</v>
      </c>
      <c r="D9680" s="2" t="s">
        <v>10</v>
      </c>
      <c r="E9680" s="2" t="s">
        <v>16</v>
      </c>
      <c r="F9680" s="2">
        <v>2</v>
      </c>
      <c r="G9680" s="2" t="s">
        <v>17</v>
      </c>
    </row>
    <row r="9681" spans="1:7" x14ac:dyDescent="0.2">
      <c r="A9681" s="2" t="s">
        <v>11327</v>
      </c>
      <c r="B9681" s="2" t="s">
        <v>2168</v>
      </c>
      <c r="C9681" s="2" t="s">
        <v>2169</v>
      </c>
      <c r="D9681" s="2" t="s">
        <v>10</v>
      </c>
      <c r="E9681" s="2" t="s">
        <v>16</v>
      </c>
      <c r="F9681" s="2">
        <v>1</v>
      </c>
      <c r="G9681" s="2" t="s">
        <v>17</v>
      </c>
    </row>
    <row r="9682" spans="1:7" x14ac:dyDescent="0.2">
      <c r="A9682" s="2" t="s">
        <v>11328</v>
      </c>
      <c r="B9682" s="2" t="s">
        <v>11329</v>
      </c>
      <c r="C9682" s="2" t="s">
        <v>2064</v>
      </c>
      <c r="D9682" s="2" t="s">
        <v>10</v>
      </c>
      <c r="E9682" s="2" t="s">
        <v>52</v>
      </c>
      <c r="F9682" s="2">
        <v>1</v>
      </c>
      <c r="G9682" s="2" t="s">
        <v>17</v>
      </c>
    </row>
    <row r="9683" spans="1:7" x14ac:dyDescent="0.2">
      <c r="A9683" s="2" t="s">
        <v>11330</v>
      </c>
      <c r="B9683" s="2" t="s">
        <v>11331</v>
      </c>
      <c r="C9683" s="2" t="s">
        <v>11332</v>
      </c>
      <c r="D9683" s="2" t="s">
        <v>10</v>
      </c>
      <c r="E9683" s="2" t="s">
        <v>16</v>
      </c>
      <c r="F9683" s="2">
        <v>1</v>
      </c>
      <c r="G9683" s="2" t="s">
        <v>17</v>
      </c>
    </row>
    <row r="9684" spans="1:7" x14ac:dyDescent="0.2">
      <c r="A9684" s="2" t="s">
        <v>11333</v>
      </c>
      <c r="B9684" s="2" t="s">
        <v>6599</v>
      </c>
      <c r="C9684" s="2" t="s">
        <v>11334</v>
      </c>
      <c r="D9684" s="2" t="s">
        <v>10</v>
      </c>
      <c r="E9684" s="2" t="s">
        <v>16</v>
      </c>
      <c r="F9684" s="2">
        <v>1</v>
      </c>
      <c r="G9684" s="2" t="s">
        <v>17</v>
      </c>
    </row>
    <row r="9685" spans="1:7" x14ac:dyDescent="0.2">
      <c r="A9685" s="2" t="s">
        <v>11333</v>
      </c>
      <c r="B9685" s="2" t="s">
        <v>11335</v>
      </c>
      <c r="C9685" s="2" t="s">
        <v>11336</v>
      </c>
      <c r="D9685" s="2" t="s">
        <v>10</v>
      </c>
      <c r="E9685" s="2" t="s">
        <v>16</v>
      </c>
      <c r="F9685" s="2">
        <v>1</v>
      </c>
      <c r="G9685" s="2" t="s">
        <v>17</v>
      </c>
    </row>
    <row r="9686" spans="1:7" x14ac:dyDescent="0.2">
      <c r="A9686" s="2" t="s">
        <v>11333</v>
      </c>
      <c r="B9686" s="2" t="s">
        <v>11337</v>
      </c>
      <c r="C9686" s="2" t="s">
        <v>11336</v>
      </c>
      <c r="D9686" s="2" t="s">
        <v>10</v>
      </c>
      <c r="E9686" s="2" t="s">
        <v>16</v>
      </c>
      <c r="F9686" s="2">
        <v>1</v>
      </c>
      <c r="G9686" s="2" t="s">
        <v>17</v>
      </c>
    </row>
    <row r="9687" spans="1:7" x14ac:dyDescent="0.2">
      <c r="A9687" s="2" t="s">
        <v>11333</v>
      </c>
      <c r="B9687" s="2" t="s">
        <v>11338</v>
      </c>
      <c r="C9687" s="2" t="s">
        <v>11334</v>
      </c>
      <c r="D9687" s="2" t="s">
        <v>10</v>
      </c>
      <c r="E9687" s="2" t="s">
        <v>16</v>
      </c>
      <c r="F9687" s="2">
        <v>1</v>
      </c>
      <c r="G9687" s="2" t="s">
        <v>17</v>
      </c>
    </row>
    <row r="9688" spans="1:7" x14ac:dyDescent="0.2">
      <c r="A9688" s="2" t="s">
        <v>11339</v>
      </c>
      <c r="B9688" s="2" t="s">
        <v>11340</v>
      </c>
      <c r="C9688" s="2" t="s">
        <v>11341</v>
      </c>
      <c r="D9688" s="2" t="s">
        <v>10</v>
      </c>
      <c r="E9688" s="2" t="s">
        <v>16</v>
      </c>
      <c r="F9688" s="2">
        <v>1</v>
      </c>
      <c r="G9688" s="2" t="s">
        <v>17</v>
      </c>
    </row>
    <row r="9689" spans="1:7" x14ac:dyDescent="0.2">
      <c r="A9689" s="2" t="s">
        <v>11339</v>
      </c>
      <c r="B9689" s="2" t="s">
        <v>11342</v>
      </c>
      <c r="C9689" s="2" t="s">
        <v>11341</v>
      </c>
      <c r="D9689" s="2" t="s">
        <v>10</v>
      </c>
      <c r="E9689" s="2" t="s">
        <v>16</v>
      </c>
      <c r="F9689" s="2">
        <v>1</v>
      </c>
      <c r="G9689" s="2" t="s">
        <v>17</v>
      </c>
    </row>
    <row r="9690" spans="1:7" x14ac:dyDescent="0.2">
      <c r="A9690" s="2" t="s">
        <v>11343</v>
      </c>
      <c r="B9690" s="2" t="s">
        <v>11344</v>
      </c>
      <c r="C9690" s="2" t="s">
        <v>11345</v>
      </c>
      <c r="D9690" s="2" t="s">
        <v>10</v>
      </c>
      <c r="E9690" s="2" t="s">
        <v>16</v>
      </c>
      <c r="F9690" s="2">
        <v>1</v>
      </c>
      <c r="G9690" s="2" t="s">
        <v>17</v>
      </c>
    </row>
    <row r="9691" spans="1:7" x14ac:dyDescent="0.2">
      <c r="A9691" s="2" t="s">
        <v>11343</v>
      </c>
      <c r="B9691" s="2" t="s">
        <v>9186</v>
      </c>
      <c r="C9691" s="2" t="s">
        <v>11345</v>
      </c>
      <c r="D9691" s="2" t="s">
        <v>10</v>
      </c>
      <c r="E9691" s="2" t="s">
        <v>16</v>
      </c>
      <c r="F9691" s="2">
        <v>1</v>
      </c>
      <c r="G9691" s="2" t="s">
        <v>17</v>
      </c>
    </row>
    <row r="9692" spans="1:7" x14ac:dyDescent="0.2">
      <c r="A9692" s="2" t="s">
        <v>11346</v>
      </c>
      <c r="B9692" s="2" t="s">
        <v>6094</v>
      </c>
      <c r="C9692" s="2" t="s">
        <v>6095</v>
      </c>
      <c r="D9692" s="2" t="s">
        <v>10</v>
      </c>
      <c r="E9692" s="2" t="s">
        <v>16</v>
      </c>
      <c r="F9692" s="2">
        <v>1</v>
      </c>
      <c r="G9692" s="2" t="s">
        <v>17</v>
      </c>
    </row>
    <row r="9693" spans="1:7" x14ac:dyDescent="0.2">
      <c r="A9693" s="2" t="s">
        <v>11346</v>
      </c>
      <c r="B9693" s="2" t="s">
        <v>6106</v>
      </c>
      <c r="C9693" s="2" t="s">
        <v>6095</v>
      </c>
      <c r="D9693" s="2" t="s">
        <v>10</v>
      </c>
      <c r="E9693" s="2" t="s">
        <v>16</v>
      </c>
      <c r="F9693" s="2">
        <v>1</v>
      </c>
      <c r="G9693" s="2" t="s">
        <v>17</v>
      </c>
    </row>
    <row r="9694" spans="1:7" x14ac:dyDescent="0.2">
      <c r="A9694" s="2" t="s">
        <v>11346</v>
      </c>
      <c r="B9694" s="2" t="s">
        <v>6109</v>
      </c>
      <c r="C9694" s="2" t="s">
        <v>6095</v>
      </c>
      <c r="D9694" s="2" t="s">
        <v>10</v>
      </c>
      <c r="E9694" s="2" t="s">
        <v>16</v>
      </c>
      <c r="F9694" s="2">
        <v>1</v>
      </c>
      <c r="G9694" s="2" t="s">
        <v>17</v>
      </c>
    </row>
    <row r="9695" spans="1:7" x14ac:dyDescent="0.2">
      <c r="A9695" s="2" t="s">
        <v>11347</v>
      </c>
      <c r="B9695" s="2" t="s">
        <v>11348</v>
      </c>
      <c r="C9695" s="2" t="s">
        <v>11349</v>
      </c>
      <c r="D9695" s="2" t="s">
        <v>56</v>
      </c>
      <c r="E9695" s="2" t="s">
        <v>16</v>
      </c>
      <c r="F9695" s="2">
        <v>1</v>
      </c>
      <c r="G9695" s="2" t="s">
        <v>17</v>
      </c>
    </row>
    <row r="9696" spans="1:7" x14ac:dyDescent="0.2">
      <c r="A9696" s="2" t="s">
        <v>11347</v>
      </c>
      <c r="B9696" s="2" t="s">
        <v>41</v>
      </c>
      <c r="C9696" s="2" t="s">
        <v>11349</v>
      </c>
      <c r="D9696" s="2" t="s">
        <v>56</v>
      </c>
      <c r="E9696" s="2" t="s">
        <v>16</v>
      </c>
      <c r="F9696" s="2">
        <v>1</v>
      </c>
      <c r="G9696" s="2" t="s">
        <v>17</v>
      </c>
    </row>
    <row r="9697" spans="1:7" x14ac:dyDescent="0.2">
      <c r="A9697" s="2" t="s">
        <v>11350</v>
      </c>
      <c r="B9697" s="2" t="s">
        <v>11351</v>
      </c>
      <c r="C9697" s="2" t="s">
        <v>1562</v>
      </c>
      <c r="D9697" s="2" t="s">
        <v>10</v>
      </c>
      <c r="E9697" s="2" t="s">
        <v>16</v>
      </c>
      <c r="F9697" s="2">
        <v>1</v>
      </c>
      <c r="G9697" s="2" t="s">
        <v>17</v>
      </c>
    </row>
    <row r="9698" spans="1:7" x14ac:dyDescent="0.2">
      <c r="A9698" s="2" t="s">
        <v>11350</v>
      </c>
      <c r="B9698" s="2" t="s">
        <v>11352</v>
      </c>
      <c r="C9698" s="2" t="s">
        <v>1564</v>
      </c>
      <c r="D9698" s="2" t="s">
        <v>10</v>
      </c>
      <c r="E9698" s="2" t="s">
        <v>16</v>
      </c>
      <c r="F9698" s="2">
        <v>1</v>
      </c>
      <c r="G9698" s="2" t="s">
        <v>17</v>
      </c>
    </row>
    <row r="9699" spans="1:7" x14ac:dyDescent="0.2">
      <c r="A9699" s="2" t="s">
        <v>11350</v>
      </c>
      <c r="B9699" s="2" t="s">
        <v>11353</v>
      </c>
      <c r="C9699" s="2" t="s">
        <v>1562</v>
      </c>
      <c r="D9699" s="2" t="s">
        <v>10</v>
      </c>
      <c r="E9699" s="2" t="s">
        <v>16</v>
      </c>
      <c r="F9699" s="2">
        <v>1</v>
      </c>
      <c r="G9699" s="2" t="s">
        <v>17</v>
      </c>
    </row>
    <row r="9700" spans="1:7" x14ac:dyDescent="0.2">
      <c r="A9700" s="2" t="s">
        <v>11350</v>
      </c>
      <c r="B9700" s="2" t="s">
        <v>11354</v>
      </c>
      <c r="C9700" s="2" t="s">
        <v>1564</v>
      </c>
      <c r="D9700" s="2" t="s">
        <v>10</v>
      </c>
      <c r="E9700" s="2" t="s">
        <v>16</v>
      </c>
      <c r="F9700" s="2">
        <v>1</v>
      </c>
      <c r="G9700" s="2" t="s">
        <v>17</v>
      </c>
    </row>
    <row r="9701" spans="1:7" x14ac:dyDescent="0.2">
      <c r="A9701" s="2" t="s">
        <v>11355</v>
      </c>
      <c r="B9701" s="2" t="s">
        <v>2385</v>
      </c>
      <c r="C9701" s="2" t="s">
        <v>2386</v>
      </c>
      <c r="D9701" s="2" t="s">
        <v>10</v>
      </c>
      <c r="E9701" s="2" t="s">
        <v>52</v>
      </c>
      <c r="F9701" s="2">
        <v>1</v>
      </c>
      <c r="G9701" s="2" t="s">
        <v>17</v>
      </c>
    </row>
    <row r="9702" spans="1:7" x14ac:dyDescent="0.2">
      <c r="A9702" s="2" t="s">
        <v>11355</v>
      </c>
      <c r="B9702" s="2" t="s">
        <v>2387</v>
      </c>
      <c r="C9702" s="2" t="s">
        <v>2386</v>
      </c>
      <c r="D9702" s="2" t="s">
        <v>10</v>
      </c>
      <c r="E9702" s="2" t="s">
        <v>52</v>
      </c>
      <c r="F9702" s="2">
        <v>1</v>
      </c>
      <c r="G9702" s="2" t="s">
        <v>17</v>
      </c>
    </row>
    <row r="9703" spans="1:7" x14ac:dyDescent="0.2">
      <c r="A9703" s="2" t="s">
        <v>11356</v>
      </c>
      <c r="B9703" s="2" t="s">
        <v>3839</v>
      </c>
      <c r="C9703" s="2" t="s">
        <v>3840</v>
      </c>
      <c r="D9703" s="2" t="s">
        <v>10</v>
      </c>
      <c r="E9703" s="2" t="s">
        <v>11</v>
      </c>
      <c r="F9703" s="2">
        <v>2</v>
      </c>
      <c r="G9703" s="2" t="s">
        <v>12</v>
      </c>
    </row>
    <row r="9704" spans="1:7" x14ac:dyDescent="0.2">
      <c r="A9704" s="2" t="s">
        <v>11356</v>
      </c>
      <c r="B9704" s="2" t="s">
        <v>3841</v>
      </c>
      <c r="C9704" s="2" t="s">
        <v>3840</v>
      </c>
      <c r="D9704" s="2" t="s">
        <v>10</v>
      </c>
      <c r="E9704" s="2" t="s">
        <v>11</v>
      </c>
      <c r="F9704" s="2">
        <v>2</v>
      </c>
      <c r="G9704" s="2" t="s">
        <v>12</v>
      </c>
    </row>
    <row r="9705" spans="1:7" x14ac:dyDescent="0.2">
      <c r="A9705" s="2" t="s">
        <v>11357</v>
      </c>
      <c r="B9705" s="2" t="s">
        <v>11358</v>
      </c>
      <c r="C9705" s="2" t="s">
        <v>11359</v>
      </c>
      <c r="D9705" s="2" t="s">
        <v>10</v>
      </c>
      <c r="E9705" s="2" t="s">
        <v>16</v>
      </c>
      <c r="F9705" s="2">
        <v>1</v>
      </c>
      <c r="G9705" s="2" t="s">
        <v>17</v>
      </c>
    </row>
    <row r="9706" spans="1:7" x14ac:dyDescent="0.2">
      <c r="A9706" s="2" t="s">
        <v>11360</v>
      </c>
      <c r="B9706" s="2" t="s">
        <v>11361</v>
      </c>
      <c r="C9706" s="2" t="s">
        <v>11362</v>
      </c>
      <c r="D9706" s="2" t="s">
        <v>10</v>
      </c>
      <c r="E9706" s="2" t="s">
        <v>16</v>
      </c>
      <c r="F9706" s="2">
        <v>1</v>
      </c>
      <c r="G9706" s="2" t="s">
        <v>17</v>
      </c>
    </row>
    <row r="9707" spans="1:7" x14ac:dyDescent="0.2">
      <c r="A9707" s="2" t="s">
        <v>11360</v>
      </c>
      <c r="B9707" s="2" t="s">
        <v>11363</v>
      </c>
      <c r="C9707" s="2" t="s">
        <v>11362</v>
      </c>
      <c r="D9707" s="2" t="s">
        <v>10</v>
      </c>
      <c r="E9707" s="2" t="s">
        <v>16</v>
      </c>
      <c r="F9707" s="2">
        <v>1</v>
      </c>
      <c r="G9707" s="2" t="s">
        <v>17</v>
      </c>
    </row>
    <row r="9708" spans="1:7" x14ac:dyDescent="0.2">
      <c r="A9708" s="2" t="s">
        <v>11360</v>
      </c>
      <c r="B9708" s="2" t="s">
        <v>11364</v>
      </c>
      <c r="C9708" s="2" t="s">
        <v>11362</v>
      </c>
      <c r="D9708" s="2" t="s">
        <v>10</v>
      </c>
      <c r="E9708" s="2" t="s">
        <v>16</v>
      </c>
      <c r="F9708" s="2">
        <v>1</v>
      </c>
      <c r="G9708" s="2" t="s">
        <v>17</v>
      </c>
    </row>
    <row r="9709" spans="1:7" x14ac:dyDescent="0.2">
      <c r="A9709" s="2" t="s">
        <v>11360</v>
      </c>
      <c r="B9709" s="2" t="s">
        <v>11365</v>
      </c>
      <c r="C9709" s="2" t="s">
        <v>11362</v>
      </c>
      <c r="D9709" s="2" t="s">
        <v>10</v>
      </c>
      <c r="E9709" s="2" t="s">
        <v>16</v>
      </c>
      <c r="F9709" s="2">
        <v>1</v>
      </c>
      <c r="G9709" s="2" t="s">
        <v>17</v>
      </c>
    </row>
    <row r="9710" spans="1:7" x14ac:dyDescent="0.2">
      <c r="A9710" s="2" t="s">
        <v>11366</v>
      </c>
      <c r="B9710" s="2" t="s">
        <v>11367</v>
      </c>
      <c r="C9710" s="2" t="s">
        <v>4048</v>
      </c>
      <c r="D9710" s="2" t="s">
        <v>10</v>
      </c>
      <c r="E9710" s="2" t="s">
        <v>16</v>
      </c>
      <c r="F9710" s="2">
        <v>1</v>
      </c>
      <c r="G9710" s="2" t="s">
        <v>17</v>
      </c>
    </row>
    <row r="9711" spans="1:7" x14ac:dyDescent="0.2">
      <c r="A9711" s="2" t="s">
        <v>11366</v>
      </c>
      <c r="B9711" s="2" t="s">
        <v>96</v>
      </c>
      <c r="C9711" s="2" t="s">
        <v>97</v>
      </c>
      <c r="D9711" s="2" t="s">
        <v>10</v>
      </c>
      <c r="E9711" s="2" t="s">
        <v>16</v>
      </c>
      <c r="F9711" s="2">
        <v>1</v>
      </c>
      <c r="G9711" s="2" t="s">
        <v>17</v>
      </c>
    </row>
    <row r="9712" spans="1:7" x14ac:dyDescent="0.2">
      <c r="A9712" s="2" t="s">
        <v>11366</v>
      </c>
      <c r="B9712" s="2" t="s">
        <v>676</v>
      </c>
      <c r="C9712" s="2" t="s">
        <v>4048</v>
      </c>
      <c r="D9712" s="2" t="s">
        <v>10</v>
      </c>
      <c r="E9712" s="2" t="s">
        <v>16</v>
      </c>
      <c r="F9712" s="2">
        <v>1</v>
      </c>
      <c r="G9712" s="2" t="s">
        <v>17</v>
      </c>
    </row>
    <row r="9713" spans="1:7" x14ac:dyDescent="0.2">
      <c r="A9713" s="2" t="s">
        <v>11368</v>
      </c>
      <c r="B9713" s="2" t="s">
        <v>11369</v>
      </c>
      <c r="C9713" s="2" t="s">
        <v>2077</v>
      </c>
      <c r="D9713" s="2" t="s">
        <v>10</v>
      </c>
      <c r="E9713" s="2" t="s">
        <v>52</v>
      </c>
      <c r="F9713" s="2">
        <v>1</v>
      </c>
      <c r="G9713" s="2" t="s">
        <v>17</v>
      </c>
    </row>
    <row r="9714" spans="1:7" x14ac:dyDescent="0.2">
      <c r="A9714" s="2" t="s">
        <v>11368</v>
      </c>
      <c r="B9714" s="2" t="s">
        <v>11370</v>
      </c>
      <c r="C9714" s="2" t="s">
        <v>2064</v>
      </c>
      <c r="D9714" s="2" t="s">
        <v>10</v>
      </c>
      <c r="E9714" s="2" t="s">
        <v>52</v>
      </c>
      <c r="F9714" s="2">
        <v>1</v>
      </c>
      <c r="G9714" s="2" t="s">
        <v>17</v>
      </c>
    </row>
    <row r="9715" spans="1:7" x14ac:dyDescent="0.2">
      <c r="A9715" s="2" t="s">
        <v>11368</v>
      </c>
      <c r="B9715" s="2" t="s">
        <v>11371</v>
      </c>
      <c r="C9715" s="2" t="s">
        <v>2064</v>
      </c>
      <c r="D9715" s="2" t="s">
        <v>10</v>
      </c>
      <c r="E9715" s="2" t="s">
        <v>52</v>
      </c>
      <c r="F9715" s="2">
        <v>1</v>
      </c>
      <c r="G9715" s="2" t="s">
        <v>17</v>
      </c>
    </row>
    <row r="9716" spans="1:7" x14ac:dyDescent="0.2">
      <c r="A9716" s="2" t="s">
        <v>11368</v>
      </c>
      <c r="B9716" s="2" t="s">
        <v>2072</v>
      </c>
      <c r="C9716" s="2" t="s">
        <v>2064</v>
      </c>
      <c r="D9716" s="2" t="s">
        <v>10</v>
      </c>
      <c r="E9716" s="2" t="s">
        <v>52</v>
      </c>
      <c r="F9716" s="2">
        <v>1</v>
      </c>
      <c r="G9716" s="2" t="s">
        <v>17</v>
      </c>
    </row>
    <row r="9717" spans="1:7" x14ac:dyDescent="0.2">
      <c r="A9717" s="2" t="s">
        <v>11368</v>
      </c>
      <c r="B9717" s="2" t="s">
        <v>11372</v>
      </c>
      <c r="C9717" s="2" t="s">
        <v>2064</v>
      </c>
      <c r="D9717" s="2" t="s">
        <v>10</v>
      </c>
      <c r="E9717" s="2" t="s">
        <v>52</v>
      </c>
      <c r="F9717" s="2">
        <v>1</v>
      </c>
      <c r="G9717" s="2" t="s">
        <v>17</v>
      </c>
    </row>
    <row r="9718" spans="1:7" x14ac:dyDescent="0.2">
      <c r="A9718" s="2" t="s">
        <v>11368</v>
      </c>
      <c r="B9718" s="2" t="s">
        <v>11373</v>
      </c>
      <c r="C9718" s="2" t="s">
        <v>2064</v>
      </c>
      <c r="D9718" s="2" t="s">
        <v>10</v>
      </c>
      <c r="E9718" s="2" t="s">
        <v>52</v>
      </c>
      <c r="F9718" s="2">
        <v>1</v>
      </c>
      <c r="G9718" s="2" t="s">
        <v>17</v>
      </c>
    </row>
    <row r="9719" spans="1:7" x14ac:dyDescent="0.2">
      <c r="A9719" s="2" t="s">
        <v>11368</v>
      </c>
      <c r="B9719" s="2" t="s">
        <v>11374</v>
      </c>
      <c r="C9719" s="2" t="s">
        <v>2077</v>
      </c>
      <c r="D9719" s="2" t="s">
        <v>10</v>
      </c>
      <c r="E9719" s="2" t="s">
        <v>52</v>
      </c>
      <c r="F9719" s="2">
        <v>1</v>
      </c>
      <c r="G9719" s="2" t="s">
        <v>17</v>
      </c>
    </row>
    <row r="9720" spans="1:7" x14ac:dyDescent="0.2">
      <c r="A9720" s="2" t="s">
        <v>11368</v>
      </c>
      <c r="B9720" s="2" t="s">
        <v>11375</v>
      </c>
      <c r="C9720" s="2" t="s">
        <v>2064</v>
      </c>
      <c r="D9720" s="2" t="s">
        <v>10</v>
      </c>
      <c r="E9720" s="2" t="s">
        <v>52</v>
      </c>
      <c r="F9720" s="2">
        <v>1</v>
      </c>
      <c r="G9720" s="2" t="s">
        <v>17</v>
      </c>
    </row>
    <row r="9721" spans="1:7" x14ac:dyDescent="0.2">
      <c r="A9721" s="2" t="s">
        <v>11368</v>
      </c>
      <c r="B9721" s="2" t="s">
        <v>11376</v>
      </c>
      <c r="C9721" s="2" t="s">
        <v>269</v>
      </c>
      <c r="D9721" s="2" t="s">
        <v>10</v>
      </c>
      <c r="E9721" s="2" t="s">
        <v>16</v>
      </c>
      <c r="F9721" s="2">
        <v>1</v>
      </c>
      <c r="G9721" s="2" t="s">
        <v>17</v>
      </c>
    </row>
    <row r="9722" spans="1:7" x14ac:dyDescent="0.2">
      <c r="A9722" s="2" t="s">
        <v>11368</v>
      </c>
      <c r="B9722" s="2" t="s">
        <v>11377</v>
      </c>
      <c r="C9722" s="2" t="s">
        <v>269</v>
      </c>
      <c r="D9722" s="2" t="s">
        <v>10</v>
      </c>
      <c r="E9722" s="2" t="s">
        <v>16</v>
      </c>
      <c r="F9722" s="2">
        <v>1</v>
      </c>
      <c r="G9722" s="2" t="s">
        <v>17</v>
      </c>
    </row>
    <row r="9723" spans="1:7" x14ac:dyDescent="0.2">
      <c r="A9723" s="2" t="s">
        <v>11368</v>
      </c>
      <c r="B9723" s="2" t="s">
        <v>11378</v>
      </c>
      <c r="C9723" s="2" t="s">
        <v>2064</v>
      </c>
      <c r="D9723" s="2" t="s">
        <v>10</v>
      </c>
      <c r="E9723" s="2" t="s">
        <v>52</v>
      </c>
      <c r="F9723" s="2">
        <v>1</v>
      </c>
      <c r="G9723" s="2" t="s">
        <v>17</v>
      </c>
    </row>
    <row r="9724" spans="1:7" x14ac:dyDescent="0.2">
      <c r="A9724" s="2" t="s">
        <v>11379</v>
      </c>
      <c r="B9724" s="2" t="s">
        <v>11380</v>
      </c>
      <c r="C9724" s="2" t="s">
        <v>11381</v>
      </c>
      <c r="D9724" s="2" t="s">
        <v>10</v>
      </c>
      <c r="E9724" s="2" t="s">
        <v>16</v>
      </c>
      <c r="F9724" s="2">
        <v>1</v>
      </c>
      <c r="G9724" s="2" t="s">
        <v>17</v>
      </c>
    </row>
    <row r="9725" spans="1:7" x14ac:dyDescent="0.2">
      <c r="A9725" s="2" t="s">
        <v>11379</v>
      </c>
      <c r="B9725" s="2" t="s">
        <v>11382</v>
      </c>
      <c r="C9725" s="2" t="s">
        <v>11383</v>
      </c>
      <c r="D9725" s="2" t="s">
        <v>10</v>
      </c>
      <c r="E9725" s="2" t="s">
        <v>16</v>
      </c>
      <c r="F9725" s="2">
        <v>1</v>
      </c>
      <c r="G9725" s="2" t="s">
        <v>17</v>
      </c>
    </row>
    <row r="9726" spans="1:7" x14ac:dyDescent="0.2">
      <c r="A9726" s="2" t="s">
        <v>11379</v>
      </c>
      <c r="B9726" s="2" t="s">
        <v>11384</v>
      </c>
      <c r="C9726" s="2" t="s">
        <v>11385</v>
      </c>
      <c r="D9726" s="2" t="s">
        <v>10</v>
      </c>
      <c r="E9726" s="2" t="s">
        <v>16</v>
      </c>
      <c r="F9726" s="2">
        <v>1</v>
      </c>
      <c r="G9726" s="2" t="s">
        <v>17</v>
      </c>
    </row>
    <row r="9727" spans="1:7" x14ac:dyDescent="0.2">
      <c r="A9727" s="2" t="s">
        <v>11386</v>
      </c>
      <c r="B9727" s="2" t="s">
        <v>11134</v>
      </c>
      <c r="C9727" s="2" t="s">
        <v>11387</v>
      </c>
      <c r="D9727" s="2" t="s">
        <v>29</v>
      </c>
      <c r="E9727" s="2" t="s">
        <v>16</v>
      </c>
      <c r="F9727" s="2">
        <v>1</v>
      </c>
      <c r="G9727" s="2" t="s">
        <v>17</v>
      </c>
    </row>
    <row r="9728" spans="1:7" x14ac:dyDescent="0.2">
      <c r="A9728" s="2" t="s">
        <v>11386</v>
      </c>
      <c r="B9728" s="2" t="s">
        <v>11388</v>
      </c>
      <c r="C9728" s="2" t="s">
        <v>11387</v>
      </c>
      <c r="D9728" s="2" t="s">
        <v>29</v>
      </c>
      <c r="E9728" s="2" t="s">
        <v>16</v>
      </c>
      <c r="F9728" s="2">
        <v>1</v>
      </c>
      <c r="G9728" s="2" t="s">
        <v>17</v>
      </c>
    </row>
    <row r="9729" spans="1:7" x14ac:dyDescent="0.2">
      <c r="A9729" s="2" t="s">
        <v>11386</v>
      </c>
      <c r="B9729" s="2" t="s">
        <v>11389</v>
      </c>
      <c r="C9729" s="2" t="s">
        <v>11387</v>
      </c>
      <c r="D9729" s="2" t="s">
        <v>29</v>
      </c>
      <c r="E9729" s="2" t="s">
        <v>16</v>
      </c>
      <c r="F9729" s="2">
        <v>1</v>
      </c>
      <c r="G9729" s="2" t="s">
        <v>17</v>
      </c>
    </row>
    <row r="9730" spans="1:7" x14ac:dyDescent="0.2">
      <c r="A9730" s="2" t="s">
        <v>11386</v>
      </c>
      <c r="B9730" s="2" t="s">
        <v>10302</v>
      </c>
      <c r="C9730" s="2" t="s">
        <v>10303</v>
      </c>
      <c r="D9730" s="2" t="s">
        <v>29</v>
      </c>
      <c r="E9730" s="2" t="s">
        <v>16</v>
      </c>
      <c r="F9730" s="2">
        <v>1</v>
      </c>
      <c r="G9730" s="2" t="s">
        <v>17</v>
      </c>
    </row>
    <row r="9731" spans="1:7" x14ac:dyDescent="0.2">
      <c r="A9731" s="2" t="s">
        <v>11386</v>
      </c>
      <c r="B9731" s="2" t="s">
        <v>164</v>
      </c>
      <c r="C9731" s="2" t="s">
        <v>11387</v>
      </c>
      <c r="D9731" s="2" t="s">
        <v>29</v>
      </c>
      <c r="E9731" s="2" t="s">
        <v>16</v>
      </c>
      <c r="F9731" s="2">
        <v>1</v>
      </c>
      <c r="G9731" s="2" t="s">
        <v>17</v>
      </c>
    </row>
    <row r="9732" spans="1:7" x14ac:dyDescent="0.2">
      <c r="A9732" s="2" t="s">
        <v>11386</v>
      </c>
      <c r="B9732" s="2" t="s">
        <v>10305</v>
      </c>
      <c r="C9732" s="2" t="s">
        <v>10303</v>
      </c>
      <c r="D9732" s="2" t="s">
        <v>29</v>
      </c>
      <c r="E9732" s="2" t="s">
        <v>16</v>
      </c>
      <c r="F9732" s="2">
        <v>1</v>
      </c>
      <c r="G9732" s="2" t="s">
        <v>17</v>
      </c>
    </row>
    <row r="9733" spans="1:7" x14ac:dyDescent="0.2">
      <c r="A9733" s="2" t="s">
        <v>11390</v>
      </c>
      <c r="B9733" s="2" t="s">
        <v>1556</v>
      </c>
      <c r="C9733" s="2" t="s">
        <v>1520</v>
      </c>
      <c r="D9733" s="2" t="s">
        <v>10</v>
      </c>
      <c r="E9733" s="2" t="s">
        <v>16</v>
      </c>
      <c r="F9733" s="2">
        <v>1</v>
      </c>
      <c r="G9733" s="2" t="s">
        <v>17</v>
      </c>
    </row>
    <row r="9734" spans="1:7" x14ac:dyDescent="0.2">
      <c r="A9734" s="2" t="s">
        <v>11390</v>
      </c>
      <c r="B9734" s="2" t="s">
        <v>676</v>
      </c>
      <c r="C9734" s="2" t="s">
        <v>1520</v>
      </c>
      <c r="D9734" s="2" t="s">
        <v>10</v>
      </c>
      <c r="E9734" s="2" t="s">
        <v>16</v>
      </c>
      <c r="F9734" s="2">
        <v>1</v>
      </c>
      <c r="G9734" s="2" t="s">
        <v>17</v>
      </c>
    </row>
    <row r="9735" spans="1:7" x14ac:dyDescent="0.2">
      <c r="A9735" s="2" t="s">
        <v>11391</v>
      </c>
      <c r="B9735" s="2" t="s">
        <v>6959</v>
      </c>
      <c r="C9735" s="2" t="s">
        <v>11392</v>
      </c>
      <c r="D9735" s="2" t="s">
        <v>10</v>
      </c>
      <c r="E9735" s="2" t="s">
        <v>16</v>
      </c>
      <c r="F9735" s="2">
        <v>1</v>
      </c>
      <c r="G9735" s="2" t="s">
        <v>17</v>
      </c>
    </row>
    <row r="9736" spans="1:7" x14ac:dyDescent="0.2">
      <c r="A9736" s="2" t="s">
        <v>11393</v>
      </c>
      <c r="B9736" s="2" t="s">
        <v>5782</v>
      </c>
      <c r="C9736" s="2" t="s">
        <v>2019</v>
      </c>
      <c r="D9736" s="2" t="s">
        <v>10</v>
      </c>
      <c r="E9736" s="2" t="s">
        <v>16</v>
      </c>
      <c r="F9736" s="2">
        <v>1</v>
      </c>
      <c r="G9736" s="2" t="s">
        <v>17</v>
      </c>
    </row>
    <row r="9737" spans="1:7" x14ac:dyDescent="0.2">
      <c r="A9737" s="2" t="s">
        <v>11393</v>
      </c>
      <c r="B9737" s="2" t="s">
        <v>11209</v>
      </c>
      <c r="C9737" s="2" t="s">
        <v>2019</v>
      </c>
      <c r="D9737" s="2" t="s">
        <v>10</v>
      </c>
      <c r="E9737" s="2" t="s">
        <v>16</v>
      </c>
      <c r="F9737" s="2">
        <v>1</v>
      </c>
      <c r="G9737" s="2" t="s">
        <v>17</v>
      </c>
    </row>
    <row r="9738" spans="1:7" x14ac:dyDescent="0.2">
      <c r="A9738" s="2" t="s">
        <v>11393</v>
      </c>
      <c r="B9738" s="2" t="s">
        <v>11394</v>
      </c>
      <c r="C9738" s="2" t="s">
        <v>2019</v>
      </c>
      <c r="D9738" s="2" t="s">
        <v>10</v>
      </c>
      <c r="E9738" s="2" t="s">
        <v>16</v>
      </c>
      <c r="F9738" s="2">
        <v>1</v>
      </c>
      <c r="G9738" s="2" t="s">
        <v>17</v>
      </c>
    </row>
    <row r="9739" spans="1:7" x14ac:dyDescent="0.2">
      <c r="A9739" s="2" t="s">
        <v>11393</v>
      </c>
      <c r="B9739" s="2" t="s">
        <v>2574</v>
      </c>
      <c r="C9739" s="2" t="s">
        <v>2023</v>
      </c>
      <c r="D9739" s="2" t="s">
        <v>10</v>
      </c>
      <c r="E9739" s="2" t="s">
        <v>16</v>
      </c>
      <c r="F9739" s="2">
        <v>1</v>
      </c>
      <c r="G9739" s="2" t="s">
        <v>17</v>
      </c>
    </row>
    <row r="9740" spans="1:7" x14ac:dyDescent="0.2">
      <c r="A9740" s="2" t="s">
        <v>11393</v>
      </c>
      <c r="B9740" s="2" t="s">
        <v>2015</v>
      </c>
      <c r="C9740" s="2" t="s">
        <v>2016</v>
      </c>
      <c r="D9740" s="2" t="s">
        <v>10</v>
      </c>
      <c r="E9740" s="2" t="s">
        <v>16</v>
      </c>
      <c r="F9740" s="2">
        <v>1</v>
      </c>
      <c r="G9740" s="2" t="s">
        <v>17</v>
      </c>
    </row>
    <row r="9741" spans="1:7" x14ac:dyDescent="0.2">
      <c r="A9741" s="2" t="s">
        <v>11393</v>
      </c>
      <c r="B9741" s="2" t="s">
        <v>2017</v>
      </c>
      <c r="C9741" s="2" t="s">
        <v>2016</v>
      </c>
      <c r="D9741" s="2" t="s">
        <v>10</v>
      </c>
      <c r="E9741" s="2" t="s">
        <v>16</v>
      </c>
      <c r="F9741" s="2">
        <v>1</v>
      </c>
      <c r="G9741" s="2" t="s">
        <v>17</v>
      </c>
    </row>
    <row r="9742" spans="1:7" x14ac:dyDescent="0.2">
      <c r="A9742" s="2" t="s">
        <v>11393</v>
      </c>
      <c r="B9742" s="2" t="s">
        <v>1522</v>
      </c>
      <c r="C9742" s="2" t="s">
        <v>2019</v>
      </c>
      <c r="D9742" s="2" t="s">
        <v>10</v>
      </c>
      <c r="E9742" s="2" t="s">
        <v>16</v>
      </c>
      <c r="F9742" s="2">
        <v>1</v>
      </c>
      <c r="G9742" s="2" t="s">
        <v>17</v>
      </c>
    </row>
    <row r="9743" spans="1:7" x14ac:dyDescent="0.2">
      <c r="A9743" s="2" t="s">
        <v>11395</v>
      </c>
      <c r="B9743" s="2" t="s">
        <v>4139</v>
      </c>
      <c r="C9743" s="2" t="s">
        <v>11396</v>
      </c>
      <c r="D9743" s="2" t="s">
        <v>10</v>
      </c>
      <c r="E9743" s="2" t="s">
        <v>16</v>
      </c>
      <c r="F9743" s="2">
        <v>1</v>
      </c>
      <c r="G9743" s="2" t="s">
        <v>17</v>
      </c>
    </row>
    <row r="9744" spans="1:7" x14ac:dyDescent="0.2">
      <c r="A9744" s="2" t="s">
        <v>11395</v>
      </c>
      <c r="B9744" s="2" t="s">
        <v>11397</v>
      </c>
      <c r="C9744" s="2" t="s">
        <v>11396</v>
      </c>
      <c r="D9744" s="2" t="s">
        <v>10</v>
      </c>
      <c r="E9744" s="2" t="s">
        <v>16</v>
      </c>
      <c r="F9744" s="2">
        <v>1</v>
      </c>
      <c r="G9744" s="2" t="s">
        <v>17</v>
      </c>
    </row>
    <row r="9745" spans="1:7" x14ac:dyDescent="0.2">
      <c r="A9745" s="2" t="s">
        <v>11395</v>
      </c>
      <c r="B9745" s="2" t="s">
        <v>11398</v>
      </c>
      <c r="C9745" s="2" t="s">
        <v>11399</v>
      </c>
      <c r="D9745" s="2" t="s">
        <v>10</v>
      </c>
      <c r="E9745" s="2" t="s">
        <v>16</v>
      </c>
      <c r="F9745" s="2">
        <v>1</v>
      </c>
      <c r="G9745" s="2" t="s">
        <v>17</v>
      </c>
    </row>
    <row r="9746" spans="1:7" x14ac:dyDescent="0.2">
      <c r="A9746" s="2" t="s">
        <v>11400</v>
      </c>
      <c r="B9746" s="2" t="s">
        <v>11401</v>
      </c>
      <c r="C9746" s="2" t="s">
        <v>11402</v>
      </c>
      <c r="D9746" s="2" t="s">
        <v>10</v>
      </c>
      <c r="E9746" s="2" t="s">
        <v>16</v>
      </c>
      <c r="F9746" s="2">
        <v>1</v>
      </c>
      <c r="G9746" s="2" t="s">
        <v>17</v>
      </c>
    </row>
    <row r="9747" spans="1:7" x14ac:dyDescent="0.2">
      <c r="A9747" s="2" t="s">
        <v>11400</v>
      </c>
      <c r="B9747" s="2" t="s">
        <v>11403</v>
      </c>
      <c r="C9747" s="2" t="s">
        <v>11402</v>
      </c>
      <c r="D9747" s="2" t="s">
        <v>10</v>
      </c>
      <c r="E9747" s="2" t="s">
        <v>16</v>
      </c>
      <c r="F9747" s="2">
        <v>1</v>
      </c>
      <c r="G9747" s="2" t="s">
        <v>17</v>
      </c>
    </row>
    <row r="9748" spans="1:7" x14ac:dyDescent="0.2">
      <c r="A9748" s="2" t="s">
        <v>11400</v>
      </c>
      <c r="B9748" s="2" t="s">
        <v>11404</v>
      </c>
      <c r="C9748" s="2" t="s">
        <v>11402</v>
      </c>
      <c r="D9748" s="2" t="s">
        <v>10</v>
      </c>
      <c r="E9748" s="2" t="s">
        <v>16</v>
      </c>
      <c r="F9748" s="2">
        <v>1</v>
      </c>
      <c r="G9748" s="2" t="s">
        <v>17</v>
      </c>
    </row>
    <row r="9749" spans="1:7" x14ac:dyDescent="0.2">
      <c r="A9749" s="2" t="s">
        <v>11400</v>
      </c>
      <c r="B9749" s="2" t="s">
        <v>11405</v>
      </c>
      <c r="C9749" s="2" t="s">
        <v>11402</v>
      </c>
      <c r="D9749" s="2" t="s">
        <v>10</v>
      </c>
      <c r="E9749" s="2" t="s">
        <v>16</v>
      </c>
      <c r="F9749" s="2">
        <v>1</v>
      </c>
      <c r="G9749" s="2" t="s">
        <v>17</v>
      </c>
    </row>
    <row r="9750" spans="1:7" x14ac:dyDescent="0.2">
      <c r="A9750" s="2" t="s">
        <v>11400</v>
      </c>
      <c r="B9750" s="2" t="s">
        <v>11406</v>
      </c>
      <c r="C9750" s="2" t="s">
        <v>11407</v>
      </c>
      <c r="D9750" s="2" t="s">
        <v>10</v>
      </c>
      <c r="E9750" s="2" t="s">
        <v>16</v>
      </c>
      <c r="F9750" s="2">
        <v>1</v>
      </c>
      <c r="G9750" s="2" t="s">
        <v>17</v>
      </c>
    </row>
    <row r="9751" spans="1:7" x14ac:dyDescent="0.2">
      <c r="A9751" s="2" t="s">
        <v>11400</v>
      </c>
      <c r="B9751" s="2" t="s">
        <v>11408</v>
      </c>
      <c r="C9751" s="2" t="s">
        <v>11409</v>
      </c>
      <c r="D9751" s="2" t="s">
        <v>10</v>
      </c>
      <c r="E9751" s="2" t="s">
        <v>16</v>
      </c>
      <c r="F9751" s="2">
        <v>1</v>
      </c>
      <c r="G9751" s="2" t="s">
        <v>17</v>
      </c>
    </row>
    <row r="9752" spans="1:7" x14ac:dyDescent="0.2">
      <c r="A9752" s="2" t="s">
        <v>11400</v>
      </c>
      <c r="B9752" s="2" t="s">
        <v>5487</v>
      </c>
      <c r="C9752" s="2" t="s">
        <v>11409</v>
      </c>
      <c r="D9752" s="2" t="s">
        <v>10</v>
      </c>
      <c r="E9752" s="2" t="s">
        <v>16</v>
      </c>
      <c r="F9752" s="2">
        <v>1</v>
      </c>
      <c r="G9752" s="2" t="s">
        <v>17</v>
      </c>
    </row>
    <row r="9753" spans="1:7" x14ac:dyDescent="0.2">
      <c r="A9753" s="2" t="s">
        <v>11400</v>
      </c>
      <c r="B9753" s="2" t="s">
        <v>11410</v>
      </c>
      <c r="C9753" s="2" t="s">
        <v>11402</v>
      </c>
      <c r="D9753" s="2" t="s">
        <v>10</v>
      </c>
      <c r="E9753" s="2" t="s">
        <v>16</v>
      </c>
      <c r="F9753" s="2">
        <v>1</v>
      </c>
      <c r="G9753" s="2" t="s">
        <v>17</v>
      </c>
    </row>
    <row r="9754" spans="1:7" x14ac:dyDescent="0.2">
      <c r="A9754" s="2" t="s">
        <v>11400</v>
      </c>
      <c r="B9754" s="2" t="s">
        <v>11411</v>
      </c>
      <c r="C9754" s="2" t="s">
        <v>11402</v>
      </c>
      <c r="D9754" s="2" t="s">
        <v>10</v>
      </c>
      <c r="E9754" s="2" t="s">
        <v>16</v>
      </c>
      <c r="F9754" s="2">
        <v>1</v>
      </c>
      <c r="G9754" s="2" t="s">
        <v>17</v>
      </c>
    </row>
    <row r="9755" spans="1:7" x14ac:dyDescent="0.2">
      <c r="A9755" s="2" t="s">
        <v>11400</v>
      </c>
      <c r="B9755" s="2" t="s">
        <v>11412</v>
      </c>
      <c r="C9755" s="2" t="s">
        <v>11402</v>
      </c>
      <c r="D9755" s="2" t="s">
        <v>10</v>
      </c>
      <c r="E9755" s="2" t="s">
        <v>16</v>
      </c>
      <c r="F9755" s="2">
        <v>1</v>
      </c>
      <c r="G9755" s="2" t="s">
        <v>17</v>
      </c>
    </row>
    <row r="9756" spans="1:7" x14ac:dyDescent="0.2">
      <c r="A9756" s="2" t="s">
        <v>11400</v>
      </c>
      <c r="B9756" s="2" t="s">
        <v>11413</v>
      </c>
      <c r="C9756" s="2" t="s">
        <v>11402</v>
      </c>
      <c r="D9756" s="2" t="s">
        <v>10</v>
      </c>
      <c r="E9756" s="2" t="s">
        <v>16</v>
      </c>
      <c r="F9756" s="2">
        <v>1</v>
      </c>
      <c r="G9756" s="2" t="s">
        <v>17</v>
      </c>
    </row>
    <row r="9757" spans="1:7" x14ac:dyDescent="0.2">
      <c r="A9757" s="2" t="s">
        <v>11400</v>
      </c>
      <c r="B9757" s="2" t="s">
        <v>11414</v>
      </c>
      <c r="C9757" s="2" t="s">
        <v>11402</v>
      </c>
      <c r="D9757" s="2" t="s">
        <v>10</v>
      </c>
      <c r="E9757" s="2" t="s">
        <v>16</v>
      </c>
      <c r="F9757" s="2">
        <v>1</v>
      </c>
      <c r="G9757" s="2" t="s">
        <v>17</v>
      </c>
    </row>
    <row r="9758" spans="1:7" x14ac:dyDescent="0.2">
      <c r="A9758" s="2" t="s">
        <v>11415</v>
      </c>
      <c r="B9758" s="2" t="s">
        <v>11416</v>
      </c>
      <c r="C9758" s="2" t="s">
        <v>11417</v>
      </c>
      <c r="D9758" s="2" t="s">
        <v>10</v>
      </c>
      <c r="E9758" s="2" t="s">
        <v>16</v>
      </c>
      <c r="F9758" s="2">
        <v>1</v>
      </c>
      <c r="G9758" s="2" t="s">
        <v>17</v>
      </c>
    </row>
    <row r="9759" spans="1:7" x14ac:dyDescent="0.2">
      <c r="A9759" s="2" t="s">
        <v>11418</v>
      </c>
      <c r="B9759" s="2" t="s">
        <v>11419</v>
      </c>
      <c r="C9759" s="2" t="s">
        <v>11420</v>
      </c>
      <c r="D9759" s="2" t="s">
        <v>10</v>
      </c>
      <c r="E9759" s="2" t="s">
        <v>16</v>
      </c>
      <c r="F9759" s="2">
        <v>1</v>
      </c>
      <c r="G9759" s="2" t="s">
        <v>17</v>
      </c>
    </row>
    <row r="9760" spans="1:7" x14ac:dyDescent="0.2">
      <c r="A9760" s="2" t="s">
        <v>11418</v>
      </c>
      <c r="B9760" s="2" t="s">
        <v>11421</v>
      </c>
      <c r="C9760" s="2" t="s">
        <v>11420</v>
      </c>
      <c r="D9760" s="2" t="s">
        <v>10</v>
      </c>
      <c r="E9760" s="2" t="s">
        <v>16</v>
      </c>
      <c r="F9760" s="2">
        <v>1</v>
      </c>
      <c r="G9760" s="2" t="s">
        <v>17</v>
      </c>
    </row>
    <row r="9761" spans="1:7" x14ac:dyDescent="0.2">
      <c r="A9761" s="2" t="s">
        <v>11422</v>
      </c>
      <c r="B9761" s="2" t="s">
        <v>11423</v>
      </c>
      <c r="C9761" s="2" t="s">
        <v>11424</v>
      </c>
      <c r="D9761" s="2" t="s">
        <v>10</v>
      </c>
      <c r="E9761" s="2" t="s">
        <v>16</v>
      </c>
      <c r="F9761" s="2">
        <v>1</v>
      </c>
      <c r="G9761" s="2" t="s">
        <v>17</v>
      </c>
    </row>
    <row r="9762" spans="1:7" x14ac:dyDescent="0.2">
      <c r="A9762" s="2" t="s">
        <v>11422</v>
      </c>
      <c r="B9762" s="2" t="s">
        <v>6921</v>
      </c>
      <c r="C9762" s="2" t="s">
        <v>11424</v>
      </c>
      <c r="D9762" s="2" t="s">
        <v>10</v>
      </c>
      <c r="E9762" s="2" t="s">
        <v>16</v>
      </c>
      <c r="F9762" s="2">
        <v>1</v>
      </c>
      <c r="G9762" s="2" t="s">
        <v>17</v>
      </c>
    </row>
    <row r="9763" spans="1:7" x14ac:dyDescent="0.2">
      <c r="A9763" s="2" t="s">
        <v>11425</v>
      </c>
      <c r="B9763" s="2" t="s">
        <v>10150</v>
      </c>
      <c r="C9763" s="2" t="s">
        <v>10151</v>
      </c>
      <c r="D9763" s="2" t="s">
        <v>10</v>
      </c>
      <c r="E9763" s="2" t="s">
        <v>16</v>
      </c>
      <c r="F9763" s="2">
        <v>1</v>
      </c>
      <c r="G9763" s="2" t="s">
        <v>17</v>
      </c>
    </row>
    <row r="9764" spans="1:7" x14ac:dyDescent="0.2">
      <c r="A9764" s="2" t="s">
        <v>11426</v>
      </c>
      <c r="B9764" s="2" t="s">
        <v>11427</v>
      </c>
      <c r="C9764" s="2" t="s">
        <v>1413</v>
      </c>
      <c r="D9764" s="2" t="s">
        <v>10</v>
      </c>
      <c r="E9764" s="2" t="s">
        <v>52</v>
      </c>
      <c r="F9764" s="2">
        <v>1</v>
      </c>
      <c r="G9764" s="2" t="s">
        <v>17</v>
      </c>
    </row>
    <row r="9765" spans="1:7" x14ac:dyDescent="0.2">
      <c r="A9765" s="2" t="s">
        <v>11426</v>
      </c>
      <c r="B9765" s="2" t="s">
        <v>11428</v>
      </c>
      <c r="C9765" s="2" t="s">
        <v>1413</v>
      </c>
      <c r="D9765" s="2" t="s">
        <v>10</v>
      </c>
      <c r="E9765" s="2" t="s">
        <v>52</v>
      </c>
      <c r="F9765" s="2">
        <v>1</v>
      </c>
      <c r="G9765" s="2" t="s">
        <v>17</v>
      </c>
    </row>
    <row r="9766" spans="1:7" x14ac:dyDescent="0.2">
      <c r="A9766" s="2" t="s">
        <v>11429</v>
      </c>
      <c r="B9766" s="2" t="s">
        <v>11430</v>
      </c>
      <c r="C9766" s="2" t="s">
        <v>5590</v>
      </c>
      <c r="D9766" s="2" t="s">
        <v>10</v>
      </c>
      <c r="E9766" s="2" t="s">
        <v>16</v>
      </c>
      <c r="F9766" s="2">
        <v>1</v>
      </c>
      <c r="G9766" s="2" t="s">
        <v>17</v>
      </c>
    </row>
    <row r="9767" spans="1:7" x14ac:dyDescent="0.2">
      <c r="A9767" s="2" t="s">
        <v>11431</v>
      </c>
      <c r="B9767" s="2" t="s">
        <v>11432</v>
      </c>
      <c r="C9767" s="2" t="s">
        <v>11433</v>
      </c>
      <c r="D9767" s="2" t="s">
        <v>10</v>
      </c>
      <c r="E9767" s="2" t="s">
        <v>52</v>
      </c>
      <c r="F9767" s="2">
        <v>2</v>
      </c>
      <c r="G9767" s="2" t="s">
        <v>12</v>
      </c>
    </row>
    <row r="9768" spans="1:7" x14ac:dyDescent="0.2">
      <c r="A9768" s="2" t="s">
        <v>11434</v>
      </c>
      <c r="B9768" s="2" t="s">
        <v>5579</v>
      </c>
      <c r="C9768" s="2" t="s">
        <v>5580</v>
      </c>
      <c r="D9768" s="2" t="s">
        <v>10</v>
      </c>
      <c r="E9768" s="2" t="s">
        <v>16</v>
      </c>
      <c r="F9768" s="2">
        <v>1</v>
      </c>
      <c r="G9768" s="2" t="s">
        <v>17</v>
      </c>
    </row>
    <row r="9769" spans="1:7" x14ac:dyDescent="0.2">
      <c r="A9769" s="2" t="s">
        <v>11434</v>
      </c>
      <c r="B9769" s="2" t="s">
        <v>5581</v>
      </c>
      <c r="C9769" s="2" t="s">
        <v>5580</v>
      </c>
      <c r="D9769" s="2" t="s">
        <v>10</v>
      </c>
      <c r="E9769" s="2" t="s">
        <v>16</v>
      </c>
      <c r="F9769" s="2">
        <v>1</v>
      </c>
      <c r="G9769" s="2" t="s">
        <v>17</v>
      </c>
    </row>
    <row r="9770" spans="1:7" x14ac:dyDescent="0.2">
      <c r="A9770" s="2" t="s">
        <v>11434</v>
      </c>
      <c r="B9770" s="2" t="s">
        <v>11435</v>
      </c>
      <c r="C9770" s="2" t="s">
        <v>5580</v>
      </c>
      <c r="D9770" s="2" t="s">
        <v>10</v>
      </c>
      <c r="E9770" s="2" t="s">
        <v>16</v>
      </c>
      <c r="F9770" s="2">
        <v>1</v>
      </c>
      <c r="G9770" s="2" t="s">
        <v>17</v>
      </c>
    </row>
    <row r="9771" spans="1:7" x14ac:dyDescent="0.2">
      <c r="A9771" s="2" t="s">
        <v>11434</v>
      </c>
      <c r="B9771" s="2" t="s">
        <v>11436</v>
      </c>
      <c r="C9771" s="2" t="s">
        <v>5580</v>
      </c>
      <c r="D9771" s="2" t="s">
        <v>10</v>
      </c>
      <c r="E9771" s="2" t="s">
        <v>16</v>
      </c>
      <c r="F9771" s="2">
        <v>1</v>
      </c>
      <c r="G9771" s="2" t="s">
        <v>17</v>
      </c>
    </row>
    <row r="9772" spans="1:7" x14ac:dyDescent="0.2">
      <c r="A9772" s="2" t="s">
        <v>11437</v>
      </c>
      <c r="B9772" s="2">
        <v>4</v>
      </c>
      <c r="C9772" s="2" t="s">
        <v>11438</v>
      </c>
      <c r="D9772" s="2" t="s">
        <v>10</v>
      </c>
      <c r="E9772" s="2" t="s">
        <v>16</v>
      </c>
      <c r="F9772" s="2">
        <v>1</v>
      </c>
      <c r="G9772" s="2" t="s">
        <v>17</v>
      </c>
    </row>
    <row r="9773" spans="1:7" x14ac:dyDescent="0.2">
      <c r="A9773" s="2" t="s">
        <v>11437</v>
      </c>
      <c r="B9773" s="2">
        <v>2000</v>
      </c>
      <c r="C9773" s="2" t="s">
        <v>2411</v>
      </c>
      <c r="D9773" s="2" t="s">
        <v>10</v>
      </c>
      <c r="E9773" s="2" t="s">
        <v>16</v>
      </c>
      <c r="F9773" s="2">
        <v>1</v>
      </c>
      <c r="G9773" s="2" t="s">
        <v>17</v>
      </c>
    </row>
    <row r="9774" spans="1:7" x14ac:dyDescent="0.2">
      <c r="A9774" s="2" t="s">
        <v>11437</v>
      </c>
      <c r="B9774" s="2">
        <v>4000</v>
      </c>
      <c r="C9774" s="2" t="s">
        <v>11438</v>
      </c>
      <c r="D9774" s="2" t="s">
        <v>10</v>
      </c>
      <c r="E9774" s="2" t="s">
        <v>16</v>
      </c>
      <c r="F9774" s="2">
        <v>1</v>
      </c>
      <c r="G9774" s="2" t="s">
        <v>17</v>
      </c>
    </row>
    <row r="9775" spans="1:7" x14ac:dyDescent="0.2">
      <c r="A9775" s="2" t="s">
        <v>11437</v>
      </c>
      <c r="B9775" s="2" t="s">
        <v>5782</v>
      </c>
      <c r="C9775" s="2" t="s">
        <v>2411</v>
      </c>
      <c r="D9775" s="2" t="s">
        <v>10</v>
      </c>
      <c r="E9775" s="2" t="s">
        <v>16</v>
      </c>
      <c r="F9775" s="2">
        <v>1</v>
      </c>
      <c r="G9775" s="2" t="s">
        <v>17</v>
      </c>
    </row>
    <row r="9776" spans="1:7" x14ac:dyDescent="0.2">
      <c r="A9776" s="2" t="s">
        <v>11439</v>
      </c>
      <c r="B9776" s="2">
        <v>166</v>
      </c>
      <c r="C9776" s="2" t="s">
        <v>9041</v>
      </c>
      <c r="D9776" s="2" t="s">
        <v>10</v>
      </c>
      <c r="E9776" s="2" t="s">
        <v>16</v>
      </c>
      <c r="F9776" s="2">
        <v>2</v>
      </c>
      <c r="G9776" s="2" t="s">
        <v>17</v>
      </c>
    </row>
    <row r="9777" spans="1:7" x14ac:dyDescent="0.2">
      <c r="A9777" s="2" t="s">
        <v>11439</v>
      </c>
      <c r="B9777" s="2" t="s">
        <v>11440</v>
      </c>
      <c r="C9777" s="2" t="s">
        <v>9045</v>
      </c>
      <c r="D9777" s="2" t="s">
        <v>29</v>
      </c>
      <c r="E9777" s="2" t="s">
        <v>16</v>
      </c>
      <c r="F9777" s="2">
        <v>2</v>
      </c>
      <c r="G9777" s="2" t="s">
        <v>17</v>
      </c>
    </row>
    <row r="9778" spans="1:7" x14ac:dyDescent="0.2">
      <c r="A9778" s="2" t="s">
        <v>11441</v>
      </c>
      <c r="B9778" s="2" t="s">
        <v>3241</v>
      </c>
      <c r="C9778" s="2" t="s">
        <v>9469</v>
      </c>
      <c r="D9778" s="2" t="s">
        <v>10</v>
      </c>
      <c r="E9778" s="2" t="s">
        <v>16</v>
      </c>
      <c r="F9778" s="2">
        <v>1</v>
      </c>
      <c r="G9778" s="2" t="s">
        <v>17</v>
      </c>
    </row>
    <row r="9779" spans="1:7" x14ac:dyDescent="0.2">
      <c r="A9779" s="2" t="s">
        <v>11441</v>
      </c>
      <c r="B9779" s="2" t="s">
        <v>11442</v>
      </c>
      <c r="C9779" s="2" t="s">
        <v>9468</v>
      </c>
      <c r="D9779" s="2" t="s">
        <v>10</v>
      </c>
      <c r="E9779" s="2" t="s">
        <v>16</v>
      </c>
      <c r="F9779" s="2">
        <v>1</v>
      </c>
      <c r="G9779" s="2" t="s">
        <v>17</v>
      </c>
    </row>
    <row r="9780" spans="1:7" x14ac:dyDescent="0.2">
      <c r="A9780" s="2" t="s">
        <v>11441</v>
      </c>
      <c r="B9780" s="2" t="s">
        <v>11443</v>
      </c>
      <c r="C9780" s="2" t="s">
        <v>9468</v>
      </c>
      <c r="D9780" s="2" t="s">
        <v>10</v>
      </c>
      <c r="E9780" s="2" t="s">
        <v>16</v>
      </c>
      <c r="F9780" s="2">
        <v>1</v>
      </c>
      <c r="G9780" s="2" t="s">
        <v>17</v>
      </c>
    </row>
    <row r="9781" spans="1:7" x14ac:dyDescent="0.2">
      <c r="A9781" s="2" t="s">
        <v>11441</v>
      </c>
      <c r="B9781" s="2" t="s">
        <v>11444</v>
      </c>
      <c r="C9781" s="2" t="s">
        <v>9469</v>
      </c>
      <c r="D9781" s="2" t="s">
        <v>10</v>
      </c>
      <c r="E9781" s="2" t="s">
        <v>16</v>
      </c>
      <c r="F9781" s="2">
        <v>1</v>
      </c>
      <c r="G9781" s="2" t="s">
        <v>17</v>
      </c>
    </row>
    <row r="9782" spans="1:7" x14ac:dyDescent="0.2">
      <c r="A9782" s="2" t="s">
        <v>11445</v>
      </c>
      <c r="B9782" s="2" t="s">
        <v>11446</v>
      </c>
      <c r="C9782" s="2" t="s">
        <v>2422</v>
      </c>
      <c r="D9782" s="2" t="s">
        <v>56</v>
      </c>
      <c r="E9782" s="2" t="s">
        <v>52</v>
      </c>
      <c r="F9782" s="2">
        <v>2</v>
      </c>
      <c r="G9782" s="2" t="s">
        <v>17</v>
      </c>
    </row>
    <row r="9783" spans="1:7" x14ac:dyDescent="0.2">
      <c r="A9783" s="2" t="s">
        <v>11445</v>
      </c>
      <c r="B9783" s="2" t="s">
        <v>11447</v>
      </c>
      <c r="C9783" s="2" t="s">
        <v>2422</v>
      </c>
      <c r="D9783" s="2" t="s">
        <v>56</v>
      </c>
      <c r="E9783" s="2" t="s">
        <v>52</v>
      </c>
      <c r="F9783" s="2">
        <v>2</v>
      </c>
      <c r="G9783" s="2" t="s">
        <v>17</v>
      </c>
    </row>
    <row r="9784" spans="1:7" x14ac:dyDescent="0.2">
      <c r="A9784" s="2" t="s">
        <v>11448</v>
      </c>
      <c r="B9784" s="2" t="s">
        <v>11449</v>
      </c>
      <c r="C9784" s="2" t="s">
        <v>11450</v>
      </c>
      <c r="D9784" s="2" t="s">
        <v>29</v>
      </c>
      <c r="E9784" s="2" t="s">
        <v>16</v>
      </c>
      <c r="F9784" s="2">
        <v>1</v>
      </c>
      <c r="G9784" s="2" t="s">
        <v>17</v>
      </c>
    </row>
    <row r="9785" spans="1:7" x14ac:dyDescent="0.2">
      <c r="A9785" s="2" t="s">
        <v>11448</v>
      </c>
      <c r="B9785" s="2" t="s">
        <v>11451</v>
      </c>
      <c r="C9785" s="2" t="s">
        <v>11450</v>
      </c>
      <c r="D9785" s="2" t="s">
        <v>29</v>
      </c>
      <c r="E9785" s="2" t="s">
        <v>16</v>
      </c>
      <c r="F9785" s="2">
        <v>1</v>
      </c>
      <c r="G9785" s="2" t="s">
        <v>17</v>
      </c>
    </row>
    <row r="9786" spans="1:7" x14ac:dyDescent="0.2">
      <c r="A9786" s="2" t="s">
        <v>11452</v>
      </c>
      <c r="B9786" s="2" t="s">
        <v>8099</v>
      </c>
      <c r="C9786" s="2" t="s">
        <v>11453</v>
      </c>
      <c r="D9786" s="2" t="s">
        <v>10</v>
      </c>
      <c r="E9786" s="2" t="s">
        <v>16</v>
      </c>
      <c r="F9786" s="2">
        <v>1</v>
      </c>
      <c r="G9786" s="2" t="s">
        <v>17</v>
      </c>
    </row>
    <row r="9787" spans="1:7" x14ac:dyDescent="0.2">
      <c r="A9787" s="2" t="s">
        <v>11454</v>
      </c>
      <c r="B9787" s="2" t="s">
        <v>11455</v>
      </c>
      <c r="C9787" s="2" t="s">
        <v>11456</v>
      </c>
      <c r="D9787" s="2" t="s">
        <v>10</v>
      </c>
      <c r="E9787" s="2" t="s">
        <v>11</v>
      </c>
      <c r="F9787" s="2">
        <v>2</v>
      </c>
      <c r="G9787" s="2" t="s">
        <v>12</v>
      </c>
    </row>
    <row r="9788" spans="1:7" x14ac:dyDescent="0.2">
      <c r="A9788" s="2" t="s">
        <v>11454</v>
      </c>
      <c r="B9788" s="2" t="s">
        <v>11457</v>
      </c>
      <c r="C9788" s="2" t="s">
        <v>11458</v>
      </c>
      <c r="D9788" s="2" t="s">
        <v>10</v>
      </c>
      <c r="E9788" s="2" t="s">
        <v>52</v>
      </c>
      <c r="F9788" s="2">
        <v>4</v>
      </c>
      <c r="G9788" s="2" t="s">
        <v>1069</v>
      </c>
    </row>
    <row r="9789" spans="1:7" x14ac:dyDescent="0.2">
      <c r="A9789" s="2" t="s">
        <v>11454</v>
      </c>
      <c r="B9789" s="2" t="s">
        <v>11459</v>
      </c>
      <c r="C9789" s="2" t="s">
        <v>11460</v>
      </c>
      <c r="D9789" s="2" t="s">
        <v>10</v>
      </c>
      <c r="E9789" s="2" t="s">
        <v>11</v>
      </c>
      <c r="F9789" s="2">
        <v>2</v>
      </c>
      <c r="G9789" s="2" t="s">
        <v>12</v>
      </c>
    </row>
    <row r="9790" spans="1:7" x14ac:dyDescent="0.2">
      <c r="A9790" s="2" t="s">
        <v>11454</v>
      </c>
      <c r="B9790" s="2" t="s">
        <v>11461</v>
      </c>
      <c r="C9790" s="2" t="s">
        <v>11462</v>
      </c>
      <c r="D9790" s="2" t="s">
        <v>10</v>
      </c>
      <c r="E9790" s="2" t="s">
        <v>11</v>
      </c>
      <c r="F9790" s="2">
        <v>2</v>
      </c>
      <c r="G9790" s="2" t="s">
        <v>12</v>
      </c>
    </row>
    <row r="9791" spans="1:7" x14ac:dyDescent="0.2">
      <c r="A9791" s="2" t="s">
        <v>11454</v>
      </c>
      <c r="B9791" s="2" t="s">
        <v>11463</v>
      </c>
      <c r="C9791" s="2" t="s">
        <v>11458</v>
      </c>
      <c r="D9791" s="2" t="s">
        <v>10</v>
      </c>
      <c r="E9791" s="2" t="s">
        <v>52</v>
      </c>
      <c r="F9791" s="2">
        <v>4</v>
      </c>
      <c r="G9791" s="2" t="s">
        <v>1069</v>
      </c>
    </row>
    <row r="9792" spans="1:7" x14ac:dyDescent="0.2">
      <c r="A9792" s="2" t="s">
        <v>11454</v>
      </c>
      <c r="B9792" s="2" t="s">
        <v>11464</v>
      </c>
      <c r="C9792" s="2" t="s">
        <v>11465</v>
      </c>
      <c r="D9792" s="2" t="s">
        <v>10</v>
      </c>
      <c r="E9792" s="2" t="s">
        <v>11</v>
      </c>
      <c r="F9792" s="2">
        <v>2</v>
      </c>
      <c r="G9792" s="2" t="s">
        <v>12</v>
      </c>
    </row>
    <row r="9793" spans="1:7" x14ac:dyDescent="0.2">
      <c r="A9793" s="2" t="s">
        <v>11454</v>
      </c>
      <c r="B9793" s="2" t="s">
        <v>11466</v>
      </c>
      <c r="C9793" s="2" t="s">
        <v>11458</v>
      </c>
      <c r="D9793" s="2" t="s">
        <v>10</v>
      </c>
      <c r="E9793" s="2" t="s">
        <v>52</v>
      </c>
      <c r="F9793" s="2">
        <v>4</v>
      </c>
      <c r="G9793" s="2" t="s">
        <v>1069</v>
      </c>
    </row>
    <row r="9794" spans="1:7" x14ac:dyDescent="0.2">
      <c r="A9794" s="2" t="s">
        <v>11454</v>
      </c>
      <c r="B9794" s="2" t="s">
        <v>11467</v>
      </c>
      <c r="C9794" s="2" t="s">
        <v>11468</v>
      </c>
      <c r="D9794" s="2" t="s">
        <v>10</v>
      </c>
      <c r="E9794" s="2" t="s">
        <v>11</v>
      </c>
      <c r="F9794" s="2">
        <v>3</v>
      </c>
      <c r="G9794" s="2" t="s">
        <v>12</v>
      </c>
    </row>
    <row r="9795" spans="1:7" x14ac:dyDescent="0.2">
      <c r="A9795" s="2" t="s">
        <v>11454</v>
      </c>
      <c r="B9795" s="2" t="s">
        <v>11469</v>
      </c>
      <c r="C9795" s="2" t="s">
        <v>11470</v>
      </c>
      <c r="D9795" s="2" t="s">
        <v>10</v>
      </c>
      <c r="E9795" s="2" t="s">
        <v>11</v>
      </c>
      <c r="F9795" s="2">
        <v>4</v>
      </c>
      <c r="G9795" s="2" t="s">
        <v>1069</v>
      </c>
    </row>
    <row r="9796" spans="1:7" x14ac:dyDescent="0.2">
      <c r="A9796" s="2" t="s">
        <v>11454</v>
      </c>
      <c r="B9796" s="2" t="s">
        <v>11471</v>
      </c>
      <c r="C9796" s="2" t="s">
        <v>11472</v>
      </c>
      <c r="D9796" s="2" t="s">
        <v>10</v>
      </c>
      <c r="E9796" s="2" t="s">
        <v>11</v>
      </c>
      <c r="F9796" s="2">
        <v>2</v>
      </c>
      <c r="G9796" s="2" t="s">
        <v>12</v>
      </c>
    </row>
    <row r="9797" spans="1:7" x14ac:dyDescent="0.2">
      <c r="A9797" s="2" t="s">
        <v>11454</v>
      </c>
      <c r="B9797" s="2" t="s">
        <v>11473</v>
      </c>
      <c r="C9797" s="2" t="s">
        <v>11472</v>
      </c>
      <c r="D9797" s="2" t="s">
        <v>10</v>
      </c>
      <c r="E9797" s="2" t="s">
        <v>11</v>
      </c>
      <c r="F9797" s="2">
        <v>2</v>
      </c>
      <c r="G9797" s="2" t="s">
        <v>12</v>
      </c>
    </row>
    <row r="9798" spans="1:7" x14ac:dyDescent="0.2">
      <c r="A9798" s="2" t="s">
        <v>11454</v>
      </c>
      <c r="B9798" s="2" t="s">
        <v>11474</v>
      </c>
      <c r="C9798" s="2" t="s">
        <v>11472</v>
      </c>
      <c r="D9798" s="2" t="s">
        <v>10</v>
      </c>
      <c r="E9798" s="2" t="s">
        <v>11</v>
      </c>
      <c r="F9798" s="2">
        <v>2</v>
      </c>
      <c r="G9798" s="2" t="s">
        <v>12</v>
      </c>
    </row>
    <row r="9799" spans="1:7" x14ac:dyDescent="0.2">
      <c r="A9799" s="2" t="s">
        <v>11454</v>
      </c>
      <c r="B9799" s="2" t="s">
        <v>11475</v>
      </c>
      <c r="C9799" s="2" t="s">
        <v>11472</v>
      </c>
      <c r="D9799" s="2" t="s">
        <v>10</v>
      </c>
      <c r="E9799" s="2" t="s">
        <v>11</v>
      </c>
      <c r="F9799" s="2">
        <v>2</v>
      </c>
      <c r="G9799" s="2" t="s">
        <v>12</v>
      </c>
    </row>
    <row r="9800" spans="1:7" x14ac:dyDescent="0.2">
      <c r="A9800" s="2" t="s">
        <v>11454</v>
      </c>
      <c r="B9800" s="2" t="s">
        <v>11476</v>
      </c>
      <c r="C9800" s="2" t="s">
        <v>11477</v>
      </c>
      <c r="D9800" s="2" t="s">
        <v>10</v>
      </c>
      <c r="E9800" s="2" t="s">
        <v>11</v>
      </c>
      <c r="F9800" s="2">
        <v>2</v>
      </c>
      <c r="G9800" s="2" t="s">
        <v>12</v>
      </c>
    </row>
    <row r="9801" spans="1:7" x14ac:dyDescent="0.2">
      <c r="A9801" s="2" t="s">
        <v>11478</v>
      </c>
      <c r="B9801" s="2" t="s">
        <v>2107</v>
      </c>
      <c r="C9801" s="2" t="s">
        <v>1301</v>
      </c>
      <c r="D9801" s="2" t="s">
        <v>10</v>
      </c>
      <c r="E9801" s="2" t="s">
        <v>16</v>
      </c>
      <c r="F9801" s="2">
        <v>1</v>
      </c>
      <c r="G9801" s="2" t="s">
        <v>17</v>
      </c>
    </row>
    <row r="9802" spans="1:7" x14ac:dyDescent="0.2">
      <c r="A9802" s="2" t="s">
        <v>11478</v>
      </c>
      <c r="B9802" s="2" t="s">
        <v>2105</v>
      </c>
      <c r="C9802" s="2" t="s">
        <v>1301</v>
      </c>
      <c r="D9802" s="2" t="s">
        <v>10</v>
      </c>
      <c r="E9802" s="2" t="s">
        <v>16</v>
      </c>
      <c r="F9802" s="2">
        <v>1</v>
      </c>
      <c r="G9802" s="2" t="s">
        <v>17</v>
      </c>
    </row>
    <row r="9803" spans="1:7" x14ac:dyDescent="0.2">
      <c r="A9803" s="2" t="s">
        <v>11479</v>
      </c>
      <c r="B9803" s="2" t="s">
        <v>11480</v>
      </c>
      <c r="C9803" s="2" t="s">
        <v>11481</v>
      </c>
      <c r="D9803" s="2" t="s">
        <v>10</v>
      </c>
      <c r="E9803" s="2" t="s">
        <v>52</v>
      </c>
      <c r="F9803" s="2">
        <v>1</v>
      </c>
      <c r="G9803" s="2" t="s">
        <v>17</v>
      </c>
    </row>
    <row r="9804" spans="1:7" x14ac:dyDescent="0.2">
      <c r="A9804" s="2" t="s">
        <v>11479</v>
      </c>
      <c r="B9804" s="2" t="s">
        <v>11482</v>
      </c>
      <c r="C9804" s="2" t="s">
        <v>11481</v>
      </c>
      <c r="D9804" s="2" t="s">
        <v>10</v>
      </c>
      <c r="E9804" s="2" t="s">
        <v>52</v>
      </c>
      <c r="F9804" s="2">
        <v>1</v>
      </c>
      <c r="G9804" s="2" t="s">
        <v>17</v>
      </c>
    </row>
    <row r="9805" spans="1:7" x14ac:dyDescent="0.2">
      <c r="A9805" s="2" t="s">
        <v>11483</v>
      </c>
      <c r="B9805" s="2" t="s">
        <v>11484</v>
      </c>
      <c r="C9805" s="2" t="s">
        <v>11485</v>
      </c>
      <c r="D9805" s="2" t="s">
        <v>10</v>
      </c>
      <c r="E9805" s="2" t="s">
        <v>16</v>
      </c>
      <c r="F9805" s="2">
        <v>1</v>
      </c>
      <c r="G9805" s="2" t="s">
        <v>17</v>
      </c>
    </row>
    <row r="9806" spans="1:7" x14ac:dyDescent="0.2">
      <c r="A9806" s="2" t="s">
        <v>11486</v>
      </c>
      <c r="B9806" s="2" t="s">
        <v>8692</v>
      </c>
      <c r="C9806" s="2" t="s">
        <v>8685</v>
      </c>
      <c r="D9806" s="2" t="s">
        <v>10</v>
      </c>
      <c r="E9806" s="2" t="s">
        <v>16</v>
      </c>
      <c r="F9806" s="2">
        <v>1</v>
      </c>
      <c r="G9806" s="2" t="s">
        <v>17</v>
      </c>
    </row>
    <row r="9807" spans="1:7" x14ac:dyDescent="0.2">
      <c r="A9807" s="2" t="s">
        <v>11487</v>
      </c>
      <c r="B9807" s="2" t="s">
        <v>11488</v>
      </c>
      <c r="C9807" s="2" t="s">
        <v>11489</v>
      </c>
      <c r="D9807" s="2" t="s">
        <v>10</v>
      </c>
      <c r="E9807" s="2" t="s">
        <v>16</v>
      </c>
      <c r="F9807" s="2">
        <v>1</v>
      </c>
      <c r="G9807" s="2" t="s">
        <v>17</v>
      </c>
    </row>
    <row r="9808" spans="1:7" x14ac:dyDescent="0.2">
      <c r="A9808" s="2" t="s">
        <v>11487</v>
      </c>
      <c r="B9808" s="2" t="s">
        <v>8119</v>
      </c>
      <c r="C9808" s="2" t="s">
        <v>11490</v>
      </c>
      <c r="D9808" s="2" t="s">
        <v>10</v>
      </c>
      <c r="E9808" s="2" t="s">
        <v>16</v>
      </c>
      <c r="F9808" s="2">
        <v>1</v>
      </c>
      <c r="G9808" s="2" t="s">
        <v>17</v>
      </c>
    </row>
    <row r="9809" spans="1:7" x14ac:dyDescent="0.2">
      <c r="A9809" s="2" t="s">
        <v>11491</v>
      </c>
      <c r="B9809" s="2" t="s">
        <v>11492</v>
      </c>
      <c r="C9809" s="2" t="s">
        <v>11493</v>
      </c>
      <c r="D9809" s="2" t="s">
        <v>10</v>
      </c>
      <c r="E9809" s="2" t="s">
        <v>16</v>
      </c>
      <c r="F9809" s="2">
        <v>1</v>
      </c>
      <c r="G9809" s="2" t="s">
        <v>17</v>
      </c>
    </row>
    <row r="9810" spans="1:7" x14ac:dyDescent="0.2">
      <c r="A9810" s="2" t="s">
        <v>11491</v>
      </c>
      <c r="B9810" s="2" t="s">
        <v>11494</v>
      </c>
      <c r="C9810" s="2" t="s">
        <v>11493</v>
      </c>
      <c r="D9810" s="2" t="s">
        <v>10</v>
      </c>
      <c r="E9810" s="2" t="s">
        <v>16</v>
      </c>
      <c r="F9810" s="2">
        <v>1</v>
      </c>
      <c r="G9810" s="2" t="s">
        <v>17</v>
      </c>
    </row>
    <row r="9811" spans="1:7" x14ac:dyDescent="0.2">
      <c r="A9811" s="2" t="s">
        <v>11495</v>
      </c>
      <c r="B9811" s="2" t="s">
        <v>11496</v>
      </c>
      <c r="C9811" s="2" t="s">
        <v>11497</v>
      </c>
      <c r="D9811" s="2" t="s">
        <v>10</v>
      </c>
      <c r="E9811" s="2" t="s">
        <v>16</v>
      </c>
      <c r="F9811" s="2">
        <v>1</v>
      </c>
      <c r="G9811" s="2" t="s">
        <v>17</v>
      </c>
    </row>
    <row r="9812" spans="1:7" x14ac:dyDescent="0.2">
      <c r="A9812" s="2" t="s">
        <v>11495</v>
      </c>
      <c r="B9812" s="2" t="s">
        <v>11498</v>
      </c>
      <c r="C9812" s="2" t="s">
        <v>325</v>
      </c>
      <c r="D9812" s="2" t="s">
        <v>10</v>
      </c>
      <c r="E9812" s="2" t="s">
        <v>16</v>
      </c>
      <c r="F9812" s="2">
        <v>1</v>
      </c>
      <c r="G9812" s="2" t="s">
        <v>17</v>
      </c>
    </row>
    <row r="9813" spans="1:7" x14ac:dyDescent="0.2">
      <c r="A9813" s="2" t="s">
        <v>11495</v>
      </c>
      <c r="B9813" s="2" t="s">
        <v>11499</v>
      </c>
      <c r="C9813" s="2" t="s">
        <v>11497</v>
      </c>
      <c r="D9813" s="2" t="s">
        <v>10</v>
      </c>
      <c r="E9813" s="2" t="s">
        <v>16</v>
      </c>
      <c r="F9813" s="2">
        <v>1</v>
      </c>
      <c r="G9813" s="2" t="s">
        <v>17</v>
      </c>
    </row>
    <row r="9814" spans="1:7" x14ac:dyDescent="0.2">
      <c r="A9814" s="2" t="s">
        <v>11495</v>
      </c>
      <c r="B9814" s="2" t="s">
        <v>11500</v>
      </c>
      <c r="C9814" s="2" t="s">
        <v>11497</v>
      </c>
      <c r="D9814" s="2" t="s">
        <v>10</v>
      </c>
      <c r="E9814" s="2" t="s">
        <v>16</v>
      </c>
      <c r="F9814" s="2">
        <v>1</v>
      </c>
      <c r="G9814" s="2" t="s">
        <v>17</v>
      </c>
    </row>
    <row r="9815" spans="1:7" x14ac:dyDescent="0.2">
      <c r="A9815" s="2" t="s">
        <v>11501</v>
      </c>
      <c r="B9815" s="2" t="s">
        <v>11502</v>
      </c>
      <c r="C9815" s="2" t="s">
        <v>11503</v>
      </c>
      <c r="D9815" s="2" t="s">
        <v>64</v>
      </c>
      <c r="E9815" s="2" t="s">
        <v>16</v>
      </c>
      <c r="F9815" s="2">
        <v>1</v>
      </c>
      <c r="G9815" s="2" t="s">
        <v>17</v>
      </c>
    </row>
    <row r="9816" spans="1:7" x14ac:dyDescent="0.2">
      <c r="A9816" s="2" t="s">
        <v>11504</v>
      </c>
      <c r="B9816" s="2" t="s">
        <v>4375</v>
      </c>
      <c r="C9816" s="2" t="s">
        <v>4372</v>
      </c>
      <c r="D9816" s="2" t="s">
        <v>10</v>
      </c>
      <c r="E9816" s="2" t="s">
        <v>16</v>
      </c>
      <c r="F9816" s="2">
        <v>1</v>
      </c>
      <c r="G9816" s="2" t="s">
        <v>17</v>
      </c>
    </row>
    <row r="9817" spans="1:7" x14ac:dyDescent="0.2">
      <c r="A9817" s="2" t="s">
        <v>11504</v>
      </c>
      <c r="B9817" s="2" t="s">
        <v>414</v>
      </c>
      <c r="C9817" s="2" t="s">
        <v>4374</v>
      </c>
      <c r="D9817" s="2" t="s">
        <v>10</v>
      </c>
      <c r="E9817" s="2" t="s">
        <v>16</v>
      </c>
      <c r="F9817" s="2">
        <v>1</v>
      </c>
      <c r="G9817" s="2" t="s">
        <v>17</v>
      </c>
    </row>
    <row r="9818" spans="1:7" x14ac:dyDescent="0.2">
      <c r="A9818" s="2" t="s">
        <v>11505</v>
      </c>
      <c r="B9818" s="2" t="s">
        <v>652</v>
      </c>
      <c r="C9818" s="2" t="s">
        <v>11506</v>
      </c>
      <c r="D9818" s="2" t="s">
        <v>10</v>
      </c>
      <c r="E9818" s="2" t="s">
        <v>16</v>
      </c>
      <c r="F9818" s="2">
        <v>1</v>
      </c>
      <c r="G9818" s="2" t="s">
        <v>17</v>
      </c>
    </row>
    <row r="9819" spans="1:7" x14ac:dyDescent="0.2">
      <c r="A9819" s="2" t="s">
        <v>11507</v>
      </c>
      <c r="B9819" s="2" t="s">
        <v>11508</v>
      </c>
      <c r="C9819" s="2" t="s">
        <v>11062</v>
      </c>
      <c r="D9819" s="2" t="s">
        <v>10</v>
      </c>
      <c r="E9819" s="2" t="s">
        <v>16</v>
      </c>
      <c r="F9819" s="2">
        <v>1</v>
      </c>
      <c r="G9819" s="2" t="s">
        <v>17</v>
      </c>
    </row>
    <row r="9820" spans="1:7" x14ac:dyDescent="0.2">
      <c r="A9820" s="2" t="s">
        <v>11507</v>
      </c>
      <c r="B9820" s="2">
        <v>20</v>
      </c>
      <c r="C9820" s="2" t="s">
        <v>11065</v>
      </c>
      <c r="D9820" s="2" t="s">
        <v>10</v>
      </c>
      <c r="E9820" s="2" t="s">
        <v>16</v>
      </c>
      <c r="F9820" s="2">
        <v>1</v>
      </c>
      <c r="G9820" s="2" t="s">
        <v>17</v>
      </c>
    </row>
    <row r="9821" spans="1:7" x14ac:dyDescent="0.2">
      <c r="A9821" s="2" t="s">
        <v>11507</v>
      </c>
      <c r="B9821" s="2" t="s">
        <v>11509</v>
      </c>
      <c r="C9821" s="2" t="s">
        <v>11062</v>
      </c>
      <c r="D9821" s="2" t="s">
        <v>10</v>
      </c>
      <c r="E9821" s="2" t="s">
        <v>16</v>
      </c>
      <c r="F9821" s="2">
        <v>1</v>
      </c>
      <c r="G9821" s="2" t="s">
        <v>17</v>
      </c>
    </row>
    <row r="9822" spans="1:7" x14ac:dyDescent="0.2">
      <c r="A9822" s="2" t="s">
        <v>11510</v>
      </c>
      <c r="B9822" s="2" t="s">
        <v>705</v>
      </c>
      <c r="C9822" s="2" t="s">
        <v>706</v>
      </c>
      <c r="D9822" s="2" t="s">
        <v>10</v>
      </c>
      <c r="E9822" s="2" t="s">
        <v>16</v>
      </c>
      <c r="F9822" s="2">
        <v>1</v>
      </c>
      <c r="G9822" s="2" t="s">
        <v>17</v>
      </c>
    </row>
    <row r="9823" spans="1:7" x14ac:dyDescent="0.2">
      <c r="A9823" s="2" t="s">
        <v>11510</v>
      </c>
      <c r="B9823" s="2" t="s">
        <v>707</v>
      </c>
      <c r="C9823" s="2" t="s">
        <v>706</v>
      </c>
      <c r="D9823" s="2" t="s">
        <v>10</v>
      </c>
      <c r="E9823" s="2" t="s">
        <v>16</v>
      </c>
      <c r="F9823" s="2">
        <v>1</v>
      </c>
      <c r="G9823" s="2" t="s">
        <v>17</v>
      </c>
    </row>
    <row r="9824" spans="1:7" x14ac:dyDescent="0.2">
      <c r="A9824" s="2" t="s">
        <v>11510</v>
      </c>
      <c r="B9824" s="2" t="s">
        <v>708</v>
      </c>
      <c r="C9824" s="2" t="s">
        <v>706</v>
      </c>
      <c r="D9824" s="2" t="s">
        <v>10</v>
      </c>
      <c r="E9824" s="2" t="s">
        <v>16</v>
      </c>
      <c r="F9824" s="2">
        <v>1</v>
      </c>
      <c r="G9824" s="2" t="s">
        <v>17</v>
      </c>
    </row>
    <row r="9825" spans="1:7" x14ac:dyDescent="0.2">
      <c r="A9825" s="2" t="s">
        <v>11511</v>
      </c>
      <c r="B9825" s="2" t="s">
        <v>5611</v>
      </c>
      <c r="C9825" s="2" t="s">
        <v>5612</v>
      </c>
      <c r="D9825" s="2" t="s">
        <v>10</v>
      </c>
      <c r="E9825" s="2" t="s">
        <v>16</v>
      </c>
      <c r="F9825" s="2">
        <v>1</v>
      </c>
      <c r="G9825" s="2" t="s">
        <v>17</v>
      </c>
    </row>
    <row r="9826" spans="1:7" x14ac:dyDescent="0.2">
      <c r="A9826" s="2" t="s">
        <v>11512</v>
      </c>
      <c r="B9826" s="2">
        <v>18</v>
      </c>
      <c r="C9826" s="2" t="s">
        <v>1023</v>
      </c>
      <c r="D9826" s="2" t="s">
        <v>64</v>
      </c>
      <c r="E9826" s="2" t="s">
        <v>16</v>
      </c>
      <c r="F9826" s="2">
        <v>1</v>
      </c>
      <c r="G9826" s="2" t="s">
        <v>17</v>
      </c>
    </row>
    <row r="9827" spans="1:7" x14ac:dyDescent="0.2">
      <c r="A9827" s="2" t="s">
        <v>11513</v>
      </c>
      <c r="B9827" s="2" t="s">
        <v>7812</v>
      </c>
      <c r="C9827" s="2" t="s">
        <v>7813</v>
      </c>
      <c r="D9827" s="2" t="s">
        <v>10</v>
      </c>
      <c r="E9827" s="2" t="s">
        <v>16</v>
      </c>
      <c r="F9827" s="2">
        <v>1</v>
      </c>
      <c r="G9827" s="2" t="s">
        <v>17</v>
      </c>
    </row>
    <row r="9828" spans="1:7" x14ac:dyDescent="0.2">
      <c r="A9828" s="2" t="s">
        <v>11513</v>
      </c>
      <c r="B9828" s="2" t="s">
        <v>7814</v>
      </c>
      <c r="C9828" s="2" t="s">
        <v>7813</v>
      </c>
      <c r="D9828" s="2" t="s">
        <v>10</v>
      </c>
      <c r="E9828" s="2" t="s">
        <v>16</v>
      </c>
      <c r="F9828" s="2">
        <v>1</v>
      </c>
      <c r="G9828" s="2" t="s">
        <v>17</v>
      </c>
    </row>
    <row r="9829" spans="1:7" x14ac:dyDescent="0.2">
      <c r="A9829" s="2" t="s">
        <v>11514</v>
      </c>
      <c r="B9829" s="2" t="s">
        <v>11515</v>
      </c>
      <c r="C9829" s="2" t="s">
        <v>794</v>
      </c>
      <c r="D9829" s="2" t="s">
        <v>56</v>
      </c>
      <c r="E9829" s="2" t="s">
        <v>52</v>
      </c>
      <c r="F9829" s="2">
        <v>1</v>
      </c>
      <c r="G9829" s="2" t="s">
        <v>17</v>
      </c>
    </row>
    <row r="9830" spans="1:7" x14ac:dyDescent="0.2">
      <c r="A9830" s="2" t="s">
        <v>11516</v>
      </c>
      <c r="B9830" s="2" t="s">
        <v>11517</v>
      </c>
      <c r="C9830" s="2" t="s">
        <v>11518</v>
      </c>
      <c r="D9830" s="2" t="s">
        <v>10</v>
      </c>
      <c r="E9830" s="2" t="s">
        <v>16</v>
      </c>
      <c r="F9830" s="2">
        <v>1</v>
      </c>
      <c r="G9830" s="2" t="s">
        <v>17</v>
      </c>
    </row>
    <row r="9831" spans="1:7" x14ac:dyDescent="0.2">
      <c r="A9831" s="2" t="s">
        <v>11519</v>
      </c>
      <c r="B9831" s="2" t="s">
        <v>11520</v>
      </c>
      <c r="C9831" s="2" t="s">
        <v>11521</v>
      </c>
      <c r="D9831" s="2" t="s">
        <v>56</v>
      </c>
      <c r="E9831" s="2" t="s">
        <v>52</v>
      </c>
      <c r="F9831" s="2">
        <v>2</v>
      </c>
      <c r="G9831" s="2" t="s">
        <v>17</v>
      </c>
    </row>
    <row r="9832" spans="1:7" x14ac:dyDescent="0.2">
      <c r="A9832" s="2" t="s">
        <v>11519</v>
      </c>
      <c r="B9832" s="2" t="s">
        <v>11522</v>
      </c>
      <c r="C9832" s="2" t="s">
        <v>11521</v>
      </c>
      <c r="D9832" s="2" t="s">
        <v>56</v>
      </c>
      <c r="E9832" s="2" t="s">
        <v>52</v>
      </c>
      <c r="F9832" s="2">
        <v>2</v>
      </c>
      <c r="G9832" s="2" t="s">
        <v>17</v>
      </c>
    </row>
    <row r="9833" spans="1:7" x14ac:dyDescent="0.2">
      <c r="A9833" s="2" t="s">
        <v>11523</v>
      </c>
      <c r="B9833" s="2" t="s">
        <v>10529</v>
      </c>
      <c r="C9833" s="2" t="s">
        <v>805</v>
      </c>
      <c r="D9833" s="2" t="s">
        <v>56</v>
      </c>
      <c r="E9833" s="2" t="s">
        <v>52</v>
      </c>
      <c r="F9833" s="2">
        <v>2</v>
      </c>
      <c r="G9833" s="2" t="s">
        <v>12</v>
      </c>
    </row>
    <row r="9834" spans="1:7" x14ac:dyDescent="0.2">
      <c r="A9834" s="2" t="s">
        <v>11524</v>
      </c>
      <c r="B9834" s="2" t="s">
        <v>11525</v>
      </c>
      <c r="C9834" s="2" t="s">
        <v>11526</v>
      </c>
      <c r="D9834" s="2" t="s">
        <v>29</v>
      </c>
      <c r="E9834" s="2" t="s">
        <v>16</v>
      </c>
      <c r="F9834" s="2">
        <v>2</v>
      </c>
      <c r="G9834" s="2" t="s">
        <v>17</v>
      </c>
    </row>
    <row r="9835" spans="1:7" x14ac:dyDescent="0.2">
      <c r="A9835" s="2" t="s">
        <v>11524</v>
      </c>
      <c r="B9835" s="2" t="s">
        <v>11527</v>
      </c>
      <c r="C9835" s="2" t="s">
        <v>11526</v>
      </c>
      <c r="D9835" s="2" t="s">
        <v>29</v>
      </c>
      <c r="E9835" s="2" t="s">
        <v>16</v>
      </c>
      <c r="F9835" s="2">
        <v>2</v>
      </c>
      <c r="G9835" s="2" t="s">
        <v>17</v>
      </c>
    </row>
    <row r="9836" spans="1:7" x14ac:dyDescent="0.2">
      <c r="A9836" s="2" t="s">
        <v>11528</v>
      </c>
      <c r="B9836" s="2" t="s">
        <v>11529</v>
      </c>
      <c r="C9836" s="2" t="s">
        <v>11530</v>
      </c>
      <c r="D9836" s="2" t="s">
        <v>10</v>
      </c>
      <c r="E9836" s="2" t="s">
        <v>52</v>
      </c>
      <c r="F9836" s="2">
        <v>1</v>
      </c>
      <c r="G9836" s="2" t="s">
        <v>17</v>
      </c>
    </row>
    <row r="9837" spans="1:7" x14ac:dyDescent="0.2">
      <c r="A9837" s="2" t="s">
        <v>11531</v>
      </c>
      <c r="B9837" s="2" t="s">
        <v>11532</v>
      </c>
      <c r="C9837" s="2" t="s">
        <v>4710</v>
      </c>
      <c r="D9837" s="2" t="s">
        <v>10</v>
      </c>
      <c r="E9837" s="2" t="s">
        <v>16</v>
      </c>
      <c r="F9837" s="2">
        <v>1</v>
      </c>
      <c r="G9837" s="2" t="s">
        <v>17</v>
      </c>
    </row>
    <row r="9838" spans="1:7" x14ac:dyDescent="0.2">
      <c r="A9838" s="2" t="s">
        <v>11531</v>
      </c>
      <c r="B9838" s="2" t="s">
        <v>4711</v>
      </c>
      <c r="C9838" s="2" t="s">
        <v>4710</v>
      </c>
      <c r="D9838" s="2" t="s">
        <v>10</v>
      </c>
      <c r="E9838" s="2" t="s">
        <v>16</v>
      </c>
      <c r="F9838" s="2">
        <v>1</v>
      </c>
      <c r="G9838" s="2" t="s">
        <v>17</v>
      </c>
    </row>
    <row r="9839" spans="1:7" x14ac:dyDescent="0.2">
      <c r="A9839" s="2" t="s">
        <v>11531</v>
      </c>
      <c r="B9839" s="2" t="s">
        <v>4708</v>
      </c>
      <c r="C9839" s="2" t="s">
        <v>1318</v>
      </c>
      <c r="D9839" s="2" t="s">
        <v>10</v>
      </c>
      <c r="E9839" s="2" t="s">
        <v>16</v>
      </c>
      <c r="F9839" s="2">
        <v>1</v>
      </c>
      <c r="G9839" s="2" t="s">
        <v>17</v>
      </c>
    </row>
    <row r="9840" spans="1:7" x14ac:dyDescent="0.2">
      <c r="A9840" s="2" t="s">
        <v>11531</v>
      </c>
      <c r="B9840" s="2" t="s">
        <v>4707</v>
      </c>
      <c r="C9840" s="2" t="s">
        <v>1318</v>
      </c>
      <c r="D9840" s="2" t="s">
        <v>10</v>
      </c>
      <c r="E9840" s="2" t="s">
        <v>16</v>
      </c>
      <c r="F9840" s="2">
        <v>1</v>
      </c>
      <c r="G9840" s="2" t="s">
        <v>17</v>
      </c>
    </row>
    <row r="9841" spans="1:7" x14ac:dyDescent="0.2">
      <c r="A9841" s="2" t="s">
        <v>11531</v>
      </c>
      <c r="B9841" s="2" t="s">
        <v>4709</v>
      </c>
      <c r="C9841" s="2" t="s">
        <v>4710</v>
      </c>
      <c r="D9841" s="2" t="s">
        <v>10</v>
      </c>
      <c r="E9841" s="2" t="s">
        <v>16</v>
      </c>
      <c r="F9841" s="2">
        <v>1</v>
      </c>
      <c r="G9841" s="2" t="s">
        <v>17</v>
      </c>
    </row>
    <row r="9842" spans="1:7" x14ac:dyDescent="0.2">
      <c r="A9842" s="2" t="s">
        <v>11533</v>
      </c>
      <c r="B9842" s="2" t="s">
        <v>11534</v>
      </c>
      <c r="C9842" s="2" t="s">
        <v>11535</v>
      </c>
      <c r="D9842" s="2" t="s">
        <v>64</v>
      </c>
      <c r="E9842" s="2" t="s">
        <v>16</v>
      </c>
      <c r="F9842" s="2">
        <v>1</v>
      </c>
      <c r="G9842" s="2" t="s">
        <v>17</v>
      </c>
    </row>
    <row r="9843" spans="1:7" x14ac:dyDescent="0.2">
      <c r="A9843" s="2" t="s">
        <v>11536</v>
      </c>
      <c r="B9843" s="2">
        <v>60</v>
      </c>
      <c r="C9843" s="2" t="s">
        <v>11537</v>
      </c>
      <c r="D9843" s="2" t="s">
        <v>10</v>
      </c>
      <c r="E9843" s="2" t="s">
        <v>16</v>
      </c>
      <c r="F9843" s="2">
        <v>1</v>
      </c>
      <c r="G9843" s="2" t="s">
        <v>17</v>
      </c>
    </row>
    <row r="9844" spans="1:7" x14ac:dyDescent="0.2">
      <c r="A9844" s="2" t="s">
        <v>11536</v>
      </c>
      <c r="B9844" s="2" t="s">
        <v>11538</v>
      </c>
      <c r="C9844" s="2" t="s">
        <v>11539</v>
      </c>
      <c r="D9844" s="2" t="s">
        <v>10</v>
      </c>
      <c r="E9844" s="2" t="s">
        <v>16</v>
      </c>
      <c r="F9844" s="2">
        <v>1</v>
      </c>
      <c r="G9844" s="2" t="s">
        <v>17</v>
      </c>
    </row>
    <row r="9845" spans="1:7" x14ac:dyDescent="0.2">
      <c r="A9845" s="2" t="s">
        <v>11536</v>
      </c>
      <c r="B9845" s="2">
        <v>66</v>
      </c>
      <c r="C9845" s="2" t="s">
        <v>11540</v>
      </c>
      <c r="D9845" s="2" t="s">
        <v>10</v>
      </c>
      <c r="E9845" s="2" t="s">
        <v>16</v>
      </c>
      <c r="F9845" s="2">
        <v>1</v>
      </c>
      <c r="G9845" s="2" t="s">
        <v>17</v>
      </c>
    </row>
    <row r="9846" spans="1:7" x14ac:dyDescent="0.2">
      <c r="A9846" s="2" t="s">
        <v>11536</v>
      </c>
      <c r="B9846" s="2">
        <v>75</v>
      </c>
      <c r="C9846" s="2" t="s">
        <v>10097</v>
      </c>
      <c r="D9846" s="2" t="s">
        <v>10</v>
      </c>
      <c r="E9846" s="2" t="s">
        <v>16</v>
      </c>
      <c r="F9846" s="2">
        <v>1</v>
      </c>
      <c r="G9846" s="2" t="s">
        <v>17</v>
      </c>
    </row>
    <row r="9847" spans="1:7" x14ac:dyDescent="0.2">
      <c r="A9847" s="2" t="s">
        <v>11536</v>
      </c>
      <c r="B9847" s="2" t="s">
        <v>11541</v>
      </c>
      <c r="C9847" s="2" t="s">
        <v>11542</v>
      </c>
      <c r="D9847" s="2" t="s">
        <v>10</v>
      </c>
      <c r="E9847" s="2" t="s">
        <v>16</v>
      </c>
      <c r="F9847" s="2">
        <v>1</v>
      </c>
      <c r="G9847" s="2" t="s">
        <v>17</v>
      </c>
    </row>
    <row r="9848" spans="1:7" x14ac:dyDescent="0.2">
      <c r="A9848" s="2" t="s">
        <v>11536</v>
      </c>
      <c r="B9848" s="2" t="s">
        <v>11543</v>
      </c>
      <c r="C9848" s="2" t="s">
        <v>11539</v>
      </c>
      <c r="D9848" s="2" t="s">
        <v>10</v>
      </c>
      <c r="E9848" s="2" t="s">
        <v>16</v>
      </c>
      <c r="F9848" s="2">
        <v>1</v>
      </c>
      <c r="G9848" s="2" t="s">
        <v>17</v>
      </c>
    </row>
    <row r="9849" spans="1:7" x14ac:dyDescent="0.2">
      <c r="A9849" s="2" t="s">
        <v>11536</v>
      </c>
      <c r="B9849" s="2" t="s">
        <v>11544</v>
      </c>
      <c r="C9849" s="2" t="s">
        <v>10097</v>
      </c>
      <c r="D9849" s="2" t="s">
        <v>10</v>
      </c>
      <c r="E9849" s="2" t="s">
        <v>16</v>
      </c>
      <c r="F9849" s="2">
        <v>1</v>
      </c>
      <c r="G9849" s="2" t="s">
        <v>17</v>
      </c>
    </row>
    <row r="9850" spans="1:7" x14ac:dyDescent="0.2">
      <c r="A9850" s="2" t="s">
        <v>11536</v>
      </c>
      <c r="B9850" s="2" t="s">
        <v>11545</v>
      </c>
      <c r="C9850" s="2" t="s">
        <v>11542</v>
      </c>
      <c r="D9850" s="2" t="s">
        <v>10</v>
      </c>
      <c r="E9850" s="2" t="s">
        <v>16</v>
      </c>
      <c r="F9850" s="2">
        <v>1</v>
      </c>
      <c r="G9850" s="2" t="s">
        <v>17</v>
      </c>
    </row>
    <row r="9851" spans="1:7" x14ac:dyDescent="0.2">
      <c r="A9851" s="2" t="s">
        <v>11546</v>
      </c>
      <c r="B9851" s="2" t="s">
        <v>11488</v>
      </c>
      <c r="C9851" s="2" t="s">
        <v>11489</v>
      </c>
      <c r="D9851" s="2" t="s">
        <v>10</v>
      </c>
      <c r="E9851" s="2" t="s">
        <v>16</v>
      </c>
      <c r="F9851" s="2">
        <v>1</v>
      </c>
      <c r="G9851" s="2" t="s">
        <v>17</v>
      </c>
    </row>
    <row r="9852" spans="1:7" x14ac:dyDescent="0.2">
      <c r="A9852" s="2" t="s">
        <v>11546</v>
      </c>
      <c r="B9852" s="2" t="s">
        <v>8119</v>
      </c>
      <c r="C9852" s="2" t="s">
        <v>11490</v>
      </c>
      <c r="D9852" s="2" t="s">
        <v>10</v>
      </c>
      <c r="E9852" s="2" t="s">
        <v>16</v>
      </c>
      <c r="F9852" s="2">
        <v>1</v>
      </c>
      <c r="G9852" s="2" t="s">
        <v>17</v>
      </c>
    </row>
    <row r="9853" spans="1:7" x14ac:dyDescent="0.2">
      <c r="A9853" s="2" t="s">
        <v>11547</v>
      </c>
      <c r="B9853" s="2" t="s">
        <v>4589</v>
      </c>
      <c r="C9853" s="2" t="s">
        <v>325</v>
      </c>
      <c r="D9853" s="2" t="s">
        <v>10</v>
      </c>
      <c r="E9853" s="2" t="s">
        <v>16</v>
      </c>
      <c r="F9853" s="2">
        <v>1</v>
      </c>
      <c r="G9853" s="2" t="s">
        <v>17</v>
      </c>
    </row>
    <row r="9854" spans="1:7" x14ac:dyDescent="0.2">
      <c r="A9854" s="2" t="s">
        <v>11547</v>
      </c>
      <c r="B9854" s="2" t="s">
        <v>7058</v>
      </c>
      <c r="C9854" s="2" t="s">
        <v>325</v>
      </c>
      <c r="D9854" s="2" t="s">
        <v>10</v>
      </c>
      <c r="E9854" s="2" t="s">
        <v>16</v>
      </c>
      <c r="F9854" s="2">
        <v>1</v>
      </c>
      <c r="G9854" s="2" t="s">
        <v>17</v>
      </c>
    </row>
    <row r="9855" spans="1:7" x14ac:dyDescent="0.2">
      <c r="A9855" s="2" t="s">
        <v>11548</v>
      </c>
      <c r="B9855" s="2" t="s">
        <v>10050</v>
      </c>
      <c r="C9855" s="2" t="s">
        <v>10051</v>
      </c>
      <c r="D9855" s="2" t="s">
        <v>10</v>
      </c>
      <c r="E9855" s="2" t="s">
        <v>11</v>
      </c>
      <c r="F9855" s="2">
        <v>1</v>
      </c>
      <c r="G9855" s="2" t="s">
        <v>12</v>
      </c>
    </row>
    <row r="9856" spans="1:7" x14ac:dyDescent="0.2">
      <c r="A9856" s="2" t="s">
        <v>11548</v>
      </c>
      <c r="B9856" s="2" t="s">
        <v>625</v>
      </c>
      <c r="C9856" s="2" t="s">
        <v>626</v>
      </c>
      <c r="D9856" s="2" t="s">
        <v>10</v>
      </c>
      <c r="E9856" s="2" t="s">
        <v>11</v>
      </c>
      <c r="F9856" s="2">
        <v>2</v>
      </c>
      <c r="G9856" s="2" t="s">
        <v>17</v>
      </c>
    </row>
    <row r="9857" spans="1:7" x14ac:dyDescent="0.2">
      <c r="A9857" s="2" t="s">
        <v>11548</v>
      </c>
      <c r="B9857" s="2" t="s">
        <v>10061</v>
      </c>
      <c r="C9857" s="2" t="s">
        <v>10051</v>
      </c>
      <c r="D9857" s="2" t="s">
        <v>10</v>
      </c>
      <c r="E9857" s="2" t="s">
        <v>11</v>
      </c>
      <c r="F9857" s="2">
        <v>1</v>
      </c>
      <c r="G9857" s="2" t="s">
        <v>12</v>
      </c>
    </row>
    <row r="9858" spans="1:7" x14ac:dyDescent="0.2">
      <c r="A9858" s="2" t="s">
        <v>11548</v>
      </c>
      <c r="B9858" s="2" t="s">
        <v>2118</v>
      </c>
      <c r="C9858" s="2" t="s">
        <v>2116</v>
      </c>
      <c r="D9858" s="2" t="s">
        <v>10</v>
      </c>
      <c r="E9858" s="2" t="s">
        <v>11</v>
      </c>
      <c r="F9858" s="2">
        <v>1</v>
      </c>
      <c r="G9858" s="2" t="s">
        <v>12</v>
      </c>
    </row>
    <row r="9859" spans="1:7" x14ac:dyDescent="0.2">
      <c r="A9859" s="2" t="s">
        <v>11548</v>
      </c>
      <c r="B9859" s="2" t="s">
        <v>11549</v>
      </c>
      <c r="C9859" s="2" t="s">
        <v>11550</v>
      </c>
      <c r="D9859" s="2" t="s">
        <v>10</v>
      </c>
      <c r="E9859" s="2" t="s">
        <v>16</v>
      </c>
      <c r="F9859" s="2">
        <v>1</v>
      </c>
      <c r="G9859" s="2" t="s">
        <v>17</v>
      </c>
    </row>
    <row r="9860" spans="1:7" x14ac:dyDescent="0.2">
      <c r="A9860" s="2" t="s">
        <v>11548</v>
      </c>
      <c r="B9860" s="2" t="s">
        <v>11551</v>
      </c>
      <c r="C9860" s="2" t="s">
        <v>11550</v>
      </c>
      <c r="D9860" s="2" t="s">
        <v>10</v>
      </c>
      <c r="E9860" s="2" t="s">
        <v>16</v>
      </c>
      <c r="F9860" s="2">
        <v>1</v>
      </c>
      <c r="G9860" s="2" t="s">
        <v>17</v>
      </c>
    </row>
    <row r="9861" spans="1:7" x14ac:dyDescent="0.2">
      <c r="A9861" s="2" t="s">
        <v>11548</v>
      </c>
      <c r="B9861" s="2" t="s">
        <v>11552</v>
      </c>
      <c r="C9861" s="2" t="s">
        <v>157</v>
      </c>
      <c r="D9861" s="2" t="s">
        <v>10</v>
      </c>
      <c r="E9861" s="2" t="s">
        <v>52</v>
      </c>
      <c r="F9861" s="2">
        <v>1</v>
      </c>
      <c r="G9861" s="2" t="s">
        <v>17</v>
      </c>
    </row>
    <row r="9862" spans="1:7" x14ac:dyDescent="0.2">
      <c r="A9862" s="2" t="s">
        <v>11548</v>
      </c>
      <c r="B9862" s="2" t="s">
        <v>648</v>
      </c>
      <c r="C9862" s="2" t="s">
        <v>626</v>
      </c>
      <c r="D9862" s="2" t="s">
        <v>10</v>
      </c>
      <c r="E9862" s="2" t="s">
        <v>11</v>
      </c>
      <c r="F9862" s="2">
        <v>2</v>
      </c>
      <c r="G9862" s="2" t="s">
        <v>17</v>
      </c>
    </row>
    <row r="9863" spans="1:7" x14ac:dyDescent="0.2">
      <c r="A9863" s="2" t="s">
        <v>11548</v>
      </c>
      <c r="B9863" s="2" t="s">
        <v>11553</v>
      </c>
      <c r="C9863" s="2" t="s">
        <v>11550</v>
      </c>
      <c r="D9863" s="2" t="s">
        <v>10</v>
      </c>
      <c r="E9863" s="2" t="s">
        <v>16</v>
      </c>
      <c r="F9863" s="2">
        <v>1</v>
      </c>
      <c r="G9863" s="2" t="s">
        <v>17</v>
      </c>
    </row>
    <row r="9864" spans="1:7" x14ac:dyDescent="0.2">
      <c r="A9864" s="2" t="s">
        <v>11548</v>
      </c>
      <c r="B9864" s="2" t="s">
        <v>9127</v>
      </c>
      <c r="C9864" s="2" t="s">
        <v>9128</v>
      </c>
      <c r="D9864" s="2" t="s">
        <v>10</v>
      </c>
      <c r="E9864" s="2" t="s">
        <v>16</v>
      </c>
      <c r="F9864" s="2">
        <v>1</v>
      </c>
      <c r="G9864" s="2" t="s">
        <v>17</v>
      </c>
    </row>
    <row r="9865" spans="1:7" x14ac:dyDescent="0.2">
      <c r="A9865" s="2" t="s">
        <v>11548</v>
      </c>
      <c r="B9865" s="2" t="s">
        <v>9129</v>
      </c>
      <c r="C9865" s="2" t="s">
        <v>9128</v>
      </c>
      <c r="D9865" s="2" t="s">
        <v>10</v>
      </c>
      <c r="E9865" s="2" t="s">
        <v>16</v>
      </c>
      <c r="F9865" s="2">
        <v>1</v>
      </c>
      <c r="G9865" s="2" t="s">
        <v>17</v>
      </c>
    </row>
    <row r="9866" spans="1:7" x14ac:dyDescent="0.2">
      <c r="A9866" s="2" t="s">
        <v>11548</v>
      </c>
      <c r="B9866" s="2" t="s">
        <v>162</v>
      </c>
      <c r="C9866" s="2" t="s">
        <v>157</v>
      </c>
      <c r="D9866" s="2" t="s">
        <v>10</v>
      </c>
      <c r="E9866" s="2" t="s">
        <v>52</v>
      </c>
      <c r="F9866" s="2">
        <v>1</v>
      </c>
      <c r="G9866" s="2" t="s">
        <v>17</v>
      </c>
    </row>
    <row r="9867" spans="1:7" x14ac:dyDescent="0.2">
      <c r="A9867" s="2" t="s">
        <v>11548</v>
      </c>
      <c r="B9867" s="2" t="s">
        <v>9130</v>
      </c>
      <c r="C9867" s="2" t="s">
        <v>9128</v>
      </c>
      <c r="D9867" s="2" t="s">
        <v>10</v>
      </c>
      <c r="E9867" s="2" t="s">
        <v>16</v>
      </c>
      <c r="F9867" s="2">
        <v>1</v>
      </c>
      <c r="G9867" s="2" t="s">
        <v>17</v>
      </c>
    </row>
    <row r="9868" spans="1:7" x14ac:dyDescent="0.2">
      <c r="A9868" s="2" t="s">
        <v>11548</v>
      </c>
      <c r="B9868" s="2" t="s">
        <v>9133</v>
      </c>
      <c r="C9868" s="2" t="s">
        <v>9128</v>
      </c>
      <c r="D9868" s="2" t="s">
        <v>10</v>
      </c>
      <c r="E9868" s="2" t="s">
        <v>16</v>
      </c>
      <c r="F9868" s="2">
        <v>1</v>
      </c>
      <c r="G9868" s="2" t="s">
        <v>17</v>
      </c>
    </row>
    <row r="9869" spans="1:7" x14ac:dyDescent="0.2">
      <c r="A9869" s="2" t="s">
        <v>11548</v>
      </c>
      <c r="B9869" s="2" t="s">
        <v>11554</v>
      </c>
      <c r="C9869" s="2" t="s">
        <v>11550</v>
      </c>
      <c r="D9869" s="2" t="s">
        <v>10</v>
      </c>
      <c r="E9869" s="2" t="s">
        <v>16</v>
      </c>
      <c r="F9869" s="2">
        <v>1</v>
      </c>
      <c r="G9869" s="2" t="s">
        <v>17</v>
      </c>
    </row>
    <row r="9870" spans="1:7" x14ac:dyDescent="0.2">
      <c r="A9870" s="2" t="s">
        <v>11548</v>
      </c>
      <c r="B9870" s="2" t="s">
        <v>39</v>
      </c>
      <c r="C9870" s="2" t="s">
        <v>1734</v>
      </c>
      <c r="D9870" s="2" t="s">
        <v>10</v>
      </c>
      <c r="E9870" s="2" t="s">
        <v>11</v>
      </c>
      <c r="F9870" s="2">
        <v>2</v>
      </c>
      <c r="G9870" s="2" t="s">
        <v>12</v>
      </c>
    </row>
    <row r="9871" spans="1:7" x14ac:dyDescent="0.2">
      <c r="A9871" s="2" t="s">
        <v>11548</v>
      </c>
      <c r="B9871" s="2" t="s">
        <v>8953</v>
      </c>
      <c r="C9871" s="2" t="s">
        <v>1734</v>
      </c>
      <c r="D9871" s="2" t="s">
        <v>10</v>
      </c>
      <c r="E9871" s="2" t="s">
        <v>11</v>
      </c>
      <c r="F9871" s="2">
        <v>2</v>
      </c>
      <c r="G9871" s="2" t="s">
        <v>12</v>
      </c>
    </row>
    <row r="9872" spans="1:7" x14ac:dyDescent="0.2">
      <c r="A9872" s="2" t="s">
        <v>11555</v>
      </c>
      <c r="B9872" s="2" t="s">
        <v>11556</v>
      </c>
      <c r="C9872" s="2" t="s">
        <v>11557</v>
      </c>
      <c r="D9872" s="2" t="s">
        <v>10</v>
      </c>
      <c r="E9872" s="2" t="s">
        <v>16</v>
      </c>
      <c r="F9872" s="2">
        <v>1</v>
      </c>
      <c r="G9872" s="2" t="s">
        <v>17</v>
      </c>
    </row>
    <row r="9873" spans="1:7" x14ac:dyDescent="0.2">
      <c r="A9873" s="2" t="s">
        <v>11558</v>
      </c>
      <c r="B9873" s="2" t="s">
        <v>11559</v>
      </c>
      <c r="C9873" s="2" t="s">
        <v>11560</v>
      </c>
      <c r="D9873" s="2" t="s">
        <v>10</v>
      </c>
      <c r="E9873" s="2" t="s">
        <v>16</v>
      </c>
      <c r="F9873" s="2">
        <v>1</v>
      </c>
      <c r="G9873" s="2" t="s">
        <v>17</v>
      </c>
    </row>
    <row r="9874" spans="1:7" x14ac:dyDescent="0.2">
      <c r="A9874" s="2" t="s">
        <v>11558</v>
      </c>
      <c r="B9874" s="2" t="s">
        <v>11561</v>
      </c>
      <c r="C9874" s="2" t="s">
        <v>11562</v>
      </c>
      <c r="D9874" s="2" t="s">
        <v>10</v>
      </c>
      <c r="E9874" s="2" t="s">
        <v>16</v>
      </c>
      <c r="F9874" s="2">
        <v>1</v>
      </c>
      <c r="G9874" s="2" t="s">
        <v>17</v>
      </c>
    </row>
    <row r="9875" spans="1:7" x14ac:dyDescent="0.2">
      <c r="A9875" s="2" t="s">
        <v>11558</v>
      </c>
      <c r="B9875" s="2" t="s">
        <v>11563</v>
      </c>
      <c r="C9875" s="2" t="s">
        <v>11564</v>
      </c>
      <c r="D9875" s="2" t="s">
        <v>10</v>
      </c>
      <c r="E9875" s="2" t="s">
        <v>16</v>
      </c>
      <c r="F9875" s="2">
        <v>1</v>
      </c>
      <c r="G9875" s="2" t="s">
        <v>17</v>
      </c>
    </row>
    <row r="9876" spans="1:7" x14ac:dyDescent="0.2">
      <c r="A9876" s="2" t="s">
        <v>11558</v>
      </c>
      <c r="B9876" s="2" t="s">
        <v>11565</v>
      </c>
      <c r="C9876" s="2" t="s">
        <v>11566</v>
      </c>
      <c r="D9876" s="2" t="s">
        <v>10</v>
      </c>
      <c r="E9876" s="2" t="s">
        <v>52</v>
      </c>
      <c r="F9876" s="2">
        <v>1</v>
      </c>
      <c r="G9876" s="2" t="s">
        <v>17</v>
      </c>
    </row>
    <row r="9877" spans="1:7" x14ac:dyDescent="0.2">
      <c r="A9877" s="2" t="s">
        <v>11558</v>
      </c>
      <c r="B9877" s="2" t="s">
        <v>11567</v>
      </c>
      <c r="C9877" s="2" t="s">
        <v>1005</v>
      </c>
      <c r="D9877" s="2" t="s">
        <v>10</v>
      </c>
      <c r="E9877" s="2" t="s">
        <v>16</v>
      </c>
      <c r="F9877" s="2">
        <v>1</v>
      </c>
      <c r="G9877" s="2" t="s">
        <v>17</v>
      </c>
    </row>
    <row r="9878" spans="1:7" x14ac:dyDescent="0.2">
      <c r="A9878" s="2" t="s">
        <v>11558</v>
      </c>
      <c r="B9878" s="2" t="s">
        <v>11568</v>
      </c>
      <c r="C9878" s="2" t="s">
        <v>11569</v>
      </c>
      <c r="D9878" s="2" t="s">
        <v>10</v>
      </c>
      <c r="E9878" s="2" t="s">
        <v>16</v>
      </c>
      <c r="F9878" s="2">
        <v>1</v>
      </c>
      <c r="G9878" s="2" t="s">
        <v>17</v>
      </c>
    </row>
    <row r="9879" spans="1:7" x14ac:dyDescent="0.2">
      <c r="A9879" s="2" t="s">
        <v>11558</v>
      </c>
      <c r="B9879" s="2" t="s">
        <v>11570</v>
      </c>
      <c r="C9879" s="2" t="s">
        <v>11571</v>
      </c>
      <c r="D9879" s="2" t="s">
        <v>10</v>
      </c>
      <c r="E9879" s="2" t="s">
        <v>16</v>
      </c>
      <c r="F9879" s="2">
        <v>1</v>
      </c>
      <c r="G9879" s="2" t="s">
        <v>17</v>
      </c>
    </row>
    <row r="9880" spans="1:7" x14ac:dyDescent="0.2">
      <c r="A9880" s="2" t="s">
        <v>11558</v>
      </c>
      <c r="B9880" s="2" t="s">
        <v>11572</v>
      </c>
      <c r="C9880" s="2" t="s">
        <v>11573</v>
      </c>
      <c r="D9880" s="2" t="s">
        <v>10</v>
      </c>
      <c r="E9880" s="2" t="s">
        <v>16</v>
      </c>
      <c r="F9880" s="2">
        <v>1</v>
      </c>
      <c r="G9880" s="2" t="s">
        <v>17</v>
      </c>
    </row>
    <row r="9881" spans="1:7" x14ac:dyDescent="0.2">
      <c r="A9881" s="2" t="s">
        <v>11558</v>
      </c>
      <c r="B9881" s="2" t="s">
        <v>11574</v>
      </c>
      <c r="C9881" s="2" t="s">
        <v>11575</v>
      </c>
      <c r="D9881" s="2" t="s">
        <v>10</v>
      </c>
      <c r="E9881" s="2" t="s">
        <v>16</v>
      </c>
      <c r="F9881" s="2">
        <v>1</v>
      </c>
      <c r="G9881" s="2" t="s">
        <v>17</v>
      </c>
    </row>
    <row r="9882" spans="1:7" x14ac:dyDescent="0.2">
      <c r="A9882" s="2" t="s">
        <v>11558</v>
      </c>
      <c r="B9882" s="2" t="s">
        <v>11576</v>
      </c>
      <c r="C9882" s="2" t="s">
        <v>11577</v>
      </c>
      <c r="D9882" s="2" t="s">
        <v>10</v>
      </c>
      <c r="E9882" s="2" t="s">
        <v>16</v>
      </c>
      <c r="F9882" s="2">
        <v>1</v>
      </c>
      <c r="G9882" s="2" t="s">
        <v>17</v>
      </c>
    </row>
    <row r="9883" spans="1:7" x14ac:dyDescent="0.2">
      <c r="A9883" s="2" t="s">
        <v>11578</v>
      </c>
      <c r="B9883" s="2" t="s">
        <v>1881</v>
      </c>
      <c r="C9883" s="2" t="s">
        <v>1880</v>
      </c>
      <c r="D9883" s="2" t="s">
        <v>10</v>
      </c>
      <c r="E9883" s="2" t="s">
        <v>16</v>
      </c>
      <c r="F9883" s="2">
        <v>1</v>
      </c>
      <c r="G9883" s="2" t="s">
        <v>17</v>
      </c>
    </row>
    <row r="9884" spans="1:7" x14ac:dyDescent="0.2">
      <c r="A9884" s="2" t="s">
        <v>11578</v>
      </c>
      <c r="B9884" s="2" t="s">
        <v>43</v>
      </c>
      <c r="C9884" s="2" t="s">
        <v>1880</v>
      </c>
      <c r="D9884" s="2" t="s">
        <v>10</v>
      </c>
      <c r="E9884" s="2" t="s">
        <v>16</v>
      </c>
      <c r="F9884" s="2">
        <v>1</v>
      </c>
      <c r="G9884" s="2" t="s">
        <v>17</v>
      </c>
    </row>
    <row r="9885" spans="1:7" x14ac:dyDescent="0.2">
      <c r="A9885" s="2" t="s">
        <v>11578</v>
      </c>
      <c r="B9885" s="2" t="s">
        <v>1879</v>
      </c>
      <c r="C9885" s="2" t="s">
        <v>1880</v>
      </c>
      <c r="D9885" s="2" t="s">
        <v>10</v>
      </c>
      <c r="E9885" s="2" t="s">
        <v>16</v>
      </c>
      <c r="F9885" s="2">
        <v>1</v>
      </c>
      <c r="G9885" s="2" t="s">
        <v>17</v>
      </c>
    </row>
    <row r="9886" spans="1:7" x14ac:dyDescent="0.2">
      <c r="A9886" s="2" t="s">
        <v>11579</v>
      </c>
      <c r="B9886" s="2" t="s">
        <v>11580</v>
      </c>
      <c r="C9886" s="2" t="s">
        <v>4545</v>
      </c>
      <c r="D9886" s="2" t="s">
        <v>10</v>
      </c>
      <c r="E9886" s="2" t="s">
        <v>52</v>
      </c>
      <c r="F9886" s="2">
        <v>1</v>
      </c>
      <c r="G9886" s="2" t="s">
        <v>17</v>
      </c>
    </row>
    <row r="9887" spans="1:7" x14ac:dyDescent="0.2">
      <c r="A9887" s="2" t="s">
        <v>11581</v>
      </c>
      <c r="B9887" s="2" t="s">
        <v>11582</v>
      </c>
      <c r="C9887" s="2" t="s">
        <v>8430</v>
      </c>
      <c r="D9887" s="2" t="s">
        <v>10</v>
      </c>
      <c r="E9887" s="2" t="s">
        <v>16</v>
      </c>
      <c r="F9887" s="2">
        <v>1</v>
      </c>
      <c r="G9887" s="2" t="s">
        <v>17</v>
      </c>
    </row>
    <row r="9888" spans="1:7" x14ac:dyDescent="0.2">
      <c r="A9888" s="2" t="s">
        <v>11581</v>
      </c>
      <c r="B9888" s="2" t="s">
        <v>11583</v>
      </c>
      <c r="C9888" s="2" t="s">
        <v>8430</v>
      </c>
      <c r="D9888" s="2" t="s">
        <v>10</v>
      </c>
      <c r="E9888" s="2" t="s">
        <v>16</v>
      </c>
      <c r="F9888" s="2">
        <v>1</v>
      </c>
      <c r="G9888" s="2" t="s">
        <v>17</v>
      </c>
    </row>
    <row r="9889" spans="1:7" x14ac:dyDescent="0.2">
      <c r="A9889" s="2" t="s">
        <v>11584</v>
      </c>
      <c r="B9889" s="2" t="s">
        <v>11585</v>
      </c>
      <c r="C9889" s="2" t="s">
        <v>11586</v>
      </c>
      <c r="D9889" s="2" t="s">
        <v>10</v>
      </c>
      <c r="E9889" s="2" t="s">
        <v>16</v>
      </c>
      <c r="F9889" s="2">
        <v>1</v>
      </c>
      <c r="G9889" s="2" t="s">
        <v>17</v>
      </c>
    </row>
    <row r="9890" spans="1:7" x14ac:dyDescent="0.2">
      <c r="A9890" s="2" t="s">
        <v>11587</v>
      </c>
      <c r="B9890" s="2" t="s">
        <v>1129</v>
      </c>
      <c r="C9890" s="2" t="s">
        <v>10505</v>
      </c>
      <c r="D9890" s="2" t="s">
        <v>56</v>
      </c>
      <c r="E9890" s="2" t="s">
        <v>52</v>
      </c>
      <c r="F9890" s="2">
        <v>1</v>
      </c>
      <c r="G9890" s="2" t="s">
        <v>17</v>
      </c>
    </row>
    <row r="9891" spans="1:7" x14ac:dyDescent="0.2">
      <c r="A9891" s="2" t="s">
        <v>11587</v>
      </c>
      <c r="B9891" s="2" t="s">
        <v>747</v>
      </c>
      <c r="C9891" s="2" t="s">
        <v>10499</v>
      </c>
      <c r="D9891" s="2" t="s">
        <v>56</v>
      </c>
      <c r="E9891" s="2" t="s">
        <v>16</v>
      </c>
      <c r="F9891" s="2">
        <v>1</v>
      </c>
      <c r="G9891" s="2" t="s">
        <v>17</v>
      </c>
    </row>
    <row r="9892" spans="1:7" x14ac:dyDescent="0.2">
      <c r="A9892" s="2" t="s">
        <v>11588</v>
      </c>
      <c r="B9892" s="2" t="s">
        <v>6831</v>
      </c>
      <c r="C9892" s="2" t="s">
        <v>1890</v>
      </c>
      <c r="D9892" s="2" t="s">
        <v>10</v>
      </c>
      <c r="E9892" s="2" t="s">
        <v>16</v>
      </c>
      <c r="F9892" s="2">
        <v>2</v>
      </c>
      <c r="G9892" s="2" t="s">
        <v>12</v>
      </c>
    </row>
    <row r="9893" spans="1:7" x14ac:dyDescent="0.2">
      <c r="A9893" s="2" t="s">
        <v>11589</v>
      </c>
      <c r="B9893" s="2" t="s">
        <v>11590</v>
      </c>
      <c r="C9893" s="2" t="s">
        <v>11591</v>
      </c>
      <c r="D9893" s="2" t="s">
        <v>10</v>
      </c>
      <c r="E9893" s="2" t="s">
        <v>6357</v>
      </c>
      <c r="F9893" s="2">
        <v>1</v>
      </c>
      <c r="G9893" s="2" t="s">
        <v>17</v>
      </c>
    </row>
    <row r="9894" spans="1:7" x14ac:dyDescent="0.2">
      <c r="A9894" s="2" t="s">
        <v>11589</v>
      </c>
      <c r="B9894" s="2" t="s">
        <v>11592</v>
      </c>
      <c r="C9894" s="2" t="s">
        <v>11593</v>
      </c>
      <c r="D9894" s="2" t="s">
        <v>10</v>
      </c>
      <c r="E9894" s="2" t="s">
        <v>16</v>
      </c>
      <c r="F9894" s="2">
        <v>1</v>
      </c>
      <c r="G9894" s="2" t="s">
        <v>17</v>
      </c>
    </row>
    <row r="9895" spans="1:7" x14ac:dyDescent="0.2">
      <c r="A9895" s="2" t="s">
        <v>11589</v>
      </c>
      <c r="B9895" s="2" t="s">
        <v>11594</v>
      </c>
      <c r="C9895" s="2" t="s">
        <v>11593</v>
      </c>
      <c r="D9895" s="2" t="s">
        <v>10</v>
      </c>
      <c r="E9895" s="2" t="s">
        <v>16</v>
      </c>
      <c r="F9895" s="2">
        <v>1</v>
      </c>
      <c r="G9895" s="2" t="s">
        <v>17</v>
      </c>
    </row>
    <row r="9896" spans="1:7" x14ac:dyDescent="0.2">
      <c r="A9896" s="2" t="s">
        <v>11589</v>
      </c>
      <c r="B9896" s="2" t="s">
        <v>11595</v>
      </c>
      <c r="C9896" s="2" t="s">
        <v>11593</v>
      </c>
      <c r="D9896" s="2" t="s">
        <v>10</v>
      </c>
      <c r="E9896" s="2" t="s">
        <v>16</v>
      </c>
      <c r="F9896" s="2">
        <v>1</v>
      </c>
      <c r="G9896" s="2" t="s">
        <v>17</v>
      </c>
    </row>
    <row r="9897" spans="1:7" x14ac:dyDescent="0.2">
      <c r="A9897" s="2" t="s">
        <v>11589</v>
      </c>
      <c r="B9897" s="2" t="s">
        <v>11596</v>
      </c>
      <c r="C9897" s="2" t="s">
        <v>11593</v>
      </c>
      <c r="D9897" s="2" t="s">
        <v>10</v>
      </c>
      <c r="E9897" s="2" t="s">
        <v>16</v>
      </c>
      <c r="F9897" s="2">
        <v>1</v>
      </c>
      <c r="G9897" s="2" t="s">
        <v>17</v>
      </c>
    </row>
    <row r="9898" spans="1:7" x14ac:dyDescent="0.2">
      <c r="A9898" s="2" t="s">
        <v>11589</v>
      </c>
      <c r="B9898" s="2" t="s">
        <v>11597</v>
      </c>
      <c r="C9898" s="2" t="s">
        <v>11593</v>
      </c>
      <c r="D9898" s="2" t="s">
        <v>10</v>
      </c>
      <c r="E9898" s="2" t="s">
        <v>16</v>
      </c>
      <c r="F9898" s="2">
        <v>1</v>
      </c>
      <c r="G9898" s="2" t="s">
        <v>17</v>
      </c>
    </row>
    <row r="9899" spans="1:7" x14ac:dyDescent="0.2">
      <c r="A9899" s="2" t="s">
        <v>11589</v>
      </c>
      <c r="B9899" s="2" t="s">
        <v>11598</v>
      </c>
      <c r="C9899" s="2" t="s">
        <v>11599</v>
      </c>
      <c r="D9899" s="2" t="s">
        <v>10</v>
      </c>
      <c r="E9899" s="2" t="s">
        <v>16</v>
      </c>
      <c r="F9899" s="2">
        <v>2</v>
      </c>
      <c r="G9899" s="2" t="s">
        <v>17</v>
      </c>
    </row>
    <row r="9900" spans="1:7" x14ac:dyDescent="0.2">
      <c r="A9900" s="2" t="s">
        <v>11600</v>
      </c>
      <c r="B9900" s="2" t="s">
        <v>96</v>
      </c>
      <c r="C9900" s="2" t="s">
        <v>97</v>
      </c>
      <c r="D9900" s="2" t="s">
        <v>10</v>
      </c>
      <c r="E9900" s="2" t="s">
        <v>16</v>
      </c>
      <c r="F9900" s="2">
        <v>1</v>
      </c>
      <c r="G9900" s="2" t="s">
        <v>17</v>
      </c>
    </row>
    <row r="9901" spans="1:7" x14ac:dyDescent="0.2">
      <c r="A9901" s="2" t="s">
        <v>11601</v>
      </c>
      <c r="B9901" s="2" t="s">
        <v>11602</v>
      </c>
      <c r="C9901" s="2" t="s">
        <v>11603</v>
      </c>
      <c r="D9901" s="2" t="s">
        <v>10</v>
      </c>
      <c r="E9901" s="2" t="s">
        <v>16</v>
      </c>
      <c r="F9901" s="2">
        <v>1</v>
      </c>
      <c r="G9901" s="2" t="s">
        <v>17</v>
      </c>
    </row>
    <row r="9902" spans="1:7" x14ac:dyDescent="0.2">
      <c r="A9902" s="2" t="s">
        <v>11601</v>
      </c>
      <c r="B9902" s="2" t="s">
        <v>11604</v>
      </c>
      <c r="C9902" s="2" t="s">
        <v>11603</v>
      </c>
      <c r="D9902" s="2" t="s">
        <v>10</v>
      </c>
      <c r="E9902" s="2" t="s">
        <v>16</v>
      </c>
      <c r="F9902" s="2">
        <v>1</v>
      </c>
      <c r="G9902" s="2" t="s">
        <v>17</v>
      </c>
    </row>
    <row r="9903" spans="1:7" x14ac:dyDescent="0.2">
      <c r="A9903" s="2" t="s">
        <v>11601</v>
      </c>
      <c r="B9903" s="2" t="s">
        <v>11605</v>
      </c>
      <c r="C9903" s="2" t="s">
        <v>11606</v>
      </c>
      <c r="D9903" s="2" t="s">
        <v>10</v>
      </c>
      <c r="E9903" s="2" t="s">
        <v>16</v>
      </c>
      <c r="F9903" s="2">
        <v>1</v>
      </c>
      <c r="G9903" s="2" t="s">
        <v>17</v>
      </c>
    </row>
    <row r="9904" spans="1:7" x14ac:dyDescent="0.2">
      <c r="A9904" s="2" t="s">
        <v>11601</v>
      </c>
      <c r="B9904" s="2" t="s">
        <v>11607</v>
      </c>
      <c r="C9904" s="2" t="s">
        <v>11606</v>
      </c>
      <c r="D9904" s="2" t="s">
        <v>10</v>
      </c>
      <c r="E9904" s="2" t="s">
        <v>16</v>
      </c>
      <c r="F9904" s="2">
        <v>1</v>
      </c>
      <c r="G9904" s="2" t="s">
        <v>17</v>
      </c>
    </row>
    <row r="9905" spans="1:7" x14ac:dyDescent="0.2">
      <c r="A9905" s="2" t="s">
        <v>11608</v>
      </c>
      <c r="B9905" s="2" t="s">
        <v>11609</v>
      </c>
      <c r="C9905" s="2" t="s">
        <v>11610</v>
      </c>
      <c r="D9905" s="2" t="s">
        <v>10</v>
      </c>
      <c r="E9905" s="2" t="s">
        <v>16</v>
      </c>
      <c r="F9905" s="2">
        <v>1</v>
      </c>
      <c r="G9905" s="2" t="s">
        <v>17</v>
      </c>
    </row>
    <row r="9906" spans="1:7" x14ac:dyDescent="0.2">
      <c r="A9906" s="2" t="s">
        <v>11608</v>
      </c>
      <c r="B9906" s="2" t="s">
        <v>11611</v>
      </c>
      <c r="C9906" s="2" t="s">
        <v>11610</v>
      </c>
      <c r="D9906" s="2" t="s">
        <v>10</v>
      </c>
      <c r="E9906" s="2" t="s">
        <v>16</v>
      </c>
      <c r="F9906" s="2">
        <v>1</v>
      </c>
      <c r="G9906" s="2" t="s">
        <v>17</v>
      </c>
    </row>
    <row r="9907" spans="1:7" x14ac:dyDescent="0.2">
      <c r="A9907" s="2" t="s">
        <v>11612</v>
      </c>
      <c r="B9907" s="2" t="s">
        <v>11613</v>
      </c>
      <c r="C9907" s="2" t="s">
        <v>11614</v>
      </c>
      <c r="D9907" s="2" t="s">
        <v>56</v>
      </c>
      <c r="E9907" s="2" t="s">
        <v>16</v>
      </c>
      <c r="F9907" s="2">
        <v>1</v>
      </c>
      <c r="G9907" s="2" t="s">
        <v>17</v>
      </c>
    </row>
    <row r="9908" spans="1:7" x14ac:dyDescent="0.2">
      <c r="A9908" s="2" t="s">
        <v>11612</v>
      </c>
      <c r="B9908" s="2">
        <v>107</v>
      </c>
      <c r="C9908" s="2" t="s">
        <v>2951</v>
      </c>
      <c r="D9908" s="2" t="s">
        <v>56</v>
      </c>
      <c r="E9908" s="2" t="s">
        <v>52</v>
      </c>
      <c r="F9908" s="2">
        <v>2</v>
      </c>
      <c r="G9908" s="2" t="s">
        <v>12</v>
      </c>
    </row>
    <row r="9909" spans="1:7" x14ac:dyDescent="0.2">
      <c r="A9909" s="2" t="s">
        <v>11612</v>
      </c>
      <c r="B9909" s="2" t="s">
        <v>11615</v>
      </c>
      <c r="C9909" s="2" t="s">
        <v>11614</v>
      </c>
      <c r="D9909" s="2" t="s">
        <v>56</v>
      </c>
      <c r="E9909" s="2" t="s">
        <v>16</v>
      </c>
      <c r="F9909" s="2">
        <v>1</v>
      </c>
      <c r="G9909" s="2" t="s">
        <v>17</v>
      </c>
    </row>
    <row r="9910" spans="1:7" x14ac:dyDescent="0.2">
      <c r="A9910" s="2" t="s">
        <v>11612</v>
      </c>
      <c r="B9910" s="2" t="s">
        <v>11616</v>
      </c>
      <c r="C9910" s="2" t="s">
        <v>11614</v>
      </c>
      <c r="D9910" s="2" t="s">
        <v>56</v>
      </c>
      <c r="E9910" s="2" t="s">
        <v>16</v>
      </c>
      <c r="F9910" s="2">
        <v>1</v>
      </c>
      <c r="G9910" s="2" t="s">
        <v>17</v>
      </c>
    </row>
    <row r="9911" spans="1:7" x14ac:dyDescent="0.2">
      <c r="A9911" s="2" t="s">
        <v>11617</v>
      </c>
      <c r="B9911" s="2" t="s">
        <v>10526</v>
      </c>
      <c r="C9911" s="2" t="s">
        <v>10478</v>
      </c>
      <c r="D9911" s="2" t="s">
        <v>56</v>
      </c>
      <c r="E9911" s="2" t="s">
        <v>52</v>
      </c>
      <c r="F9911" s="2">
        <v>2</v>
      </c>
      <c r="G9911" s="2" t="s">
        <v>12</v>
      </c>
    </row>
    <row r="9912" spans="1:7" x14ac:dyDescent="0.2">
      <c r="A9912" s="2" t="s">
        <v>11618</v>
      </c>
      <c r="B9912" s="2" t="s">
        <v>11619</v>
      </c>
      <c r="C9912" s="2" t="s">
        <v>7813</v>
      </c>
      <c r="D9912" s="2" t="s">
        <v>10</v>
      </c>
      <c r="E9912" s="2" t="s">
        <v>16</v>
      </c>
      <c r="F9912" s="2">
        <v>1</v>
      </c>
      <c r="G9912" s="2" t="s">
        <v>17</v>
      </c>
    </row>
    <row r="9913" spans="1:7" x14ac:dyDescent="0.2">
      <c r="A9913" s="2" t="s">
        <v>11618</v>
      </c>
      <c r="B9913" s="2" t="s">
        <v>8802</v>
      </c>
      <c r="C9913" s="2" t="s">
        <v>7813</v>
      </c>
      <c r="D9913" s="2" t="s">
        <v>10</v>
      </c>
      <c r="E9913" s="2" t="s">
        <v>16</v>
      </c>
      <c r="F9913" s="2">
        <v>1</v>
      </c>
      <c r="G9913" s="2" t="s">
        <v>17</v>
      </c>
    </row>
    <row r="9914" spans="1:7" x14ac:dyDescent="0.2">
      <c r="A9914" s="2" t="s">
        <v>11620</v>
      </c>
      <c r="B9914" s="2" t="s">
        <v>11621</v>
      </c>
      <c r="C9914" s="2" t="s">
        <v>11622</v>
      </c>
      <c r="D9914" s="2" t="s">
        <v>10</v>
      </c>
      <c r="E9914" s="2" t="s">
        <v>16</v>
      </c>
      <c r="F9914" s="2">
        <v>1</v>
      </c>
      <c r="G9914" s="2" t="s">
        <v>17</v>
      </c>
    </row>
    <row r="9915" spans="1:7" x14ac:dyDescent="0.2">
      <c r="A9915" s="2" t="s">
        <v>11620</v>
      </c>
      <c r="B9915" s="2" t="s">
        <v>762</v>
      </c>
      <c r="C9915" s="2" t="s">
        <v>763</v>
      </c>
      <c r="D9915" s="2" t="s">
        <v>10</v>
      </c>
      <c r="E9915" s="2" t="s">
        <v>16</v>
      </c>
      <c r="F9915" s="2">
        <v>1</v>
      </c>
      <c r="G9915" s="2" t="s">
        <v>17</v>
      </c>
    </row>
    <row r="9916" spans="1:7" x14ac:dyDescent="0.2">
      <c r="A9916" s="2" t="s">
        <v>11623</v>
      </c>
      <c r="B9916" s="2" t="s">
        <v>1725</v>
      </c>
      <c r="C9916" s="2" t="s">
        <v>1726</v>
      </c>
      <c r="D9916" s="2" t="s">
        <v>10</v>
      </c>
      <c r="E9916" s="2" t="s">
        <v>16</v>
      </c>
      <c r="F9916" s="2">
        <v>1</v>
      </c>
      <c r="G9916" s="2" t="s">
        <v>17</v>
      </c>
    </row>
    <row r="9917" spans="1:7" x14ac:dyDescent="0.2">
      <c r="A9917" s="2" t="s">
        <v>11624</v>
      </c>
      <c r="B9917" s="2" t="s">
        <v>6318</v>
      </c>
      <c r="C9917" s="2" t="s">
        <v>6319</v>
      </c>
      <c r="D9917" s="2" t="s">
        <v>10</v>
      </c>
      <c r="E9917" s="2" t="s">
        <v>16</v>
      </c>
      <c r="F9917" s="2">
        <v>1</v>
      </c>
      <c r="G9917" s="2" t="s">
        <v>17</v>
      </c>
    </row>
    <row r="9918" spans="1:7" x14ac:dyDescent="0.2">
      <c r="A9918" s="2" t="s">
        <v>11624</v>
      </c>
      <c r="B9918" s="2" t="s">
        <v>3746</v>
      </c>
      <c r="C9918" s="2" t="s">
        <v>10687</v>
      </c>
      <c r="D9918" s="2" t="s">
        <v>10</v>
      </c>
      <c r="E9918" s="2" t="s">
        <v>16</v>
      </c>
      <c r="F9918" s="2">
        <v>1</v>
      </c>
      <c r="G9918" s="2" t="s">
        <v>17</v>
      </c>
    </row>
    <row r="9919" spans="1:7" x14ac:dyDescent="0.2">
      <c r="A9919" s="2" t="s">
        <v>11624</v>
      </c>
      <c r="B9919" s="2" t="s">
        <v>6320</v>
      </c>
      <c r="C9919" s="2" t="s">
        <v>6319</v>
      </c>
      <c r="D9919" s="2" t="s">
        <v>10</v>
      </c>
      <c r="E9919" s="2" t="s">
        <v>16</v>
      </c>
      <c r="F9919" s="2">
        <v>1</v>
      </c>
      <c r="G9919" s="2" t="s">
        <v>17</v>
      </c>
    </row>
    <row r="9920" spans="1:7" x14ac:dyDescent="0.2">
      <c r="A9920" s="2" t="s">
        <v>11625</v>
      </c>
      <c r="B9920" s="2" t="s">
        <v>4548</v>
      </c>
      <c r="C9920" s="2" t="s">
        <v>4524</v>
      </c>
      <c r="D9920" s="2" t="s">
        <v>10</v>
      </c>
      <c r="E9920" s="2" t="s">
        <v>52</v>
      </c>
      <c r="F9920" s="2">
        <v>2</v>
      </c>
      <c r="G9920" s="2" t="s">
        <v>17</v>
      </c>
    </row>
    <row r="9921" spans="1:7" x14ac:dyDescent="0.2">
      <c r="A9921" s="2" t="s">
        <v>11625</v>
      </c>
      <c r="B9921" s="2" t="s">
        <v>4564</v>
      </c>
      <c r="C9921" s="2" t="s">
        <v>4524</v>
      </c>
      <c r="D9921" s="2" t="s">
        <v>10</v>
      </c>
      <c r="E9921" s="2" t="s">
        <v>52</v>
      </c>
      <c r="F9921" s="2">
        <v>2</v>
      </c>
      <c r="G9921" s="2" t="s">
        <v>17</v>
      </c>
    </row>
    <row r="9922" spans="1:7" x14ac:dyDescent="0.2">
      <c r="A9922" s="2" t="s">
        <v>11626</v>
      </c>
      <c r="B9922" s="2" t="s">
        <v>3033</v>
      </c>
      <c r="C9922" s="2" t="s">
        <v>3034</v>
      </c>
      <c r="D9922" s="2" t="s">
        <v>10</v>
      </c>
      <c r="E9922" s="2" t="s">
        <v>16</v>
      </c>
      <c r="F9922" s="2">
        <v>1</v>
      </c>
      <c r="G9922" s="2" t="s">
        <v>17</v>
      </c>
    </row>
    <row r="9923" spans="1:7" x14ac:dyDescent="0.2">
      <c r="A9923" s="2" t="s">
        <v>11627</v>
      </c>
      <c r="B9923" s="2" t="s">
        <v>11628</v>
      </c>
      <c r="C9923" s="2" t="s">
        <v>11629</v>
      </c>
      <c r="D9923" s="2" t="s">
        <v>10</v>
      </c>
      <c r="E9923" s="2" t="s">
        <v>11</v>
      </c>
      <c r="F9923" s="2">
        <v>1</v>
      </c>
      <c r="G9923" s="2" t="s">
        <v>17</v>
      </c>
    </row>
    <row r="9924" spans="1:7" x14ac:dyDescent="0.2">
      <c r="A9924" s="2" t="s">
        <v>11630</v>
      </c>
      <c r="B9924" s="2" t="s">
        <v>11631</v>
      </c>
      <c r="C9924" s="2" t="s">
        <v>11632</v>
      </c>
      <c r="D9924" s="2" t="s">
        <v>10</v>
      </c>
      <c r="E9924" s="2" t="s">
        <v>11</v>
      </c>
      <c r="F9924" s="2">
        <v>1</v>
      </c>
      <c r="G9924" s="2" t="s">
        <v>17</v>
      </c>
    </row>
    <row r="9925" spans="1:7" x14ac:dyDescent="0.2">
      <c r="A9925" s="2" t="s">
        <v>11630</v>
      </c>
      <c r="B9925" s="2" t="s">
        <v>11633</v>
      </c>
      <c r="C9925" s="2" t="s">
        <v>11632</v>
      </c>
      <c r="D9925" s="2" t="s">
        <v>10</v>
      </c>
      <c r="E9925" s="2" t="s">
        <v>11</v>
      </c>
      <c r="F9925" s="2">
        <v>1</v>
      </c>
      <c r="G9925" s="2" t="s">
        <v>17</v>
      </c>
    </row>
    <row r="9926" spans="1:7" x14ac:dyDescent="0.2">
      <c r="A9926" s="2" t="s">
        <v>11634</v>
      </c>
      <c r="B9926" s="2" t="s">
        <v>11635</v>
      </c>
      <c r="C9926" s="2" t="s">
        <v>11636</v>
      </c>
      <c r="D9926" s="2" t="s">
        <v>10</v>
      </c>
      <c r="E9926" s="2" t="s">
        <v>16</v>
      </c>
      <c r="F9926" s="2">
        <v>1</v>
      </c>
      <c r="G9926" s="2" t="s">
        <v>17</v>
      </c>
    </row>
    <row r="9927" spans="1:7" x14ac:dyDescent="0.2">
      <c r="A9927" s="2" t="s">
        <v>11637</v>
      </c>
      <c r="B9927" s="2" t="s">
        <v>11638</v>
      </c>
      <c r="C9927" s="2" t="s">
        <v>11639</v>
      </c>
      <c r="D9927" s="2" t="s">
        <v>10</v>
      </c>
      <c r="E9927" s="2" t="s">
        <v>16</v>
      </c>
      <c r="F9927" s="2">
        <v>1</v>
      </c>
      <c r="G9927" s="2" t="s">
        <v>17</v>
      </c>
    </row>
    <row r="9928" spans="1:7" x14ac:dyDescent="0.2">
      <c r="A9928" s="2" t="s">
        <v>11637</v>
      </c>
      <c r="B9928" s="2" t="s">
        <v>11640</v>
      </c>
      <c r="C9928" s="2" t="s">
        <v>11639</v>
      </c>
      <c r="D9928" s="2" t="s">
        <v>10</v>
      </c>
      <c r="E9928" s="2" t="s">
        <v>16</v>
      </c>
      <c r="F9928" s="2">
        <v>1</v>
      </c>
      <c r="G9928" s="2" t="s">
        <v>17</v>
      </c>
    </row>
    <row r="9929" spans="1:7" x14ac:dyDescent="0.2">
      <c r="A9929" s="2" t="s">
        <v>11641</v>
      </c>
      <c r="B9929" s="2" t="s">
        <v>11642</v>
      </c>
      <c r="C9929" s="2" t="s">
        <v>250</v>
      </c>
      <c r="D9929" s="2" t="s">
        <v>10</v>
      </c>
      <c r="E9929" s="2" t="s">
        <v>16</v>
      </c>
      <c r="F9929" s="2">
        <v>1</v>
      </c>
      <c r="G9929" s="2" t="s">
        <v>17</v>
      </c>
    </row>
    <row r="9930" spans="1:7" x14ac:dyDescent="0.2">
      <c r="A9930" s="2" t="s">
        <v>11641</v>
      </c>
      <c r="B9930" s="2" t="s">
        <v>11643</v>
      </c>
      <c r="C9930" s="2" t="s">
        <v>250</v>
      </c>
      <c r="D9930" s="2" t="s">
        <v>10</v>
      </c>
      <c r="E9930" s="2" t="s">
        <v>16</v>
      </c>
      <c r="F9930" s="2">
        <v>1</v>
      </c>
      <c r="G9930" s="2" t="s">
        <v>17</v>
      </c>
    </row>
    <row r="9931" spans="1:7" x14ac:dyDescent="0.2">
      <c r="A9931" s="2" t="s">
        <v>11641</v>
      </c>
      <c r="B9931" s="2" t="s">
        <v>11644</v>
      </c>
      <c r="C9931" s="2" t="s">
        <v>250</v>
      </c>
      <c r="D9931" s="2" t="s">
        <v>10</v>
      </c>
      <c r="E9931" s="2" t="s">
        <v>16</v>
      </c>
      <c r="F9931" s="2">
        <v>1</v>
      </c>
      <c r="G9931" s="2" t="s">
        <v>17</v>
      </c>
    </row>
    <row r="9932" spans="1:7" x14ac:dyDescent="0.2">
      <c r="A9932" s="2" t="s">
        <v>11645</v>
      </c>
      <c r="B9932" s="2" t="s">
        <v>11646</v>
      </c>
      <c r="C9932" s="2" t="s">
        <v>11647</v>
      </c>
      <c r="D9932" s="2" t="s">
        <v>10</v>
      </c>
      <c r="E9932" s="2" t="s">
        <v>16</v>
      </c>
      <c r="F9932" s="2">
        <v>1</v>
      </c>
      <c r="G9932" s="2" t="s">
        <v>17</v>
      </c>
    </row>
    <row r="9933" spans="1:7" x14ac:dyDescent="0.2">
      <c r="A9933" s="2" t="s">
        <v>11648</v>
      </c>
      <c r="B9933" s="2" t="s">
        <v>10901</v>
      </c>
      <c r="C9933" s="2" t="s">
        <v>11649</v>
      </c>
      <c r="D9933" s="2" t="s">
        <v>29</v>
      </c>
      <c r="E9933" s="2" t="s">
        <v>16</v>
      </c>
      <c r="F9933" s="2">
        <v>1</v>
      </c>
      <c r="G9933" s="2" t="s">
        <v>17</v>
      </c>
    </row>
    <row r="9934" spans="1:7" x14ac:dyDescent="0.2">
      <c r="A9934" s="2" t="s">
        <v>11648</v>
      </c>
      <c r="B9934" s="2" t="s">
        <v>11650</v>
      </c>
      <c r="C9934" s="2" t="s">
        <v>11649</v>
      </c>
      <c r="D9934" s="2" t="s">
        <v>29</v>
      </c>
      <c r="E9934" s="2" t="s">
        <v>16</v>
      </c>
      <c r="F9934" s="2">
        <v>1</v>
      </c>
      <c r="G9934" s="2" t="s">
        <v>17</v>
      </c>
    </row>
    <row r="9935" spans="1:7" x14ac:dyDescent="0.2">
      <c r="A9935" s="2" t="s">
        <v>11651</v>
      </c>
      <c r="B9935" s="2">
        <v>18</v>
      </c>
      <c r="C9935" s="2" t="s">
        <v>2185</v>
      </c>
      <c r="D9935" s="2" t="s">
        <v>10</v>
      </c>
      <c r="E9935" s="2" t="s">
        <v>16</v>
      </c>
      <c r="F9935" s="2">
        <v>2</v>
      </c>
      <c r="G9935" s="2" t="s">
        <v>17</v>
      </c>
    </row>
    <row r="9936" spans="1:7" x14ac:dyDescent="0.2">
      <c r="A9936" s="2" t="s">
        <v>11651</v>
      </c>
      <c r="B9936" s="2" t="s">
        <v>11652</v>
      </c>
      <c r="C9936" s="2" t="s">
        <v>3505</v>
      </c>
      <c r="D9936" s="2" t="s">
        <v>10</v>
      </c>
      <c r="E9936" s="2" t="s">
        <v>52</v>
      </c>
      <c r="F9936" s="2">
        <v>2</v>
      </c>
      <c r="G9936" s="2" t="s">
        <v>17</v>
      </c>
    </row>
    <row r="9937" spans="1:7" x14ac:dyDescent="0.2">
      <c r="A9937" s="2" t="s">
        <v>11651</v>
      </c>
      <c r="B9937" s="2" t="s">
        <v>11653</v>
      </c>
      <c r="C9937" s="2" t="s">
        <v>2187</v>
      </c>
      <c r="D9937" s="2" t="s">
        <v>10</v>
      </c>
      <c r="E9937" s="2" t="s">
        <v>52</v>
      </c>
      <c r="F9937" s="2">
        <v>2</v>
      </c>
      <c r="G9937" s="2" t="s">
        <v>17</v>
      </c>
    </row>
    <row r="9938" spans="1:7" x14ac:dyDescent="0.2">
      <c r="A9938" s="2" t="s">
        <v>11651</v>
      </c>
      <c r="B9938" s="2" t="s">
        <v>11654</v>
      </c>
      <c r="C9938" s="2" t="s">
        <v>2187</v>
      </c>
      <c r="D9938" s="2" t="s">
        <v>10</v>
      </c>
      <c r="E9938" s="2" t="s">
        <v>52</v>
      </c>
      <c r="F9938" s="2">
        <v>2</v>
      </c>
      <c r="G9938" s="2" t="s">
        <v>17</v>
      </c>
    </row>
    <row r="9939" spans="1:7" x14ac:dyDescent="0.2">
      <c r="A9939" s="2" t="s">
        <v>11655</v>
      </c>
      <c r="B9939" s="2" t="s">
        <v>11656</v>
      </c>
      <c r="C9939" s="2" t="s">
        <v>612</v>
      </c>
      <c r="D9939" s="2" t="s">
        <v>56</v>
      </c>
      <c r="E9939" s="2" t="s">
        <v>52</v>
      </c>
      <c r="F9939" s="2">
        <v>2</v>
      </c>
      <c r="G9939" s="2" t="s">
        <v>17</v>
      </c>
    </row>
    <row r="9940" spans="1:7" x14ac:dyDescent="0.2">
      <c r="A9940" s="2" t="s">
        <v>11655</v>
      </c>
      <c r="B9940" s="2" t="s">
        <v>11657</v>
      </c>
      <c r="C9940" s="2" t="s">
        <v>612</v>
      </c>
      <c r="D9940" s="2" t="s">
        <v>56</v>
      </c>
      <c r="E9940" s="2" t="s">
        <v>52</v>
      </c>
      <c r="F9940" s="2">
        <v>2</v>
      </c>
      <c r="G9940" s="2" t="s">
        <v>17</v>
      </c>
    </row>
    <row r="9941" spans="1:7" x14ac:dyDescent="0.2">
      <c r="A9941" s="2" t="s">
        <v>11658</v>
      </c>
      <c r="B9941" s="2" t="s">
        <v>3739</v>
      </c>
      <c r="C9941" s="2" t="s">
        <v>3882</v>
      </c>
      <c r="D9941" s="2" t="s">
        <v>10</v>
      </c>
      <c r="E9941" s="2" t="s">
        <v>16</v>
      </c>
      <c r="F9941" s="2">
        <v>1</v>
      </c>
      <c r="G9941" s="2" t="s">
        <v>12</v>
      </c>
    </row>
    <row r="9942" spans="1:7" x14ac:dyDescent="0.2">
      <c r="A9942" s="2" t="s">
        <v>11658</v>
      </c>
      <c r="B9942" s="2" t="s">
        <v>3884</v>
      </c>
      <c r="C9942" s="2" t="s">
        <v>3882</v>
      </c>
      <c r="D9942" s="2" t="s">
        <v>10</v>
      </c>
      <c r="E9942" s="2" t="s">
        <v>16</v>
      </c>
      <c r="F9942" s="2">
        <v>1</v>
      </c>
      <c r="G9942" s="2" t="s">
        <v>12</v>
      </c>
    </row>
    <row r="9943" spans="1:7" x14ac:dyDescent="0.2">
      <c r="A9943" s="2" t="s">
        <v>11658</v>
      </c>
      <c r="B9943" s="2" t="s">
        <v>3888</v>
      </c>
      <c r="C9943" s="2" t="s">
        <v>3882</v>
      </c>
      <c r="D9943" s="2" t="s">
        <v>10</v>
      </c>
      <c r="E9943" s="2" t="s">
        <v>16</v>
      </c>
      <c r="F9943" s="2">
        <v>1</v>
      </c>
      <c r="G9943" s="2" t="s">
        <v>12</v>
      </c>
    </row>
    <row r="9944" spans="1:7" x14ac:dyDescent="0.2">
      <c r="A9944" s="2" t="s">
        <v>11659</v>
      </c>
      <c r="B9944" s="2" t="s">
        <v>11660</v>
      </c>
      <c r="C9944" s="2" t="s">
        <v>11661</v>
      </c>
      <c r="D9944" s="2" t="s">
        <v>10</v>
      </c>
      <c r="E9944" s="2" t="s">
        <v>16</v>
      </c>
      <c r="F9944" s="2">
        <v>1</v>
      </c>
      <c r="G9944" s="2" t="s">
        <v>17</v>
      </c>
    </row>
    <row r="9945" spans="1:7" x14ac:dyDescent="0.2">
      <c r="A9945" s="2" t="s">
        <v>11659</v>
      </c>
      <c r="B9945" s="2" t="s">
        <v>11662</v>
      </c>
      <c r="C9945" s="2" t="s">
        <v>11661</v>
      </c>
      <c r="D9945" s="2" t="s">
        <v>10</v>
      </c>
      <c r="E9945" s="2" t="s">
        <v>16</v>
      </c>
      <c r="F9945" s="2">
        <v>1</v>
      </c>
      <c r="G9945" s="2" t="s">
        <v>17</v>
      </c>
    </row>
    <row r="9946" spans="1:7" x14ac:dyDescent="0.2">
      <c r="A9946" s="2" t="s">
        <v>11663</v>
      </c>
      <c r="B9946" s="2" t="s">
        <v>11664</v>
      </c>
      <c r="C9946" s="2" t="s">
        <v>11665</v>
      </c>
      <c r="D9946" s="2" t="s">
        <v>10</v>
      </c>
      <c r="E9946" s="2" t="s">
        <v>16</v>
      </c>
      <c r="F9946" s="2">
        <v>2</v>
      </c>
      <c r="G9946" s="2" t="s">
        <v>17</v>
      </c>
    </row>
    <row r="9947" spans="1:7" x14ac:dyDescent="0.2">
      <c r="A9947" s="2" t="s">
        <v>11663</v>
      </c>
      <c r="B9947" s="2" t="s">
        <v>11666</v>
      </c>
      <c r="C9947" s="2" t="s">
        <v>11667</v>
      </c>
      <c r="D9947" s="2" t="s">
        <v>10</v>
      </c>
      <c r="E9947" s="2" t="s">
        <v>16</v>
      </c>
      <c r="F9947" s="2">
        <v>1</v>
      </c>
      <c r="G9947" s="2" t="s">
        <v>17</v>
      </c>
    </row>
    <row r="9948" spans="1:7" x14ac:dyDescent="0.2">
      <c r="A9948" s="2" t="s">
        <v>11663</v>
      </c>
      <c r="B9948" s="2" t="s">
        <v>11668</v>
      </c>
      <c r="C9948" s="2" t="s">
        <v>11665</v>
      </c>
      <c r="D9948" s="2" t="s">
        <v>10</v>
      </c>
      <c r="E9948" s="2" t="s">
        <v>16</v>
      </c>
      <c r="F9948" s="2">
        <v>2</v>
      </c>
      <c r="G9948" s="2" t="s">
        <v>17</v>
      </c>
    </row>
    <row r="9949" spans="1:7" x14ac:dyDescent="0.2">
      <c r="A9949" s="2" t="s">
        <v>11663</v>
      </c>
      <c r="B9949" s="2" t="s">
        <v>11669</v>
      </c>
      <c r="C9949" s="2" t="s">
        <v>11667</v>
      </c>
      <c r="D9949" s="2" t="s">
        <v>10</v>
      </c>
      <c r="E9949" s="2" t="s">
        <v>16</v>
      </c>
      <c r="F9949" s="2">
        <v>1</v>
      </c>
      <c r="G9949" s="2" t="s">
        <v>17</v>
      </c>
    </row>
    <row r="9950" spans="1:7" x14ac:dyDescent="0.2">
      <c r="A9950" s="2" t="s">
        <v>11670</v>
      </c>
      <c r="B9950" s="2" t="s">
        <v>11671</v>
      </c>
      <c r="C9950" s="2" t="s">
        <v>11672</v>
      </c>
      <c r="D9950" s="2" t="s">
        <v>56</v>
      </c>
      <c r="E9950" s="2" t="s">
        <v>16</v>
      </c>
      <c r="F9950" s="2">
        <v>1</v>
      </c>
      <c r="G9950" s="2" t="s">
        <v>17</v>
      </c>
    </row>
    <row r="9951" spans="1:7" x14ac:dyDescent="0.2">
      <c r="A9951" s="2" t="s">
        <v>11673</v>
      </c>
      <c r="B9951" s="2" t="s">
        <v>8933</v>
      </c>
      <c r="C9951" s="2" t="s">
        <v>8934</v>
      </c>
      <c r="D9951" s="2" t="s">
        <v>10</v>
      </c>
      <c r="E9951" s="2" t="s">
        <v>52</v>
      </c>
      <c r="F9951" s="2">
        <v>2</v>
      </c>
      <c r="G9951" s="2" t="s">
        <v>17</v>
      </c>
    </row>
    <row r="9952" spans="1:7" x14ac:dyDescent="0.2">
      <c r="A9952" s="2" t="s">
        <v>11673</v>
      </c>
      <c r="B9952" s="2" t="s">
        <v>10441</v>
      </c>
      <c r="C9952" s="2" t="s">
        <v>10442</v>
      </c>
      <c r="D9952" s="2" t="s">
        <v>10</v>
      </c>
      <c r="E9952" s="2" t="s">
        <v>52</v>
      </c>
      <c r="F9952" s="2">
        <v>2</v>
      </c>
      <c r="G9952" s="2" t="s">
        <v>17</v>
      </c>
    </row>
    <row r="9953" spans="1:7" x14ac:dyDescent="0.2">
      <c r="A9953" s="2" t="s">
        <v>11673</v>
      </c>
      <c r="B9953" s="2" t="s">
        <v>11674</v>
      </c>
      <c r="C9953" s="2" t="s">
        <v>11675</v>
      </c>
      <c r="D9953" s="2" t="s">
        <v>10</v>
      </c>
      <c r="E9953" s="2" t="s">
        <v>52</v>
      </c>
      <c r="F9953" s="2">
        <v>1</v>
      </c>
      <c r="G9953" s="2" t="s">
        <v>17</v>
      </c>
    </row>
    <row r="9954" spans="1:7" x14ac:dyDescent="0.2">
      <c r="A9954" s="2" t="s">
        <v>11673</v>
      </c>
      <c r="B9954" s="2" t="s">
        <v>7849</v>
      </c>
      <c r="C9954" s="2" t="s">
        <v>8938</v>
      </c>
      <c r="D9954" s="2" t="s">
        <v>10</v>
      </c>
      <c r="E9954" s="2" t="s">
        <v>16</v>
      </c>
      <c r="F9954" s="2">
        <v>2</v>
      </c>
      <c r="G9954" s="2" t="s">
        <v>17</v>
      </c>
    </row>
    <row r="9955" spans="1:7" x14ac:dyDescent="0.2">
      <c r="A9955" s="2" t="s">
        <v>11673</v>
      </c>
      <c r="B9955" s="2" t="s">
        <v>8944</v>
      </c>
      <c r="C9955" s="2" t="s">
        <v>8938</v>
      </c>
      <c r="D9955" s="2" t="s">
        <v>10</v>
      </c>
      <c r="E9955" s="2" t="s">
        <v>16</v>
      </c>
      <c r="F9955" s="2">
        <v>2</v>
      </c>
      <c r="G9955" s="2" t="s">
        <v>17</v>
      </c>
    </row>
    <row r="9956" spans="1:7" x14ac:dyDescent="0.2">
      <c r="A9956" s="2" t="s">
        <v>11673</v>
      </c>
      <c r="B9956" s="2" t="s">
        <v>8945</v>
      </c>
      <c r="C9956" s="2" t="s">
        <v>8938</v>
      </c>
      <c r="D9956" s="2" t="s">
        <v>10</v>
      </c>
      <c r="E9956" s="2" t="s">
        <v>16</v>
      </c>
      <c r="F9956" s="2">
        <v>2</v>
      </c>
      <c r="G9956" s="2" t="s">
        <v>17</v>
      </c>
    </row>
    <row r="9957" spans="1:7" x14ac:dyDescent="0.2">
      <c r="A9957" s="2" t="s">
        <v>11673</v>
      </c>
      <c r="B9957" s="2" t="s">
        <v>10459</v>
      </c>
      <c r="C9957" s="2" t="s">
        <v>10442</v>
      </c>
      <c r="D9957" s="2" t="s">
        <v>10</v>
      </c>
      <c r="E9957" s="2" t="s">
        <v>52</v>
      </c>
      <c r="F9957" s="2">
        <v>2</v>
      </c>
      <c r="G9957" s="2" t="s">
        <v>17</v>
      </c>
    </row>
    <row r="9958" spans="1:7" x14ac:dyDescent="0.2">
      <c r="A9958" s="2" t="s">
        <v>11673</v>
      </c>
      <c r="B9958" s="2" t="s">
        <v>11676</v>
      </c>
      <c r="C9958" s="2" t="s">
        <v>11675</v>
      </c>
      <c r="D9958" s="2" t="s">
        <v>10</v>
      </c>
      <c r="E9958" s="2" t="s">
        <v>52</v>
      </c>
      <c r="F9958" s="2">
        <v>1</v>
      </c>
      <c r="G9958" s="2" t="s">
        <v>17</v>
      </c>
    </row>
    <row r="9959" spans="1:7" x14ac:dyDescent="0.2">
      <c r="A9959" s="2" t="s">
        <v>11673</v>
      </c>
      <c r="B9959" s="2" t="s">
        <v>8948</v>
      </c>
      <c r="C9959" s="2" t="s">
        <v>8934</v>
      </c>
      <c r="D9959" s="2" t="s">
        <v>10</v>
      </c>
      <c r="E9959" s="2" t="s">
        <v>52</v>
      </c>
      <c r="F9959" s="2">
        <v>2</v>
      </c>
      <c r="G9959" s="2" t="s">
        <v>17</v>
      </c>
    </row>
    <row r="9960" spans="1:7" x14ac:dyDescent="0.2">
      <c r="A9960" s="2" t="s">
        <v>11673</v>
      </c>
      <c r="B9960" s="2" t="s">
        <v>11677</v>
      </c>
      <c r="C9960" s="2" t="s">
        <v>8934</v>
      </c>
      <c r="D9960" s="2" t="s">
        <v>10</v>
      </c>
      <c r="E9960" s="2" t="s">
        <v>52</v>
      </c>
      <c r="F9960" s="2">
        <v>2</v>
      </c>
      <c r="G9960" s="2" t="s">
        <v>17</v>
      </c>
    </row>
    <row r="9961" spans="1:7" x14ac:dyDescent="0.2">
      <c r="A9961" s="2" t="s">
        <v>11673</v>
      </c>
      <c r="B9961" s="2" t="s">
        <v>11678</v>
      </c>
      <c r="C9961" s="2" t="s">
        <v>8934</v>
      </c>
      <c r="D9961" s="2" t="s">
        <v>10</v>
      </c>
      <c r="E9961" s="2" t="s">
        <v>52</v>
      </c>
      <c r="F9961" s="2">
        <v>2</v>
      </c>
      <c r="G9961" s="2" t="s">
        <v>17</v>
      </c>
    </row>
    <row r="9962" spans="1:7" x14ac:dyDescent="0.2">
      <c r="A9962" s="2" t="s">
        <v>11673</v>
      </c>
      <c r="B9962" s="2" t="s">
        <v>11679</v>
      </c>
      <c r="C9962" s="2" t="s">
        <v>8938</v>
      </c>
      <c r="D9962" s="2" t="s">
        <v>10</v>
      </c>
      <c r="E9962" s="2" t="s">
        <v>16</v>
      </c>
      <c r="F9962" s="2">
        <v>2</v>
      </c>
      <c r="G9962" s="2" t="s">
        <v>17</v>
      </c>
    </row>
    <row r="9963" spans="1:7" x14ac:dyDescent="0.2">
      <c r="A9963" s="2" t="s">
        <v>11673</v>
      </c>
      <c r="B9963" s="2" t="s">
        <v>11680</v>
      </c>
      <c r="C9963" s="2" t="s">
        <v>8934</v>
      </c>
      <c r="D9963" s="2" t="s">
        <v>10</v>
      </c>
      <c r="E9963" s="2" t="s">
        <v>52</v>
      </c>
      <c r="F9963" s="2">
        <v>2</v>
      </c>
      <c r="G9963" s="2" t="s">
        <v>17</v>
      </c>
    </row>
    <row r="9964" spans="1:7" x14ac:dyDescent="0.2">
      <c r="A9964" s="2" t="s">
        <v>11673</v>
      </c>
      <c r="B9964" s="2" t="s">
        <v>11681</v>
      </c>
      <c r="C9964" s="2" t="s">
        <v>8934</v>
      </c>
      <c r="D9964" s="2" t="s">
        <v>10</v>
      </c>
      <c r="E9964" s="2" t="s">
        <v>52</v>
      </c>
      <c r="F9964" s="2">
        <v>2</v>
      </c>
      <c r="G9964" s="2" t="s">
        <v>17</v>
      </c>
    </row>
    <row r="9965" spans="1:7" x14ac:dyDescent="0.2">
      <c r="A9965" s="2" t="s">
        <v>11673</v>
      </c>
      <c r="B9965" s="2" t="s">
        <v>11682</v>
      </c>
      <c r="C9965" s="2" t="s">
        <v>8938</v>
      </c>
      <c r="D9965" s="2" t="s">
        <v>10</v>
      </c>
      <c r="E9965" s="2" t="s">
        <v>16</v>
      </c>
      <c r="F9965" s="2">
        <v>2</v>
      </c>
      <c r="G9965" s="2" t="s">
        <v>17</v>
      </c>
    </row>
    <row r="9966" spans="1:7" x14ac:dyDescent="0.2">
      <c r="A9966" s="2" t="s">
        <v>11673</v>
      </c>
      <c r="B9966" s="2" t="s">
        <v>11683</v>
      </c>
      <c r="C9966" s="2" t="s">
        <v>769</v>
      </c>
      <c r="D9966" s="2" t="s">
        <v>10</v>
      </c>
      <c r="E9966" s="2" t="s">
        <v>16</v>
      </c>
      <c r="F9966" s="2">
        <v>1</v>
      </c>
      <c r="G9966" s="2" t="s">
        <v>17</v>
      </c>
    </row>
    <row r="9967" spans="1:7" x14ac:dyDescent="0.2">
      <c r="A9967" s="2" t="s">
        <v>11684</v>
      </c>
      <c r="B9967" s="2" t="s">
        <v>4179</v>
      </c>
      <c r="C9967" s="2" t="s">
        <v>4180</v>
      </c>
      <c r="D9967" s="2" t="s">
        <v>10</v>
      </c>
      <c r="E9967" s="2" t="s">
        <v>16</v>
      </c>
      <c r="F9967" s="2">
        <v>1</v>
      </c>
      <c r="G9967" s="2" t="s">
        <v>17</v>
      </c>
    </row>
    <row r="9968" spans="1:7" x14ac:dyDescent="0.2">
      <c r="A9968" s="2" t="s">
        <v>11684</v>
      </c>
      <c r="B9968" s="2" t="s">
        <v>11685</v>
      </c>
      <c r="C9968" s="2" t="s">
        <v>4180</v>
      </c>
      <c r="D9968" s="2" t="s">
        <v>10</v>
      </c>
      <c r="E9968" s="2" t="s">
        <v>16</v>
      </c>
      <c r="F9968" s="2">
        <v>1</v>
      </c>
      <c r="G9968" s="2" t="s">
        <v>17</v>
      </c>
    </row>
    <row r="9969" spans="1:7" x14ac:dyDescent="0.2">
      <c r="A9969" s="2" t="s">
        <v>11684</v>
      </c>
      <c r="B9969" s="2" t="s">
        <v>11686</v>
      </c>
      <c r="C9969" s="2" t="s">
        <v>4180</v>
      </c>
      <c r="D9969" s="2" t="s">
        <v>10</v>
      </c>
      <c r="E9969" s="2" t="s">
        <v>16</v>
      </c>
      <c r="F9969" s="2">
        <v>1</v>
      </c>
      <c r="G9969" s="2" t="s">
        <v>17</v>
      </c>
    </row>
    <row r="9970" spans="1:7" x14ac:dyDescent="0.2">
      <c r="A9970" s="2" t="s">
        <v>11684</v>
      </c>
      <c r="B9970" s="2" t="s">
        <v>4204</v>
      </c>
      <c r="C9970" s="2" t="s">
        <v>4180</v>
      </c>
      <c r="D9970" s="2" t="s">
        <v>10</v>
      </c>
      <c r="E9970" s="2" t="s">
        <v>16</v>
      </c>
      <c r="F9970" s="2">
        <v>1</v>
      </c>
      <c r="G9970" s="2" t="s">
        <v>17</v>
      </c>
    </row>
    <row r="9971" spans="1:7" x14ac:dyDescent="0.2">
      <c r="A9971" s="2" t="s">
        <v>11684</v>
      </c>
      <c r="B9971" s="2" t="s">
        <v>11687</v>
      </c>
      <c r="C9971" s="2" t="s">
        <v>4180</v>
      </c>
      <c r="D9971" s="2" t="s">
        <v>10</v>
      </c>
      <c r="E9971" s="2" t="s">
        <v>16</v>
      </c>
      <c r="F9971" s="2">
        <v>1</v>
      </c>
      <c r="G9971" s="2" t="s">
        <v>17</v>
      </c>
    </row>
    <row r="9972" spans="1:7" x14ac:dyDescent="0.2">
      <c r="A9972" s="2" t="s">
        <v>11684</v>
      </c>
      <c r="B9972" s="2" t="s">
        <v>4205</v>
      </c>
      <c r="C9972" s="2" t="s">
        <v>4180</v>
      </c>
      <c r="D9972" s="2" t="s">
        <v>10</v>
      </c>
      <c r="E9972" s="2" t="s">
        <v>16</v>
      </c>
      <c r="F9972" s="2">
        <v>1</v>
      </c>
      <c r="G9972" s="2" t="s">
        <v>17</v>
      </c>
    </row>
    <row r="9973" spans="1:7" x14ac:dyDescent="0.2">
      <c r="A9973" s="2" t="s">
        <v>11688</v>
      </c>
      <c r="B9973" s="2">
        <v>9</v>
      </c>
      <c r="C9973" s="2" t="s">
        <v>11689</v>
      </c>
      <c r="D9973" s="2" t="s">
        <v>10</v>
      </c>
      <c r="E9973" s="2" t="s">
        <v>16</v>
      </c>
      <c r="F9973" s="2">
        <v>1</v>
      </c>
      <c r="G9973" s="2" t="s">
        <v>17</v>
      </c>
    </row>
    <row r="9974" spans="1:7" x14ac:dyDescent="0.2">
      <c r="A9974" s="2" t="s">
        <v>11688</v>
      </c>
      <c r="B9974" s="2">
        <v>10</v>
      </c>
      <c r="C9974" s="2" t="s">
        <v>11688</v>
      </c>
      <c r="D9974" s="2" t="s">
        <v>10</v>
      </c>
      <c r="E9974" s="2" t="s">
        <v>16</v>
      </c>
      <c r="F9974" s="2">
        <v>1</v>
      </c>
      <c r="G9974" s="2" t="s">
        <v>17</v>
      </c>
    </row>
    <row r="9975" spans="1:7" x14ac:dyDescent="0.2">
      <c r="A9975" s="2" t="s">
        <v>11688</v>
      </c>
      <c r="B9975" s="2">
        <v>125</v>
      </c>
      <c r="C9975" s="2" t="s">
        <v>11688</v>
      </c>
      <c r="D9975" s="2" t="s">
        <v>10</v>
      </c>
      <c r="E9975" s="2" t="s">
        <v>16</v>
      </c>
      <c r="F9975" s="2">
        <v>1</v>
      </c>
      <c r="G9975" s="2" t="s">
        <v>17</v>
      </c>
    </row>
    <row r="9976" spans="1:7" x14ac:dyDescent="0.2">
      <c r="A9976" s="2" t="s">
        <v>11688</v>
      </c>
      <c r="B9976" s="2" t="s">
        <v>11690</v>
      </c>
      <c r="C9976" s="2" t="s">
        <v>11691</v>
      </c>
      <c r="D9976" s="2" t="s">
        <v>10</v>
      </c>
      <c r="E9976" s="2" t="s">
        <v>16</v>
      </c>
      <c r="F9976" s="2">
        <v>1</v>
      </c>
      <c r="G9976" s="2" t="s">
        <v>17</v>
      </c>
    </row>
    <row r="9977" spans="1:7" x14ac:dyDescent="0.2">
      <c r="A9977" s="2" t="s">
        <v>11688</v>
      </c>
      <c r="B9977" s="2" t="s">
        <v>11692</v>
      </c>
      <c r="C9977" s="2" t="s">
        <v>11691</v>
      </c>
      <c r="D9977" s="2" t="s">
        <v>10</v>
      </c>
      <c r="E9977" s="2" t="s">
        <v>16</v>
      </c>
      <c r="F9977" s="2">
        <v>1</v>
      </c>
      <c r="G9977" s="2" t="s">
        <v>17</v>
      </c>
    </row>
    <row r="9978" spans="1:7" x14ac:dyDescent="0.2">
      <c r="A9978" s="2" t="s">
        <v>11688</v>
      </c>
      <c r="B9978" s="2" t="s">
        <v>11693</v>
      </c>
      <c r="C9978" s="2" t="s">
        <v>11694</v>
      </c>
      <c r="D9978" s="2" t="s">
        <v>10</v>
      </c>
      <c r="E9978" s="2" t="s">
        <v>16</v>
      </c>
      <c r="F9978" s="2">
        <v>1</v>
      </c>
      <c r="G9978" s="2" t="s">
        <v>17</v>
      </c>
    </row>
    <row r="9979" spans="1:7" x14ac:dyDescent="0.2">
      <c r="A9979" s="2" t="s">
        <v>11688</v>
      </c>
      <c r="B9979" s="2" t="s">
        <v>11695</v>
      </c>
      <c r="C9979" s="2" t="s">
        <v>11694</v>
      </c>
      <c r="D9979" s="2" t="s">
        <v>10</v>
      </c>
      <c r="E9979" s="2" t="s">
        <v>16</v>
      </c>
      <c r="F9979" s="2">
        <v>1</v>
      </c>
      <c r="G9979" s="2" t="s">
        <v>17</v>
      </c>
    </row>
    <row r="9980" spans="1:7" x14ac:dyDescent="0.2">
      <c r="A9980" s="2" t="s">
        <v>11688</v>
      </c>
      <c r="B9980" s="2" t="s">
        <v>11696</v>
      </c>
      <c r="C9980" s="2" t="s">
        <v>11688</v>
      </c>
      <c r="D9980" s="2" t="s">
        <v>10</v>
      </c>
      <c r="E9980" s="2" t="s">
        <v>16</v>
      </c>
      <c r="F9980" s="2">
        <v>1</v>
      </c>
      <c r="G9980" s="2" t="s">
        <v>17</v>
      </c>
    </row>
    <row r="9981" spans="1:7" x14ac:dyDescent="0.2">
      <c r="A9981" s="2" t="s">
        <v>11688</v>
      </c>
      <c r="B9981" s="2" t="s">
        <v>11697</v>
      </c>
      <c r="C9981" s="2" t="s">
        <v>11688</v>
      </c>
      <c r="D9981" s="2" t="s">
        <v>10</v>
      </c>
      <c r="E9981" s="2" t="s">
        <v>16</v>
      </c>
      <c r="F9981" s="2">
        <v>1</v>
      </c>
      <c r="G9981" s="2" t="s">
        <v>17</v>
      </c>
    </row>
    <row r="9982" spans="1:7" x14ac:dyDescent="0.2">
      <c r="A9982" s="2" t="s">
        <v>11688</v>
      </c>
      <c r="B9982" s="2" t="s">
        <v>11698</v>
      </c>
      <c r="C9982" s="2" t="s">
        <v>11699</v>
      </c>
      <c r="D9982" s="2" t="s">
        <v>10</v>
      </c>
      <c r="E9982" s="2" t="s">
        <v>16</v>
      </c>
      <c r="F9982" s="2">
        <v>1</v>
      </c>
      <c r="G9982" s="2" t="s">
        <v>17</v>
      </c>
    </row>
    <row r="9983" spans="1:7" x14ac:dyDescent="0.2">
      <c r="A9983" s="2" t="s">
        <v>11688</v>
      </c>
      <c r="B9983" s="2" t="s">
        <v>11700</v>
      </c>
      <c r="C9983" s="2" t="s">
        <v>11688</v>
      </c>
      <c r="D9983" s="2" t="s">
        <v>10</v>
      </c>
      <c r="E9983" s="2" t="s">
        <v>16</v>
      </c>
      <c r="F9983" s="2">
        <v>1</v>
      </c>
      <c r="G9983" s="2" t="s">
        <v>17</v>
      </c>
    </row>
    <row r="9984" spans="1:7" x14ac:dyDescent="0.2">
      <c r="A9984" s="2" t="s">
        <v>11688</v>
      </c>
      <c r="B9984" s="2" t="s">
        <v>5438</v>
      </c>
      <c r="C9984" s="2" t="s">
        <v>11691</v>
      </c>
      <c r="D9984" s="2" t="s">
        <v>10</v>
      </c>
      <c r="E9984" s="2" t="s">
        <v>16</v>
      </c>
      <c r="F9984" s="2">
        <v>1</v>
      </c>
      <c r="G9984" s="2" t="s">
        <v>17</v>
      </c>
    </row>
    <row r="9985" spans="1:7" x14ac:dyDescent="0.2">
      <c r="A9985" s="2" t="s">
        <v>11688</v>
      </c>
      <c r="B9985" s="2" t="s">
        <v>11701</v>
      </c>
      <c r="C9985" s="2" t="s">
        <v>11691</v>
      </c>
      <c r="D9985" s="2" t="s">
        <v>10</v>
      </c>
      <c r="E9985" s="2" t="s">
        <v>16</v>
      </c>
      <c r="F9985" s="2">
        <v>1</v>
      </c>
      <c r="G9985" s="2" t="s">
        <v>17</v>
      </c>
    </row>
    <row r="9986" spans="1:7" x14ac:dyDescent="0.2">
      <c r="A9986" s="2" t="s">
        <v>11688</v>
      </c>
      <c r="B9986" s="2" t="s">
        <v>11702</v>
      </c>
      <c r="C9986" s="2" t="s">
        <v>4045</v>
      </c>
      <c r="D9986" s="2" t="s">
        <v>10</v>
      </c>
      <c r="E9986" s="2" t="s">
        <v>16</v>
      </c>
      <c r="F9986" s="2">
        <v>1</v>
      </c>
      <c r="G9986" s="2" t="s">
        <v>17</v>
      </c>
    </row>
    <row r="9987" spans="1:7" x14ac:dyDescent="0.2">
      <c r="A9987" s="2" t="s">
        <v>11688</v>
      </c>
      <c r="B9987" s="2" t="s">
        <v>11703</v>
      </c>
      <c r="C9987" s="2" t="s">
        <v>11704</v>
      </c>
      <c r="D9987" s="2" t="s">
        <v>10</v>
      </c>
      <c r="E9987" s="2" t="s">
        <v>16</v>
      </c>
      <c r="F9987" s="2">
        <v>1</v>
      </c>
      <c r="G9987" s="2" t="s">
        <v>17</v>
      </c>
    </row>
    <row r="9988" spans="1:7" x14ac:dyDescent="0.2">
      <c r="A9988" s="2" t="s">
        <v>11688</v>
      </c>
      <c r="B9988" s="2" t="s">
        <v>11705</v>
      </c>
      <c r="C9988" s="2" t="s">
        <v>11688</v>
      </c>
      <c r="D9988" s="2" t="s">
        <v>10</v>
      </c>
      <c r="E9988" s="2" t="s">
        <v>16</v>
      </c>
      <c r="F9988" s="2">
        <v>1</v>
      </c>
      <c r="G9988" s="2" t="s">
        <v>17</v>
      </c>
    </row>
    <row r="9989" spans="1:7" x14ac:dyDescent="0.2">
      <c r="A9989" s="2" t="s">
        <v>11688</v>
      </c>
      <c r="B9989" s="2" t="s">
        <v>11706</v>
      </c>
      <c r="C9989" s="2" t="s">
        <v>11688</v>
      </c>
      <c r="D9989" s="2" t="s">
        <v>10</v>
      </c>
      <c r="E9989" s="2" t="s">
        <v>16</v>
      </c>
      <c r="F9989" s="2">
        <v>1</v>
      </c>
      <c r="G9989" s="2" t="s">
        <v>17</v>
      </c>
    </row>
    <row r="9990" spans="1:7" x14ac:dyDescent="0.2">
      <c r="A9990" s="2" t="s">
        <v>11688</v>
      </c>
      <c r="B9990" s="2" t="s">
        <v>11707</v>
      </c>
      <c r="C9990" s="2" t="s">
        <v>11691</v>
      </c>
      <c r="D9990" s="2" t="s">
        <v>10</v>
      </c>
      <c r="E9990" s="2" t="s">
        <v>16</v>
      </c>
      <c r="F9990" s="2">
        <v>1</v>
      </c>
      <c r="G9990" s="2" t="s">
        <v>17</v>
      </c>
    </row>
    <row r="9991" spans="1:7" x14ac:dyDescent="0.2">
      <c r="A9991" s="2" t="s">
        <v>11688</v>
      </c>
      <c r="B9991" s="2" t="s">
        <v>5521</v>
      </c>
      <c r="C9991" s="2" t="s">
        <v>11708</v>
      </c>
      <c r="D9991" s="2" t="s">
        <v>10</v>
      </c>
      <c r="E9991" s="2" t="s">
        <v>16</v>
      </c>
      <c r="F9991" s="2">
        <v>1</v>
      </c>
      <c r="G9991" s="2" t="s">
        <v>17</v>
      </c>
    </row>
    <row r="9992" spans="1:7" x14ac:dyDescent="0.2">
      <c r="A9992" s="2" t="s">
        <v>11688</v>
      </c>
      <c r="B9992" s="2" t="s">
        <v>11709</v>
      </c>
      <c r="C9992" s="2" t="s">
        <v>11691</v>
      </c>
      <c r="D9992" s="2" t="s">
        <v>10</v>
      </c>
      <c r="E9992" s="2" t="s">
        <v>16</v>
      </c>
      <c r="F9992" s="2">
        <v>1</v>
      </c>
      <c r="G9992" s="2" t="s">
        <v>17</v>
      </c>
    </row>
    <row r="9993" spans="1:7" x14ac:dyDescent="0.2">
      <c r="A9993" s="2" t="s">
        <v>11688</v>
      </c>
      <c r="B9993" s="2" t="s">
        <v>11710</v>
      </c>
      <c r="C9993" s="2" t="s">
        <v>11691</v>
      </c>
      <c r="D9993" s="2" t="s">
        <v>10</v>
      </c>
      <c r="E9993" s="2" t="s">
        <v>16</v>
      </c>
      <c r="F9993" s="2">
        <v>1</v>
      </c>
      <c r="G9993" s="2" t="s">
        <v>17</v>
      </c>
    </row>
    <row r="9994" spans="1:7" x14ac:dyDescent="0.2">
      <c r="A9994" s="2" t="s">
        <v>11688</v>
      </c>
      <c r="B9994" s="2" t="s">
        <v>11711</v>
      </c>
      <c r="C9994" s="2" t="s">
        <v>11688</v>
      </c>
      <c r="D9994" s="2" t="s">
        <v>10</v>
      </c>
      <c r="E9994" s="2" t="s">
        <v>16</v>
      </c>
      <c r="F9994" s="2">
        <v>1</v>
      </c>
      <c r="G9994" s="2" t="s">
        <v>17</v>
      </c>
    </row>
    <row r="9995" spans="1:7" x14ac:dyDescent="0.2">
      <c r="A9995" s="2" t="s">
        <v>11688</v>
      </c>
      <c r="B9995" s="2" t="s">
        <v>11712</v>
      </c>
      <c r="C9995" s="2" t="s">
        <v>11694</v>
      </c>
      <c r="D9995" s="2" t="s">
        <v>10</v>
      </c>
      <c r="E9995" s="2" t="s">
        <v>16</v>
      </c>
      <c r="F9995" s="2">
        <v>1</v>
      </c>
      <c r="G9995" s="2" t="s">
        <v>17</v>
      </c>
    </row>
    <row r="9996" spans="1:7" x14ac:dyDescent="0.2">
      <c r="A9996" s="2" t="s">
        <v>11688</v>
      </c>
      <c r="B9996" s="2" t="s">
        <v>11713</v>
      </c>
      <c r="C9996" s="2" t="s">
        <v>11688</v>
      </c>
      <c r="D9996" s="2" t="s">
        <v>10</v>
      </c>
      <c r="E9996" s="2" t="s">
        <v>16</v>
      </c>
      <c r="F9996" s="2">
        <v>1</v>
      </c>
      <c r="G9996" s="2" t="s">
        <v>17</v>
      </c>
    </row>
    <row r="9997" spans="1:7" x14ac:dyDescent="0.2">
      <c r="A9997" s="2" t="s">
        <v>11688</v>
      </c>
      <c r="B9997" s="2" t="s">
        <v>11714</v>
      </c>
      <c r="C9997" s="2" t="s">
        <v>11691</v>
      </c>
      <c r="D9997" s="2" t="s">
        <v>10</v>
      </c>
      <c r="E9997" s="2" t="s">
        <v>16</v>
      </c>
      <c r="F9997" s="2">
        <v>1</v>
      </c>
      <c r="G9997" s="2" t="s">
        <v>17</v>
      </c>
    </row>
    <row r="9998" spans="1:7" x14ac:dyDescent="0.2">
      <c r="A9998" s="2" t="s">
        <v>11688</v>
      </c>
      <c r="B9998" s="2" t="s">
        <v>11715</v>
      </c>
      <c r="C9998" s="2" t="s">
        <v>4045</v>
      </c>
      <c r="D9998" s="2" t="s">
        <v>10</v>
      </c>
      <c r="E9998" s="2" t="s">
        <v>16</v>
      </c>
      <c r="F9998" s="2">
        <v>1</v>
      </c>
      <c r="G9998" s="2" t="s">
        <v>17</v>
      </c>
    </row>
    <row r="9999" spans="1:7" x14ac:dyDescent="0.2">
      <c r="A9999" s="2" t="s">
        <v>11688</v>
      </c>
      <c r="B9999" s="2" t="s">
        <v>11716</v>
      </c>
      <c r="C9999" s="2" t="s">
        <v>11691</v>
      </c>
      <c r="D9999" s="2" t="s">
        <v>10</v>
      </c>
      <c r="E9999" s="2" t="s">
        <v>16</v>
      </c>
      <c r="F9999" s="2">
        <v>1</v>
      </c>
      <c r="G9999" s="2" t="s">
        <v>17</v>
      </c>
    </row>
    <row r="10000" spans="1:7" x14ac:dyDescent="0.2">
      <c r="A10000" s="2" t="s">
        <v>11688</v>
      </c>
      <c r="B10000" s="2" t="s">
        <v>11717</v>
      </c>
      <c r="C10000" s="2" t="s">
        <v>4045</v>
      </c>
      <c r="D10000" s="2" t="s">
        <v>10</v>
      </c>
      <c r="E10000" s="2" t="s">
        <v>16</v>
      </c>
      <c r="F10000" s="2">
        <v>1</v>
      </c>
      <c r="G10000" s="2" t="s">
        <v>17</v>
      </c>
    </row>
    <row r="10001" spans="1:7" x14ac:dyDescent="0.2">
      <c r="A10001" s="2" t="s">
        <v>11688</v>
      </c>
      <c r="B10001" s="2" t="s">
        <v>4386</v>
      </c>
      <c r="C10001" s="2" t="s">
        <v>11704</v>
      </c>
      <c r="D10001" s="2" t="s">
        <v>10</v>
      </c>
      <c r="E10001" s="2" t="s">
        <v>16</v>
      </c>
      <c r="F10001" s="2">
        <v>1</v>
      </c>
      <c r="G10001" s="2" t="s">
        <v>17</v>
      </c>
    </row>
    <row r="10002" spans="1:7" x14ac:dyDescent="0.2">
      <c r="A10002" s="2" t="s">
        <v>11688</v>
      </c>
      <c r="B10002" s="2" t="s">
        <v>11718</v>
      </c>
      <c r="C10002" s="2" t="s">
        <v>11688</v>
      </c>
      <c r="D10002" s="2" t="s">
        <v>10</v>
      </c>
      <c r="E10002" s="2" t="s">
        <v>16</v>
      </c>
      <c r="F10002" s="2">
        <v>1</v>
      </c>
      <c r="G10002" s="2" t="s">
        <v>17</v>
      </c>
    </row>
    <row r="10003" spans="1:7" x14ac:dyDescent="0.2">
      <c r="A10003" s="2" t="s">
        <v>11688</v>
      </c>
      <c r="B10003" s="2" t="s">
        <v>11719</v>
      </c>
      <c r="C10003" s="2" t="s">
        <v>11694</v>
      </c>
      <c r="D10003" s="2" t="s">
        <v>10</v>
      </c>
      <c r="E10003" s="2" t="s">
        <v>16</v>
      </c>
      <c r="F10003" s="2">
        <v>1</v>
      </c>
      <c r="G10003" s="2" t="s">
        <v>17</v>
      </c>
    </row>
    <row r="10004" spans="1:7" x14ac:dyDescent="0.2">
      <c r="A10004" s="2" t="s">
        <v>11688</v>
      </c>
      <c r="B10004" s="2" t="s">
        <v>11720</v>
      </c>
      <c r="C10004" s="2" t="s">
        <v>11721</v>
      </c>
      <c r="D10004" s="2" t="s">
        <v>10</v>
      </c>
      <c r="E10004" s="2" t="s">
        <v>16</v>
      </c>
      <c r="F10004" s="2">
        <v>1</v>
      </c>
      <c r="G10004" s="2" t="s">
        <v>17</v>
      </c>
    </row>
    <row r="10005" spans="1:7" x14ac:dyDescent="0.2">
      <c r="A10005" s="2" t="s">
        <v>11688</v>
      </c>
      <c r="B10005" s="2" t="s">
        <v>11722</v>
      </c>
      <c r="C10005" s="2" t="s">
        <v>4045</v>
      </c>
      <c r="D10005" s="2" t="s">
        <v>10</v>
      </c>
      <c r="E10005" s="2" t="s">
        <v>16</v>
      </c>
      <c r="F10005" s="2">
        <v>1</v>
      </c>
      <c r="G10005" s="2" t="s">
        <v>17</v>
      </c>
    </row>
    <row r="10006" spans="1:7" x14ac:dyDescent="0.2">
      <c r="A10006" s="2" t="s">
        <v>11688</v>
      </c>
      <c r="B10006" s="2" t="s">
        <v>11723</v>
      </c>
      <c r="C10006" s="2" t="s">
        <v>11724</v>
      </c>
      <c r="D10006" s="2" t="s">
        <v>10</v>
      </c>
      <c r="E10006" s="2" t="s">
        <v>16</v>
      </c>
      <c r="F10006" s="2">
        <v>1</v>
      </c>
      <c r="G10006" s="2" t="s">
        <v>17</v>
      </c>
    </row>
    <row r="10007" spans="1:7" x14ac:dyDescent="0.2">
      <c r="A10007" s="2" t="s">
        <v>11688</v>
      </c>
      <c r="B10007" s="2" t="s">
        <v>11725</v>
      </c>
      <c r="C10007" s="2" t="s">
        <v>11724</v>
      </c>
      <c r="D10007" s="2" t="s">
        <v>10</v>
      </c>
      <c r="E10007" s="2" t="s">
        <v>16</v>
      </c>
      <c r="F10007" s="2">
        <v>1</v>
      </c>
      <c r="G10007" s="2" t="s">
        <v>17</v>
      </c>
    </row>
    <row r="10008" spans="1:7" x14ac:dyDescent="0.2">
      <c r="A10008" s="2" t="s">
        <v>11688</v>
      </c>
      <c r="B10008" s="2" t="s">
        <v>11726</v>
      </c>
      <c r="C10008" s="2" t="s">
        <v>4045</v>
      </c>
      <c r="D10008" s="2" t="s">
        <v>10</v>
      </c>
      <c r="E10008" s="2" t="s">
        <v>16</v>
      </c>
      <c r="F10008" s="2">
        <v>1</v>
      </c>
      <c r="G10008" s="2" t="s">
        <v>17</v>
      </c>
    </row>
    <row r="10009" spans="1:7" x14ac:dyDescent="0.2">
      <c r="A10009" s="2" t="s">
        <v>11688</v>
      </c>
      <c r="B10009" s="2" t="s">
        <v>11727</v>
      </c>
      <c r="C10009" s="2" t="s">
        <v>11688</v>
      </c>
      <c r="D10009" s="2" t="s">
        <v>10</v>
      </c>
      <c r="E10009" s="2" t="s">
        <v>16</v>
      </c>
      <c r="F10009" s="2">
        <v>1</v>
      </c>
      <c r="G10009" s="2" t="s">
        <v>17</v>
      </c>
    </row>
    <row r="10010" spans="1:7" x14ac:dyDescent="0.2">
      <c r="A10010" s="2" t="s">
        <v>11688</v>
      </c>
      <c r="B10010" s="2" t="s">
        <v>11728</v>
      </c>
      <c r="C10010" s="2" t="s">
        <v>11721</v>
      </c>
      <c r="D10010" s="2" t="s">
        <v>10</v>
      </c>
      <c r="E10010" s="2" t="s">
        <v>16</v>
      </c>
      <c r="F10010" s="2">
        <v>1</v>
      </c>
      <c r="G10010" s="2" t="s">
        <v>17</v>
      </c>
    </row>
    <row r="10011" spans="1:7" x14ac:dyDescent="0.2">
      <c r="A10011" s="2" t="s">
        <v>11688</v>
      </c>
      <c r="B10011" s="2" t="s">
        <v>11729</v>
      </c>
      <c r="C10011" s="2" t="s">
        <v>4045</v>
      </c>
      <c r="D10011" s="2" t="s">
        <v>10</v>
      </c>
      <c r="E10011" s="2" t="s">
        <v>16</v>
      </c>
      <c r="F10011" s="2">
        <v>1</v>
      </c>
      <c r="G10011" s="2" t="s">
        <v>17</v>
      </c>
    </row>
    <row r="10012" spans="1:7" x14ac:dyDescent="0.2">
      <c r="A10012" s="2" t="s">
        <v>11688</v>
      </c>
      <c r="B10012" s="2" t="s">
        <v>11730</v>
      </c>
      <c r="C10012" s="2" t="s">
        <v>4045</v>
      </c>
      <c r="D10012" s="2" t="s">
        <v>10</v>
      </c>
      <c r="E10012" s="2" t="s">
        <v>16</v>
      </c>
      <c r="F10012" s="2">
        <v>1</v>
      </c>
      <c r="G10012" s="2" t="s">
        <v>17</v>
      </c>
    </row>
    <row r="10013" spans="1:7" x14ac:dyDescent="0.2">
      <c r="A10013" s="2" t="s">
        <v>11688</v>
      </c>
      <c r="B10013" s="2" t="s">
        <v>11731</v>
      </c>
      <c r="C10013" s="2" t="s">
        <v>11721</v>
      </c>
      <c r="D10013" s="2" t="s">
        <v>10</v>
      </c>
      <c r="E10013" s="2" t="s">
        <v>16</v>
      </c>
      <c r="F10013" s="2">
        <v>1</v>
      </c>
      <c r="G10013" s="2" t="s">
        <v>17</v>
      </c>
    </row>
    <row r="10014" spans="1:7" x14ac:dyDescent="0.2">
      <c r="A10014" s="2" t="s">
        <v>11688</v>
      </c>
      <c r="B10014" s="2" t="s">
        <v>11732</v>
      </c>
      <c r="C10014" s="2" t="s">
        <v>11688</v>
      </c>
      <c r="D10014" s="2" t="s">
        <v>10</v>
      </c>
      <c r="E10014" s="2" t="s">
        <v>16</v>
      </c>
      <c r="F10014" s="2">
        <v>1</v>
      </c>
      <c r="G10014" s="2" t="s">
        <v>17</v>
      </c>
    </row>
    <row r="10015" spans="1:7" x14ac:dyDescent="0.2">
      <c r="A10015" s="2" t="s">
        <v>11688</v>
      </c>
      <c r="B10015" s="2" t="s">
        <v>11733</v>
      </c>
      <c r="C10015" s="2" t="s">
        <v>4045</v>
      </c>
      <c r="D10015" s="2" t="s">
        <v>10</v>
      </c>
      <c r="E10015" s="2" t="s">
        <v>16</v>
      </c>
      <c r="F10015" s="2">
        <v>1</v>
      </c>
      <c r="G10015" s="2" t="s">
        <v>17</v>
      </c>
    </row>
    <row r="10016" spans="1:7" x14ac:dyDescent="0.2">
      <c r="A10016" s="2" t="s">
        <v>11688</v>
      </c>
      <c r="B10016" s="2" t="s">
        <v>11734</v>
      </c>
      <c r="C10016" s="2" t="s">
        <v>11691</v>
      </c>
      <c r="D10016" s="2" t="s">
        <v>10</v>
      </c>
      <c r="E10016" s="2" t="s">
        <v>16</v>
      </c>
      <c r="F10016" s="2">
        <v>1</v>
      </c>
      <c r="G10016" s="2" t="s">
        <v>17</v>
      </c>
    </row>
    <row r="10017" spans="1:7" x14ac:dyDescent="0.2">
      <c r="A10017" s="2" t="s">
        <v>11688</v>
      </c>
      <c r="B10017" s="2" t="s">
        <v>11735</v>
      </c>
      <c r="C10017" s="2" t="s">
        <v>11688</v>
      </c>
      <c r="D10017" s="2" t="s">
        <v>10</v>
      </c>
      <c r="E10017" s="2" t="s">
        <v>16</v>
      </c>
      <c r="F10017" s="2">
        <v>1</v>
      </c>
      <c r="G10017" s="2" t="s">
        <v>17</v>
      </c>
    </row>
    <row r="10018" spans="1:7" x14ac:dyDescent="0.2">
      <c r="A10018" s="2" t="s">
        <v>11688</v>
      </c>
      <c r="B10018" s="2" t="s">
        <v>11736</v>
      </c>
      <c r="C10018" s="2" t="s">
        <v>11721</v>
      </c>
      <c r="D10018" s="2" t="s">
        <v>10</v>
      </c>
      <c r="E10018" s="2" t="s">
        <v>16</v>
      </c>
      <c r="F10018" s="2">
        <v>1</v>
      </c>
      <c r="G10018" s="2" t="s">
        <v>17</v>
      </c>
    </row>
    <row r="10019" spans="1:7" x14ac:dyDescent="0.2">
      <c r="A10019" s="2" t="s">
        <v>11688</v>
      </c>
      <c r="B10019" s="2" t="s">
        <v>11737</v>
      </c>
      <c r="C10019" s="2" t="s">
        <v>4045</v>
      </c>
      <c r="D10019" s="2" t="s">
        <v>10</v>
      </c>
      <c r="E10019" s="2" t="s">
        <v>16</v>
      </c>
      <c r="F10019" s="2">
        <v>1</v>
      </c>
      <c r="G10019" s="2" t="s">
        <v>17</v>
      </c>
    </row>
    <row r="10020" spans="1:7" x14ac:dyDescent="0.2">
      <c r="A10020" s="2" t="s">
        <v>11688</v>
      </c>
      <c r="B10020" s="2" t="s">
        <v>11738</v>
      </c>
      <c r="C10020" s="2" t="s">
        <v>11739</v>
      </c>
      <c r="D10020" s="2" t="s">
        <v>10</v>
      </c>
      <c r="E10020" s="2" t="s">
        <v>16</v>
      </c>
      <c r="F10020" s="2">
        <v>1</v>
      </c>
      <c r="G10020" s="2" t="s">
        <v>17</v>
      </c>
    </row>
    <row r="10021" spans="1:7" x14ac:dyDescent="0.2">
      <c r="A10021" s="2" t="s">
        <v>11688</v>
      </c>
      <c r="B10021" s="2" t="s">
        <v>11740</v>
      </c>
      <c r="C10021" s="2" t="s">
        <v>11691</v>
      </c>
      <c r="D10021" s="2" t="s">
        <v>10</v>
      </c>
      <c r="E10021" s="2" t="s">
        <v>16</v>
      </c>
      <c r="F10021" s="2">
        <v>1</v>
      </c>
      <c r="G10021" s="2" t="s">
        <v>17</v>
      </c>
    </row>
    <row r="10022" spans="1:7" x14ac:dyDescent="0.2">
      <c r="A10022" s="2" t="s">
        <v>11688</v>
      </c>
      <c r="B10022" s="2" t="s">
        <v>11741</v>
      </c>
      <c r="C10022" s="2" t="s">
        <v>11708</v>
      </c>
      <c r="D10022" s="2" t="s">
        <v>10</v>
      </c>
      <c r="E10022" s="2" t="s">
        <v>16</v>
      </c>
      <c r="F10022" s="2">
        <v>1</v>
      </c>
      <c r="G10022" s="2" t="s">
        <v>17</v>
      </c>
    </row>
    <row r="10023" spans="1:7" x14ac:dyDescent="0.2">
      <c r="A10023" s="2" t="s">
        <v>11688</v>
      </c>
      <c r="B10023" s="2" t="s">
        <v>11742</v>
      </c>
      <c r="C10023" s="2" t="s">
        <v>11694</v>
      </c>
      <c r="D10023" s="2" t="s">
        <v>10</v>
      </c>
      <c r="E10023" s="2" t="s">
        <v>16</v>
      </c>
      <c r="F10023" s="2">
        <v>1</v>
      </c>
      <c r="G10023" s="2" t="s">
        <v>17</v>
      </c>
    </row>
    <row r="10024" spans="1:7" x14ac:dyDescent="0.2">
      <c r="A10024" s="2" t="s">
        <v>11688</v>
      </c>
      <c r="B10024" s="2" t="s">
        <v>11743</v>
      </c>
      <c r="C10024" s="2" t="s">
        <v>11721</v>
      </c>
      <c r="D10024" s="2" t="s">
        <v>10</v>
      </c>
      <c r="E10024" s="2" t="s">
        <v>16</v>
      </c>
      <c r="F10024" s="2">
        <v>1</v>
      </c>
      <c r="G10024" s="2" t="s">
        <v>17</v>
      </c>
    </row>
    <row r="10025" spans="1:7" x14ac:dyDescent="0.2">
      <c r="A10025" s="2" t="s">
        <v>11688</v>
      </c>
      <c r="B10025" s="2" t="s">
        <v>11744</v>
      </c>
      <c r="C10025" s="2" t="s">
        <v>4045</v>
      </c>
      <c r="D10025" s="2" t="s">
        <v>10</v>
      </c>
      <c r="E10025" s="2" t="s">
        <v>16</v>
      </c>
      <c r="F10025" s="2">
        <v>1</v>
      </c>
      <c r="G10025" s="2" t="s">
        <v>17</v>
      </c>
    </row>
    <row r="10026" spans="1:7" x14ac:dyDescent="0.2">
      <c r="A10026" s="2" t="s">
        <v>11688</v>
      </c>
      <c r="B10026" s="2" t="s">
        <v>11745</v>
      </c>
      <c r="C10026" s="2" t="s">
        <v>11691</v>
      </c>
      <c r="D10026" s="2" t="s">
        <v>10</v>
      </c>
      <c r="E10026" s="2" t="s">
        <v>16</v>
      </c>
      <c r="F10026" s="2">
        <v>1</v>
      </c>
      <c r="G10026" s="2" t="s">
        <v>17</v>
      </c>
    </row>
    <row r="10027" spans="1:7" x14ac:dyDescent="0.2">
      <c r="A10027" s="2" t="s">
        <v>11688</v>
      </c>
      <c r="B10027" s="2" t="s">
        <v>11746</v>
      </c>
      <c r="C10027" s="2" t="s">
        <v>11691</v>
      </c>
      <c r="D10027" s="2" t="s">
        <v>10</v>
      </c>
      <c r="E10027" s="2" t="s">
        <v>16</v>
      </c>
      <c r="F10027" s="2">
        <v>1</v>
      </c>
      <c r="G10027" s="2" t="s">
        <v>17</v>
      </c>
    </row>
    <row r="10028" spans="1:7" x14ac:dyDescent="0.2">
      <c r="A10028" s="2" t="s">
        <v>11688</v>
      </c>
      <c r="B10028" s="2" t="s">
        <v>11747</v>
      </c>
      <c r="C10028" s="2" t="s">
        <v>11691</v>
      </c>
      <c r="D10028" s="2" t="s">
        <v>10</v>
      </c>
      <c r="E10028" s="2" t="s">
        <v>16</v>
      </c>
      <c r="F10028" s="2">
        <v>1</v>
      </c>
      <c r="G10028" s="2" t="s">
        <v>17</v>
      </c>
    </row>
    <row r="10029" spans="1:7" x14ac:dyDescent="0.2">
      <c r="A10029" s="2" t="s">
        <v>11688</v>
      </c>
      <c r="B10029" s="2" t="s">
        <v>11748</v>
      </c>
      <c r="C10029" s="2" t="s">
        <v>11691</v>
      </c>
      <c r="D10029" s="2" t="s">
        <v>10</v>
      </c>
      <c r="E10029" s="2" t="s">
        <v>16</v>
      </c>
      <c r="F10029" s="2">
        <v>1</v>
      </c>
      <c r="G10029" s="2" t="s">
        <v>17</v>
      </c>
    </row>
    <row r="10030" spans="1:7" x14ac:dyDescent="0.2">
      <c r="A10030" s="2" t="s">
        <v>11688</v>
      </c>
      <c r="B10030" s="2" t="s">
        <v>11749</v>
      </c>
      <c r="C10030" s="2" t="s">
        <v>11721</v>
      </c>
      <c r="D10030" s="2" t="s">
        <v>10</v>
      </c>
      <c r="E10030" s="2" t="s">
        <v>16</v>
      </c>
      <c r="F10030" s="2">
        <v>1</v>
      </c>
      <c r="G10030" s="2" t="s">
        <v>17</v>
      </c>
    </row>
    <row r="10031" spans="1:7" x14ac:dyDescent="0.2">
      <c r="A10031" s="2" t="s">
        <v>11688</v>
      </c>
      <c r="B10031" s="2" t="s">
        <v>11750</v>
      </c>
      <c r="C10031" s="2" t="s">
        <v>4045</v>
      </c>
      <c r="D10031" s="2" t="s">
        <v>10</v>
      </c>
      <c r="E10031" s="2" t="s">
        <v>16</v>
      </c>
      <c r="F10031" s="2">
        <v>1</v>
      </c>
      <c r="G10031" s="2" t="s">
        <v>17</v>
      </c>
    </row>
    <row r="10032" spans="1:7" x14ac:dyDescent="0.2">
      <c r="A10032" s="2" t="s">
        <v>11688</v>
      </c>
      <c r="B10032" s="2" t="s">
        <v>11751</v>
      </c>
      <c r="C10032" s="2" t="s">
        <v>4045</v>
      </c>
      <c r="D10032" s="2" t="s">
        <v>10</v>
      </c>
      <c r="E10032" s="2" t="s">
        <v>16</v>
      </c>
      <c r="F10032" s="2">
        <v>1</v>
      </c>
      <c r="G10032" s="2" t="s">
        <v>17</v>
      </c>
    </row>
    <row r="10033" spans="1:7" x14ac:dyDescent="0.2">
      <c r="A10033" s="2" t="s">
        <v>11688</v>
      </c>
      <c r="B10033" s="2" t="s">
        <v>11752</v>
      </c>
      <c r="C10033" s="2" t="s">
        <v>11691</v>
      </c>
      <c r="D10033" s="2" t="s">
        <v>10</v>
      </c>
      <c r="E10033" s="2" t="s">
        <v>16</v>
      </c>
      <c r="F10033" s="2">
        <v>1</v>
      </c>
      <c r="G10033" s="2" t="s">
        <v>17</v>
      </c>
    </row>
    <row r="10034" spans="1:7" x14ac:dyDescent="0.2">
      <c r="A10034" s="2" t="s">
        <v>11688</v>
      </c>
      <c r="B10034" s="2" t="s">
        <v>11753</v>
      </c>
      <c r="C10034" s="2" t="s">
        <v>4045</v>
      </c>
      <c r="D10034" s="2" t="s">
        <v>10</v>
      </c>
      <c r="E10034" s="2" t="s">
        <v>16</v>
      </c>
      <c r="F10034" s="2">
        <v>1</v>
      </c>
      <c r="G10034" s="2" t="s">
        <v>17</v>
      </c>
    </row>
    <row r="10035" spans="1:7" x14ac:dyDescent="0.2">
      <c r="A10035" s="2" t="s">
        <v>11688</v>
      </c>
      <c r="B10035" s="2" t="s">
        <v>11754</v>
      </c>
      <c r="C10035" s="2" t="s">
        <v>11691</v>
      </c>
      <c r="D10035" s="2" t="s">
        <v>10</v>
      </c>
      <c r="E10035" s="2" t="s">
        <v>16</v>
      </c>
      <c r="F10035" s="2">
        <v>1</v>
      </c>
      <c r="G10035" s="2" t="s">
        <v>17</v>
      </c>
    </row>
    <row r="10036" spans="1:7" x14ac:dyDescent="0.2">
      <c r="A10036" s="2" t="s">
        <v>11688</v>
      </c>
      <c r="B10036" s="2" t="s">
        <v>11755</v>
      </c>
      <c r="C10036" s="2" t="s">
        <v>11691</v>
      </c>
      <c r="D10036" s="2" t="s">
        <v>10</v>
      </c>
      <c r="E10036" s="2" t="s">
        <v>16</v>
      </c>
      <c r="F10036" s="2">
        <v>1</v>
      </c>
      <c r="G10036" s="2" t="s">
        <v>17</v>
      </c>
    </row>
    <row r="10037" spans="1:7" x14ac:dyDescent="0.2">
      <c r="A10037" s="2" t="s">
        <v>11688</v>
      </c>
      <c r="B10037" s="2" t="s">
        <v>11756</v>
      </c>
      <c r="C10037" s="2" t="s">
        <v>4045</v>
      </c>
      <c r="D10037" s="2" t="s">
        <v>10</v>
      </c>
      <c r="E10037" s="2" t="s">
        <v>16</v>
      </c>
      <c r="F10037" s="2">
        <v>1</v>
      </c>
      <c r="G10037" s="2" t="s">
        <v>17</v>
      </c>
    </row>
    <row r="10038" spans="1:7" x14ac:dyDescent="0.2">
      <c r="A10038" s="2" t="s">
        <v>11688</v>
      </c>
      <c r="B10038" s="2" t="s">
        <v>11757</v>
      </c>
      <c r="C10038" s="2" t="s">
        <v>11691</v>
      </c>
      <c r="D10038" s="2" t="s">
        <v>10</v>
      </c>
      <c r="E10038" s="2" t="s">
        <v>16</v>
      </c>
      <c r="F10038" s="2">
        <v>1</v>
      </c>
      <c r="G10038" s="2" t="s">
        <v>17</v>
      </c>
    </row>
    <row r="10039" spans="1:7" x14ac:dyDescent="0.2">
      <c r="A10039" s="2" t="s">
        <v>11688</v>
      </c>
      <c r="B10039" s="2" t="s">
        <v>11758</v>
      </c>
      <c r="C10039" s="2" t="s">
        <v>4045</v>
      </c>
      <c r="D10039" s="2" t="s">
        <v>10</v>
      </c>
      <c r="E10039" s="2" t="s">
        <v>16</v>
      </c>
      <c r="F10039" s="2">
        <v>1</v>
      </c>
      <c r="G10039" s="2" t="s">
        <v>17</v>
      </c>
    </row>
    <row r="10040" spans="1:7" x14ac:dyDescent="0.2">
      <c r="A10040" s="2" t="s">
        <v>11688</v>
      </c>
      <c r="B10040" s="2" t="s">
        <v>11759</v>
      </c>
      <c r="C10040" s="2" t="s">
        <v>11691</v>
      </c>
      <c r="D10040" s="2" t="s">
        <v>10</v>
      </c>
      <c r="E10040" s="2" t="s">
        <v>16</v>
      </c>
      <c r="F10040" s="2">
        <v>1</v>
      </c>
      <c r="G10040" s="2" t="s">
        <v>17</v>
      </c>
    </row>
    <row r="10041" spans="1:7" x14ac:dyDescent="0.2">
      <c r="A10041" s="2" t="s">
        <v>11688</v>
      </c>
      <c r="B10041" s="2" t="s">
        <v>11760</v>
      </c>
      <c r="C10041" s="2" t="s">
        <v>11691</v>
      </c>
      <c r="D10041" s="2" t="s">
        <v>10</v>
      </c>
      <c r="E10041" s="2" t="s">
        <v>16</v>
      </c>
      <c r="F10041" s="2">
        <v>1</v>
      </c>
      <c r="G10041" s="2" t="s">
        <v>17</v>
      </c>
    </row>
    <row r="10042" spans="1:7" x14ac:dyDescent="0.2">
      <c r="A10042" s="2" t="s">
        <v>11688</v>
      </c>
      <c r="B10042" s="2" t="s">
        <v>11761</v>
      </c>
      <c r="C10042" s="2" t="s">
        <v>11691</v>
      </c>
      <c r="D10042" s="2" t="s">
        <v>10</v>
      </c>
      <c r="E10042" s="2" t="s">
        <v>16</v>
      </c>
      <c r="F10042" s="2">
        <v>1</v>
      </c>
      <c r="G10042" s="2" t="s">
        <v>17</v>
      </c>
    </row>
    <row r="10043" spans="1:7" x14ac:dyDescent="0.2">
      <c r="A10043" s="2" t="s">
        <v>11688</v>
      </c>
      <c r="B10043" s="2" t="s">
        <v>11762</v>
      </c>
      <c r="C10043" s="2" t="s">
        <v>4045</v>
      </c>
      <c r="D10043" s="2" t="s">
        <v>10</v>
      </c>
      <c r="E10043" s="2" t="s">
        <v>16</v>
      </c>
      <c r="F10043" s="2">
        <v>1</v>
      </c>
      <c r="G10043" s="2" t="s">
        <v>17</v>
      </c>
    </row>
    <row r="10044" spans="1:7" x14ac:dyDescent="0.2">
      <c r="A10044" s="2" t="s">
        <v>11688</v>
      </c>
      <c r="B10044" s="2" t="s">
        <v>11763</v>
      </c>
      <c r="C10044" s="2" t="s">
        <v>11691</v>
      </c>
      <c r="D10044" s="2" t="s">
        <v>10</v>
      </c>
      <c r="E10044" s="2" t="s">
        <v>16</v>
      </c>
      <c r="F10044" s="2">
        <v>1</v>
      </c>
      <c r="G10044" s="2" t="s">
        <v>17</v>
      </c>
    </row>
    <row r="10045" spans="1:7" x14ac:dyDescent="0.2">
      <c r="A10045" s="2" t="s">
        <v>11688</v>
      </c>
      <c r="B10045" s="2" t="s">
        <v>11764</v>
      </c>
      <c r="C10045" s="2" t="s">
        <v>11699</v>
      </c>
      <c r="D10045" s="2" t="s">
        <v>10</v>
      </c>
      <c r="E10045" s="2" t="s">
        <v>16</v>
      </c>
      <c r="F10045" s="2">
        <v>1</v>
      </c>
      <c r="G10045" s="2" t="s">
        <v>17</v>
      </c>
    </row>
    <row r="10046" spans="1:7" x14ac:dyDescent="0.2">
      <c r="A10046" s="2" t="s">
        <v>11765</v>
      </c>
      <c r="B10046" s="2" t="s">
        <v>11756</v>
      </c>
      <c r="C10046" s="2" t="s">
        <v>4045</v>
      </c>
      <c r="D10046" s="2" t="s">
        <v>10</v>
      </c>
      <c r="E10046" s="2" t="s">
        <v>16</v>
      </c>
      <c r="F10046" s="2">
        <v>1</v>
      </c>
      <c r="G10046" s="2" t="s">
        <v>17</v>
      </c>
    </row>
    <row r="10047" spans="1:7" x14ac:dyDescent="0.2">
      <c r="A10047" s="2" t="s">
        <v>11765</v>
      </c>
      <c r="B10047" s="2" t="s">
        <v>11766</v>
      </c>
      <c r="C10047" s="2" t="s">
        <v>5986</v>
      </c>
      <c r="D10047" s="2" t="s">
        <v>10</v>
      </c>
      <c r="E10047" s="2" t="s">
        <v>16</v>
      </c>
      <c r="F10047" s="2">
        <v>1</v>
      </c>
      <c r="G10047" s="2" t="s">
        <v>17</v>
      </c>
    </row>
    <row r="10048" spans="1:7" x14ac:dyDescent="0.2">
      <c r="A10048" s="2" t="s">
        <v>11767</v>
      </c>
      <c r="B10048" s="2" t="s">
        <v>11750</v>
      </c>
      <c r="C10048" s="2" t="s">
        <v>4045</v>
      </c>
      <c r="D10048" s="2" t="s">
        <v>10</v>
      </c>
      <c r="E10048" s="2" t="s">
        <v>16</v>
      </c>
      <c r="F10048" s="2">
        <v>1</v>
      </c>
      <c r="G10048" s="2" t="s">
        <v>17</v>
      </c>
    </row>
    <row r="10049" spans="1:7" x14ac:dyDescent="0.2">
      <c r="A10049" s="2" t="s">
        <v>11767</v>
      </c>
      <c r="B10049" s="2" t="s">
        <v>11756</v>
      </c>
      <c r="C10049" s="2" t="s">
        <v>4045</v>
      </c>
      <c r="D10049" s="2" t="s">
        <v>10</v>
      </c>
      <c r="E10049" s="2" t="s">
        <v>16</v>
      </c>
      <c r="F10049" s="2">
        <v>1</v>
      </c>
      <c r="G10049" s="2" t="s">
        <v>17</v>
      </c>
    </row>
    <row r="10050" spans="1:7" x14ac:dyDescent="0.2">
      <c r="A10050" s="2" t="s">
        <v>11768</v>
      </c>
      <c r="B10050" s="2" t="s">
        <v>11769</v>
      </c>
      <c r="C10050" s="2" t="s">
        <v>9197</v>
      </c>
      <c r="D10050" s="2" t="s">
        <v>10</v>
      </c>
      <c r="E10050" s="2" t="s">
        <v>16</v>
      </c>
      <c r="F10050" s="2">
        <v>1</v>
      </c>
      <c r="G10050" s="2" t="s">
        <v>17</v>
      </c>
    </row>
    <row r="10051" spans="1:7" x14ac:dyDescent="0.2">
      <c r="A10051" s="2" t="s">
        <v>11768</v>
      </c>
      <c r="B10051" s="2" t="s">
        <v>11770</v>
      </c>
      <c r="C10051" s="2" t="s">
        <v>1562</v>
      </c>
      <c r="D10051" s="2" t="s">
        <v>10</v>
      </c>
      <c r="E10051" s="2" t="s">
        <v>16</v>
      </c>
      <c r="F10051" s="2">
        <v>1</v>
      </c>
      <c r="G10051" s="2" t="s">
        <v>17</v>
      </c>
    </row>
    <row r="10052" spans="1:7" x14ac:dyDescent="0.2">
      <c r="A10052" s="2" t="s">
        <v>11768</v>
      </c>
      <c r="B10052" s="2" t="s">
        <v>11771</v>
      </c>
      <c r="C10052" s="2" t="s">
        <v>1562</v>
      </c>
      <c r="D10052" s="2" t="s">
        <v>10</v>
      </c>
      <c r="E10052" s="2" t="s">
        <v>16</v>
      </c>
      <c r="F10052" s="2">
        <v>1</v>
      </c>
      <c r="G10052" s="2" t="s">
        <v>17</v>
      </c>
    </row>
    <row r="10053" spans="1:7" x14ac:dyDescent="0.2">
      <c r="A10053" s="2" t="s">
        <v>11768</v>
      </c>
      <c r="B10053" s="2" t="s">
        <v>11772</v>
      </c>
      <c r="C10053" s="2" t="s">
        <v>1562</v>
      </c>
      <c r="D10053" s="2" t="s">
        <v>10</v>
      </c>
      <c r="E10053" s="2" t="s">
        <v>16</v>
      </c>
      <c r="F10053" s="2">
        <v>1</v>
      </c>
      <c r="G10053" s="2" t="s">
        <v>17</v>
      </c>
    </row>
    <row r="10054" spans="1:7" x14ac:dyDescent="0.2">
      <c r="A10054" s="2" t="s">
        <v>11768</v>
      </c>
      <c r="B10054" s="2" t="s">
        <v>11773</v>
      </c>
      <c r="C10054" s="2" t="s">
        <v>1301</v>
      </c>
      <c r="D10054" s="2" t="s">
        <v>10</v>
      </c>
      <c r="E10054" s="2" t="s">
        <v>16</v>
      </c>
      <c r="F10054" s="2">
        <v>1</v>
      </c>
      <c r="G10054" s="2" t="s">
        <v>17</v>
      </c>
    </row>
    <row r="10055" spans="1:7" x14ac:dyDescent="0.2">
      <c r="A10055" s="2" t="s">
        <v>11768</v>
      </c>
      <c r="B10055" s="2" t="s">
        <v>11774</v>
      </c>
      <c r="C10055" s="2" t="s">
        <v>1301</v>
      </c>
      <c r="D10055" s="2" t="s">
        <v>10</v>
      </c>
      <c r="E10055" s="2" t="s">
        <v>16</v>
      </c>
      <c r="F10055" s="2">
        <v>1</v>
      </c>
      <c r="G10055" s="2" t="s">
        <v>17</v>
      </c>
    </row>
    <row r="10056" spans="1:7" x14ac:dyDescent="0.2">
      <c r="A10056" s="2" t="s">
        <v>11768</v>
      </c>
      <c r="B10056" s="2" t="s">
        <v>11775</v>
      </c>
      <c r="C10056" s="2" t="s">
        <v>9215</v>
      </c>
      <c r="D10056" s="2" t="s">
        <v>10</v>
      </c>
      <c r="E10056" s="2" t="s">
        <v>16</v>
      </c>
      <c r="F10056" s="2">
        <v>1</v>
      </c>
      <c r="G10056" s="2" t="s">
        <v>17</v>
      </c>
    </row>
    <row r="10057" spans="1:7" x14ac:dyDescent="0.2">
      <c r="A10057" s="2" t="s">
        <v>11776</v>
      </c>
      <c r="B10057" s="2" t="s">
        <v>11777</v>
      </c>
      <c r="C10057" s="2" t="s">
        <v>11778</v>
      </c>
      <c r="D10057" s="2" t="s">
        <v>10</v>
      </c>
      <c r="E10057" s="2" t="s">
        <v>16</v>
      </c>
      <c r="F10057" s="2">
        <v>1</v>
      </c>
      <c r="G10057" s="2" t="s">
        <v>17</v>
      </c>
    </row>
    <row r="10058" spans="1:7" x14ac:dyDescent="0.2">
      <c r="A10058" s="2" t="s">
        <v>11779</v>
      </c>
      <c r="B10058" s="2" t="s">
        <v>11780</v>
      </c>
      <c r="C10058" s="2" t="s">
        <v>11781</v>
      </c>
      <c r="D10058" s="2" t="s">
        <v>10</v>
      </c>
      <c r="E10058" s="2" t="s">
        <v>16</v>
      </c>
      <c r="F10058" s="2">
        <v>1</v>
      </c>
      <c r="G10058" s="2" t="s">
        <v>17</v>
      </c>
    </row>
    <row r="10059" spans="1:7" x14ac:dyDescent="0.2">
      <c r="A10059" s="2" t="s">
        <v>11779</v>
      </c>
      <c r="B10059" s="2" t="s">
        <v>11782</v>
      </c>
      <c r="C10059" s="2" t="s">
        <v>11783</v>
      </c>
      <c r="D10059" s="2" t="s">
        <v>10</v>
      </c>
      <c r="E10059" s="2" t="s">
        <v>16</v>
      </c>
      <c r="F10059" s="2">
        <v>1</v>
      </c>
      <c r="G10059" s="2" t="s">
        <v>17</v>
      </c>
    </row>
    <row r="10060" spans="1:7" x14ac:dyDescent="0.2">
      <c r="A10060" s="2" t="s">
        <v>11779</v>
      </c>
      <c r="B10060" s="2" t="s">
        <v>11784</v>
      </c>
      <c r="C10060" s="2" t="s">
        <v>11785</v>
      </c>
      <c r="D10060" s="2" t="s">
        <v>10</v>
      </c>
      <c r="E10060" s="2" t="s">
        <v>16</v>
      </c>
      <c r="F10060" s="2">
        <v>1</v>
      </c>
      <c r="G10060" s="2" t="s">
        <v>17</v>
      </c>
    </row>
    <row r="10061" spans="1:7" x14ac:dyDescent="0.2">
      <c r="A10061" s="2" t="s">
        <v>11779</v>
      </c>
      <c r="B10061" s="2" t="s">
        <v>11786</v>
      </c>
      <c r="C10061" s="2" t="s">
        <v>11787</v>
      </c>
      <c r="D10061" s="2" t="s">
        <v>10</v>
      </c>
      <c r="E10061" s="2" t="s">
        <v>16</v>
      </c>
      <c r="F10061" s="2">
        <v>1</v>
      </c>
      <c r="G10061" s="2" t="s">
        <v>17</v>
      </c>
    </row>
    <row r="10062" spans="1:7" x14ac:dyDescent="0.2">
      <c r="A10062" s="2" t="s">
        <v>11779</v>
      </c>
      <c r="B10062" s="2" t="s">
        <v>11788</v>
      </c>
      <c r="C10062" s="2" t="s">
        <v>11789</v>
      </c>
      <c r="D10062" s="2" t="s">
        <v>10</v>
      </c>
      <c r="E10062" s="2" t="s">
        <v>16</v>
      </c>
      <c r="F10062" s="2">
        <v>1</v>
      </c>
      <c r="G10062" s="2" t="s">
        <v>17</v>
      </c>
    </row>
    <row r="10063" spans="1:7" x14ac:dyDescent="0.2">
      <c r="A10063" s="2" t="s">
        <v>11779</v>
      </c>
      <c r="B10063" s="2" t="s">
        <v>11790</v>
      </c>
      <c r="C10063" s="2" t="s">
        <v>11791</v>
      </c>
      <c r="D10063" s="2" t="s">
        <v>10</v>
      </c>
      <c r="E10063" s="2" t="s">
        <v>16</v>
      </c>
      <c r="F10063" s="2">
        <v>1</v>
      </c>
      <c r="G10063" s="2" t="s">
        <v>17</v>
      </c>
    </row>
    <row r="10064" spans="1:7" x14ac:dyDescent="0.2">
      <c r="A10064" s="2" t="s">
        <v>11792</v>
      </c>
      <c r="B10064" s="2" t="s">
        <v>11793</v>
      </c>
      <c r="C10064" s="2" t="s">
        <v>1587</v>
      </c>
      <c r="D10064" s="2" t="s">
        <v>29</v>
      </c>
      <c r="E10064" s="2" t="s">
        <v>16</v>
      </c>
      <c r="F10064" s="2">
        <v>1</v>
      </c>
      <c r="G10064" s="2" t="s">
        <v>17</v>
      </c>
    </row>
    <row r="10065" spans="1:7" x14ac:dyDescent="0.2">
      <c r="A10065" s="2" t="s">
        <v>11792</v>
      </c>
      <c r="B10065" s="2" t="s">
        <v>11794</v>
      </c>
      <c r="C10065" s="2" t="s">
        <v>1587</v>
      </c>
      <c r="D10065" s="2" t="s">
        <v>29</v>
      </c>
      <c r="E10065" s="2" t="s">
        <v>16</v>
      </c>
      <c r="F10065" s="2">
        <v>1</v>
      </c>
      <c r="G10065" s="2" t="s">
        <v>17</v>
      </c>
    </row>
    <row r="10066" spans="1:7" x14ac:dyDescent="0.2">
      <c r="A10066" s="2" t="s">
        <v>11795</v>
      </c>
      <c r="B10066" s="2" t="s">
        <v>11796</v>
      </c>
      <c r="C10066" s="2" t="s">
        <v>1603</v>
      </c>
      <c r="D10066" s="2" t="s">
        <v>10</v>
      </c>
      <c r="E10066" s="2" t="s">
        <v>16</v>
      </c>
      <c r="F10066" s="2">
        <v>1</v>
      </c>
      <c r="G10066" s="2" t="s">
        <v>17</v>
      </c>
    </row>
    <row r="10067" spans="1:7" x14ac:dyDescent="0.2">
      <c r="A10067" s="2" t="s">
        <v>11795</v>
      </c>
      <c r="B10067" s="2" t="s">
        <v>11797</v>
      </c>
      <c r="C10067" s="2" t="s">
        <v>1603</v>
      </c>
      <c r="D10067" s="2" t="s">
        <v>10</v>
      </c>
      <c r="E10067" s="2" t="s">
        <v>16</v>
      </c>
      <c r="F10067" s="2">
        <v>1</v>
      </c>
      <c r="G10067" s="2" t="s">
        <v>17</v>
      </c>
    </row>
    <row r="10068" spans="1:7" x14ac:dyDescent="0.2">
      <c r="A10068" s="2" t="s">
        <v>11795</v>
      </c>
      <c r="B10068" s="2" t="s">
        <v>6611</v>
      </c>
      <c r="C10068" s="2" t="s">
        <v>1603</v>
      </c>
      <c r="D10068" s="2" t="s">
        <v>10</v>
      </c>
      <c r="E10068" s="2" t="s">
        <v>16</v>
      </c>
      <c r="F10068" s="2">
        <v>1</v>
      </c>
      <c r="G10068" s="2" t="s">
        <v>17</v>
      </c>
    </row>
    <row r="10069" spans="1:7" x14ac:dyDescent="0.2">
      <c r="A10069" s="2" t="s">
        <v>11798</v>
      </c>
      <c r="B10069" s="2" t="s">
        <v>3078</v>
      </c>
      <c r="C10069" s="2" t="s">
        <v>11799</v>
      </c>
      <c r="D10069" s="2" t="s">
        <v>10</v>
      </c>
      <c r="E10069" s="2" t="s">
        <v>16</v>
      </c>
      <c r="F10069" s="2">
        <v>1</v>
      </c>
      <c r="G10069" s="2" t="s">
        <v>17</v>
      </c>
    </row>
    <row r="10070" spans="1:7" x14ac:dyDescent="0.2">
      <c r="A10070" s="2" t="s">
        <v>11798</v>
      </c>
      <c r="B10070" s="2" t="s">
        <v>11800</v>
      </c>
      <c r="C10070" s="2" t="s">
        <v>11801</v>
      </c>
      <c r="D10070" s="2" t="s">
        <v>10</v>
      </c>
      <c r="E10070" s="2" t="s">
        <v>16</v>
      </c>
      <c r="F10070" s="2">
        <v>1</v>
      </c>
      <c r="G10070" s="2" t="s">
        <v>17</v>
      </c>
    </row>
    <row r="10071" spans="1:7" x14ac:dyDescent="0.2">
      <c r="A10071" s="2" t="s">
        <v>11798</v>
      </c>
      <c r="B10071" s="2" t="s">
        <v>4589</v>
      </c>
      <c r="C10071" s="2" t="s">
        <v>325</v>
      </c>
      <c r="D10071" s="2" t="s">
        <v>10</v>
      </c>
      <c r="E10071" s="2" t="s">
        <v>16</v>
      </c>
      <c r="F10071" s="2">
        <v>1</v>
      </c>
      <c r="G10071" s="2" t="s">
        <v>17</v>
      </c>
    </row>
    <row r="10072" spans="1:7" x14ac:dyDescent="0.2">
      <c r="A10072" s="2" t="s">
        <v>11798</v>
      </c>
      <c r="B10072" s="2" t="s">
        <v>11802</v>
      </c>
      <c r="C10072" s="2" t="s">
        <v>325</v>
      </c>
      <c r="D10072" s="2" t="s">
        <v>10</v>
      </c>
      <c r="E10072" s="2" t="s">
        <v>16</v>
      </c>
      <c r="F10072" s="2">
        <v>1</v>
      </c>
      <c r="G10072" s="2" t="s">
        <v>17</v>
      </c>
    </row>
    <row r="10073" spans="1:7" x14ac:dyDescent="0.2">
      <c r="A10073" s="2" t="s">
        <v>11798</v>
      </c>
      <c r="B10073" s="2" t="s">
        <v>5287</v>
      </c>
      <c r="C10073" s="2" t="s">
        <v>11799</v>
      </c>
      <c r="D10073" s="2" t="s">
        <v>10</v>
      </c>
      <c r="E10073" s="2" t="s">
        <v>16</v>
      </c>
      <c r="F10073" s="2">
        <v>1</v>
      </c>
      <c r="G10073" s="2" t="s">
        <v>17</v>
      </c>
    </row>
    <row r="10074" spans="1:7" x14ac:dyDescent="0.2">
      <c r="A10074" s="2" t="s">
        <v>11798</v>
      </c>
      <c r="B10074" s="2" t="s">
        <v>11803</v>
      </c>
      <c r="C10074" s="2" t="s">
        <v>11799</v>
      </c>
      <c r="D10074" s="2" t="s">
        <v>10</v>
      </c>
      <c r="E10074" s="2" t="s">
        <v>16</v>
      </c>
      <c r="F10074" s="2">
        <v>1</v>
      </c>
      <c r="G10074" s="2" t="s">
        <v>17</v>
      </c>
    </row>
    <row r="10075" spans="1:7" x14ac:dyDescent="0.2">
      <c r="A10075" s="2" t="s">
        <v>11798</v>
      </c>
      <c r="B10075" s="2" t="s">
        <v>11804</v>
      </c>
      <c r="C10075" s="2" t="s">
        <v>325</v>
      </c>
      <c r="D10075" s="2" t="s">
        <v>10</v>
      </c>
      <c r="E10075" s="2" t="s">
        <v>16</v>
      </c>
      <c r="F10075" s="2">
        <v>1</v>
      </c>
      <c r="G10075" s="2" t="s">
        <v>17</v>
      </c>
    </row>
    <row r="10076" spans="1:7" x14ac:dyDescent="0.2">
      <c r="A10076" s="2" t="s">
        <v>11798</v>
      </c>
      <c r="B10076" s="2" t="s">
        <v>10094</v>
      </c>
      <c r="C10076" s="2" t="s">
        <v>11805</v>
      </c>
      <c r="D10076" s="2" t="s">
        <v>10</v>
      </c>
      <c r="E10076" s="2" t="s">
        <v>16</v>
      </c>
      <c r="F10076" s="2">
        <v>1</v>
      </c>
      <c r="G10076" s="2" t="s">
        <v>17</v>
      </c>
    </row>
    <row r="10077" spans="1:7" x14ac:dyDescent="0.2">
      <c r="A10077" s="2" t="s">
        <v>11798</v>
      </c>
      <c r="B10077" s="2" t="s">
        <v>11806</v>
      </c>
      <c r="C10077" s="2" t="s">
        <v>11807</v>
      </c>
      <c r="D10077" s="2" t="s">
        <v>10</v>
      </c>
      <c r="E10077" s="2" t="s">
        <v>16</v>
      </c>
      <c r="F10077" s="2">
        <v>1</v>
      </c>
      <c r="G10077" s="2" t="s">
        <v>17</v>
      </c>
    </row>
    <row r="10078" spans="1:7" x14ac:dyDescent="0.2">
      <c r="A10078" s="2" t="s">
        <v>11798</v>
      </c>
      <c r="B10078" s="2" t="s">
        <v>11808</v>
      </c>
      <c r="C10078" s="2" t="s">
        <v>11809</v>
      </c>
      <c r="D10078" s="2" t="s">
        <v>10</v>
      </c>
      <c r="E10078" s="2" t="s">
        <v>16</v>
      </c>
      <c r="F10078" s="2">
        <v>1</v>
      </c>
      <c r="G10078" s="2" t="s">
        <v>17</v>
      </c>
    </row>
    <row r="10079" spans="1:7" x14ac:dyDescent="0.2">
      <c r="A10079" s="2" t="s">
        <v>11798</v>
      </c>
      <c r="B10079" s="2" t="s">
        <v>11810</v>
      </c>
      <c r="C10079" s="2" t="s">
        <v>11809</v>
      </c>
      <c r="D10079" s="2" t="s">
        <v>10</v>
      </c>
      <c r="E10079" s="2" t="s">
        <v>16</v>
      </c>
      <c r="F10079" s="2">
        <v>1</v>
      </c>
      <c r="G10079" s="2" t="s">
        <v>17</v>
      </c>
    </row>
    <row r="10080" spans="1:7" x14ac:dyDescent="0.2">
      <c r="A10080" s="2" t="s">
        <v>11798</v>
      </c>
      <c r="B10080" s="2" t="s">
        <v>11811</v>
      </c>
      <c r="C10080" s="2" t="s">
        <v>11801</v>
      </c>
      <c r="D10080" s="2" t="s">
        <v>10</v>
      </c>
      <c r="E10080" s="2" t="s">
        <v>16</v>
      </c>
      <c r="F10080" s="2">
        <v>1</v>
      </c>
      <c r="G10080" s="2" t="s">
        <v>17</v>
      </c>
    </row>
    <row r="10081" spans="1:7" x14ac:dyDescent="0.2">
      <c r="A10081" s="2" t="s">
        <v>11798</v>
      </c>
      <c r="B10081" s="2" t="s">
        <v>11812</v>
      </c>
      <c r="C10081" s="2" t="s">
        <v>11799</v>
      </c>
      <c r="D10081" s="2" t="s">
        <v>10</v>
      </c>
      <c r="E10081" s="2" t="s">
        <v>16</v>
      </c>
      <c r="F10081" s="2">
        <v>1</v>
      </c>
      <c r="G10081" s="2" t="s">
        <v>17</v>
      </c>
    </row>
    <row r="10082" spans="1:7" x14ac:dyDescent="0.2">
      <c r="A10082" s="2" t="s">
        <v>11798</v>
      </c>
      <c r="B10082" s="2" t="s">
        <v>11813</v>
      </c>
      <c r="C10082" s="2" t="s">
        <v>11799</v>
      </c>
      <c r="D10082" s="2" t="s">
        <v>10</v>
      </c>
      <c r="E10082" s="2" t="s">
        <v>16</v>
      </c>
      <c r="F10082" s="2">
        <v>1</v>
      </c>
      <c r="G10082" s="2" t="s">
        <v>17</v>
      </c>
    </row>
    <row r="10083" spans="1:7" x14ac:dyDescent="0.2">
      <c r="A10083" s="2" t="s">
        <v>11798</v>
      </c>
      <c r="B10083" s="2" t="s">
        <v>11814</v>
      </c>
      <c r="C10083" s="2" t="s">
        <v>11799</v>
      </c>
      <c r="D10083" s="2" t="s">
        <v>10</v>
      </c>
      <c r="E10083" s="2" t="s">
        <v>16</v>
      </c>
      <c r="F10083" s="2">
        <v>1</v>
      </c>
      <c r="G10083" s="2" t="s">
        <v>17</v>
      </c>
    </row>
    <row r="10084" spans="1:7" x14ac:dyDescent="0.2">
      <c r="A10084" s="2" t="s">
        <v>11798</v>
      </c>
      <c r="B10084" s="2" t="s">
        <v>11815</v>
      </c>
      <c r="C10084" s="2" t="s">
        <v>11805</v>
      </c>
      <c r="D10084" s="2" t="s">
        <v>10</v>
      </c>
      <c r="E10084" s="2" t="s">
        <v>16</v>
      </c>
      <c r="F10084" s="2">
        <v>1</v>
      </c>
      <c r="G10084" s="2" t="s">
        <v>17</v>
      </c>
    </row>
    <row r="10085" spans="1:7" x14ac:dyDescent="0.2">
      <c r="A10085" s="2" t="s">
        <v>11798</v>
      </c>
      <c r="B10085" s="2" t="s">
        <v>11816</v>
      </c>
      <c r="C10085" s="2" t="s">
        <v>11805</v>
      </c>
      <c r="D10085" s="2" t="s">
        <v>10</v>
      </c>
      <c r="E10085" s="2" t="s">
        <v>16</v>
      </c>
      <c r="F10085" s="2">
        <v>1</v>
      </c>
      <c r="G10085" s="2" t="s">
        <v>17</v>
      </c>
    </row>
    <row r="10086" spans="1:7" x14ac:dyDescent="0.2">
      <c r="A10086" s="2" t="s">
        <v>11798</v>
      </c>
      <c r="B10086" s="2" t="s">
        <v>11817</v>
      </c>
      <c r="C10086" s="2" t="s">
        <v>11807</v>
      </c>
      <c r="D10086" s="2" t="s">
        <v>10</v>
      </c>
      <c r="E10086" s="2" t="s">
        <v>16</v>
      </c>
      <c r="F10086" s="2">
        <v>1</v>
      </c>
      <c r="G10086" s="2" t="s">
        <v>17</v>
      </c>
    </row>
    <row r="10087" spans="1:7" x14ac:dyDescent="0.2">
      <c r="A10087" s="2" t="s">
        <v>11818</v>
      </c>
      <c r="B10087" s="2" t="s">
        <v>11819</v>
      </c>
      <c r="C10087" s="2" t="s">
        <v>11820</v>
      </c>
      <c r="D10087" s="2" t="s">
        <v>10</v>
      </c>
      <c r="E10087" s="2" t="s">
        <v>16</v>
      </c>
      <c r="F10087" s="2">
        <v>1</v>
      </c>
      <c r="G10087" s="2" t="s">
        <v>17</v>
      </c>
    </row>
    <row r="10088" spans="1:7" x14ac:dyDescent="0.2">
      <c r="A10088" s="2" t="s">
        <v>11818</v>
      </c>
      <c r="B10088" s="2" t="s">
        <v>11821</v>
      </c>
      <c r="C10088" s="2" t="s">
        <v>11820</v>
      </c>
      <c r="D10088" s="2" t="s">
        <v>10</v>
      </c>
      <c r="E10088" s="2" t="s">
        <v>16</v>
      </c>
      <c r="F10088" s="2">
        <v>1</v>
      </c>
      <c r="G10088" s="2" t="s">
        <v>17</v>
      </c>
    </row>
    <row r="10089" spans="1:7" x14ac:dyDescent="0.2">
      <c r="A10089" s="2" t="s">
        <v>11822</v>
      </c>
      <c r="B10089" s="2">
        <v>201</v>
      </c>
      <c r="C10089" s="2" t="s">
        <v>11823</v>
      </c>
      <c r="D10089" s="2" t="s">
        <v>10</v>
      </c>
      <c r="E10089" s="2" t="s">
        <v>16</v>
      </c>
      <c r="F10089" s="2">
        <v>1</v>
      </c>
      <c r="G10089" s="2" t="s">
        <v>17</v>
      </c>
    </row>
    <row r="10090" spans="1:7" x14ac:dyDescent="0.2">
      <c r="A10090" s="2" t="s">
        <v>11822</v>
      </c>
      <c r="B10090" s="2">
        <v>620</v>
      </c>
      <c r="C10090" s="2" t="s">
        <v>11823</v>
      </c>
      <c r="D10090" s="2" t="s">
        <v>10</v>
      </c>
      <c r="E10090" s="2" t="s">
        <v>16</v>
      </c>
      <c r="F10090" s="2">
        <v>1</v>
      </c>
      <c r="G10090" s="2" t="s">
        <v>17</v>
      </c>
    </row>
    <row r="10091" spans="1:7" x14ac:dyDescent="0.2">
      <c r="A10091" s="2" t="s">
        <v>11822</v>
      </c>
      <c r="B10091" s="2" t="s">
        <v>11824</v>
      </c>
      <c r="C10091" s="2" t="s">
        <v>11823</v>
      </c>
      <c r="D10091" s="2" t="s">
        <v>10</v>
      </c>
      <c r="E10091" s="2" t="s">
        <v>16</v>
      </c>
      <c r="F10091" s="2">
        <v>1</v>
      </c>
      <c r="G10091" s="2" t="s">
        <v>17</v>
      </c>
    </row>
    <row r="10092" spans="1:7" x14ac:dyDescent="0.2">
      <c r="A10092" s="2" t="s">
        <v>11822</v>
      </c>
      <c r="B10092" s="2" t="s">
        <v>11825</v>
      </c>
      <c r="C10092" s="2" t="s">
        <v>11826</v>
      </c>
      <c r="D10092" s="2" t="s">
        <v>10</v>
      </c>
      <c r="E10092" s="2" t="s">
        <v>52</v>
      </c>
      <c r="F10092" s="2">
        <v>1</v>
      </c>
      <c r="G10092" s="2" t="s">
        <v>17</v>
      </c>
    </row>
    <row r="10093" spans="1:7" x14ac:dyDescent="0.2">
      <c r="A10093" s="2" t="s">
        <v>11822</v>
      </c>
      <c r="B10093" s="2" t="s">
        <v>11827</v>
      </c>
      <c r="C10093" s="2" t="s">
        <v>11826</v>
      </c>
      <c r="D10093" s="2" t="s">
        <v>10</v>
      </c>
      <c r="E10093" s="2" t="s">
        <v>52</v>
      </c>
      <c r="F10093" s="2">
        <v>1</v>
      </c>
      <c r="G10093" s="2" t="s">
        <v>17</v>
      </c>
    </row>
    <row r="10094" spans="1:7" x14ac:dyDescent="0.2">
      <c r="A10094" s="2" t="s">
        <v>11828</v>
      </c>
      <c r="B10094" s="2" t="s">
        <v>465</v>
      </c>
      <c r="C10094" s="2" t="s">
        <v>11829</v>
      </c>
      <c r="D10094" s="2" t="s">
        <v>10</v>
      </c>
      <c r="E10094" s="2" t="s">
        <v>16</v>
      </c>
      <c r="F10094" s="2">
        <v>1</v>
      </c>
      <c r="G10094" s="2" t="s">
        <v>17</v>
      </c>
    </row>
    <row r="10095" spans="1:7" x14ac:dyDescent="0.2">
      <c r="A10095" s="2" t="s">
        <v>11828</v>
      </c>
      <c r="B10095" s="2" t="s">
        <v>11830</v>
      </c>
      <c r="C10095" s="2" t="s">
        <v>11829</v>
      </c>
      <c r="D10095" s="2" t="s">
        <v>10</v>
      </c>
      <c r="E10095" s="2" t="s">
        <v>16</v>
      </c>
      <c r="F10095" s="2">
        <v>1</v>
      </c>
      <c r="G10095" s="2" t="s">
        <v>17</v>
      </c>
    </row>
    <row r="10096" spans="1:7" x14ac:dyDescent="0.2">
      <c r="A10096" s="2" t="s">
        <v>11831</v>
      </c>
      <c r="B10096" s="2" t="s">
        <v>11832</v>
      </c>
      <c r="C10096" s="2" t="s">
        <v>11833</v>
      </c>
      <c r="D10096" s="2" t="s">
        <v>10</v>
      </c>
      <c r="E10096" s="2" t="s">
        <v>16</v>
      </c>
      <c r="F10096" s="2">
        <v>1</v>
      </c>
      <c r="G10096" s="2" t="s">
        <v>17</v>
      </c>
    </row>
    <row r="10097" spans="1:7" x14ac:dyDescent="0.2">
      <c r="A10097" s="2" t="s">
        <v>11831</v>
      </c>
      <c r="B10097" s="2" t="s">
        <v>11834</v>
      </c>
      <c r="C10097" s="2" t="s">
        <v>11833</v>
      </c>
      <c r="D10097" s="2" t="s">
        <v>10</v>
      </c>
      <c r="E10097" s="2" t="s">
        <v>16</v>
      </c>
      <c r="F10097" s="2">
        <v>1</v>
      </c>
      <c r="G10097" s="2" t="s">
        <v>17</v>
      </c>
    </row>
    <row r="10098" spans="1:7" x14ac:dyDescent="0.2">
      <c r="A10098" s="2" t="s">
        <v>11835</v>
      </c>
      <c r="B10098" s="2">
        <v>30</v>
      </c>
      <c r="C10098" s="2" t="s">
        <v>11836</v>
      </c>
      <c r="D10098" s="2" t="s">
        <v>56</v>
      </c>
      <c r="E10098" s="2" t="s">
        <v>52</v>
      </c>
      <c r="F10098" s="2">
        <v>2</v>
      </c>
      <c r="G10098" s="2" t="s">
        <v>17</v>
      </c>
    </row>
    <row r="10099" spans="1:7" x14ac:dyDescent="0.2">
      <c r="A10099" s="2" t="s">
        <v>11835</v>
      </c>
      <c r="B10099" s="2" t="s">
        <v>11837</v>
      </c>
      <c r="C10099" s="2" t="s">
        <v>857</v>
      </c>
      <c r="D10099" s="2" t="s">
        <v>56</v>
      </c>
      <c r="E10099" s="2" t="s">
        <v>52</v>
      </c>
      <c r="F10099" s="2">
        <v>2</v>
      </c>
      <c r="G10099" s="2" t="s">
        <v>17</v>
      </c>
    </row>
    <row r="10100" spans="1:7" x14ac:dyDescent="0.2">
      <c r="A10100" s="2" t="s">
        <v>11835</v>
      </c>
      <c r="B10100" s="2" t="s">
        <v>4307</v>
      </c>
      <c r="C10100" s="2" t="s">
        <v>805</v>
      </c>
      <c r="D10100" s="2" t="s">
        <v>56</v>
      </c>
      <c r="E10100" s="2" t="s">
        <v>52</v>
      </c>
      <c r="F10100" s="2">
        <v>2</v>
      </c>
      <c r="G10100" s="2" t="s">
        <v>12</v>
      </c>
    </row>
    <row r="10101" spans="1:7" x14ac:dyDescent="0.2">
      <c r="A10101" s="2" t="s">
        <v>11835</v>
      </c>
      <c r="B10101" s="2" t="s">
        <v>54</v>
      </c>
      <c r="C10101" s="2" t="s">
        <v>55</v>
      </c>
      <c r="D10101" s="2" t="s">
        <v>56</v>
      </c>
      <c r="E10101" s="2" t="s">
        <v>52</v>
      </c>
      <c r="F10101" s="2">
        <v>1</v>
      </c>
      <c r="G10101" s="2" t="s">
        <v>17</v>
      </c>
    </row>
    <row r="10102" spans="1:7" x14ac:dyDescent="0.2">
      <c r="A10102" s="2" t="s">
        <v>11835</v>
      </c>
      <c r="B10102" s="2" t="s">
        <v>877</v>
      </c>
      <c r="C10102" s="2" t="s">
        <v>857</v>
      </c>
      <c r="D10102" s="2" t="s">
        <v>56</v>
      </c>
      <c r="E10102" s="2" t="s">
        <v>52</v>
      </c>
      <c r="F10102" s="2">
        <v>2</v>
      </c>
      <c r="G10102" s="2" t="s">
        <v>17</v>
      </c>
    </row>
    <row r="10103" spans="1:7" x14ac:dyDescent="0.2">
      <c r="A10103" s="2" t="s">
        <v>11835</v>
      </c>
      <c r="B10103" s="2" t="s">
        <v>878</v>
      </c>
      <c r="C10103" s="2" t="s">
        <v>857</v>
      </c>
      <c r="D10103" s="2" t="s">
        <v>56</v>
      </c>
      <c r="E10103" s="2" t="s">
        <v>52</v>
      </c>
      <c r="F10103" s="2">
        <v>2</v>
      </c>
      <c r="G10103" s="2" t="s">
        <v>17</v>
      </c>
    </row>
    <row r="10104" spans="1:7" x14ac:dyDescent="0.2">
      <c r="A10104" s="2" t="s">
        <v>11835</v>
      </c>
      <c r="B10104" s="2" t="s">
        <v>6179</v>
      </c>
      <c r="C10104" s="2" t="s">
        <v>857</v>
      </c>
      <c r="D10104" s="2" t="s">
        <v>56</v>
      </c>
      <c r="E10104" s="2" t="s">
        <v>52</v>
      </c>
      <c r="F10104" s="2">
        <v>2</v>
      </c>
      <c r="G10104" s="2" t="s">
        <v>17</v>
      </c>
    </row>
    <row r="10105" spans="1:7" x14ac:dyDescent="0.2">
      <c r="A10105" s="2" t="s">
        <v>11835</v>
      </c>
      <c r="B10105" s="2" t="s">
        <v>11838</v>
      </c>
      <c r="C10105" s="2" t="s">
        <v>857</v>
      </c>
      <c r="D10105" s="2" t="s">
        <v>56</v>
      </c>
      <c r="E10105" s="2" t="s">
        <v>52</v>
      </c>
      <c r="F10105" s="2">
        <v>2</v>
      </c>
      <c r="G10105" s="2" t="s">
        <v>17</v>
      </c>
    </row>
    <row r="10106" spans="1:7" x14ac:dyDescent="0.2">
      <c r="A10106" s="2" t="s">
        <v>11835</v>
      </c>
      <c r="B10106" s="2" t="s">
        <v>858</v>
      </c>
      <c r="C10106" s="2" t="s">
        <v>857</v>
      </c>
      <c r="D10106" s="2" t="s">
        <v>56</v>
      </c>
      <c r="E10106" s="2" t="s">
        <v>52</v>
      </c>
      <c r="F10106" s="2">
        <v>2</v>
      </c>
      <c r="G10106" s="2" t="s">
        <v>17</v>
      </c>
    </row>
    <row r="10107" spans="1:7" x14ac:dyDescent="0.2">
      <c r="A10107" s="2" t="s">
        <v>11835</v>
      </c>
      <c r="B10107" s="2" t="s">
        <v>11839</v>
      </c>
      <c r="C10107" s="2" t="s">
        <v>2752</v>
      </c>
      <c r="D10107" s="2" t="s">
        <v>56</v>
      </c>
      <c r="E10107" s="2" t="s">
        <v>52</v>
      </c>
      <c r="F10107" s="2">
        <v>2</v>
      </c>
      <c r="G10107" s="2" t="s">
        <v>12</v>
      </c>
    </row>
    <row r="10108" spans="1:7" x14ac:dyDescent="0.2">
      <c r="A10108" s="2" t="s">
        <v>11835</v>
      </c>
      <c r="B10108" s="2" t="s">
        <v>6673</v>
      </c>
      <c r="C10108" s="2" t="s">
        <v>2752</v>
      </c>
      <c r="D10108" s="2" t="s">
        <v>56</v>
      </c>
      <c r="E10108" s="2" t="s">
        <v>52</v>
      </c>
      <c r="F10108" s="2">
        <v>2</v>
      </c>
      <c r="G10108" s="2" t="s">
        <v>12</v>
      </c>
    </row>
    <row r="10109" spans="1:7" x14ac:dyDescent="0.2">
      <c r="A10109" s="2" t="s">
        <v>11835</v>
      </c>
      <c r="B10109" s="2" t="s">
        <v>8551</v>
      </c>
      <c r="C10109" s="2" t="s">
        <v>8552</v>
      </c>
      <c r="D10109" s="2" t="s">
        <v>10</v>
      </c>
      <c r="E10109" s="2" t="s">
        <v>16</v>
      </c>
      <c r="F10109" s="2">
        <v>1</v>
      </c>
      <c r="G10109" s="2" t="s">
        <v>17</v>
      </c>
    </row>
    <row r="10110" spans="1:7" x14ac:dyDescent="0.2">
      <c r="A10110" s="2" t="s">
        <v>11835</v>
      </c>
      <c r="B10110" s="2" t="s">
        <v>653</v>
      </c>
      <c r="C10110" s="2" t="s">
        <v>624</v>
      </c>
      <c r="D10110" s="2" t="s">
        <v>56</v>
      </c>
      <c r="E10110" s="2" t="s">
        <v>52</v>
      </c>
      <c r="F10110" s="2">
        <v>2</v>
      </c>
      <c r="G10110" s="2" t="s">
        <v>17</v>
      </c>
    </row>
    <row r="10111" spans="1:7" x14ac:dyDescent="0.2">
      <c r="A10111" s="2" t="s">
        <v>11835</v>
      </c>
      <c r="B10111" s="2" t="s">
        <v>471</v>
      </c>
      <c r="C10111" s="2" t="s">
        <v>11840</v>
      </c>
      <c r="D10111" s="2" t="s">
        <v>56</v>
      </c>
      <c r="E10111" s="2" t="s">
        <v>52</v>
      </c>
      <c r="F10111" s="2">
        <v>1</v>
      </c>
      <c r="G10111" s="2" t="s">
        <v>17</v>
      </c>
    </row>
    <row r="10112" spans="1:7" x14ac:dyDescent="0.2">
      <c r="A10112" s="2" t="s">
        <v>11835</v>
      </c>
      <c r="B10112" s="2" t="s">
        <v>10583</v>
      </c>
      <c r="C10112" s="2" t="s">
        <v>805</v>
      </c>
      <c r="D10112" s="2" t="s">
        <v>56</v>
      </c>
      <c r="E10112" s="2" t="s">
        <v>52</v>
      </c>
      <c r="F10112" s="2">
        <v>2</v>
      </c>
      <c r="G10112" s="2" t="s">
        <v>12</v>
      </c>
    </row>
    <row r="10113" spans="1:7" x14ac:dyDescent="0.2">
      <c r="A10113" s="2" t="s">
        <v>11835</v>
      </c>
      <c r="B10113" s="2" t="s">
        <v>2487</v>
      </c>
      <c r="C10113" s="2" t="s">
        <v>790</v>
      </c>
      <c r="D10113" s="2" t="s">
        <v>56</v>
      </c>
      <c r="E10113" s="2" t="s">
        <v>16</v>
      </c>
      <c r="F10113" s="2">
        <v>1</v>
      </c>
      <c r="G10113" s="2" t="s">
        <v>17</v>
      </c>
    </row>
    <row r="10114" spans="1:7" x14ac:dyDescent="0.2">
      <c r="A10114" s="2" t="s">
        <v>11835</v>
      </c>
      <c r="B10114" s="2" t="s">
        <v>41</v>
      </c>
      <c r="C10114" s="2" t="s">
        <v>11841</v>
      </c>
      <c r="D10114" s="2" t="s">
        <v>56</v>
      </c>
      <c r="E10114" s="2" t="s">
        <v>52</v>
      </c>
      <c r="F10114" s="2">
        <v>1</v>
      </c>
      <c r="G10114" s="2" t="s">
        <v>17</v>
      </c>
    </row>
    <row r="10115" spans="1:7" x14ac:dyDescent="0.2">
      <c r="A10115" s="2" t="s">
        <v>11835</v>
      </c>
      <c r="B10115" s="2" t="s">
        <v>11842</v>
      </c>
      <c r="C10115" s="2" t="s">
        <v>11843</v>
      </c>
      <c r="D10115" s="2" t="s">
        <v>56</v>
      </c>
      <c r="E10115" s="2" t="s">
        <v>52</v>
      </c>
      <c r="F10115" s="2">
        <v>2</v>
      </c>
      <c r="G10115" s="2" t="s">
        <v>17</v>
      </c>
    </row>
    <row r="10116" spans="1:7" x14ac:dyDescent="0.2">
      <c r="A10116" s="2" t="s">
        <v>11835</v>
      </c>
      <c r="B10116" s="2" t="s">
        <v>11844</v>
      </c>
      <c r="C10116" s="2" t="s">
        <v>857</v>
      </c>
      <c r="D10116" s="2" t="s">
        <v>56</v>
      </c>
      <c r="E10116" s="2" t="s">
        <v>52</v>
      </c>
      <c r="F10116" s="2">
        <v>2</v>
      </c>
      <c r="G10116" s="2" t="s">
        <v>17</v>
      </c>
    </row>
    <row r="10117" spans="1:7" x14ac:dyDescent="0.2">
      <c r="A10117" s="2" t="s">
        <v>11835</v>
      </c>
      <c r="B10117" s="2" t="s">
        <v>11845</v>
      </c>
      <c r="C10117" s="2" t="s">
        <v>857</v>
      </c>
      <c r="D10117" s="2" t="s">
        <v>56</v>
      </c>
      <c r="E10117" s="2" t="s">
        <v>52</v>
      </c>
      <c r="F10117" s="2">
        <v>2</v>
      </c>
      <c r="G10117" s="2" t="s">
        <v>17</v>
      </c>
    </row>
    <row r="10118" spans="1:7" x14ac:dyDescent="0.2">
      <c r="A10118" s="2" t="s">
        <v>11835</v>
      </c>
      <c r="B10118" s="2" t="s">
        <v>856</v>
      </c>
      <c r="C10118" s="2" t="s">
        <v>857</v>
      </c>
      <c r="D10118" s="2" t="s">
        <v>56</v>
      </c>
      <c r="E10118" s="2" t="s">
        <v>52</v>
      </c>
      <c r="F10118" s="2">
        <v>2</v>
      </c>
      <c r="G10118" s="2" t="s">
        <v>17</v>
      </c>
    </row>
    <row r="10119" spans="1:7" x14ac:dyDescent="0.2">
      <c r="A10119" s="2" t="s">
        <v>11835</v>
      </c>
      <c r="B10119" s="2" t="s">
        <v>11846</v>
      </c>
      <c r="C10119" s="2" t="s">
        <v>11836</v>
      </c>
      <c r="D10119" s="2" t="s">
        <v>56</v>
      </c>
      <c r="E10119" s="2" t="s">
        <v>52</v>
      </c>
      <c r="F10119" s="2">
        <v>2</v>
      </c>
      <c r="G10119" s="2" t="s">
        <v>17</v>
      </c>
    </row>
    <row r="10120" spans="1:7" x14ac:dyDescent="0.2">
      <c r="A10120" s="2" t="s">
        <v>11835</v>
      </c>
      <c r="B10120" s="2" t="s">
        <v>11847</v>
      </c>
      <c r="C10120" s="2" t="s">
        <v>10505</v>
      </c>
      <c r="D10120" s="2" t="s">
        <v>56</v>
      </c>
      <c r="E10120" s="2" t="s">
        <v>52</v>
      </c>
      <c r="F10120" s="2">
        <v>1</v>
      </c>
      <c r="G10120" s="2" t="s">
        <v>17</v>
      </c>
    </row>
    <row r="10121" spans="1:7" x14ac:dyDescent="0.2">
      <c r="A10121" s="2" t="s">
        <v>11835</v>
      </c>
      <c r="B10121" s="2" t="s">
        <v>11848</v>
      </c>
      <c r="C10121" s="2" t="s">
        <v>10505</v>
      </c>
      <c r="D10121" s="2" t="s">
        <v>56</v>
      </c>
      <c r="E10121" s="2" t="s">
        <v>52</v>
      </c>
      <c r="F10121" s="2">
        <v>1</v>
      </c>
      <c r="G10121" s="2" t="s">
        <v>17</v>
      </c>
    </row>
    <row r="10122" spans="1:7" x14ac:dyDescent="0.2">
      <c r="A10122" s="2" t="s">
        <v>11835</v>
      </c>
      <c r="B10122" s="2" t="s">
        <v>11849</v>
      </c>
      <c r="C10122" s="2" t="s">
        <v>11843</v>
      </c>
      <c r="D10122" s="2" t="s">
        <v>56</v>
      </c>
      <c r="E10122" s="2" t="s">
        <v>52</v>
      </c>
      <c r="F10122" s="2">
        <v>2</v>
      </c>
      <c r="G10122" s="2" t="s">
        <v>17</v>
      </c>
    </row>
    <row r="10123" spans="1:7" x14ac:dyDescent="0.2">
      <c r="A10123" s="2" t="s">
        <v>11835</v>
      </c>
      <c r="B10123" s="2" t="s">
        <v>11850</v>
      </c>
      <c r="C10123" s="2" t="s">
        <v>805</v>
      </c>
      <c r="D10123" s="2" t="s">
        <v>56</v>
      </c>
      <c r="E10123" s="2" t="s">
        <v>52</v>
      </c>
      <c r="F10123" s="2">
        <v>2</v>
      </c>
      <c r="G10123" s="2" t="s">
        <v>12</v>
      </c>
    </row>
    <row r="10124" spans="1:7" x14ac:dyDescent="0.2">
      <c r="A10124" s="2" t="s">
        <v>11835</v>
      </c>
      <c r="B10124" s="2" t="s">
        <v>11851</v>
      </c>
      <c r="C10124" s="2" t="s">
        <v>805</v>
      </c>
      <c r="D10124" s="2" t="s">
        <v>56</v>
      </c>
      <c r="E10124" s="2" t="s">
        <v>52</v>
      </c>
      <c r="F10124" s="2">
        <v>2</v>
      </c>
      <c r="G10124" s="2" t="s">
        <v>12</v>
      </c>
    </row>
    <row r="10125" spans="1:7" x14ac:dyDescent="0.2">
      <c r="A10125" s="2" t="s">
        <v>11835</v>
      </c>
      <c r="B10125" s="2" t="s">
        <v>11852</v>
      </c>
      <c r="C10125" s="2" t="s">
        <v>1732</v>
      </c>
      <c r="D10125" s="2" t="s">
        <v>56</v>
      </c>
      <c r="E10125" s="2" t="s">
        <v>52</v>
      </c>
      <c r="F10125" s="2">
        <v>2</v>
      </c>
      <c r="G10125" s="2" t="s">
        <v>12</v>
      </c>
    </row>
    <row r="10126" spans="1:7" x14ac:dyDescent="0.2">
      <c r="A10126" s="2" t="s">
        <v>11853</v>
      </c>
      <c r="B10126" s="2" t="s">
        <v>11854</v>
      </c>
      <c r="C10126" s="2" t="s">
        <v>4258</v>
      </c>
      <c r="D10126" s="2" t="s">
        <v>29</v>
      </c>
      <c r="E10126" s="2" t="s">
        <v>16</v>
      </c>
      <c r="F10126" s="2">
        <v>1</v>
      </c>
      <c r="G10126" s="2" t="s">
        <v>17</v>
      </c>
    </row>
    <row r="10127" spans="1:7" x14ac:dyDescent="0.2">
      <c r="A10127" s="2" t="s">
        <v>11855</v>
      </c>
      <c r="B10127" s="2" t="s">
        <v>1931</v>
      </c>
      <c r="C10127" s="2" t="s">
        <v>11856</v>
      </c>
      <c r="D10127" s="2" t="s">
        <v>10</v>
      </c>
      <c r="E10127" s="2" t="s">
        <v>16</v>
      </c>
      <c r="F10127" s="2">
        <v>1</v>
      </c>
      <c r="G10127" s="2" t="s">
        <v>17</v>
      </c>
    </row>
    <row r="10128" spans="1:7" x14ac:dyDescent="0.2">
      <c r="A10128" s="2" t="s">
        <v>11857</v>
      </c>
      <c r="B10128" s="2" t="s">
        <v>5326</v>
      </c>
      <c r="C10128" s="2" t="s">
        <v>5325</v>
      </c>
      <c r="D10128" s="2" t="s">
        <v>10</v>
      </c>
      <c r="E10128" s="2" t="s">
        <v>16</v>
      </c>
      <c r="F10128" s="2">
        <v>1</v>
      </c>
      <c r="G10128" s="2" t="s">
        <v>17</v>
      </c>
    </row>
    <row r="10129" spans="1:7" x14ac:dyDescent="0.2">
      <c r="A10129" s="2" t="s">
        <v>11858</v>
      </c>
      <c r="B10129" s="2" t="s">
        <v>6071</v>
      </c>
      <c r="C10129" s="2" t="s">
        <v>11859</v>
      </c>
      <c r="D10129" s="2" t="s">
        <v>10</v>
      </c>
      <c r="E10129" s="2" t="s">
        <v>16</v>
      </c>
      <c r="F10129" s="2">
        <v>1</v>
      </c>
      <c r="G10129" s="2" t="s">
        <v>17</v>
      </c>
    </row>
    <row r="10130" spans="1:7" x14ac:dyDescent="0.2">
      <c r="A10130" s="2" t="s">
        <v>11860</v>
      </c>
      <c r="B10130" s="2" t="s">
        <v>11861</v>
      </c>
      <c r="C10130" s="2" t="s">
        <v>11862</v>
      </c>
      <c r="D10130" s="2" t="s">
        <v>10</v>
      </c>
      <c r="E10130" s="2" t="s">
        <v>16</v>
      </c>
      <c r="F10130" s="2">
        <v>1</v>
      </c>
      <c r="G10130" s="2" t="s">
        <v>17</v>
      </c>
    </row>
    <row r="10131" spans="1:7" x14ac:dyDescent="0.2">
      <c r="A10131" s="2" t="s">
        <v>11860</v>
      </c>
      <c r="B10131" s="2" t="s">
        <v>11863</v>
      </c>
      <c r="C10131" s="2" t="s">
        <v>11862</v>
      </c>
      <c r="D10131" s="2" t="s">
        <v>10</v>
      </c>
      <c r="E10131" s="2" t="s">
        <v>16</v>
      </c>
      <c r="F10131" s="2">
        <v>1</v>
      </c>
      <c r="G10131" s="2" t="s">
        <v>17</v>
      </c>
    </row>
    <row r="10132" spans="1:7" x14ac:dyDescent="0.2">
      <c r="A10132" s="2" t="s">
        <v>11864</v>
      </c>
      <c r="B10132" s="2" t="s">
        <v>9736</v>
      </c>
      <c r="C10132" s="2" t="s">
        <v>9737</v>
      </c>
      <c r="D10132" s="2" t="s">
        <v>10</v>
      </c>
      <c r="E10132" s="2" t="s">
        <v>16</v>
      </c>
      <c r="F10132" s="2">
        <v>1</v>
      </c>
      <c r="G10132" s="2" t="s">
        <v>17</v>
      </c>
    </row>
    <row r="10133" spans="1:7" x14ac:dyDescent="0.2">
      <c r="A10133" s="2" t="s">
        <v>11864</v>
      </c>
      <c r="B10133" s="2" t="s">
        <v>9738</v>
      </c>
      <c r="C10133" s="2" t="s">
        <v>9737</v>
      </c>
      <c r="D10133" s="2" t="s">
        <v>10</v>
      </c>
      <c r="E10133" s="2" t="s">
        <v>16</v>
      </c>
      <c r="F10133" s="2">
        <v>1</v>
      </c>
      <c r="G10133" s="2" t="s">
        <v>17</v>
      </c>
    </row>
    <row r="10134" spans="1:7" x14ac:dyDescent="0.2">
      <c r="A10134" s="2" t="s">
        <v>11865</v>
      </c>
      <c r="B10134" s="2" t="s">
        <v>11866</v>
      </c>
      <c r="C10134" s="2" t="s">
        <v>1247</v>
      </c>
      <c r="D10134" s="2" t="s">
        <v>10</v>
      </c>
      <c r="E10134" s="2" t="s">
        <v>16</v>
      </c>
      <c r="F10134" s="2">
        <v>1</v>
      </c>
      <c r="G10134" s="2" t="s">
        <v>17</v>
      </c>
    </row>
    <row r="10135" spans="1:7" x14ac:dyDescent="0.2">
      <c r="A10135" s="2" t="s">
        <v>11867</v>
      </c>
      <c r="B10135" s="2" t="s">
        <v>1925</v>
      </c>
      <c r="C10135" s="2" t="s">
        <v>11868</v>
      </c>
      <c r="D10135" s="2" t="s">
        <v>10</v>
      </c>
      <c r="E10135" s="2" t="s">
        <v>16</v>
      </c>
      <c r="F10135" s="2">
        <v>1</v>
      </c>
      <c r="G10135" s="2" t="s">
        <v>17</v>
      </c>
    </row>
    <row r="10136" spans="1:7" x14ac:dyDescent="0.2">
      <c r="A10136" s="2" t="s">
        <v>11869</v>
      </c>
      <c r="B10136" s="2" t="s">
        <v>9621</v>
      </c>
      <c r="C10136" s="2" t="s">
        <v>9622</v>
      </c>
      <c r="D10136" s="2" t="s">
        <v>10</v>
      </c>
      <c r="E10136" s="2" t="s">
        <v>16</v>
      </c>
      <c r="F10136" s="2">
        <v>1</v>
      </c>
      <c r="G10136" s="2" t="s">
        <v>17</v>
      </c>
    </row>
    <row r="10137" spans="1:7" x14ac:dyDescent="0.2">
      <c r="A10137" s="2" t="s">
        <v>11870</v>
      </c>
      <c r="B10137" s="2" t="s">
        <v>11871</v>
      </c>
      <c r="C10137" s="2" t="s">
        <v>4600</v>
      </c>
      <c r="D10137" s="2" t="s">
        <v>10</v>
      </c>
      <c r="E10137" s="2" t="s">
        <v>16</v>
      </c>
      <c r="F10137" s="2">
        <v>2</v>
      </c>
      <c r="G10137" s="2" t="s">
        <v>17</v>
      </c>
    </row>
    <row r="10138" spans="1:7" x14ac:dyDescent="0.2">
      <c r="A10138" s="2" t="s">
        <v>11870</v>
      </c>
      <c r="B10138" s="2" t="s">
        <v>11872</v>
      </c>
      <c r="C10138" s="2" t="s">
        <v>4600</v>
      </c>
      <c r="D10138" s="2" t="s">
        <v>10</v>
      </c>
      <c r="E10138" s="2" t="s">
        <v>16</v>
      </c>
      <c r="F10138" s="2">
        <v>2</v>
      </c>
      <c r="G10138" s="2" t="s">
        <v>17</v>
      </c>
    </row>
    <row r="10139" spans="1:7" x14ac:dyDescent="0.2">
      <c r="A10139" s="2" t="s">
        <v>11873</v>
      </c>
      <c r="B10139" s="2" t="s">
        <v>8903</v>
      </c>
      <c r="C10139" s="2" t="s">
        <v>8904</v>
      </c>
      <c r="D10139" s="2" t="s">
        <v>10</v>
      </c>
      <c r="E10139" s="2" t="s">
        <v>16</v>
      </c>
      <c r="F10139" s="2">
        <v>1</v>
      </c>
      <c r="G10139" s="2" t="s">
        <v>17</v>
      </c>
    </row>
    <row r="10140" spans="1:7" x14ac:dyDescent="0.2">
      <c r="A10140" s="2" t="s">
        <v>11874</v>
      </c>
      <c r="B10140" s="2" t="s">
        <v>11875</v>
      </c>
      <c r="C10140" s="2" t="s">
        <v>11876</v>
      </c>
      <c r="D10140" s="2" t="s">
        <v>56</v>
      </c>
      <c r="E10140" s="2" t="s">
        <v>52</v>
      </c>
      <c r="F10140" s="2">
        <v>1</v>
      </c>
      <c r="G10140" s="2" t="s">
        <v>17</v>
      </c>
    </row>
    <row r="10141" spans="1:7" x14ac:dyDescent="0.2">
      <c r="A10141" s="2" t="s">
        <v>11877</v>
      </c>
      <c r="B10141" s="2" t="s">
        <v>1276</v>
      </c>
      <c r="C10141" s="2" t="s">
        <v>1277</v>
      </c>
      <c r="D10141" s="2" t="s">
        <v>10</v>
      </c>
      <c r="E10141" s="2" t="s">
        <v>16</v>
      </c>
      <c r="F10141" s="2">
        <v>1</v>
      </c>
      <c r="G10141" s="2" t="s">
        <v>17</v>
      </c>
    </row>
    <row r="10142" spans="1:7" x14ac:dyDescent="0.2">
      <c r="A10142" s="2" t="s">
        <v>11877</v>
      </c>
      <c r="B10142" s="2" t="s">
        <v>1278</v>
      </c>
      <c r="C10142" s="2" t="s">
        <v>1279</v>
      </c>
      <c r="D10142" s="2" t="s">
        <v>10</v>
      </c>
      <c r="E10142" s="2" t="s">
        <v>16</v>
      </c>
      <c r="F10142" s="2">
        <v>1</v>
      </c>
      <c r="G10142" s="2" t="s">
        <v>17</v>
      </c>
    </row>
    <row r="10143" spans="1:7" x14ac:dyDescent="0.2">
      <c r="A10143" s="2" t="s">
        <v>11877</v>
      </c>
      <c r="B10143" s="2" t="s">
        <v>1346</v>
      </c>
      <c r="C10143" s="2" t="s">
        <v>1277</v>
      </c>
      <c r="D10143" s="2" t="s">
        <v>10</v>
      </c>
      <c r="E10143" s="2" t="s">
        <v>16</v>
      </c>
      <c r="F10143" s="2">
        <v>1</v>
      </c>
      <c r="G10143" s="2" t="s">
        <v>17</v>
      </c>
    </row>
    <row r="10144" spans="1:7" x14ac:dyDescent="0.2">
      <c r="A10144" s="2" t="s">
        <v>11877</v>
      </c>
      <c r="B10144" s="2" t="s">
        <v>11878</v>
      </c>
      <c r="C10144" s="2" t="s">
        <v>1277</v>
      </c>
      <c r="D10144" s="2" t="s">
        <v>10</v>
      </c>
      <c r="E10144" s="2" t="s">
        <v>16</v>
      </c>
      <c r="F10144" s="2">
        <v>1</v>
      </c>
      <c r="G10144" s="2" t="s">
        <v>17</v>
      </c>
    </row>
    <row r="10145" spans="1:7" x14ac:dyDescent="0.2">
      <c r="A10145" s="2" t="s">
        <v>11877</v>
      </c>
      <c r="B10145" s="2" t="s">
        <v>1280</v>
      </c>
      <c r="C10145" s="2" t="s">
        <v>1277</v>
      </c>
      <c r="D10145" s="2" t="s">
        <v>10</v>
      </c>
      <c r="E10145" s="2" t="s">
        <v>16</v>
      </c>
      <c r="F10145" s="2">
        <v>1</v>
      </c>
      <c r="G10145" s="2" t="s">
        <v>17</v>
      </c>
    </row>
    <row r="10146" spans="1:7" x14ac:dyDescent="0.2">
      <c r="A10146" s="2" t="s">
        <v>11877</v>
      </c>
      <c r="B10146" s="2" t="s">
        <v>11879</v>
      </c>
      <c r="C10146" s="2" t="s">
        <v>7833</v>
      </c>
      <c r="D10146" s="2" t="s">
        <v>10</v>
      </c>
      <c r="E10146" s="2" t="s">
        <v>16</v>
      </c>
      <c r="F10146" s="2">
        <v>1</v>
      </c>
      <c r="G10146" s="2" t="s">
        <v>17</v>
      </c>
    </row>
    <row r="10147" spans="1:7" x14ac:dyDescent="0.2">
      <c r="A10147" s="2" t="s">
        <v>11877</v>
      </c>
      <c r="B10147" s="2" t="s">
        <v>7832</v>
      </c>
      <c r="C10147" s="2" t="s">
        <v>7833</v>
      </c>
      <c r="D10147" s="2" t="s">
        <v>10</v>
      </c>
      <c r="E10147" s="2" t="s">
        <v>16</v>
      </c>
      <c r="F10147" s="2">
        <v>1</v>
      </c>
      <c r="G10147" s="2" t="s">
        <v>17</v>
      </c>
    </row>
    <row r="10148" spans="1:7" x14ac:dyDescent="0.2">
      <c r="A10148" s="2" t="s">
        <v>11877</v>
      </c>
      <c r="B10148" s="2" t="s">
        <v>11880</v>
      </c>
      <c r="C10148" s="2" t="s">
        <v>7833</v>
      </c>
      <c r="D10148" s="2" t="s">
        <v>10</v>
      </c>
      <c r="E10148" s="2" t="s">
        <v>16</v>
      </c>
      <c r="F10148" s="2">
        <v>1</v>
      </c>
      <c r="G10148" s="2" t="s">
        <v>17</v>
      </c>
    </row>
    <row r="10149" spans="1:7" x14ac:dyDescent="0.2">
      <c r="A10149" s="2" t="s">
        <v>11877</v>
      </c>
      <c r="B10149" s="2" t="s">
        <v>7834</v>
      </c>
      <c r="C10149" s="2" t="s">
        <v>7833</v>
      </c>
      <c r="D10149" s="2" t="s">
        <v>10</v>
      </c>
      <c r="E10149" s="2" t="s">
        <v>16</v>
      </c>
      <c r="F10149" s="2">
        <v>1</v>
      </c>
      <c r="G10149" s="2" t="s">
        <v>17</v>
      </c>
    </row>
    <row r="10150" spans="1:7" x14ac:dyDescent="0.2">
      <c r="A10150" s="2" t="s">
        <v>11881</v>
      </c>
      <c r="B10150" s="2" t="s">
        <v>11882</v>
      </c>
      <c r="C10150" s="2" t="s">
        <v>11883</v>
      </c>
      <c r="D10150" s="2" t="s">
        <v>10</v>
      </c>
      <c r="E10150" s="2" t="s">
        <v>16</v>
      </c>
      <c r="F10150" s="2">
        <v>1</v>
      </c>
      <c r="G10150" s="2" t="s">
        <v>17</v>
      </c>
    </row>
    <row r="10151" spans="1:7" x14ac:dyDescent="0.2">
      <c r="A10151" s="2" t="s">
        <v>11881</v>
      </c>
      <c r="B10151" s="2" t="s">
        <v>11884</v>
      </c>
      <c r="C10151" s="2" t="s">
        <v>11883</v>
      </c>
      <c r="D10151" s="2" t="s">
        <v>10</v>
      </c>
      <c r="E10151" s="2" t="s">
        <v>16</v>
      </c>
      <c r="F10151" s="2">
        <v>1</v>
      </c>
      <c r="G10151" s="2" t="s">
        <v>17</v>
      </c>
    </row>
    <row r="10152" spans="1:7" x14ac:dyDescent="0.2">
      <c r="A10152" s="2" t="s">
        <v>11885</v>
      </c>
      <c r="B10152" s="2" t="s">
        <v>11886</v>
      </c>
      <c r="C10152" s="2" t="s">
        <v>11887</v>
      </c>
      <c r="D10152" s="2" t="s">
        <v>10</v>
      </c>
      <c r="E10152" s="2" t="s">
        <v>16</v>
      </c>
      <c r="F10152" s="2">
        <v>2</v>
      </c>
      <c r="G10152" s="2" t="s">
        <v>17</v>
      </c>
    </row>
    <row r="10153" spans="1:7" x14ac:dyDescent="0.2">
      <c r="A10153" s="2" t="s">
        <v>11888</v>
      </c>
      <c r="B10153" s="2" t="s">
        <v>688</v>
      </c>
      <c r="C10153" s="2" t="s">
        <v>689</v>
      </c>
      <c r="D10153" s="2" t="s">
        <v>10</v>
      </c>
      <c r="E10153" s="2" t="s">
        <v>16</v>
      </c>
      <c r="F10153" s="2">
        <v>1</v>
      </c>
      <c r="G10153" s="2" t="s">
        <v>17</v>
      </c>
    </row>
    <row r="10154" spans="1:7" x14ac:dyDescent="0.2">
      <c r="A10154" s="2" t="s">
        <v>11889</v>
      </c>
      <c r="B10154" s="2" t="s">
        <v>11890</v>
      </c>
      <c r="C10154" s="2" t="s">
        <v>335</v>
      </c>
      <c r="D10154" s="2" t="s">
        <v>10</v>
      </c>
      <c r="E10154" s="2" t="s">
        <v>16</v>
      </c>
      <c r="F10154" s="2">
        <v>1</v>
      </c>
      <c r="G10154" s="2" t="s">
        <v>17</v>
      </c>
    </row>
    <row r="10155" spans="1:7" x14ac:dyDescent="0.2">
      <c r="A10155" s="2" t="s">
        <v>11889</v>
      </c>
      <c r="B10155" s="2" t="s">
        <v>8766</v>
      </c>
      <c r="C10155" s="2" t="s">
        <v>335</v>
      </c>
      <c r="D10155" s="2" t="s">
        <v>10</v>
      </c>
      <c r="E10155" s="2" t="s">
        <v>16</v>
      </c>
      <c r="F10155" s="2">
        <v>1</v>
      </c>
      <c r="G10155" s="2" t="s">
        <v>17</v>
      </c>
    </row>
    <row r="10156" spans="1:7" x14ac:dyDescent="0.2">
      <c r="A10156" s="2" t="s">
        <v>11889</v>
      </c>
      <c r="B10156" s="2" t="s">
        <v>11891</v>
      </c>
      <c r="C10156" s="2" t="s">
        <v>335</v>
      </c>
      <c r="D10156" s="2" t="s">
        <v>10</v>
      </c>
      <c r="E10156" s="2" t="s">
        <v>16</v>
      </c>
      <c r="F10156" s="2">
        <v>1</v>
      </c>
      <c r="G10156" s="2" t="s">
        <v>17</v>
      </c>
    </row>
    <row r="10157" spans="1:7" x14ac:dyDescent="0.2">
      <c r="A10157" s="2" t="s">
        <v>11889</v>
      </c>
      <c r="B10157" s="2" t="s">
        <v>548</v>
      </c>
      <c r="C10157" s="2" t="s">
        <v>335</v>
      </c>
      <c r="D10157" s="2" t="s">
        <v>10</v>
      </c>
      <c r="E10157" s="2" t="s">
        <v>16</v>
      </c>
      <c r="F10157" s="2">
        <v>1</v>
      </c>
      <c r="G10157" s="2" t="s">
        <v>17</v>
      </c>
    </row>
    <row r="10158" spans="1:7" x14ac:dyDescent="0.2">
      <c r="A10158" s="2" t="s">
        <v>11889</v>
      </c>
      <c r="B10158" s="2" t="s">
        <v>2485</v>
      </c>
      <c r="C10158" s="2" t="s">
        <v>335</v>
      </c>
      <c r="D10158" s="2" t="s">
        <v>10</v>
      </c>
      <c r="E10158" s="2" t="s">
        <v>16</v>
      </c>
      <c r="F10158" s="2">
        <v>1</v>
      </c>
      <c r="G10158" s="2" t="s">
        <v>17</v>
      </c>
    </row>
    <row r="10159" spans="1:7" x14ac:dyDescent="0.2">
      <c r="A10159" s="2" t="s">
        <v>11892</v>
      </c>
      <c r="B10159" s="2">
        <v>460</v>
      </c>
      <c r="C10159" s="2" t="s">
        <v>1990</v>
      </c>
      <c r="D10159" s="2" t="s">
        <v>10</v>
      </c>
      <c r="E10159" s="2" t="s">
        <v>16</v>
      </c>
      <c r="F10159" s="2">
        <v>1</v>
      </c>
      <c r="G10159" s="2" t="s">
        <v>17</v>
      </c>
    </row>
    <row r="10160" spans="1:7" x14ac:dyDescent="0.2">
      <c r="A10160" s="2" t="s">
        <v>11893</v>
      </c>
      <c r="B10160" s="2">
        <v>280</v>
      </c>
      <c r="C10160" s="2" t="s">
        <v>5211</v>
      </c>
      <c r="D10160" s="2" t="s">
        <v>56</v>
      </c>
      <c r="E10160" s="2" t="s">
        <v>16</v>
      </c>
      <c r="F10160" s="2">
        <v>1</v>
      </c>
      <c r="G10160" s="2" t="s">
        <v>17</v>
      </c>
    </row>
    <row r="10161" spans="1:7" x14ac:dyDescent="0.2">
      <c r="A10161" s="2" t="s">
        <v>11893</v>
      </c>
      <c r="B10161" s="2" t="s">
        <v>5217</v>
      </c>
      <c r="C10161" s="2" t="s">
        <v>5212</v>
      </c>
      <c r="D10161" s="2" t="s">
        <v>56</v>
      </c>
      <c r="E10161" s="2" t="s">
        <v>52</v>
      </c>
      <c r="F10161" s="2">
        <v>1</v>
      </c>
      <c r="G10161" s="2" t="s">
        <v>17</v>
      </c>
    </row>
    <row r="10162" spans="1:7" x14ac:dyDescent="0.2">
      <c r="A10162" s="2" t="s">
        <v>11894</v>
      </c>
      <c r="B10162" s="2" t="s">
        <v>11895</v>
      </c>
      <c r="C10162" s="2" t="s">
        <v>7163</v>
      </c>
      <c r="D10162" s="2" t="s">
        <v>10</v>
      </c>
      <c r="E10162" s="2" t="s">
        <v>16</v>
      </c>
      <c r="F10162" s="2">
        <v>1</v>
      </c>
      <c r="G10162" s="2" t="s">
        <v>17</v>
      </c>
    </row>
    <row r="10163" spans="1:7" x14ac:dyDescent="0.2">
      <c r="A10163" s="2" t="s">
        <v>11896</v>
      </c>
      <c r="B10163" s="2" t="s">
        <v>1733</v>
      </c>
      <c r="C10163" s="2" t="s">
        <v>11897</v>
      </c>
      <c r="D10163" s="2" t="s">
        <v>29</v>
      </c>
      <c r="E10163" s="2" t="s">
        <v>16</v>
      </c>
      <c r="F10163" s="2">
        <v>1</v>
      </c>
      <c r="G10163" s="2" t="s">
        <v>17</v>
      </c>
    </row>
    <row r="10164" spans="1:7" x14ac:dyDescent="0.2">
      <c r="A10164" s="2" t="s">
        <v>11896</v>
      </c>
      <c r="B10164" s="2" t="s">
        <v>11898</v>
      </c>
      <c r="C10164" s="2" t="s">
        <v>11897</v>
      </c>
      <c r="D10164" s="2" t="s">
        <v>29</v>
      </c>
      <c r="E10164" s="2" t="s">
        <v>16</v>
      </c>
      <c r="F10164" s="2">
        <v>1</v>
      </c>
      <c r="G10164" s="2" t="s">
        <v>17</v>
      </c>
    </row>
    <row r="10165" spans="1:7" x14ac:dyDescent="0.2">
      <c r="A10165" s="2" t="s">
        <v>11896</v>
      </c>
      <c r="B10165" s="2" t="s">
        <v>5216</v>
      </c>
      <c r="C10165" s="2" t="s">
        <v>11897</v>
      </c>
      <c r="D10165" s="2" t="s">
        <v>29</v>
      </c>
      <c r="E10165" s="2" t="s">
        <v>16</v>
      </c>
      <c r="F10165" s="2">
        <v>1</v>
      </c>
      <c r="G10165" s="2" t="s">
        <v>17</v>
      </c>
    </row>
    <row r="10166" spans="1:7" x14ac:dyDescent="0.2">
      <c r="A10166" s="2" t="s">
        <v>11899</v>
      </c>
      <c r="B10166" s="2" t="s">
        <v>11900</v>
      </c>
      <c r="C10166" s="2" t="s">
        <v>11901</v>
      </c>
      <c r="D10166" s="2" t="s">
        <v>10</v>
      </c>
      <c r="E10166" s="2" t="s">
        <v>11</v>
      </c>
      <c r="F10166" s="2">
        <v>2</v>
      </c>
      <c r="G10166" s="2" t="s">
        <v>12</v>
      </c>
    </row>
    <row r="10167" spans="1:7" x14ac:dyDescent="0.2">
      <c r="A10167" s="2" t="s">
        <v>11899</v>
      </c>
      <c r="B10167" s="2" t="s">
        <v>11902</v>
      </c>
      <c r="C10167" s="2" t="s">
        <v>11901</v>
      </c>
      <c r="D10167" s="2" t="s">
        <v>10</v>
      </c>
      <c r="E10167" s="2" t="s">
        <v>11</v>
      </c>
      <c r="F10167" s="2">
        <v>2</v>
      </c>
      <c r="G10167" s="2" t="s">
        <v>12</v>
      </c>
    </row>
    <row r="10168" spans="1:7" x14ac:dyDescent="0.2">
      <c r="A10168" s="2" t="s">
        <v>11899</v>
      </c>
      <c r="B10168" s="2" t="s">
        <v>11903</v>
      </c>
      <c r="C10168" s="2" t="s">
        <v>11456</v>
      </c>
      <c r="D10168" s="2" t="s">
        <v>10</v>
      </c>
      <c r="E10168" s="2" t="s">
        <v>11</v>
      </c>
      <c r="F10168" s="2">
        <v>2</v>
      </c>
      <c r="G10168" s="2" t="s">
        <v>12</v>
      </c>
    </row>
    <row r="10169" spans="1:7" x14ac:dyDescent="0.2">
      <c r="A10169" s="2" t="s">
        <v>11899</v>
      </c>
      <c r="B10169" s="2" t="s">
        <v>11904</v>
      </c>
      <c r="C10169" s="2" t="s">
        <v>11901</v>
      </c>
      <c r="D10169" s="2" t="s">
        <v>10</v>
      </c>
      <c r="E10169" s="2" t="s">
        <v>11</v>
      </c>
      <c r="F10169" s="2">
        <v>2</v>
      </c>
      <c r="G10169" s="2" t="s">
        <v>12</v>
      </c>
    </row>
    <row r="10170" spans="1:7" x14ac:dyDescent="0.2">
      <c r="A10170" s="2" t="s">
        <v>11899</v>
      </c>
      <c r="B10170" s="2" t="s">
        <v>11905</v>
      </c>
      <c r="C10170" s="2" t="s">
        <v>11906</v>
      </c>
      <c r="D10170" s="2" t="s">
        <v>10</v>
      </c>
      <c r="E10170" s="2" t="s">
        <v>52</v>
      </c>
      <c r="F10170" s="2">
        <v>2</v>
      </c>
      <c r="G10170" s="2" t="s">
        <v>12</v>
      </c>
    </row>
    <row r="10171" spans="1:7" x14ac:dyDescent="0.2">
      <c r="A10171" s="2" t="s">
        <v>11899</v>
      </c>
      <c r="B10171" s="2" t="s">
        <v>11907</v>
      </c>
      <c r="C10171" s="2" t="s">
        <v>11908</v>
      </c>
      <c r="D10171" s="2" t="s">
        <v>10</v>
      </c>
      <c r="E10171" s="2" t="s">
        <v>52</v>
      </c>
      <c r="F10171" s="2">
        <v>2</v>
      </c>
      <c r="G10171" s="2" t="s">
        <v>12</v>
      </c>
    </row>
    <row r="10172" spans="1:7" x14ac:dyDescent="0.2">
      <c r="A10172" s="2" t="s">
        <v>11899</v>
      </c>
      <c r="B10172" s="2" t="s">
        <v>11909</v>
      </c>
      <c r="C10172" s="2" t="s">
        <v>1623</v>
      </c>
      <c r="D10172" s="2" t="s">
        <v>10</v>
      </c>
      <c r="E10172" s="2" t="s">
        <v>52</v>
      </c>
      <c r="F10172" s="2">
        <v>2</v>
      </c>
      <c r="G10172" s="2" t="s">
        <v>12</v>
      </c>
    </row>
    <row r="10173" spans="1:7" x14ac:dyDescent="0.2">
      <c r="A10173" s="2" t="s">
        <v>11899</v>
      </c>
      <c r="B10173" s="2" t="s">
        <v>11910</v>
      </c>
      <c r="C10173" s="2" t="s">
        <v>1623</v>
      </c>
      <c r="D10173" s="2" t="s">
        <v>10</v>
      </c>
      <c r="E10173" s="2" t="s">
        <v>52</v>
      </c>
      <c r="F10173" s="2">
        <v>2</v>
      </c>
      <c r="G10173" s="2" t="s">
        <v>12</v>
      </c>
    </row>
    <row r="10174" spans="1:7" x14ac:dyDescent="0.2">
      <c r="A10174" s="2" t="s">
        <v>11899</v>
      </c>
      <c r="B10174" s="2" t="s">
        <v>11911</v>
      </c>
      <c r="C10174" s="2" t="s">
        <v>1623</v>
      </c>
      <c r="D10174" s="2" t="s">
        <v>10</v>
      </c>
      <c r="E10174" s="2" t="s">
        <v>52</v>
      </c>
      <c r="F10174" s="2">
        <v>2</v>
      </c>
      <c r="G10174" s="2" t="s">
        <v>12</v>
      </c>
    </row>
    <row r="10175" spans="1:7" x14ac:dyDescent="0.2">
      <c r="A10175" s="2" t="s">
        <v>11899</v>
      </c>
      <c r="B10175" s="2" t="s">
        <v>11912</v>
      </c>
      <c r="C10175" s="2" t="s">
        <v>1625</v>
      </c>
      <c r="D10175" s="2" t="s">
        <v>10</v>
      </c>
      <c r="E10175" s="2" t="s">
        <v>52</v>
      </c>
      <c r="F10175" s="2">
        <v>2</v>
      </c>
      <c r="G10175" s="2" t="s">
        <v>12</v>
      </c>
    </row>
    <row r="10176" spans="1:7" x14ac:dyDescent="0.2">
      <c r="A10176" s="2" t="s">
        <v>11899</v>
      </c>
      <c r="B10176" s="2" t="s">
        <v>11913</v>
      </c>
      <c r="C10176" s="2" t="s">
        <v>11914</v>
      </c>
      <c r="D10176" s="2" t="s">
        <v>10</v>
      </c>
      <c r="E10176" s="2" t="s">
        <v>11</v>
      </c>
      <c r="F10176" s="2">
        <v>4</v>
      </c>
      <c r="G10176" s="2" t="s">
        <v>1069</v>
      </c>
    </row>
    <row r="10177" spans="1:7" x14ac:dyDescent="0.2">
      <c r="A10177" s="2" t="s">
        <v>11899</v>
      </c>
      <c r="B10177" s="2" t="s">
        <v>11915</v>
      </c>
      <c r="C10177" s="2" t="s">
        <v>11914</v>
      </c>
      <c r="D10177" s="2" t="s">
        <v>10</v>
      </c>
      <c r="E10177" s="2" t="s">
        <v>11</v>
      </c>
      <c r="F10177" s="2">
        <v>4</v>
      </c>
      <c r="G10177" s="2" t="s">
        <v>1069</v>
      </c>
    </row>
    <row r="10178" spans="1:7" x14ac:dyDescent="0.2">
      <c r="A10178" s="2" t="s">
        <v>11916</v>
      </c>
      <c r="B10178" s="2" t="s">
        <v>11917</v>
      </c>
      <c r="C10178" s="2" t="s">
        <v>9769</v>
      </c>
      <c r="D10178" s="2" t="s">
        <v>10</v>
      </c>
      <c r="E10178" s="2" t="s">
        <v>16</v>
      </c>
      <c r="F10178" s="2">
        <v>1</v>
      </c>
      <c r="G10178" s="2" t="s">
        <v>17</v>
      </c>
    </row>
    <row r="10179" spans="1:7" x14ac:dyDescent="0.2">
      <c r="A10179" s="2" t="s">
        <v>11916</v>
      </c>
      <c r="B10179" s="2" t="s">
        <v>11918</v>
      </c>
      <c r="C10179" s="2" t="s">
        <v>11919</v>
      </c>
      <c r="D10179" s="2" t="s">
        <v>10</v>
      </c>
      <c r="E10179" s="2" t="s">
        <v>16</v>
      </c>
      <c r="F10179" s="2">
        <v>1</v>
      </c>
      <c r="G10179" s="2" t="s">
        <v>17</v>
      </c>
    </row>
    <row r="10180" spans="1:7" x14ac:dyDescent="0.2">
      <c r="A10180" s="2" t="s">
        <v>11916</v>
      </c>
      <c r="B10180" s="2" t="s">
        <v>11920</v>
      </c>
      <c r="C10180" s="2" t="s">
        <v>11919</v>
      </c>
      <c r="D10180" s="2" t="s">
        <v>10</v>
      </c>
      <c r="E10180" s="2" t="s">
        <v>16</v>
      </c>
      <c r="F10180" s="2">
        <v>1</v>
      </c>
      <c r="G10180" s="2" t="s">
        <v>17</v>
      </c>
    </row>
    <row r="10181" spans="1:7" x14ac:dyDescent="0.2">
      <c r="A10181" s="2" t="s">
        <v>11916</v>
      </c>
      <c r="B10181" s="2" t="s">
        <v>11921</v>
      </c>
      <c r="C10181" s="2" t="s">
        <v>11919</v>
      </c>
      <c r="D10181" s="2" t="s">
        <v>10</v>
      </c>
      <c r="E10181" s="2" t="s">
        <v>16</v>
      </c>
      <c r="F10181" s="2">
        <v>1</v>
      </c>
      <c r="G10181" s="2" t="s">
        <v>17</v>
      </c>
    </row>
    <row r="10182" spans="1:7" x14ac:dyDescent="0.2">
      <c r="A10182" s="2" t="s">
        <v>11916</v>
      </c>
      <c r="B10182" s="2" t="s">
        <v>11922</v>
      </c>
      <c r="C10182" s="2" t="s">
        <v>9769</v>
      </c>
      <c r="D10182" s="2" t="s">
        <v>10</v>
      </c>
      <c r="E10182" s="2" t="s">
        <v>16</v>
      </c>
      <c r="F10182" s="2">
        <v>1</v>
      </c>
      <c r="G10182" s="2" t="s">
        <v>17</v>
      </c>
    </row>
    <row r="10183" spans="1:7" x14ac:dyDescent="0.2">
      <c r="A10183" s="2" t="s">
        <v>11923</v>
      </c>
      <c r="B10183" s="2" t="s">
        <v>11924</v>
      </c>
      <c r="C10183" s="2" t="s">
        <v>1301</v>
      </c>
      <c r="D10183" s="2" t="s">
        <v>10</v>
      </c>
      <c r="E10183" s="2" t="s">
        <v>16</v>
      </c>
      <c r="F10183" s="2">
        <v>1</v>
      </c>
      <c r="G10183" s="2" t="s">
        <v>17</v>
      </c>
    </row>
    <row r="10184" spans="1:7" x14ac:dyDescent="0.2">
      <c r="A10184" s="2" t="s">
        <v>11923</v>
      </c>
      <c r="B10184" s="2" t="s">
        <v>11925</v>
      </c>
      <c r="C10184" s="2" t="s">
        <v>9824</v>
      </c>
      <c r="D10184" s="2" t="s">
        <v>10</v>
      </c>
      <c r="E10184" s="2" t="s">
        <v>16</v>
      </c>
      <c r="F10184" s="2">
        <v>1</v>
      </c>
      <c r="G10184" s="2" t="s">
        <v>17</v>
      </c>
    </row>
    <row r="10185" spans="1:7" x14ac:dyDescent="0.2">
      <c r="A10185" s="2" t="s">
        <v>11926</v>
      </c>
      <c r="B10185" s="2" t="s">
        <v>11927</v>
      </c>
      <c r="C10185" s="2" t="s">
        <v>11928</v>
      </c>
      <c r="D10185" s="2" t="s">
        <v>10</v>
      </c>
      <c r="E10185" s="2" t="s">
        <v>16</v>
      </c>
      <c r="F10185" s="2">
        <v>1</v>
      </c>
      <c r="G10185" s="2" t="s">
        <v>17</v>
      </c>
    </row>
    <row r="10186" spans="1:7" x14ac:dyDescent="0.2">
      <c r="A10186" s="2" t="s">
        <v>11926</v>
      </c>
      <c r="B10186" s="2" t="s">
        <v>11929</v>
      </c>
      <c r="C10186" s="2" t="s">
        <v>11930</v>
      </c>
      <c r="D10186" s="2" t="s">
        <v>10</v>
      </c>
      <c r="E10186" s="2" t="s">
        <v>16</v>
      </c>
      <c r="F10186" s="2">
        <v>1</v>
      </c>
      <c r="G10186" s="2" t="s">
        <v>17</v>
      </c>
    </row>
    <row r="10187" spans="1:7" x14ac:dyDescent="0.2">
      <c r="A10187" s="2" t="s">
        <v>11926</v>
      </c>
      <c r="B10187" s="2" t="s">
        <v>11931</v>
      </c>
      <c r="C10187" s="2" t="s">
        <v>7530</v>
      </c>
      <c r="D10187" s="2" t="s">
        <v>10</v>
      </c>
      <c r="E10187" s="2" t="s">
        <v>16</v>
      </c>
      <c r="F10187" s="2">
        <v>1</v>
      </c>
      <c r="G10187" s="2" t="s">
        <v>17</v>
      </c>
    </row>
    <row r="10188" spans="1:7" x14ac:dyDescent="0.2">
      <c r="A10188" s="2" t="s">
        <v>11926</v>
      </c>
      <c r="B10188" s="2" t="s">
        <v>9554</v>
      </c>
      <c r="C10188" s="2" t="s">
        <v>9555</v>
      </c>
      <c r="D10188" s="2" t="s">
        <v>10</v>
      </c>
      <c r="E10188" s="2" t="s">
        <v>16</v>
      </c>
      <c r="F10188" s="2">
        <v>1</v>
      </c>
      <c r="G10188" s="2" t="s">
        <v>17</v>
      </c>
    </row>
    <row r="10189" spans="1:7" x14ac:dyDescent="0.2">
      <c r="A10189" s="2" t="s">
        <v>11926</v>
      </c>
      <c r="B10189" s="2" t="s">
        <v>11932</v>
      </c>
      <c r="C10189" s="2" t="s">
        <v>8534</v>
      </c>
      <c r="D10189" s="2" t="s">
        <v>10</v>
      </c>
      <c r="E10189" s="2" t="s">
        <v>16</v>
      </c>
      <c r="F10189" s="2">
        <v>1</v>
      </c>
      <c r="G10189" s="2" t="s">
        <v>17</v>
      </c>
    </row>
    <row r="10190" spans="1:7" x14ac:dyDescent="0.2">
      <c r="A10190" s="2" t="s">
        <v>11926</v>
      </c>
      <c r="B10190" s="2" t="s">
        <v>11933</v>
      </c>
      <c r="C10190" s="2" t="s">
        <v>8534</v>
      </c>
      <c r="D10190" s="2" t="s">
        <v>10</v>
      </c>
      <c r="E10190" s="2" t="s">
        <v>16</v>
      </c>
      <c r="F10190" s="2">
        <v>1</v>
      </c>
      <c r="G10190" s="2" t="s">
        <v>17</v>
      </c>
    </row>
    <row r="10191" spans="1:7" x14ac:dyDescent="0.2">
      <c r="A10191" s="2" t="s">
        <v>11926</v>
      </c>
      <c r="B10191" s="2" t="s">
        <v>11934</v>
      </c>
      <c r="C10191" s="2" t="s">
        <v>8534</v>
      </c>
      <c r="D10191" s="2" t="s">
        <v>10</v>
      </c>
      <c r="E10191" s="2" t="s">
        <v>16</v>
      </c>
      <c r="F10191" s="2">
        <v>1</v>
      </c>
      <c r="G10191" s="2" t="s">
        <v>17</v>
      </c>
    </row>
    <row r="10192" spans="1:7" x14ac:dyDescent="0.2">
      <c r="A10192" s="2" t="s">
        <v>11926</v>
      </c>
      <c r="B10192" s="2" t="s">
        <v>11935</v>
      </c>
      <c r="C10192" s="2" t="s">
        <v>8534</v>
      </c>
      <c r="D10192" s="2" t="s">
        <v>10</v>
      </c>
      <c r="E10192" s="2" t="s">
        <v>16</v>
      </c>
      <c r="F10192" s="2">
        <v>1</v>
      </c>
      <c r="G10192" s="2" t="s">
        <v>17</v>
      </c>
    </row>
    <row r="10193" spans="1:7" x14ac:dyDescent="0.2">
      <c r="A10193" s="2" t="s">
        <v>11926</v>
      </c>
      <c r="B10193" s="2" t="s">
        <v>11936</v>
      </c>
      <c r="C10193" s="2" t="s">
        <v>8534</v>
      </c>
      <c r="D10193" s="2" t="s">
        <v>10</v>
      </c>
      <c r="E10193" s="2" t="s">
        <v>16</v>
      </c>
      <c r="F10193" s="2">
        <v>1</v>
      </c>
      <c r="G10193" s="2" t="s">
        <v>17</v>
      </c>
    </row>
    <row r="10194" spans="1:7" x14ac:dyDescent="0.2">
      <c r="A10194" s="2" t="s">
        <v>11926</v>
      </c>
      <c r="B10194" s="2" t="s">
        <v>11937</v>
      </c>
      <c r="C10194" s="2" t="s">
        <v>11281</v>
      </c>
      <c r="D10194" s="2" t="s">
        <v>10</v>
      </c>
      <c r="E10194" s="2" t="s">
        <v>16</v>
      </c>
      <c r="F10194" s="2">
        <v>1</v>
      </c>
      <c r="G10194" s="2" t="s">
        <v>17</v>
      </c>
    </row>
    <row r="10195" spans="1:7" x14ac:dyDescent="0.2">
      <c r="A10195" s="2" t="s">
        <v>11926</v>
      </c>
      <c r="B10195" s="2" t="s">
        <v>11938</v>
      </c>
      <c r="C10195" s="2" t="s">
        <v>8534</v>
      </c>
      <c r="D10195" s="2" t="s">
        <v>10</v>
      </c>
      <c r="E10195" s="2" t="s">
        <v>16</v>
      </c>
      <c r="F10195" s="2">
        <v>1</v>
      </c>
      <c r="G10195" s="2" t="s">
        <v>17</v>
      </c>
    </row>
    <row r="10196" spans="1:7" x14ac:dyDescent="0.2">
      <c r="A10196" s="2" t="s">
        <v>11926</v>
      </c>
      <c r="B10196" s="2" t="s">
        <v>11939</v>
      </c>
      <c r="C10196" s="2" t="s">
        <v>11940</v>
      </c>
      <c r="D10196" s="2" t="s">
        <v>10</v>
      </c>
      <c r="E10196" s="2" t="s">
        <v>11</v>
      </c>
      <c r="F10196" s="2">
        <v>2</v>
      </c>
      <c r="G10196" s="2" t="s">
        <v>12</v>
      </c>
    </row>
    <row r="10197" spans="1:7" x14ac:dyDescent="0.2">
      <c r="A10197" s="2" t="s">
        <v>11926</v>
      </c>
      <c r="B10197" s="2" t="s">
        <v>11941</v>
      </c>
      <c r="C10197" s="2" t="s">
        <v>11942</v>
      </c>
      <c r="D10197" s="2" t="s">
        <v>10</v>
      </c>
      <c r="E10197" s="2" t="s">
        <v>11</v>
      </c>
      <c r="F10197" s="2">
        <v>3</v>
      </c>
      <c r="G10197" s="2" t="s">
        <v>12</v>
      </c>
    </row>
    <row r="10198" spans="1:7" x14ac:dyDescent="0.2">
      <c r="A10198" s="2" t="s">
        <v>11926</v>
      </c>
      <c r="B10198" s="2" t="s">
        <v>11943</v>
      </c>
      <c r="C10198" s="2" t="s">
        <v>11944</v>
      </c>
      <c r="D10198" s="2" t="s">
        <v>10</v>
      </c>
      <c r="E10198" s="2" t="s">
        <v>11</v>
      </c>
      <c r="F10198" s="2">
        <v>3</v>
      </c>
      <c r="G10198" s="2" t="s">
        <v>12</v>
      </c>
    </row>
    <row r="10199" spans="1:7" x14ac:dyDescent="0.2">
      <c r="A10199" s="2" t="s">
        <v>11926</v>
      </c>
      <c r="B10199" s="2" t="s">
        <v>11945</v>
      </c>
      <c r="C10199" s="2" t="s">
        <v>11946</v>
      </c>
      <c r="D10199" s="2" t="s">
        <v>10</v>
      </c>
      <c r="E10199" s="2" t="s">
        <v>11</v>
      </c>
      <c r="F10199" s="2">
        <v>3</v>
      </c>
      <c r="G10199" s="2" t="s">
        <v>12</v>
      </c>
    </row>
    <row r="10200" spans="1:7" x14ac:dyDescent="0.2">
      <c r="A10200" s="2" t="s">
        <v>11926</v>
      </c>
      <c r="B10200" s="2" t="s">
        <v>11947</v>
      </c>
      <c r="C10200" s="2" t="s">
        <v>11948</v>
      </c>
      <c r="D10200" s="2" t="s">
        <v>10</v>
      </c>
      <c r="E10200" s="2" t="s">
        <v>16</v>
      </c>
      <c r="F10200" s="2">
        <v>1</v>
      </c>
      <c r="G10200" s="2" t="s">
        <v>17</v>
      </c>
    </row>
    <row r="10201" spans="1:7" x14ac:dyDescent="0.2">
      <c r="A10201" s="2" t="s">
        <v>11926</v>
      </c>
      <c r="B10201" s="2" t="s">
        <v>709</v>
      </c>
      <c r="C10201" s="2" t="s">
        <v>701</v>
      </c>
      <c r="D10201" s="2" t="s">
        <v>10</v>
      </c>
      <c r="E10201" s="2" t="s">
        <v>16</v>
      </c>
      <c r="F10201" s="2">
        <v>1</v>
      </c>
      <c r="G10201" s="2" t="s">
        <v>17</v>
      </c>
    </row>
    <row r="10202" spans="1:7" x14ac:dyDescent="0.2">
      <c r="A10202" s="2" t="s">
        <v>11926</v>
      </c>
      <c r="B10202" s="2" t="s">
        <v>11949</v>
      </c>
      <c r="C10202" s="2" t="s">
        <v>11950</v>
      </c>
      <c r="D10202" s="2" t="s">
        <v>10</v>
      </c>
      <c r="E10202" s="2" t="s">
        <v>16</v>
      </c>
      <c r="F10202" s="2">
        <v>1</v>
      </c>
      <c r="G10202" s="2" t="s">
        <v>17</v>
      </c>
    </row>
    <row r="10203" spans="1:7" x14ac:dyDescent="0.2">
      <c r="A10203" s="2" t="s">
        <v>11926</v>
      </c>
      <c r="B10203" s="2" t="s">
        <v>710</v>
      </c>
      <c r="C10203" s="2" t="s">
        <v>11951</v>
      </c>
      <c r="D10203" s="2" t="s">
        <v>10</v>
      </c>
      <c r="E10203" s="2" t="s">
        <v>16</v>
      </c>
      <c r="F10203" s="2">
        <v>1</v>
      </c>
      <c r="G10203" s="2" t="s">
        <v>17</v>
      </c>
    </row>
    <row r="10204" spans="1:7" x14ac:dyDescent="0.2">
      <c r="A10204" s="2" t="s">
        <v>11926</v>
      </c>
      <c r="B10204" s="2" t="s">
        <v>11952</v>
      </c>
      <c r="C10204" s="2" t="s">
        <v>11953</v>
      </c>
      <c r="D10204" s="2" t="s">
        <v>10</v>
      </c>
      <c r="E10204" s="2" t="s">
        <v>16</v>
      </c>
      <c r="F10204" s="2">
        <v>1</v>
      </c>
      <c r="G10204" s="2" t="s">
        <v>17</v>
      </c>
    </row>
    <row r="10205" spans="1:7" x14ac:dyDescent="0.2">
      <c r="A10205" s="2" t="s">
        <v>11926</v>
      </c>
      <c r="B10205" s="2" t="s">
        <v>11954</v>
      </c>
      <c r="C10205" s="2" t="s">
        <v>11955</v>
      </c>
      <c r="D10205" s="2" t="s">
        <v>10</v>
      </c>
      <c r="E10205" s="2" t="s">
        <v>16</v>
      </c>
      <c r="F10205" s="2">
        <v>1</v>
      </c>
      <c r="G10205" s="2" t="s">
        <v>17</v>
      </c>
    </row>
    <row r="10206" spans="1:7" x14ac:dyDescent="0.2">
      <c r="A10206" s="2" t="s">
        <v>11926</v>
      </c>
      <c r="B10206" s="2" t="s">
        <v>11956</v>
      </c>
      <c r="C10206" s="2" t="s">
        <v>11957</v>
      </c>
      <c r="D10206" s="2" t="s">
        <v>10</v>
      </c>
      <c r="E10206" s="2" t="s">
        <v>16</v>
      </c>
      <c r="F10206" s="2">
        <v>1</v>
      </c>
      <c r="G10206" s="2" t="s">
        <v>17</v>
      </c>
    </row>
    <row r="10207" spans="1:7" x14ac:dyDescent="0.2">
      <c r="A10207" s="2" t="s">
        <v>11926</v>
      </c>
      <c r="B10207" s="2" t="s">
        <v>11958</v>
      </c>
      <c r="C10207" s="2" t="s">
        <v>11959</v>
      </c>
      <c r="D10207" s="2" t="s">
        <v>10</v>
      </c>
      <c r="E10207" s="2" t="s">
        <v>11</v>
      </c>
      <c r="F10207" s="2">
        <v>2</v>
      </c>
      <c r="G10207" s="2" t="s">
        <v>12</v>
      </c>
    </row>
    <row r="10208" spans="1:7" x14ac:dyDescent="0.2">
      <c r="A10208" s="2" t="s">
        <v>11926</v>
      </c>
      <c r="B10208" s="2" t="s">
        <v>11960</v>
      </c>
      <c r="C10208" s="2" t="s">
        <v>11946</v>
      </c>
      <c r="D10208" s="2" t="s">
        <v>10</v>
      </c>
      <c r="E10208" s="2" t="s">
        <v>11</v>
      </c>
      <c r="F10208" s="2">
        <v>3</v>
      </c>
      <c r="G10208" s="2" t="s">
        <v>12</v>
      </c>
    </row>
    <row r="10209" spans="1:7" x14ac:dyDescent="0.2">
      <c r="A10209" s="2" t="s">
        <v>11926</v>
      </c>
      <c r="B10209" s="2" t="s">
        <v>11961</v>
      </c>
      <c r="C10209" s="2" t="s">
        <v>11962</v>
      </c>
      <c r="D10209" s="2" t="s">
        <v>10</v>
      </c>
      <c r="E10209" s="2" t="s">
        <v>11</v>
      </c>
      <c r="F10209" s="2">
        <v>1</v>
      </c>
      <c r="G10209" s="2" t="s">
        <v>17</v>
      </c>
    </row>
    <row r="10210" spans="1:7" x14ac:dyDescent="0.2">
      <c r="A10210" s="2" t="s">
        <v>11926</v>
      </c>
      <c r="B10210" s="2" t="s">
        <v>11963</v>
      </c>
      <c r="C10210" s="2" t="s">
        <v>11962</v>
      </c>
      <c r="D10210" s="2" t="s">
        <v>10</v>
      </c>
      <c r="E10210" s="2" t="s">
        <v>11</v>
      </c>
      <c r="F10210" s="2">
        <v>1</v>
      </c>
      <c r="G10210" s="2" t="s">
        <v>17</v>
      </c>
    </row>
    <row r="10211" spans="1:7" x14ac:dyDescent="0.2">
      <c r="A10211" s="2" t="s">
        <v>11964</v>
      </c>
      <c r="B10211" s="2" t="s">
        <v>11965</v>
      </c>
      <c r="C10211" s="2" t="s">
        <v>11966</v>
      </c>
      <c r="D10211" s="2" t="s">
        <v>10</v>
      </c>
      <c r="E10211" s="2" t="s">
        <v>16</v>
      </c>
      <c r="F10211" s="2">
        <v>1</v>
      </c>
      <c r="G10211" s="2" t="s">
        <v>17</v>
      </c>
    </row>
    <row r="10212" spans="1:7" x14ac:dyDescent="0.2">
      <c r="A10212" s="2" t="s">
        <v>11967</v>
      </c>
      <c r="B10212" s="2" t="s">
        <v>1289</v>
      </c>
      <c r="C10212" s="2" t="s">
        <v>1290</v>
      </c>
      <c r="D10212" s="2" t="s">
        <v>10</v>
      </c>
      <c r="E10212" s="2" t="s">
        <v>16</v>
      </c>
      <c r="F10212" s="2">
        <v>1</v>
      </c>
      <c r="G10212" s="2" t="s">
        <v>17</v>
      </c>
    </row>
    <row r="10213" spans="1:7" x14ac:dyDescent="0.2">
      <c r="A10213" s="2" t="s">
        <v>11967</v>
      </c>
      <c r="B10213" s="2" t="s">
        <v>11159</v>
      </c>
      <c r="C10213" s="2" t="s">
        <v>11160</v>
      </c>
      <c r="D10213" s="2" t="s">
        <v>10</v>
      </c>
      <c r="E10213" s="2" t="s">
        <v>16</v>
      </c>
      <c r="F10213" s="2">
        <v>1</v>
      </c>
      <c r="G10213" s="2" t="s">
        <v>17</v>
      </c>
    </row>
    <row r="10214" spans="1:7" x14ac:dyDescent="0.2">
      <c r="A10214" s="2" t="s">
        <v>11967</v>
      </c>
      <c r="B10214" s="2" t="s">
        <v>11968</v>
      </c>
      <c r="C10214" s="2" t="s">
        <v>11969</v>
      </c>
      <c r="D10214" s="2" t="s">
        <v>10</v>
      </c>
      <c r="E10214" s="2" t="s">
        <v>16</v>
      </c>
      <c r="F10214" s="2">
        <v>1</v>
      </c>
      <c r="G10214" s="2" t="s">
        <v>17</v>
      </c>
    </row>
    <row r="10215" spans="1:7" x14ac:dyDescent="0.2">
      <c r="A10215" s="2" t="s">
        <v>11967</v>
      </c>
      <c r="B10215" s="2" t="s">
        <v>11970</v>
      </c>
      <c r="C10215" s="2" t="s">
        <v>11969</v>
      </c>
      <c r="D10215" s="2" t="s">
        <v>10</v>
      </c>
      <c r="E10215" s="2" t="s">
        <v>16</v>
      </c>
      <c r="F10215" s="2">
        <v>1</v>
      </c>
      <c r="G10215" s="2" t="s">
        <v>17</v>
      </c>
    </row>
    <row r="10216" spans="1:7" x14ac:dyDescent="0.2">
      <c r="A10216" s="2" t="s">
        <v>11967</v>
      </c>
      <c r="B10216" s="2" t="s">
        <v>11163</v>
      </c>
      <c r="C10216" s="2" t="s">
        <v>11160</v>
      </c>
      <c r="D10216" s="2" t="s">
        <v>10</v>
      </c>
      <c r="E10216" s="2" t="s">
        <v>16</v>
      </c>
      <c r="F10216" s="2">
        <v>1</v>
      </c>
      <c r="G10216" s="2" t="s">
        <v>17</v>
      </c>
    </row>
    <row r="10217" spans="1:7" x14ac:dyDescent="0.2">
      <c r="A10217" s="2" t="s">
        <v>11971</v>
      </c>
      <c r="B10217" s="2" t="s">
        <v>11972</v>
      </c>
      <c r="C10217" s="2" t="s">
        <v>11973</v>
      </c>
      <c r="D10217" s="2" t="s">
        <v>10</v>
      </c>
      <c r="E10217" s="2" t="s">
        <v>16</v>
      </c>
      <c r="F10217" s="2">
        <v>1</v>
      </c>
      <c r="G10217" s="2" t="s">
        <v>17</v>
      </c>
    </row>
    <row r="10218" spans="1:7" x14ac:dyDescent="0.2">
      <c r="A10218" s="2" t="s">
        <v>11971</v>
      </c>
      <c r="B10218" s="2" t="s">
        <v>11974</v>
      </c>
      <c r="C10218" s="2" t="s">
        <v>11973</v>
      </c>
      <c r="D10218" s="2" t="s">
        <v>10</v>
      </c>
      <c r="E10218" s="2" t="s">
        <v>16</v>
      </c>
      <c r="F10218" s="2">
        <v>1</v>
      </c>
      <c r="G10218" s="2" t="s">
        <v>17</v>
      </c>
    </row>
    <row r="10219" spans="1:7" x14ac:dyDescent="0.2">
      <c r="A10219" s="2" t="s">
        <v>11975</v>
      </c>
      <c r="B10219" s="2" t="s">
        <v>11976</v>
      </c>
      <c r="C10219" s="2" t="s">
        <v>11977</v>
      </c>
      <c r="D10219" s="2" t="s">
        <v>10</v>
      </c>
      <c r="E10219" s="2" t="s">
        <v>16</v>
      </c>
      <c r="F10219" s="2">
        <v>1</v>
      </c>
      <c r="G10219" s="2" t="s">
        <v>17</v>
      </c>
    </row>
    <row r="10220" spans="1:7" x14ac:dyDescent="0.2">
      <c r="A10220" s="2" t="s">
        <v>11975</v>
      </c>
      <c r="B10220" s="2" t="s">
        <v>11978</v>
      </c>
      <c r="C10220" s="2" t="s">
        <v>11977</v>
      </c>
      <c r="D10220" s="2" t="s">
        <v>10</v>
      </c>
      <c r="E10220" s="2" t="s">
        <v>16</v>
      </c>
      <c r="F10220" s="2">
        <v>1</v>
      </c>
      <c r="G10220" s="2" t="s">
        <v>17</v>
      </c>
    </row>
    <row r="10221" spans="1:7" x14ac:dyDescent="0.2">
      <c r="A10221" s="2" t="s">
        <v>11975</v>
      </c>
      <c r="B10221" s="2" t="s">
        <v>11979</v>
      </c>
      <c r="C10221" s="2" t="s">
        <v>11980</v>
      </c>
      <c r="D10221" s="2" t="s">
        <v>10</v>
      </c>
      <c r="E10221" s="2" t="s">
        <v>16</v>
      </c>
      <c r="F10221" s="2">
        <v>1</v>
      </c>
      <c r="G10221" s="2" t="s">
        <v>17</v>
      </c>
    </row>
    <row r="10222" spans="1:7" x14ac:dyDescent="0.2">
      <c r="A10222" s="2" t="s">
        <v>11975</v>
      </c>
      <c r="B10222" s="2" t="s">
        <v>11981</v>
      </c>
      <c r="C10222" s="2" t="s">
        <v>11980</v>
      </c>
      <c r="D10222" s="2" t="s">
        <v>10</v>
      </c>
      <c r="E10222" s="2" t="s">
        <v>16</v>
      </c>
      <c r="F10222" s="2">
        <v>1</v>
      </c>
      <c r="G10222" s="2" t="s">
        <v>17</v>
      </c>
    </row>
    <row r="10223" spans="1:7" x14ac:dyDescent="0.2">
      <c r="A10223" s="2" t="s">
        <v>11975</v>
      </c>
      <c r="B10223" s="2" t="s">
        <v>11982</v>
      </c>
      <c r="C10223" s="2" t="s">
        <v>11983</v>
      </c>
      <c r="D10223" s="2" t="s">
        <v>10</v>
      </c>
      <c r="E10223" s="2" t="s">
        <v>16</v>
      </c>
      <c r="F10223" s="2">
        <v>1</v>
      </c>
      <c r="G10223" s="2" t="s">
        <v>17</v>
      </c>
    </row>
    <row r="10224" spans="1:7" x14ac:dyDescent="0.2">
      <c r="A10224" s="2" t="s">
        <v>11975</v>
      </c>
      <c r="B10224" s="2" t="s">
        <v>11984</v>
      </c>
      <c r="C10224" s="2" t="s">
        <v>11983</v>
      </c>
      <c r="D10224" s="2" t="s">
        <v>10</v>
      </c>
      <c r="E10224" s="2" t="s">
        <v>16</v>
      </c>
      <c r="F10224" s="2">
        <v>1</v>
      </c>
      <c r="G10224" s="2" t="s">
        <v>17</v>
      </c>
    </row>
    <row r="10225" spans="1:7" x14ac:dyDescent="0.2">
      <c r="A10225" s="2" t="s">
        <v>11975</v>
      </c>
      <c r="B10225" s="2" t="s">
        <v>11985</v>
      </c>
      <c r="C10225" s="2" t="s">
        <v>11977</v>
      </c>
      <c r="D10225" s="2" t="s">
        <v>10</v>
      </c>
      <c r="E10225" s="2" t="s">
        <v>16</v>
      </c>
      <c r="F10225" s="2">
        <v>1</v>
      </c>
      <c r="G10225" s="2" t="s">
        <v>17</v>
      </c>
    </row>
    <row r="10226" spans="1:7" x14ac:dyDescent="0.2">
      <c r="A10226" s="2" t="s">
        <v>11975</v>
      </c>
      <c r="B10226" s="2" t="s">
        <v>11986</v>
      </c>
      <c r="C10226" s="2" t="s">
        <v>11977</v>
      </c>
      <c r="D10226" s="2" t="s">
        <v>10</v>
      </c>
      <c r="E10226" s="2" t="s">
        <v>16</v>
      </c>
      <c r="F10226" s="2">
        <v>1</v>
      </c>
      <c r="G10226" s="2" t="s">
        <v>17</v>
      </c>
    </row>
    <row r="10227" spans="1:7" x14ac:dyDescent="0.2">
      <c r="A10227" s="2" t="s">
        <v>11975</v>
      </c>
      <c r="B10227" s="2" t="s">
        <v>11987</v>
      </c>
      <c r="C10227" s="2" t="s">
        <v>11988</v>
      </c>
      <c r="D10227" s="2" t="s">
        <v>10</v>
      </c>
      <c r="E10227" s="2" t="s">
        <v>16</v>
      </c>
      <c r="F10227" s="2">
        <v>1</v>
      </c>
      <c r="G10227" s="2" t="s">
        <v>17</v>
      </c>
    </row>
    <row r="10228" spans="1:7" x14ac:dyDescent="0.2">
      <c r="A10228" s="2" t="s">
        <v>11975</v>
      </c>
      <c r="B10228" s="2" t="s">
        <v>11989</v>
      </c>
      <c r="C10228" s="2" t="s">
        <v>11988</v>
      </c>
      <c r="D10228" s="2" t="s">
        <v>10</v>
      </c>
      <c r="E10228" s="2" t="s">
        <v>16</v>
      </c>
      <c r="F10228" s="2">
        <v>1</v>
      </c>
      <c r="G10228" s="2" t="s">
        <v>17</v>
      </c>
    </row>
    <row r="10229" spans="1:7" x14ac:dyDescent="0.2">
      <c r="A10229" s="2" t="s">
        <v>11975</v>
      </c>
      <c r="B10229" s="2" t="s">
        <v>6440</v>
      </c>
      <c r="C10229" s="2" t="s">
        <v>6441</v>
      </c>
      <c r="D10229" s="2" t="s">
        <v>10</v>
      </c>
      <c r="E10229" s="2" t="s">
        <v>16</v>
      </c>
      <c r="F10229" s="2">
        <v>1</v>
      </c>
      <c r="G10229" s="2" t="s">
        <v>17</v>
      </c>
    </row>
    <row r="10230" spans="1:7" x14ac:dyDescent="0.2">
      <c r="A10230" s="2" t="s">
        <v>11975</v>
      </c>
      <c r="B10230" s="2" t="s">
        <v>11990</v>
      </c>
      <c r="C10230" s="2" t="s">
        <v>11991</v>
      </c>
      <c r="D10230" s="2" t="s">
        <v>10</v>
      </c>
      <c r="E10230" s="2" t="s">
        <v>16</v>
      </c>
      <c r="F10230" s="2">
        <v>1</v>
      </c>
      <c r="G10230" s="2" t="s">
        <v>17</v>
      </c>
    </row>
    <row r="10231" spans="1:7" x14ac:dyDescent="0.2">
      <c r="A10231" s="2" t="s">
        <v>11975</v>
      </c>
      <c r="B10231" s="2" t="s">
        <v>11992</v>
      </c>
      <c r="C10231" s="2" t="s">
        <v>11993</v>
      </c>
      <c r="D10231" s="2" t="s">
        <v>10</v>
      </c>
      <c r="E10231" s="2" t="s">
        <v>16</v>
      </c>
      <c r="F10231" s="2">
        <v>1</v>
      </c>
      <c r="G10231" s="2" t="s">
        <v>17</v>
      </c>
    </row>
    <row r="10232" spans="1:7" x14ac:dyDescent="0.2">
      <c r="A10232" s="2" t="s">
        <v>11975</v>
      </c>
      <c r="B10232" s="2" t="s">
        <v>11994</v>
      </c>
      <c r="C10232" s="2" t="s">
        <v>11993</v>
      </c>
      <c r="D10232" s="2" t="s">
        <v>10</v>
      </c>
      <c r="E10232" s="2" t="s">
        <v>16</v>
      </c>
      <c r="F10232" s="2">
        <v>1</v>
      </c>
      <c r="G10232" s="2" t="s">
        <v>17</v>
      </c>
    </row>
    <row r="10233" spans="1:7" x14ac:dyDescent="0.2">
      <c r="A10233" s="2" t="s">
        <v>11975</v>
      </c>
      <c r="B10233" s="2" t="s">
        <v>11995</v>
      </c>
      <c r="C10233" s="2" t="s">
        <v>1496</v>
      </c>
      <c r="D10233" s="2" t="s">
        <v>10</v>
      </c>
      <c r="E10233" s="2" t="s">
        <v>16</v>
      </c>
      <c r="F10233" s="2">
        <v>1</v>
      </c>
      <c r="G10233" s="2" t="s">
        <v>17</v>
      </c>
    </row>
    <row r="10234" spans="1:7" x14ac:dyDescent="0.2">
      <c r="A10234" s="2" t="s">
        <v>11975</v>
      </c>
      <c r="B10234" s="2" t="s">
        <v>11996</v>
      </c>
      <c r="C10234" s="2" t="s">
        <v>1496</v>
      </c>
      <c r="D10234" s="2" t="s">
        <v>10</v>
      </c>
      <c r="E10234" s="2" t="s">
        <v>16</v>
      </c>
      <c r="F10234" s="2">
        <v>1</v>
      </c>
      <c r="G10234" s="2" t="s">
        <v>17</v>
      </c>
    </row>
    <row r="10235" spans="1:7" x14ac:dyDescent="0.2">
      <c r="A10235" s="2" t="s">
        <v>11975</v>
      </c>
      <c r="B10235" s="2" t="s">
        <v>1495</v>
      </c>
      <c r="C10235" s="2" t="s">
        <v>1496</v>
      </c>
      <c r="D10235" s="2" t="s">
        <v>10</v>
      </c>
      <c r="E10235" s="2" t="s">
        <v>16</v>
      </c>
      <c r="F10235" s="2">
        <v>1</v>
      </c>
      <c r="G10235" s="2" t="s">
        <v>17</v>
      </c>
    </row>
    <row r="10236" spans="1:7" x14ac:dyDescent="0.2">
      <c r="A10236" s="2" t="s">
        <v>11975</v>
      </c>
      <c r="B10236" s="2" t="s">
        <v>11997</v>
      </c>
      <c r="C10236" s="2" t="s">
        <v>11998</v>
      </c>
      <c r="D10236" s="2" t="s">
        <v>10</v>
      </c>
      <c r="E10236" s="2" t="s">
        <v>16</v>
      </c>
      <c r="F10236" s="2">
        <v>2</v>
      </c>
      <c r="G10236" s="2" t="s">
        <v>17</v>
      </c>
    </row>
    <row r="10237" spans="1:7" x14ac:dyDescent="0.2">
      <c r="A10237" s="2" t="s">
        <v>11975</v>
      </c>
      <c r="B10237" s="2" t="s">
        <v>11999</v>
      </c>
      <c r="C10237" s="2" t="s">
        <v>12000</v>
      </c>
      <c r="D10237" s="2" t="s">
        <v>10</v>
      </c>
      <c r="E10237" s="2" t="s">
        <v>16</v>
      </c>
      <c r="F10237" s="2">
        <v>1</v>
      </c>
      <c r="G10237" s="2" t="s">
        <v>17</v>
      </c>
    </row>
    <row r="10238" spans="1:7" x14ac:dyDescent="0.2">
      <c r="A10238" s="2" t="s">
        <v>11975</v>
      </c>
      <c r="B10238" s="2" t="s">
        <v>4335</v>
      </c>
      <c r="C10238" s="2" t="s">
        <v>358</v>
      </c>
      <c r="D10238" s="2" t="s">
        <v>10</v>
      </c>
      <c r="E10238" s="2" t="s">
        <v>16</v>
      </c>
      <c r="F10238" s="2">
        <v>1</v>
      </c>
      <c r="G10238" s="2" t="s">
        <v>17</v>
      </c>
    </row>
    <row r="10239" spans="1:7" x14ac:dyDescent="0.2">
      <c r="A10239" s="2" t="s">
        <v>11975</v>
      </c>
      <c r="B10239" s="2" t="s">
        <v>4336</v>
      </c>
      <c r="C10239" s="2" t="s">
        <v>4337</v>
      </c>
      <c r="D10239" s="2" t="s">
        <v>10</v>
      </c>
      <c r="E10239" s="2" t="s">
        <v>16</v>
      </c>
      <c r="F10239" s="2">
        <v>1</v>
      </c>
      <c r="G10239" s="2" t="s">
        <v>17</v>
      </c>
    </row>
    <row r="10240" spans="1:7" x14ac:dyDescent="0.2">
      <c r="A10240" s="2" t="s">
        <v>11975</v>
      </c>
      <c r="B10240" s="2" t="s">
        <v>1498</v>
      </c>
      <c r="C10240" s="2" t="s">
        <v>1494</v>
      </c>
      <c r="D10240" s="2" t="s">
        <v>10</v>
      </c>
      <c r="E10240" s="2" t="s">
        <v>16</v>
      </c>
      <c r="F10240" s="2">
        <v>1</v>
      </c>
      <c r="G10240" s="2" t="s">
        <v>17</v>
      </c>
    </row>
    <row r="10241" spans="1:7" x14ac:dyDescent="0.2">
      <c r="A10241" s="2" t="s">
        <v>11975</v>
      </c>
      <c r="B10241" s="2" t="s">
        <v>4087</v>
      </c>
      <c r="C10241" s="2" t="s">
        <v>4088</v>
      </c>
      <c r="D10241" s="2" t="s">
        <v>10</v>
      </c>
      <c r="E10241" s="2" t="s">
        <v>16</v>
      </c>
      <c r="F10241" s="2">
        <v>2</v>
      </c>
      <c r="G10241" s="2" t="s">
        <v>17</v>
      </c>
    </row>
    <row r="10242" spans="1:7" x14ac:dyDescent="0.2">
      <c r="A10242" s="2" t="s">
        <v>11975</v>
      </c>
      <c r="B10242" s="2" t="s">
        <v>8196</v>
      </c>
      <c r="C10242" s="2" t="s">
        <v>11998</v>
      </c>
      <c r="D10242" s="2" t="s">
        <v>10</v>
      </c>
      <c r="E10242" s="2" t="s">
        <v>16</v>
      </c>
      <c r="F10242" s="2">
        <v>2</v>
      </c>
      <c r="G10242" s="2" t="s">
        <v>17</v>
      </c>
    </row>
    <row r="10243" spans="1:7" x14ac:dyDescent="0.2">
      <c r="A10243" s="2" t="s">
        <v>11975</v>
      </c>
      <c r="B10243" s="2" t="s">
        <v>4090</v>
      </c>
      <c r="C10243" s="2" t="s">
        <v>4088</v>
      </c>
      <c r="D10243" s="2" t="s">
        <v>10</v>
      </c>
      <c r="E10243" s="2" t="s">
        <v>16</v>
      </c>
      <c r="F10243" s="2">
        <v>2</v>
      </c>
      <c r="G10243" s="2" t="s">
        <v>17</v>
      </c>
    </row>
    <row r="10244" spans="1:7" x14ac:dyDescent="0.2">
      <c r="A10244" s="2" t="s">
        <v>11975</v>
      </c>
      <c r="B10244" s="2" t="s">
        <v>12001</v>
      </c>
      <c r="C10244" s="2" t="s">
        <v>11980</v>
      </c>
      <c r="D10244" s="2" t="s">
        <v>10</v>
      </c>
      <c r="E10244" s="2" t="s">
        <v>16</v>
      </c>
      <c r="F10244" s="2">
        <v>1</v>
      </c>
      <c r="G10244" s="2" t="s">
        <v>17</v>
      </c>
    </row>
    <row r="10245" spans="1:7" x14ac:dyDescent="0.2">
      <c r="A10245" s="2" t="s">
        <v>11975</v>
      </c>
      <c r="B10245" s="2" t="s">
        <v>12002</v>
      </c>
      <c r="C10245" s="2" t="s">
        <v>11980</v>
      </c>
      <c r="D10245" s="2" t="s">
        <v>10</v>
      </c>
      <c r="E10245" s="2" t="s">
        <v>16</v>
      </c>
      <c r="F10245" s="2">
        <v>1</v>
      </c>
      <c r="G10245" s="2" t="s">
        <v>17</v>
      </c>
    </row>
    <row r="10246" spans="1:7" x14ac:dyDescent="0.2">
      <c r="A10246" s="2" t="s">
        <v>11975</v>
      </c>
      <c r="B10246" s="2" t="s">
        <v>12003</v>
      </c>
      <c r="C10246" s="2" t="s">
        <v>11983</v>
      </c>
      <c r="D10246" s="2" t="s">
        <v>10</v>
      </c>
      <c r="E10246" s="2" t="s">
        <v>16</v>
      </c>
      <c r="F10246" s="2">
        <v>1</v>
      </c>
      <c r="G10246" s="2" t="s">
        <v>17</v>
      </c>
    </row>
    <row r="10247" spans="1:7" x14ac:dyDescent="0.2">
      <c r="A10247" s="2" t="s">
        <v>11975</v>
      </c>
      <c r="B10247" s="2" t="s">
        <v>12004</v>
      </c>
      <c r="C10247" s="2" t="s">
        <v>11983</v>
      </c>
      <c r="D10247" s="2" t="s">
        <v>10</v>
      </c>
      <c r="E10247" s="2" t="s">
        <v>16</v>
      </c>
      <c r="F10247" s="2">
        <v>1</v>
      </c>
      <c r="G10247" s="2" t="s">
        <v>17</v>
      </c>
    </row>
    <row r="10248" spans="1:7" x14ac:dyDescent="0.2">
      <c r="A10248" s="2" t="s">
        <v>11975</v>
      </c>
      <c r="B10248" s="2" t="s">
        <v>4338</v>
      </c>
      <c r="C10248" s="2" t="s">
        <v>358</v>
      </c>
      <c r="D10248" s="2" t="s">
        <v>10</v>
      </c>
      <c r="E10248" s="2" t="s">
        <v>16</v>
      </c>
      <c r="F10248" s="2">
        <v>1</v>
      </c>
      <c r="G10248" s="2" t="s">
        <v>17</v>
      </c>
    </row>
    <row r="10249" spans="1:7" x14ac:dyDescent="0.2">
      <c r="A10249" s="2" t="s">
        <v>11975</v>
      </c>
      <c r="B10249" s="2" t="s">
        <v>4339</v>
      </c>
      <c r="C10249" s="2" t="s">
        <v>4337</v>
      </c>
      <c r="D10249" s="2" t="s">
        <v>10</v>
      </c>
      <c r="E10249" s="2" t="s">
        <v>16</v>
      </c>
      <c r="F10249" s="2">
        <v>1</v>
      </c>
      <c r="G10249" s="2" t="s">
        <v>17</v>
      </c>
    </row>
    <row r="10250" spans="1:7" x14ac:dyDescent="0.2">
      <c r="A10250" s="2" t="s">
        <v>11975</v>
      </c>
      <c r="B10250" s="2" t="s">
        <v>12005</v>
      </c>
      <c r="C10250" s="2" t="s">
        <v>11988</v>
      </c>
      <c r="D10250" s="2" t="s">
        <v>10</v>
      </c>
      <c r="E10250" s="2" t="s">
        <v>16</v>
      </c>
      <c r="F10250" s="2">
        <v>1</v>
      </c>
      <c r="G10250" s="2" t="s">
        <v>17</v>
      </c>
    </row>
    <row r="10251" spans="1:7" x14ac:dyDescent="0.2">
      <c r="A10251" s="2" t="s">
        <v>11975</v>
      </c>
      <c r="B10251" s="2" t="s">
        <v>12006</v>
      </c>
      <c r="C10251" s="2" t="s">
        <v>11988</v>
      </c>
      <c r="D10251" s="2" t="s">
        <v>10</v>
      </c>
      <c r="E10251" s="2" t="s">
        <v>16</v>
      </c>
      <c r="F10251" s="2">
        <v>1</v>
      </c>
      <c r="G10251" s="2" t="s">
        <v>17</v>
      </c>
    </row>
    <row r="10252" spans="1:7" x14ac:dyDescent="0.2">
      <c r="A10252" s="2" t="s">
        <v>11975</v>
      </c>
      <c r="B10252" s="2" t="s">
        <v>12007</v>
      </c>
      <c r="C10252" s="2" t="s">
        <v>1496</v>
      </c>
      <c r="D10252" s="2" t="s">
        <v>10</v>
      </c>
      <c r="E10252" s="2" t="s">
        <v>16</v>
      </c>
      <c r="F10252" s="2">
        <v>1</v>
      </c>
      <c r="G10252" s="2" t="s">
        <v>17</v>
      </c>
    </row>
    <row r="10253" spans="1:7" x14ac:dyDescent="0.2">
      <c r="A10253" s="2" t="s">
        <v>11975</v>
      </c>
      <c r="B10253" s="2" t="s">
        <v>12008</v>
      </c>
      <c r="C10253" s="2" t="s">
        <v>11993</v>
      </c>
      <c r="D10253" s="2" t="s">
        <v>10</v>
      </c>
      <c r="E10253" s="2" t="s">
        <v>16</v>
      </c>
      <c r="F10253" s="2">
        <v>1</v>
      </c>
      <c r="G10253" s="2" t="s">
        <v>17</v>
      </c>
    </row>
    <row r="10254" spans="1:7" x14ac:dyDescent="0.2">
      <c r="A10254" s="2" t="s">
        <v>11975</v>
      </c>
      <c r="B10254" s="2" t="s">
        <v>12009</v>
      </c>
      <c r="C10254" s="2" t="s">
        <v>11993</v>
      </c>
      <c r="D10254" s="2" t="s">
        <v>10</v>
      </c>
      <c r="E10254" s="2" t="s">
        <v>16</v>
      </c>
      <c r="F10254" s="2">
        <v>1</v>
      </c>
      <c r="G10254" s="2" t="s">
        <v>17</v>
      </c>
    </row>
    <row r="10255" spans="1:7" x14ac:dyDescent="0.2">
      <c r="A10255" s="2" t="s">
        <v>11975</v>
      </c>
      <c r="B10255" s="2" t="s">
        <v>12010</v>
      </c>
      <c r="C10255" s="2" t="s">
        <v>6441</v>
      </c>
      <c r="D10255" s="2" t="s">
        <v>10</v>
      </c>
      <c r="E10255" s="2" t="s">
        <v>16</v>
      </c>
      <c r="F10255" s="2">
        <v>1</v>
      </c>
      <c r="G10255" s="2" t="s">
        <v>17</v>
      </c>
    </row>
    <row r="10256" spans="1:7" x14ac:dyDescent="0.2">
      <c r="A10256" s="2" t="s">
        <v>11975</v>
      </c>
      <c r="B10256" s="2" t="s">
        <v>12011</v>
      </c>
      <c r="C10256" s="2" t="s">
        <v>11991</v>
      </c>
      <c r="D10256" s="2" t="s">
        <v>10</v>
      </c>
      <c r="E10256" s="2" t="s">
        <v>16</v>
      </c>
      <c r="F10256" s="2">
        <v>1</v>
      </c>
      <c r="G10256" s="2" t="s">
        <v>17</v>
      </c>
    </row>
    <row r="10257" spans="1:7" x14ac:dyDescent="0.2">
      <c r="A10257" s="2" t="s">
        <v>11975</v>
      </c>
      <c r="B10257" s="2" t="s">
        <v>12012</v>
      </c>
      <c r="C10257" s="2" t="s">
        <v>1494</v>
      </c>
      <c r="D10257" s="2" t="s">
        <v>10</v>
      </c>
      <c r="E10257" s="2" t="s">
        <v>16</v>
      </c>
      <c r="F10257" s="2">
        <v>1</v>
      </c>
      <c r="G10257" s="2" t="s">
        <v>17</v>
      </c>
    </row>
    <row r="10258" spans="1:7" x14ac:dyDescent="0.2">
      <c r="A10258" s="2" t="s">
        <v>11975</v>
      </c>
      <c r="B10258" s="2" t="s">
        <v>12013</v>
      </c>
      <c r="C10258" s="2" t="s">
        <v>1496</v>
      </c>
      <c r="D10258" s="2" t="s">
        <v>10</v>
      </c>
      <c r="E10258" s="2" t="s">
        <v>16</v>
      </c>
      <c r="F10258" s="2">
        <v>1</v>
      </c>
      <c r="G10258" s="2" t="s">
        <v>17</v>
      </c>
    </row>
    <row r="10259" spans="1:7" x14ac:dyDescent="0.2">
      <c r="A10259" s="2" t="s">
        <v>11975</v>
      </c>
      <c r="B10259" s="2" t="s">
        <v>12014</v>
      </c>
      <c r="C10259" s="2" t="s">
        <v>12000</v>
      </c>
      <c r="D10259" s="2" t="s">
        <v>10</v>
      </c>
      <c r="E10259" s="2" t="s">
        <v>16</v>
      </c>
      <c r="F10259" s="2">
        <v>1</v>
      </c>
      <c r="G10259" s="2" t="s">
        <v>17</v>
      </c>
    </row>
    <row r="10260" spans="1:7" x14ac:dyDescent="0.2">
      <c r="A10260" s="2" t="s">
        <v>11975</v>
      </c>
      <c r="B10260" s="2" t="s">
        <v>1506</v>
      </c>
      <c r="C10260" s="2" t="s">
        <v>1502</v>
      </c>
      <c r="D10260" s="2" t="s">
        <v>10</v>
      </c>
      <c r="E10260" s="2" t="s">
        <v>16</v>
      </c>
      <c r="F10260" s="2">
        <v>1</v>
      </c>
      <c r="G10260" s="2" t="s">
        <v>17</v>
      </c>
    </row>
    <row r="10261" spans="1:7" x14ac:dyDescent="0.2">
      <c r="A10261" s="2" t="s">
        <v>11975</v>
      </c>
      <c r="B10261" s="2" t="s">
        <v>1501</v>
      </c>
      <c r="C10261" s="2" t="s">
        <v>1502</v>
      </c>
      <c r="D10261" s="2" t="s">
        <v>10</v>
      </c>
      <c r="E10261" s="2" t="s">
        <v>16</v>
      </c>
      <c r="F10261" s="2">
        <v>1</v>
      </c>
      <c r="G10261" s="2" t="s">
        <v>17</v>
      </c>
    </row>
    <row r="10262" spans="1:7" x14ac:dyDescent="0.2">
      <c r="A10262" s="2" t="s">
        <v>11975</v>
      </c>
      <c r="B10262" s="2" t="s">
        <v>1508</v>
      </c>
      <c r="C10262" s="2" t="s">
        <v>1502</v>
      </c>
      <c r="D10262" s="2" t="s">
        <v>10</v>
      </c>
      <c r="E10262" s="2" t="s">
        <v>16</v>
      </c>
      <c r="F10262" s="2">
        <v>1</v>
      </c>
      <c r="G10262" s="2" t="s">
        <v>17</v>
      </c>
    </row>
    <row r="10263" spans="1:7" x14ac:dyDescent="0.2">
      <c r="A10263" s="2" t="s">
        <v>11975</v>
      </c>
      <c r="B10263" s="2" t="s">
        <v>1503</v>
      </c>
      <c r="C10263" s="2" t="s">
        <v>1502</v>
      </c>
      <c r="D10263" s="2" t="s">
        <v>10</v>
      </c>
      <c r="E10263" s="2" t="s">
        <v>16</v>
      </c>
      <c r="F10263" s="2">
        <v>1</v>
      </c>
      <c r="G10263" s="2" t="s">
        <v>17</v>
      </c>
    </row>
    <row r="10264" spans="1:7" x14ac:dyDescent="0.2">
      <c r="A10264" s="2" t="s">
        <v>12015</v>
      </c>
      <c r="B10264" s="2" t="s">
        <v>1506</v>
      </c>
      <c r="C10264" s="2" t="s">
        <v>1502</v>
      </c>
      <c r="D10264" s="2" t="s">
        <v>10</v>
      </c>
      <c r="E10264" s="2" t="s">
        <v>16</v>
      </c>
      <c r="F10264" s="2">
        <v>1</v>
      </c>
      <c r="G10264" s="2" t="s">
        <v>17</v>
      </c>
    </row>
    <row r="10265" spans="1:7" x14ac:dyDescent="0.2">
      <c r="A10265" s="2" t="s">
        <v>12015</v>
      </c>
      <c r="B10265" s="2" t="s">
        <v>1501</v>
      </c>
      <c r="C10265" s="2" t="s">
        <v>1502</v>
      </c>
      <c r="D10265" s="2" t="s">
        <v>10</v>
      </c>
      <c r="E10265" s="2" t="s">
        <v>16</v>
      </c>
      <c r="F10265" s="2">
        <v>1</v>
      </c>
      <c r="G10265" s="2" t="s">
        <v>17</v>
      </c>
    </row>
    <row r="10266" spans="1:7" x14ac:dyDescent="0.2">
      <c r="A10266" s="2" t="s">
        <v>12015</v>
      </c>
      <c r="B10266" s="2" t="s">
        <v>1508</v>
      </c>
      <c r="C10266" s="2" t="s">
        <v>1502</v>
      </c>
      <c r="D10266" s="2" t="s">
        <v>10</v>
      </c>
      <c r="E10266" s="2" t="s">
        <v>16</v>
      </c>
      <c r="F10266" s="2">
        <v>1</v>
      </c>
      <c r="G10266" s="2" t="s">
        <v>17</v>
      </c>
    </row>
    <row r="10267" spans="1:7" x14ac:dyDescent="0.2">
      <c r="A10267" s="2" t="s">
        <v>12015</v>
      </c>
      <c r="B10267" s="2" t="s">
        <v>1503</v>
      </c>
      <c r="C10267" s="2" t="s">
        <v>1502</v>
      </c>
      <c r="D10267" s="2" t="s">
        <v>10</v>
      </c>
      <c r="E10267" s="2" t="s">
        <v>16</v>
      </c>
      <c r="F10267" s="2">
        <v>1</v>
      </c>
      <c r="G10267" s="2" t="s">
        <v>17</v>
      </c>
    </row>
    <row r="10268" spans="1:7" x14ac:dyDescent="0.2">
      <c r="A10268" s="2" t="s">
        <v>12015</v>
      </c>
      <c r="B10268" s="2" t="s">
        <v>11996</v>
      </c>
      <c r="C10268" s="2" t="s">
        <v>1496</v>
      </c>
      <c r="D10268" s="2" t="s">
        <v>10</v>
      </c>
      <c r="E10268" s="2" t="s">
        <v>16</v>
      </c>
      <c r="F10268" s="2">
        <v>1</v>
      </c>
      <c r="G10268" s="2" t="s">
        <v>17</v>
      </c>
    </row>
    <row r="10269" spans="1:7" x14ac:dyDescent="0.2">
      <c r="A10269" s="2" t="s">
        <v>12015</v>
      </c>
      <c r="B10269" s="2" t="s">
        <v>1495</v>
      </c>
      <c r="C10269" s="2" t="s">
        <v>1496</v>
      </c>
      <c r="D10269" s="2" t="s">
        <v>10</v>
      </c>
      <c r="E10269" s="2" t="s">
        <v>16</v>
      </c>
      <c r="F10269" s="2">
        <v>1</v>
      </c>
      <c r="G10269" s="2" t="s">
        <v>17</v>
      </c>
    </row>
    <row r="10270" spans="1:7" x14ac:dyDescent="0.2">
      <c r="A10270" s="2" t="s">
        <v>12015</v>
      </c>
      <c r="B10270" s="2" t="s">
        <v>11997</v>
      </c>
      <c r="C10270" s="2" t="s">
        <v>11998</v>
      </c>
      <c r="D10270" s="2" t="s">
        <v>10</v>
      </c>
      <c r="E10270" s="2" t="s">
        <v>16</v>
      </c>
      <c r="F10270" s="2">
        <v>2</v>
      </c>
      <c r="G10270" s="2" t="s">
        <v>17</v>
      </c>
    </row>
    <row r="10271" spans="1:7" x14ac:dyDescent="0.2">
      <c r="A10271" s="2" t="s">
        <v>12015</v>
      </c>
      <c r="B10271" s="2" t="s">
        <v>11999</v>
      </c>
      <c r="C10271" s="2" t="s">
        <v>12000</v>
      </c>
      <c r="D10271" s="2" t="s">
        <v>10</v>
      </c>
      <c r="E10271" s="2" t="s">
        <v>16</v>
      </c>
      <c r="F10271" s="2">
        <v>1</v>
      </c>
      <c r="G10271" s="2" t="s">
        <v>17</v>
      </c>
    </row>
    <row r="10272" spans="1:7" x14ac:dyDescent="0.2">
      <c r="A10272" s="2" t="s">
        <v>12015</v>
      </c>
      <c r="B10272" s="2" t="s">
        <v>4335</v>
      </c>
      <c r="C10272" s="2" t="s">
        <v>358</v>
      </c>
      <c r="D10272" s="2" t="s">
        <v>10</v>
      </c>
      <c r="E10272" s="2" t="s">
        <v>16</v>
      </c>
      <c r="F10272" s="2">
        <v>1</v>
      </c>
      <c r="G10272" s="2" t="s">
        <v>17</v>
      </c>
    </row>
    <row r="10273" spans="1:7" x14ac:dyDescent="0.2">
      <c r="A10273" s="2" t="s">
        <v>12015</v>
      </c>
      <c r="B10273" s="2" t="s">
        <v>4336</v>
      </c>
      <c r="C10273" s="2" t="s">
        <v>4337</v>
      </c>
      <c r="D10273" s="2" t="s">
        <v>10</v>
      </c>
      <c r="E10273" s="2" t="s">
        <v>16</v>
      </c>
      <c r="F10273" s="2">
        <v>1</v>
      </c>
      <c r="G10273" s="2" t="s">
        <v>17</v>
      </c>
    </row>
    <row r="10274" spans="1:7" x14ac:dyDescent="0.2">
      <c r="A10274" s="2" t="s">
        <v>12015</v>
      </c>
      <c r="B10274" s="2" t="s">
        <v>8196</v>
      </c>
      <c r="C10274" s="2" t="s">
        <v>11998</v>
      </c>
      <c r="D10274" s="2" t="s">
        <v>10</v>
      </c>
      <c r="E10274" s="2" t="s">
        <v>16</v>
      </c>
      <c r="F10274" s="2">
        <v>2</v>
      </c>
      <c r="G10274" s="2" t="s">
        <v>17</v>
      </c>
    </row>
    <row r="10275" spans="1:7" x14ac:dyDescent="0.2">
      <c r="A10275" s="2" t="s">
        <v>12015</v>
      </c>
      <c r="B10275" s="2" t="s">
        <v>4338</v>
      </c>
      <c r="C10275" s="2" t="s">
        <v>358</v>
      </c>
      <c r="D10275" s="2" t="s">
        <v>10</v>
      </c>
      <c r="E10275" s="2" t="s">
        <v>16</v>
      </c>
      <c r="F10275" s="2">
        <v>1</v>
      </c>
      <c r="G10275" s="2" t="s">
        <v>17</v>
      </c>
    </row>
    <row r="10276" spans="1:7" x14ac:dyDescent="0.2">
      <c r="A10276" s="2" t="s">
        <v>12015</v>
      </c>
      <c r="B10276" s="2" t="s">
        <v>4339</v>
      </c>
      <c r="C10276" s="2" t="s">
        <v>4337</v>
      </c>
      <c r="D10276" s="2" t="s">
        <v>10</v>
      </c>
      <c r="E10276" s="2" t="s">
        <v>16</v>
      </c>
      <c r="F10276" s="2">
        <v>1</v>
      </c>
      <c r="G10276" s="2" t="s">
        <v>17</v>
      </c>
    </row>
    <row r="10277" spans="1:7" x14ac:dyDescent="0.2">
      <c r="A10277" s="2" t="s">
        <v>12015</v>
      </c>
      <c r="B10277" s="2" t="s">
        <v>12007</v>
      </c>
      <c r="C10277" s="2" t="s">
        <v>1496</v>
      </c>
      <c r="D10277" s="2" t="s">
        <v>10</v>
      </c>
      <c r="E10277" s="2" t="s">
        <v>16</v>
      </c>
      <c r="F10277" s="2">
        <v>1</v>
      </c>
      <c r="G10277" s="2" t="s">
        <v>17</v>
      </c>
    </row>
    <row r="10278" spans="1:7" x14ac:dyDescent="0.2">
      <c r="A10278" s="2" t="s">
        <v>12015</v>
      </c>
      <c r="B10278" s="2" t="s">
        <v>1509</v>
      </c>
      <c r="C10278" s="2" t="s">
        <v>1496</v>
      </c>
      <c r="D10278" s="2" t="s">
        <v>10</v>
      </c>
      <c r="E10278" s="2" t="s">
        <v>16</v>
      </c>
      <c r="F10278" s="2">
        <v>1</v>
      </c>
      <c r="G10278" s="2" t="s">
        <v>17</v>
      </c>
    </row>
    <row r="10279" spans="1:7" x14ac:dyDescent="0.2">
      <c r="A10279" s="2" t="s">
        <v>12015</v>
      </c>
      <c r="B10279" s="2" t="s">
        <v>12014</v>
      </c>
      <c r="C10279" s="2" t="s">
        <v>12000</v>
      </c>
      <c r="D10279" s="2" t="s">
        <v>10</v>
      </c>
      <c r="E10279" s="2" t="s">
        <v>16</v>
      </c>
      <c r="F10279" s="2">
        <v>1</v>
      </c>
      <c r="G10279" s="2" t="s">
        <v>17</v>
      </c>
    </row>
    <row r="10280" spans="1:7" x14ac:dyDescent="0.2">
      <c r="A10280" s="2" t="s">
        <v>12016</v>
      </c>
      <c r="B10280" s="2" t="s">
        <v>12017</v>
      </c>
      <c r="C10280" s="2" t="s">
        <v>12018</v>
      </c>
      <c r="D10280" s="2" t="s">
        <v>10</v>
      </c>
      <c r="E10280" s="2" t="s">
        <v>16</v>
      </c>
      <c r="F10280" s="2">
        <v>1</v>
      </c>
      <c r="G10280" s="2" t="s">
        <v>17</v>
      </c>
    </row>
    <row r="10281" spans="1:7" x14ac:dyDescent="0.2">
      <c r="A10281" s="2" t="s">
        <v>12016</v>
      </c>
      <c r="B10281" s="2" t="s">
        <v>12019</v>
      </c>
      <c r="C10281" s="2" t="s">
        <v>12018</v>
      </c>
      <c r="D10281" s="2" t="s">
        <v>10</v>
      </c>
      <c r="E10281" s="2" t="s">
        <v>16</v>
      </c>
      <c r="F10281" s="2">
        <v>1</v>
      </c>
      <c r="G10281" s="2" t="s">
        <v>17</v>
      </c>
    </row>
    <row r="10282" spans="1:7" x14ac:dyDescent="0.2">
      <c r="A10282" s="2" t="s">
        <v>12016</v>
      </c>
      <c r="B10282" s="2" t="s">
        <v>12020</v>
      </c>
      <c r="C10282" s="2" t="s">
        <v>12021</v>
      </c>
      <c r="D10282" s="2" t="s">
        <v>10</v>
      </c>
      <c r="E10282" s="2" t="s">
        <v>16</v>
      </c>
      <c r="F10282" s="2">
        <v>1</v>
      </c>
      <c r="G10282" s="2" t="s">
        <v>17</v>
      </c>
    </row>
    <row r="10283" spans="1:7" x14ac:dyDescent="0.2">
      <c r="A10283" s="2" t="s">
        <v>12022</v>
      </c>
      <c r="B10283" s="2" t="s">
        <v>8389</v>
      </c>
      <c r="C10283" s="2" t="s">
        <v>8390</v>
      </c>
      <c r="D10283" s="2" t="s">
        <v>10</v>
      </c>
      <c r="E10283" s="2" t="s">
        <v>16</v>
      </c>
      <c r="F10283" s="2">
        <v>1</v>
      </c>
      <c r="G10283" s="2" t="s">
        <v>17</v>
      </c>
    </row>
    <row r="10284" spans="1:7" x14ac:dyDescent="0.2">
      <c r="A10284" s="2" t="s">
        <v>12022</v>
      </c>
      <c r="B10284" s="2" t="s">
        <v>8391</v>
      </c>
      <c r="C10284" s="2" t="s">
        <v>8390</v>
      </c>
      <c r="D10284" s="2" t="s">
        <v>10</v>
      </c>
      <c r="E10284" s="2" t="s">
        <v>16</v>
      </c>
      <c r="F10284" s="2">
        <v>1</v>
      </c>
      <c r="G10284" s="2" t="s">
        <v>17</v>
      </c>
    </row>
    <row r="10285" spans="1:7" x14ac:dyDescent="0.2">
      <c r="A10285" s="2" t="s">
        <v>12022</v>
      </c>
      <c r="B10285" s="2" t="s">
        <v>12023</v>
      </c>
      <c r="C10285" s="2" t="s">
        <v>8390</v>
      </c>
      <c r="D10285" s="2" t="s">
        <v>10</v>
      </c>
      <c r="E10285" s="2" t="s">
        <v>16</v>
      </c>
      <c r="F10285" s="2">
        <v>1</v>
      </c>
      <c r="G10285" s="2" t="s">
        <v>17</v>
      </c>
    </row>
    <row r="10286" spans="1:7" x14ac:dyDescent="0.2">
      <c r="A10286" s="2" t="s">
        <v>12022</v>
      </c>
      <c r="B10286" s="2" t="s">
        <v>12024</v>
      </c>
      <c r="C10286" s="2" t="s">
        <v>3178</v>
      </c>
      <c r="D10286" s="2" t="s">
        <v>10</v>
      </c>
      <c r="E10286" s="2" t="s">
        <v>16</v>
      </c>
      <c r="F10286" s="2">
        <v>1</v>
      </c>
      <c r="G10286" s="2" t="s">
        <v>17</v>
      </c>
    </row>
    <row r="10287" spans="1:7" x14ac:dyDescent="0.2">
      <c r="A10287" s="2" t="s">
        <v>12022</v>
      </c>
      <c r="B10287" s="2" t="s">
        <v>12025</v>
      </c>
      <c r="C10287" s="2" t="s">
        <v>3178</v>
      </c>
      <c r="D10287" s="2" t="s">
        <v>10</v>
      </c>
      <c r="E10287" s="2" t="s">
        <v>16</v>
      </c>
      <c r="F10287" s="2">
        <v>1</v>
      </c>
      <c r="G10287" s="2" t="s">
        <v>17</v>
      </c>
    </row>
    <row r="10288" spans="1:7" x14ac:dyDescent="0.2">
      <c r="A10288" s="2" t="s">
        <v>12022</v>
      </c>
      <c r="B10288" s="2" t="s">
        <v>12026</v>
      </c>
      <c r="C10288" s="2" t="s">
        <v>3178</v>
      </c>
      <c r="D10288" s="2" t="s">
        <v>10</v>
      </c>
      <c r="E10288" s="2" t="s">
        <v>16</v>
      </c>
      <c r="F10288" s="2">
        <v>1</v>
      </c>
      <c r="G10288" s="2" t="s">
        <v>17</v>
      </c>
    </row>
    <row r="10289" spans="1:7" x14ac:dyDescent="0.2">
      <c r="A10289" s="2" t="s">
        <v>12022</v>
      </c>
      <c r="B10289" s="2" t="s">
        <v>4877</v>
      </c>
      <c r="C10289" s="2" t="s">
        <v>8390</v>
      </c>
      <c r="D10289" s="2" t="s">
        <v>10</v>
      </c>
      <c r="E10289" s="2" t="s">
        <v>16</v>
      </c>
      <c r="F10289" s="2">
        <v>1</v>
      </c>
      <c r="G10289" s="2" t="s">
        <v>17</v>
      </c>
    </row>
    <row r="10290" spans="1:7" x14ac:dyDescent="0.2">
      <c r="A10290" s="2" t="s">
        <v>12022</v>
      </c>
      <c r="B10290" s="2" t="s">
        <v>8392</v>
      </c>
      <c r="C10290" s="2" t="s">
        <v>8393</v>
      </c>
      <c r="D10290" s="2" t="s">
        <v>10</v>
      </c>
      <c r="E10290" s="2" t="s">
        <v>16</v>
      </c>
      <c r="F10290" s="2">
        <v>1</v>
      </c>
      <c r="G10290" s="2" t="s">
        <v>17</v>
      </c>
    </row>
    <row r="10291" spans="1:7" x14ac:dyDescent="0.2">
      <c r="A10291" s="2" t="s">
        <v>12022</v>
      </c>
      <c r="B10291" s="2" t="s">
        <v>12027</v>
      </c>
      <c r="C10291" s="2" t="s">
        <v>8406</v>
      </c>
      <c r="D10291" s="2" t="s">
        <v>10</v>
      </c>
      <c r="E10291" s="2" t="s">
        <v>16</v>
      </c>
      <c r="F10291" s="2">
        <v>1</v>
      </c>
      <c r="G10291" s="2" t="s">
        <v>17</v>
      </c>
    </row>
    <row r="10292" spans="1:7" x14ac:dyDescent="0.2">
      <c r="A10292" s="2" t="s">
        <v>12022</v>
      </c>
      <c r="B10292" s="2" t="s">
        <v>1274</v>
      </c>
      <c r="C10292" s="2" t="s">
        <v>8394</v>
      </c>
      <c r="D10292" s="2" t="s">
        <v>10</v>
      </c>
      <c r="E10292" s="2" t="s">
        <v>16</v>
      </c>
      <c r="F10292" s="2">
        <v>1</v>
      </c>
      <c r="G10292" s="2" t="s">
        <v>17</v>
      </c>
    </row>
    <row r="10293" spans="1:7" x14ac:dyDescent="0.2">
      <c r="A10293" s="2" t="s">
        <v>12022</v>
      </c>
      <c r="B10293" s="2" t="s">
        <v>8395</v>
      </c>
      <c r="C10293" s="2" t="s">
        <v>8396</v>
      </c>
      <c r="D10293" s="2" t="s">
        <v>10</v>
      </c>
      <c r="E10293" s="2" t="s">
        <v>16</v>
      </c>
      <c r="F10293" s="2">
        <v>1</v>
      </c>
      <c r="G10293" s="2" t="s">
        <v>17</v>
      </c>
    </row>
    <row r="10294" spans="1:7" x14ac:dyDescent="0.2">
      <c r="A10294" s="2" t="s">
        <v>12022</v>
      </c>
      <c r="B10294" s="2" t="s">
        <v>8397</v>
      </c>
      <c r="C10294" s="2" t="s">
        <v>8390</v>
      </c>
      <c r="D10294" s="2" t="s">
        <v>10</v>
      </c>
      <c r="E10294" s="2" t="s">
        <v>16</v>
      </c>
      <c r="F10294" s="2">
        <v>1</v>
      </c>
      <c r="G10294" s="2" t="s">
        <v>17</v>
      </c>
    </row>
    <row r="10295" spans="1:7" x14ac:dyDescent="0.2">
      <c r="A10295" s="2" t="s">
        <v>12022</v>
      </c>
      <c r="B10295" s="2" t="s">
        <v>21</v>
      </c>
      <c r="C10295" s="2" t="s">
        <v>8390</v>
      </c>
      <c r="D10295" s="2" t="s">
        <v>10</v>
      </c>
      <c r="E10295" s="2" t="s">
        <v>16</v>
      </c>
      <c r="F10295" s="2">
        <v>1</v>
      </c>
      <c r="G10295" s="2" t="s">
        <v>17</v>
      </c>
    </row>
    <row r="10296" spans="1:7" x14ac:dyDescent="0.2">
      <c r="A10296" s="2" t="s">
        <v>12022</v>
      </c>
      <c r="B10296" s="2" t="s">
        <v>8398</v>
      </c>
      <c r="C10296" s="2" t="s">
        <v>8390</v>
      </c>
      <c r="D10296" s="2" t="s">
        <v>10</v>
      </c>
      <c r="E10296" s="2" t="s">
        <v>16</v>
      </c>
      <c r="F10296" s="2">
        <v>1</v>
      </c>
      <c r="G10296" s="2" t="s">
        <v>17</v>
      </c>
    </row>
    <row r="10297" spans="1:7" x14ac:dyDescent="0.2">
      <c r="A10297" s="2" t="s">
        <v>12022</v>
      </c>
      <c r="B10297" s="2" t="s">
        <v>8399</v>
      </c>
      <c r="C10297" s="2" t="s">
        <v>8390</v>
      </c>
      <c r="D10297" s="2" t="s">
        <v>10</v>
      </c>
      <c r="E10297" s="2" t="s">
        <v>16</v>
      </c>
      <c r="F10297" s="2">
        <v>1</v>
      </c>
      <c r="G10297" s="2" t="s">
        <v>17</v>
      </c>
    </row>
    <row r="10298" spans="1:7" x14ac:dyDescent="0.2">
      <c r="A10298" s="2" t="s">
        <v>12022</v>
      </c>
      <c r="B10298" s="2" t="s">
        <v>8400</v>
      </c>
      <c r="C10298" s="2" t="s">
        <v>8390</v>
      </c>
      <c r="D10298" s="2" t="s">
        <v>10</v>
      </c>
      <c r="E10298" s="2" t="s">
        <v>16</v>
      </c>
      <c r="F10298" s="2">
        <v>1</v>
      </c>
      <c r="G10298" s="2" t="s">
        <v>17</v>
      </c>
    </row>
    <row r="10299" spans="1:7" x14ac:dyDescent="0.2">
      <c r="A10299" s="2" t="s">
        <v>12022</v>
      </c>
      <c r="B10299" s="2" t="s">
        <v>8401</v>
      </c>
      <c r="C10299" s="2" t="s">
        <v>8390</v>
      </c>
      <c r="D10299" s="2" t="s">
        <v>10</v>
      </c>
      <c r="E10299" s="2" t="s">
        <v>16</v>
      </c>
      <c r="F10299" s="2">
        <v>1</v>
      </c>
      <c r="G10299" s="2" t="s">
        <v>17</v>
      </c>
    </row>
    <row r="10300" spans="1:7" x14ac:dyDescent="0.2">
      <c r="A10300" s="2" t="s">
        <v>12022</v>
      </c>
      <c r="B10300" s="2" t="s">
        <v>12028</v>
      </c>
      <c r="C10300" s="2" t="s">
        <v>8406</v>
      </c>
      <c r="D10300" s="2" t="s">
        <v>10</v>
      </c>
      <c r="E10300" s="2" t="s">
        <v>16</v>
      </c>
      <c r="F10300" s="2">
        <v>1</v>
      </c>
      <c r="G10300" s="2" t="s">
        <v>17</v>
      </c>
    </row>
    <row r="10301" spans="1:7" x14ac:dyDescent="0.2">
      <c r="A10301" s="2" t="s">
        <v>12022</v>
      </c>
      <c r="B10301" s="2" t="s">
        <v>12029</v>
      </c>
      <c r="C10301" s="2" t="s">
        <v>8390</v>
      </c>
      <c r="D10301" s="2" t="s">
        <v>10</v>
      </c>
      <c r="E10301" s="2" t="s">
        <v>16</v>
      </c>
      <c r="F10301" s="2">
        <v>1</v>
      </c>
      <c r="G10301" s="2" t="s">
        <v>17</v>
      </c>
    </row>
    <row r="10302" spans="1:7" x14ac:dyDescent="0.2">
      <c r="A10302" s="2" t="s">
        <v>12022</v>
      </c>
      <c r="B10302" s="2" t="s">
        <v>12030</v>
      </c>
      <c r="C10302" s="2" t="s">
        <v>8393</v>
      </c>
      <c r="D10302" s="2" t="s">
        <v>10</v>
      </c>
      <c r="E10302" s="2" t="s">
        <v>16</v>
      </c>
      <c r="F10302" s="2">
        <v>1</v>
      </c>
      <c r="G10302" s="2" t="s">
        <v>17</v>
      </c>
    </row>
    <row r="10303" spans="1:7" x14ac:dyDescent="0.2">
      <c r="A10303" s="2" t="s">
        <v>12022</v>
      </c>
      <c r="B10303" s="2" t="s">
        <v>12031</v>
      </c>
      <c r="C10303" s="2" t="s">
        <v>8396</v>
      </c>
      <c r="D10303" s="2" t="s">
        <v>10</v>
      </c>
      <c r="E10303" s="2" t="s">
        <v>16</v>
      </c>
      <c r="F10303" s="2">
        <v>1</v>
      </c>
      <c r="G10303" s="2" t="s">
        <v>17</v>
      </c>
    </row>
    <row r="10304" spans="1:7" x14ac:dyDescent="0.2">
      <c r="A10304" s="2" t="s">
        <v>12022</v>
      </c>
      <c r="B10304" s="2" t="s">
        <v>12032</v>
      </c>
      <c r="C10304" s="2" t="s">
        <v>8411</v>
      </c>
      <c r="D10304" s="2" t="s">
        <v>10</v>
      </c>
      <c r="E10304" s="2" t="s">
        <v>16</v>
      </c>
      <c r="F10304" s="2">
        <v>1</v>
      </c>
      <c r="G10304" s="2" t="s">
        <v>17</v>
      </c>
    </row>
    <row r="10305" spans="1:7" x14ac:dyDescent="0.2">
      <c r="A10305" s="2" t="s">
        <v>12022</v>
      </c>
      <c r="B10305" s="2" t="s">
        <v>12033</v>
      </c>
      <c r="C10305" s="2" t="s">
        <v>8390</v>
      </c>
      <c r="D10305" s="2" t="s">
        <v>10</v>
      </c>
      <c r="E10305" s="2" t="s">
        <v>16</v>
      </c>
      <c r="F10305" s="2">
        <v>1</v>
      </c>
      <c r="G10305" s="2" t="s">
        <v>17</v>
      </c>
    </row>
    <row r="10306" spans="1:7" x14ac:dyDescent="0.2">
      <c r="A10306" s="2" t="s">
        <v>12022</v>
      </c>
      <c r="B10306" s="2" t="s">
        <v>12034</v>
      </c>
      <c r="C10306" s="2" t="s">
        <v>8393</v>
      </c>
      <c r="D10306" s="2" t="s">
        <v>10</v>
      </c>
      <c r="E10306" s="2" t="s">
        <v>16</v>
      </c>
      <c r="F10306" s="2">
        <v>1</v>
      </c>
      <c r="G10306" s="2" t="s">
        <v>17</v>
      </c>
    </row>
    <row r="10307" spans="1:7" x14ac:dyDescent="0.2">
      <c r="A10307" s="2" t="s">
        <v>12022</v>
      </c>
      <c r="B10307" s="2" t="s">
        <v>12035</v>
      </c>
      <c r="C10307" s="2" t="s">
        <v>8396</v>
      </c>
      <c r="D10307" s="2" t="s">
        <v>10</v>
      </c>
      <c r="E10307" s="2" t="s">
        <v>16</v>
      </c>
      <c r="F10307" s="2">
        <v>1</v>
      </c>
      <c r="G10307" s="2" t="s">
        <v>17</v>
      </c>
    </row>
    <row r="10308" spans="1:7" x14ac:dyDescent="0.2">
      <c r="A10308" s="2" t="s">
        <v>12022</v>
      </c>
      <c r="B10308" s="2" t="s">
        <v>12036</v>
      </c>
      <c r="C10308" s="2" t="s">
        <v>3178</v>
      </c>
      <c r="D10308" s="2" t="s">
        <v>10</v>
      </c>
      <c r="E10308" s="2" t="s">
        <v>16</v>
      </c>
      <c r="F10308" s="2">
        <v>1</v>
      </c>
      <c r="G10308" s="2" t="s">
        <v>17</v>
      </c>
    </row>
    <row r="10309" spans="1:7" x14ac:dyDescent="0.2">
      <c r="A10309" s="2" t="s">
        <v>12022</v>
      </c>
      <c r="B10309" s="2" t="s">
        <v>12037</v>
      </c>
      <c r="C10309" s="2" t="s">
        <v>3178</v>
      </c>
      <c r="D10309" s="2" t="s">
        <v>10</v>
      </c>
      <c r="E10309" s="2" t="s">
        <v>16</v>
      </c>
      <c r="F10309" s="2">
        <v>1</v>
      </c>
      <c r="G10309" s="2" t="s">
        <v>17</v>
      </c>
    </row>
    <row r="10310" spans="1:7" x14ac:dyDescent="0.2">
      <c r="A10310" s="2" t="s">
        <v>12022</v>
      </c>
      <c r="B10310" s="2" t="s">
        <v>12038</v>
      </c>
      <c r="C10310" s="2" t="s">
        <v>3178</v>
      </c>
      <c r="D10310" s="2" t="s">
        <v>10</v>
      </c>
      <c r="E10310" s="2" t="s">
        <v>16</v>
      </c>
      <c r="F10310" s="2">
        <v>1</v>
      </c>
      <c r="G10310" s="2" t="s">
        <v>17</v>
      </c>
    </row>
    <row r="10311" spans="1:7" x14ac:dyDescent="0.2">
      <c r="A10311" s="2" t="s">
        <v>12022</v>
      </c>
      <c r="B10311" s="2" t="s">
        <v>12039</v>
      </c>
      <c r="C10311" s="2" t="s">
        <v>8390</v>
      </c>
      <c r="D10311" s="2" t="s">
        <v>10</v>
      </c>
      <c r="E10311" s="2" t="s">
        <v>16</v>
      </c>
      <c r="F10311" s="2">
        <v>1</v>
      </c>
      <c r="G10311" s="2" t="s">
        <v>17</v>
      </c>
    </row>
    <row r="10312" spans="1:7" x14ac:dyDescent="0.2">
      <c r="A10312" s="2" t="s">
        <v>12022</v>
      </c>
      <c r="B10312" s="2" t="s">
        <v>12040</v>
      </c>
      <c r="C10312" s="2" t="s">
        <v>8390</v>
      </c>
      <c r="D10312" s="2" t="s">
        <v>10</v>
      </c>
      <c r="E10312" s="2" t="s">
        <v>16</v>
      </c>
      <c r="F10312" s="2">
        <v>1</v>
      </c>
      <c r="G10312" s="2" t="s">
        <v>17</v>
      </c>
    </row>
    <row r="10313" spans="1:7" x14ac:dyDescent="0.2">
      <c r="A10313" s="2" t="s">
        <v>12022</v>
      </c>
      <c r="B10313" s="2" t="s">
        <v>12041</v>
      </c>
      <c r="C10313" s="2" t="s">
        <v>8390</v>
      </c>
      <c r="D10313" s="2" t="s">
        <v>10</v>
      </c>
      <c r="E10313" s="2" t="s">
        <v>16</v>
      </c>
      <c r="F10313" s="2">
        <v>1</v>
      </c>
      <c r="G10313" s="2" t="s">
        <v>17</v>
      </c>
    </row>
    <row r="10314" spans="1:7" x14ac:dyDescent="0.2">
      <c r="A10314" s="2" t="s">
        <v>12022</v>
      </c>
      <c r="B10314" s="2" t="s">
        <v>12042</v>
      </c>
      <c r="C10314" s="2" t="s">
        <v>8393</v>
      </c>
      <c r="D10314" s="2" t="s">
        <v>10</v>
      </c>
      <c r="E10314" s="2" t="s">
        <v>16</v>
      </c>
      <c r="F10314" s="2">
        <v>1</v>
      </c>
      <c r="G10314" s="2" t="s">
        <v>17</v>
      </c>
    </row>
    <row r="10315" spans="1:7" x14ac:dyDescent="0.2">
      <c r="A10315" s="2" t="s">
        <v>12022</v>
      </c>
      <c r="B10315" s="2" t="s">
        <v>12043</v>
      </c>
      <c r="C10315" s="2" t="s">
        <v>8390</v>
      </c>
      <c r="D10315" s="2" t="s">
        <v>10</v>
      </c>
      <c r="E10315" s="2" t="s">
        <v>16</v>
      </c>
      <c r="F10315" s="2">
        <v>1</v>
      </c>
      <c r="G10315" s="2" t="s">
        <v>17</v>
      </c>
    </row>
    <row r="10316" spans="1:7" x14ac:dyDescent="0.2">
      <c r="A10316" s="2" t="s">
        <v>12022</v>
      </c>
      <c r="B10316" s="2" t="s">
        <v>12044</v>
      </c>
      <c r="C10316" s="2" t="s">
        <v>8390</v>
      </c>
      <c r="D10316" s="2" t="s">
        <v>10</v>
      </c>
      <c r="E10316" s="2" t="s">
        <v>16</v>
      </c>
      <c r="F10316" s="2">
        <v>1</v>
      </c>
      <c r="G10316" s="2" t="s">
        <v>17</v>
      </c>
    </row>
    <row r="10317" spans="1:7" x14ac:dyDescent="0.2">
      <c r="A10317" s="2" t="s">
        <v>12022</v>
      </c>
      <c r="B10317" s="2" t="s">
        <v>12045</v>
      </c>
      <c r="C10317" s="2" t="s">
        <v>8394</v>
      </c>
      <c r="D10317" s="2" t="s">
        <v>10</v>
      </c>
      <c r="E10317" s="2" t="s">
        <v>16</v>
      </c>
      <c r="F10317" s="2">
        <v>1</v>
      </c>
      <c r="G10317" s="2" t="s">
        <v>17</v>
      </c>
    </row>
    <row r="10318" spans="1:7" x14ac:dyDescent="0.2">
      <c r="A10318" s="2" t="s">
        <v>12022</v>
      </c>
      <c r="B10318" s="2" t="s">
        <v>12046</v>
      </c>
      <c r="C10318" s="2" t="s">
        <v>8390</v>
      </c>
      <c r="D10318" s="2" t="s">
        <v>10</v>
      </c>
      <c r="E10318" s="2" t="s">
        <v>16</v>
      </c>
      <c r="F10318" s="2">
        <v>1</v>
      </c>
      <c r="G10318" s="2" t="s">
        <v>17</v>
      </c>
    </row>
    <row r="10319" spans="1:7" x14ac:dyDescent="0.2">
      <c r="A10319" s="2" t="s">
        <v>12022</v>
      </c>
      <c r="B10319" s="2" t="s">
        <v>12047</v>
      </c>
      <c r="C10319" s="2" t="s">
        <v>8390</v>
      </c>
      <c r="D10319" s="2" t="s">
        <v>10</v>
      </c>
      <c r="E10319" s="2" t="s">
        <v>16</v>
      </c>
      <c r="F10319" s="2">
        <v>1</v>
      </c>
      <c r="G10319" s="2" t="s">
        <v>17</v>
      </c>
    </row>
    <row r="10320" spans="1:7" x14ac:dyDescent="0.2">
      <c r="A10320" s="2" t="s">
        <v>12022</v>
      </c>
      <c r="B10320" s="2" t="s">
        <v>12048</v>
      </c>
      <c r="C10320" s="2" t="s">
        <v>8390</v>
      </c>
      <c r="D10320" s="2" t="s">
        <v>10</v>
      </c>
      <c r="E10320" s="2" t="s">
        <v>16</v>
      </c>
      <c r="F10320" s="2">
        <v>1</v>
      </c>
      <c r="G10320" s="2" t="s">
        <v>17</v>
      </c>
    </row>
    <row r="10321" spans="1:7" x14ac:dyDescent="0.2">
      <c r="A10321" s="2" t="s">
        <v>12022</v>
      </c>
      <c r="B10321" s="2" t="s">
        <v>12049</v>
      </c>
      <c r="C10321" s="2" t="s">
        <v>8390</v>
      </c>
      <c r="D10321" s="2" t="s">
        <v>10</v>
      </c>
      <c r="E10321" s="2" t="s">
        <v>16</v>
      </c>
      <c r="F10321" s="2">
        <v>1</v>
      </c>
      <c r="G10321" s="2" t="s">
        <v>17</v>
      </c>
    </row>
    <row r="10322" spans="1:7" x14ac:dyDescent="0.2">
      <c r="A10322" s="2" t="s">
        <v>12022</v>
      </c>
      <c r="B10322" s="2" t="s">
        <v>12050</v>
      </c>
      <c r="C10322" s="2" t="s">
        <v>8390</v>
      </c>
      <c r="D10322" s="2" t="s">
        <v>10</v>
      </c>
      <c r="E10322" s="2" t="s">
        <v>16</v>
      </c>
      <c r="F10322" s="2">
        <v>1</v>
      </c>
      <c r="G10322" s="2" t="s">
        <v>17</v>
      </c>
    </row>
    <row r="10323" spans="1:7" x14ac:dyDescent="0.2">
      <c r="A10323" s="2" t="s">
        <v>12022</v>
      </c>
      <c r="B10323" s="2" t="s">
        <v>12051</v>
      </c>
      <c r="C10323" s="2" t="s">
        <v>8390</v>
      </c>
      <c r="D10323" s="2" t="s">
        <v>10</v>
      </c>
      <c r="E10323" s="2" t="s">
        <v>16</v>
      </c>
      <c r="F10323" s="2">
        <v>1</v>
      </c>
      <c r="G10323" s="2" t="s">
        <v>17</v>
      </c>
    </row>
    <row r="10324" spans="1:7" x14ac:dyDescent="0.2">
      <c r="A10324" s="2" t="s">
        <v>12052</v>
      </c>
      <c r="B10324" s="2" t="s">
        <v>9998</v>
      </c>
      <c r="C10324" s="2" t="s">
        <v>1423</v>
      </c>
      <c r="D10324" s="2" t="s">
        <v>10</v>
      </c>
      <c r="E10324" s="2" t="s">
        <v>16</v>
      </c>
      <c r="F10324" s="2">
        <v>1</v>
      </c>
      <c r="G10324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22"/>
  <sheetViews>
    <sheetView workbookViewId="0">
      <selection activeCell="F1" sqref="A1:F1048576"/>
    </sheetView>
  </sheetViews>
  <sheetFormatPr defaultColWidth="14.42578125" defaultRowHeight="15" customHeight="1" x14ac:dyDescent="0.2"/>
  <cols>
    <col min="2" max="2" width="25.140625" customWidth="1"/>
    <col min="3" max="3" width="33.42578125" customWidth="1"/>
  </cols>
  <sheetData>
    <row r="1" spans="1:6" ht="15" customHeight="1" x14ac:dyDescent="0.2">
      <c r="A1" s="4" t="str">
        <f ca="1">IFERROR(__xludf.DUMMYFUNCTION("query('Master Type List'!A:G,""SELECT C,A,B,D,E,F order by C"",1)"),"​Type Designator")</f>
        <v>​Type Designator</v>
      </c>
      <c r="B1" s="4" t="str">
        <f ca="1">IFERROR(__xludf.DUMMYFUNCTION("""COMPUTED_VALUE"""),"​​Manufacturer")</f>
        <v>​​Manufacturer</v>
      </c>
      <c r="C1" s="4" t="str">
        <f ca="1">IFERROR(__xludf.DUMMYFUNCTION("""COMPUTED_VALUE"""),"​Model")</f>
        <v>​Model</v>
      </c>
      <c r="D1" s="4" t="str">
        <f ca="1">IFERROR(__xludf.DUMMYFUNCTION("""COMPUTED_VALUE"""),"​Description")</f>
        <v>​Description</v>
      </c>
      <c r="E1" s="4" t="str">
        <f ca="1">IFERROR(__xludf.DUMMYFUNCTION("""COMPUTED_VALUE"""),"​Engine Type")</f>
        <v>​Engine Type</v>
      </c>
      <c r="F1" s="4" t="str">
        <f ca="1">IFERROR(__xludf.DUMMYFUNCTION("""COMPUTED_VALUE"""),"​Engine Count")</f>
        <v>​Engine Count</v>
      </c>
    </row>
    <row r="2" spans="1:6" ht="15" customHeight="1" x14ac:dyDescent="0.2">
      <c r="A2" s="5" t="str">
        <f ca="1">IFERROR(__xludf.DUMMYFUNCTION("""COMPUTED_VALUE"""),"A002")</f>
        <v>A002</v>
      </c>
      <c r="B2" s="5" t="str">
        <f ca="1">IFERROR(__xludf.DUMMYFUNCTION("""COMPUTED_VALUE"""),"IRKUT")</f>
        <v>IRKUT</v>
      </c>
      <c r="C2" s="5" t="str">
        <f ca="1">IFERROR(__xludf.DUMMYFUNCTION("""COMPUTED_VALUE"""),"A-002")</f>
        <v>A-002</v>
      </c>
      <c r="D2" s="5" t="str">
        <f ca="1">IFERROR(__xludf.DUMMYFUNCTION("""COMPUTED_VALUE"""),"Gyrocopter")</f>
        <v>Gyrocopter</v>
      </c>
      <c r="E2" s="5" t="str">
        <f ca="1">IFERROR(__xludf.DUMMYFUNCTION("""COMPUTED_VALUE"""),"Piston")</f>
        <v>Piston</v>
      </c>
      <c r="F2" s="5">
        <f ca="1">IFERROR(__xludf.DUMMYFUNCTION("""COMPUTED_VALUE"""),1)</f>
        <v>1</v>
      </c>
    </row>
    <row r="3" spans="1:6" ht="15" customHeight="1" x14ac:dyDescent="0.2">
      <c r="A3" s="5" t="str">
        <f ca="1">IFERROR(__xludf.DUMMYFUNCTION("""COMPUTED_VALUE"""),"A1")</f>
        <v>A1</v>
      </c>
      <c r="B3" s="5" t="str">
        <f ca="1">IFERROR(__xludf.DUMMYFUNCTION("""COMPUTED_VALUE"""),"DOUGLAS")</f>
        <v>DOUGLAS</v>
      </c>
      <c r="C3" s="5" t="str">
        <f ca="1">IFERROR(__xludf.DUMMYFUNCTION("""COMPUTED_VALUE"""),"A-1 Skyraider")</f>
        <v>A-1 Skyraider</v>
      </c>
      <c r="D3" s="5" t="str">
        <f ca="1">IFERROR(__xludf.DUMMYFUNCTION("""COMPUTED_VALUE"""),"LandPlane")</f>
        <v>LandPlane</v>
      </c>
      <c r="E3" s="5" t="str">
        <f ca="1">IFERROR(__xludf.DUMMYFUNCTION("""COMPUTED_VALUE"""),"Piston")</f>
        <v>Piston</v>
      </c>
      <c r="F3" s="5">
        <f ca="1">IFERROR(__xludf.DUMMYFUNCTION("""COMPUTED_VALUE"""),1)</f>
        <v>1</v>
      </c>
    </row>
    <row r="4" spans="1:6" ht="15" customHeight="1" x14ac:dyDescent="0.2">
      <c r="A4" s="5" t="str">
        <f ca="1">IFERROR(__xludf.DUMMYFUNCTION("""COMPUTED_VALUE"""),"A10")</f>
        <v>A10</v>
      </c>
      <c r="B4" s="5" t="str">
        <f ca="1">IFERROR(__xludf.DUMMYFUNCTION("""COMPUTED_VALUE"""),"FAIRCHILD (1)")</f>
        <v>FAIRCHILD (1)</v>
      </c>
      <c r="C4" s="5" t="str">
        <f ca="1">IFERROR(__xludf.DUMMYFUNCTION("""COMPUTED_VALUE"""),"A-10 Thunderbolt 2")</f>
        <v>A-10 Thunderbolt 2</v>
      </c>
      <c r="D4" s="5" t="str">
        <f ca="1">IFERROR(__xludf.DUMMYFUNCTION("""COMPUTED_VALUE"""),"LandPlane")</f>
        <v>LandPlane</v>
      </c>
      <c r="E4" s="5" t="str">
        <f ca="1">IFERROR(__xludf.DUMMYFUNCTION("""COMPUTED_VALUE"""),"Jet")</f>
        <v>Jet</v>
      </c>
      <c r="F4" s="5">
        <f ca="1">IFERROR(__xludf.DUMMYFUNCTION("""COMPUTED_VALUE"""),2)</f>
        <v>2</v>
      </c>
    </row>
    <row r="5" spans="1:6" ht="15" customHeight="1" x14ac:dyDescent="0.2">
      <c r="A5" s="5" t="str">
        <f ca="1">IFERROR(__xludf.DUMMYFUNCTION("""COMPUTED_VALUE"""),"A109")</f>
        <v>A109</v>
      </c>
      <c r="B5" s="5" t="str">
        <f ca="1">IFERROR(__xludf.DUMMYFUNCTION("""COMPUTED_VALUE"""),"AGUSTAWESTLAND")</f>
        <v>AGUSTAWESTLAND</v>
      </c>
      <c r="C5" s="5" t="str">
        <f ca="1">IFERROR(__xludf.DUMMYFUNCTION("""COMPUTED_VALUE"""),"AW-109 Grand")</f>
        <v>AW-109 Grand</v>
      </c>
      <c r="D5" s="5" t="str">
        <f ca="1">IFERROR(__xludf.DUMMYFUNCTION("""COMPUTED_VALUE"""),"Helicopter")</f>
        <v>Helicopter</v>
      </c>
      <c r="E5" s="5" t="str">
        <f ca="1">IFERROR(__xludf.DUMMYFUNCTION("""COMPUTED_VALUE"""),"Turboprop/Turboshaft")</f>
        <v>Turboprop/Turboshaft</v>
      </c>
      <c r="F5" s="5">
        <f ca="1">IFERROR(__xludf.DUMMYFUNCTION("""COMPUTED_VALUE"""),2)</f>
        <v>2</v>
      </c>
    </row>
    <row r="6" spans="1:6" ht="15" customHeight="1" x14ac:dyDescent="0.2">
      <c r="A6" s="5" t="str">
        <f ca="1">IFERROR(__xludf.DUMMYFUNCTION("""COMPUTED_VALUE"""),"A119")</f>
        <v>A119</v>
      </c>
      <c r="B6" s="5" t="str">
        <f ca="1">IFERROR(__xludf.DUMMYFUNCTION("""COMPUTED_VALUE"""),"AGUSTAWESTLAND")</f>
        <v>AGUSTAWESTLAND</v>
      </c>
      <c r="C6" s="5" t="str">
        <f ca="1">IFERROR(__xludf.DUMMYFUNCTION("""COMPUTED_VALUE"""),"AW-119 Koala")</f>
        <v>AW-119 Koala</v>
      </c>
      <c r="D6" s="5" t="str">
        <f ca="1">IFERROR(__xludf.DUMMYFUNCTION("""COMPUTED_VALUE"""),"Helicopter")</f>
        <v>Helicopter</v>
      </c>
      <c r="E6" s="5" t="str">
        <f ca="1">IFERROR(__xludf.DUMMYFUNCTION("""COMPUTED_VALUE"""),"Turboprop/Turboshaft")</f>
        <v>Turboprop/Turboshaft</v>
      </c>
      <c r="F6" s="5">
        <f ca="1">IFERROR(__xludf.DUMMYFUNCTION("""COMPUTED_VALUE"""),1)</f>
        <v>1</v>
      </c>
    </row>
    <row r="7" spans="1:6" ht="15" customHeight="1" x14ac:dyDescent="0.2">
      <c r="A7" s="5" t="str">
        <f ca="1">IFERROR(__xludf.DUMMYFUNCTION("""COMPUTED_VALUE"""),"A122")</f>
        <v>A122</v>
      </c>
      <c r="B7" s="5" t="str">
        <f ca="1">IFERROR(__xludf.DUMMYFUNCTION("""COMPUTED_VALUE"""),"AEROTEC (1)")</f>
        <v>AEROTEC (1)</v>
      </c>
      <c r="C7" s="5" t="str">
        <f ca="1">IFERROR(__xludf.DUMMYFUNCTION("""COMPUTED_VALUE"""),"A-122 Uirapuru")</f>
        <v>A-122 Uirapuru</v>
      </c>
      <c r="D7" s="5" t="str">
        <f ca="1">IFERROR(__xludf.DUMMYFUNCTION("""COMPUTED_VALUE"""),"LandPlane")</f>
        <v>LandPlane</v>
      </c>
      <c r="E7" s="5" t="str">
        <f ca="1">IFERROR(__xludf.DUMMYFUNCTION("""COMPUTED_VALUE"""),"Piston")</f>
        <v>Piston</v>
      </c>
      <c r="F7" s="5">
        <f ca="1">IFERROR(__xludf.DUMMYFUNCTION("""COMPUTED_VALUE"""),1)</f>
        <v>1</v>
      </c>
    </row>
    <row r="8" spans="1:6" ht="15" customHeight="1" x14ac:dyDescent="0.2">
      <c r="A8" s="5" t="str">
        <f ca="1">IFERROR(__xludf.DUMMYFUNCTION("""COMPUTED_VALUE"""),"A124")</f>
        <v>A124</v>
      </c>
      <c r="B8" s="5" t="str">
        <f ca="1">IFERROR(__xludf.DUMMYFUNCTION("""COMPUTED_VALUE"""),"ANTONOV")</f>
        <v>ANTONOV</v>
      </c>
      <c r="C8" s="5" t="str">
        <f ca="1">IFERROR(__xludf.DUMMYFUNCTION("""COMPUTED_VALUE"""),"An-124 Ruslan")</f>
        <v>An-124 Ruslan</v>
      </c>
      <c r="D8" s="5" t="str">
        <f ca="1">IFERROR(__xludf.DUMMYFUNCTION("""COMPUTED_VALUE"""),"LandPlane")</f>
        <v>LandPlane</v>
      </c>
      <c r="E8" s="5" t="str">
        <f ca="1">IFERROR(__xludf.DUMMYFUNCTION("""COMPUTED_VALUE"""),"Jet")</f>
        <v>Jet</v>
      </c>
      <c r="F8" s="5">
        <f ca="1">IFERROR(__xludf.DUMMYFUNCTION("""COMPUTED_VALUE"""),4)</f>
        <v>4</v>
      </c>
    </row>
    <row r="9" spans="1:6" ht="15" customHeight="1" x14ac:dyDescent="0.2">
      <c r="A9" s="5" t="str">
        <f ca="1">IFERROR(__xludf.DUMMYFUNCTION("""COMPUTED_VALUE"""),"A129")</f>
        <v>A129</v>
      </c>
      <c r="B9" s="5" t="str">
        <f ca="1">IFERROR(__xludf.DUMMYFUNCTION("""COMPUTED_VALUE"""),"AGUSTAWESTLAND")</f>
        <v>AGUSTAWESTLAND</v>
      </c>
      <c r="C9" s="5" t="str">
        <f ca="1">IFERROR(__xludf.DUMMYFUNCTION("""COMPUTED_VALUE"""),"AW-129")</f>
        <v>AW-129</v>
      </c>
      <c r="D9" s="5" t="str">
        <f ca="1">IFERROR(__xludf.DUMMYFUNCTION("""COMPUTED_VALUE"""),"Helicopter")</f>
        <v>Helicopter</v>
      </c>
      <c r="E9" s="5" t="str">
        <f ca="1">IFERROR(__xludf.DUMMYFUNCTION("""COMPUTED_VALUE"""),"Turboprop/Turboshaft")</f>
        <v>Turboprop/Turboshaft</v>
      </c>
      <c r="F9" s="5">
        <f ca="1">IFERROR(__xludf.DUMMYFUNCTION("""COMPUTED_VALUE"""),2)</f>
        <v>2</v>
      </c>
    </row>
    <row r="10" spans="1:6" ht="15" customHeight="1" x14ac:dyDescent="0.2">
      <c r="A10" s="5" t="str">
        <f ca="1">IFERROR(__xludf.DUMMYFUNCTION("""COMPUTED_VALUE"""),"A139")</f>
        <v>A139</v>
      </c>
      <c r="B10" s="5" t="str">
        <f ca="1">IFERROR(__xludf.DUMMYFUNCTION("""COMPUTED_VALUE"""),"AGUSTAWESTLAND")</f>
        <v>AGUSTAWESTLAND</v>
      </c>
      <c r="C10" s="5" t="str">
        <f ca="1">IFERROR(__xludf.DUMMYFUNCTION("""COMPUTED_VALUE"""),"AW-139")</f>
        <v>AW-139</v>
      </c>
      <c r="D10" s="5" t="str">
        <f ca="1">IFERROR(__xludf.DUMMYFUNCTION("""COMPUTED_VALUE"""),"Helicopter")</f>
        <v>Helicopter</v>
      </c>
      <c r="E10" s="5" t="str">
        <f ca="1">IFERROR(__xludf.DUMMYFUNCTION("""COMPUTED_VALUE"""),"Turboprop/Turboshaft")</f>
        <v>Turboprop/Turboshaft</v>
      </c>
      <c r="F10" s="5">
        <f ca="1">IFERROR(__xludf.DUMMYFUNCTION("""COMPUTED_VALUE"""),2)</f>
        <v>2</v>
      </c>
    </row>
    <row r="11" spans="1:6" ht="15" customHeight="1" x14ac:dyDescent="0.2">
      <c r="A11" s="5" t="str">
        <f ca="1">IFERROR(__xludf.DUMMYFUNCTION("""COMPUTED_VALUE"""),"A140")</f>
        <v>A140</v>
      </c>
      <c r="B11" s="5" t="str">
        <f ca="1">IFERROR(__xludf.DUMMYFUNCTION("""COMPUTED_VALUE"""),"ANTONOV")</f>
        <v>ANTONOV</v>
      </c>
      <c r="C11" s="5" t="str">
        <f ca="1">IFERROR(__xludf.DUMMYFUNCTION("""COMPUTED_VALUE"""),"An-140")</f>
        <v>An-140</v>
      </c>
      <c r="D11" s="5" t="str">
        <f ca="1">IFERROR(__xludf.DUMMYFUNCTION("""COMPUTED_VALUE"""),"LandPlane")</f>
        <v>LandPlane</v>
      </c>
      <c r="E11" s="5" t="str">
        <f ca="1">IFERROR(__xludf.DUMMYFUNCTION("""COMPUTED_VALUE"""),"Turboprop/Turboshaft")</f>
        <v>Turboprop/Turboshaft</v>
      </c>
      <c r="F11" s="5">
        <f ca="1">IFERROR(__xludf.DUMMYFUNCTION("""COMPUTED_VALUE"""),2)</f>
        <v>2</v>
      </c>
    </row>
    <row r="12" spans="1:6" ht="15" customHeight="1" x14ac:dyDescent="0.2">
      <c r="A12" s="5" t="str">
        <f ca="1">IFERROR(__xludf.DUMMYFUNCTION("""COMPUTED_VALUE"""),"A148")</f>
        <v>A148</v>
      </c>
      <c r="B12" s="5" t="str">
        <f ca="1">IFERROR(__xludf.DUMMYFUNCTION("""COMPUTED_VALUE"""),"ANTONOV")</f>
        <v>ANTONOV</v>
      </c>
      <c r="C12" s="5" t="str">
        <f ca="1">IFERROR(__xludf.DUMMYFUNCTION("""COMPUTED_VALUE"""),"An-148")</f>
        <v>An-148</v>
      </c>
      <c r="D12" s="5" t="str">
        <f ca="1">IFERROR(__xludf.DUMMYFUNCTION("""COMPUTED_VALUE"""),"LandPlane")</f>
        <v>LandPlane</v>
      </c>
      <c r="E12" s="5" t="str">
        <f ca="1">IFERROR(__xludf.DUMMYFUNCTION("""COMPUTED_VALUE"""),"Jet")</f>
        <v>Jet</v>
      </c>
      <c r="F12" s="5">
        <f ca="1">IFERROR(__xludf.DUMMYFUNCTION("""COMPUTED_VALUE"""),2)</f>
        <v>2</v>
      </c>
    </row>
    <row r="13" spans="1:6" ht="15" customHeight="1" x14ac:dyDescent="0.2">
      <c r="A13" s="5" t="str">
        <f ca="1">IFERROR(__xludf.DUMMYFUNCTION("""COMPUTED_VALUE"""),"A149")</f>
        <v>A149</v>
      </c>
      <c r="B13" s="5" t="str">
        <f ca="1">IFERROR(__xludf.DUMMYFUNCTION("""COMPUTED_VALUE"""),"AGUSTAWESTLAND")</f>
        <v>AGUSTAWESTLAND</v>
      </c>
      <c r="C13" s="5" t="str">
        <f ca="1">IFERROR(__xludf.DUMMYFUNCTION("""COMPUTED_VALUE"""),"AW-149")</f>
        <v>AW-149</v>
      </c>
      <c r="D13" s="5" t="str">
        <f ca="1">IFERROR(__xludf.DUMMYFUNCTION("""COMPUTED_VALUE"""),"Helicopter")</f>
        <v>Helicopter</v>
      </c>
      <c r="E13" s="5" t="str">
        <f ca="1">IFERROR(__xludf.DUMMYFUNCTION("""COMPUTED_VALUE"""),"Turboprop/Turboshaft")</f>
        <v>Turboprop/Turboshaft</v>
      </c>
      <c r="F13" s="5">
        <f ca="1">IFERROR(__xludf.DUMMYFUNCTION("""COMPUTED_VALUE"""),2)</f>
        <v>2</v>
      </c>
    </row>
    <row r="14" spans="1:6" ht="15" customHeight="1" x14ac:dyDescent="0.2">
      <c r="A14" s="5" t="str">
        <f ca="1">IFERROR(__xludf.DUMMYFUNCTION("""COMPUTED_VALUE"""),"A158")</f>
        <v>A158</v>
      </c>
      <c r="B14" s="5" t="str">
        <f ca="1">IFERROR(__xludf.DUMMYFUNCTION("""COMPUTED_VALUE"""),"ANTONOV")</f>
        <v>ANTONOV</v>
      </c>
      <c r="C14" s="5" t="str">
        <f ca="1">IFERROR(__xludf.DUMMYFUNCTION("""COMPUTED_VALUE"""),"An-158")</f>
        <v>An-158</v>
      </c>
      <c r="D14" s="5" t="str">
        <f ca="1">IFERROR(__xludf.DUMMYFUNCTION("""COMPUTED_VALUE"""),"LandPlane")</f>
        <v>LandPlane</v>
      </c>
      <c r="E14" s="5" t="str">
        <f ca="1">IFERROR(__xludf.DUMMYFUNCTION("""COMPUTED_VALUE"""),"Jet")</f>
        <v>Jet</v>
      </c>
      <c r="F14" s="5">
        <f ca="1">IFERROR(__xludf.DUMMYFUNCTION("""COMPUTED_VALUE"""),2)</f>
        <v>2</v>
      </c>
    </row>
    <row r="15" spans="1:6" ht="15" customHeight="1" x14ac:dyDescent="0.2">
      <c r="A15" s="5" t="str">
        <f ca="1">IFERROR(__xludf.DUMMYFUNCTION("""COMPUTED_VALUE"""),"A16")</f>
        <v>A16</v>
      </c>
      <c r="B15" s="5" t="str">
        <f ca="1">IFERROR(__xludf.DUMMYFUNCTION("""COMPUTED_VALUE"""),"AVIADESIGN")</f>
        <v>AVIADESIGN</v>
      </c>
      <c r="C15" s="5" t="str">
        <f ca="1">IFERROR(__xludf.DUMMYFUNCTION("""COMPUTED_VALUE"""),"A-16 Sport Falcon")</f>
        <v>A-16 Sport Falcon</v>
      </c>
      <c r="D15" s="5" t="str">
        <f ca="1">IFERROR(__xludf.DUMMYFUNCTION("""COMPUTED_VALUE"""),"LandPlane")</f>
        <v>LandPlane</v>
      </c>
      <c r="E15" s="5" t="str">
        <f ca="1">IFERROR(__xludf.DUMMYFUNCTION("""COMPUTED_VALUE"""),"Piston")</f>
        <v>Piston</v>
      </c>
      <c r="F15" s="5">
        <f ca="1">IFERROR(__xludf.DUMMYFUNCTION("""COMPUTED_VALUE"""),1)</f>
        <v>1</v>
      </c>
    </row>
    <row r="16" spans="1:6" ht="15" customHeight="1" x14ac:dyDescent="0.2">
      <c r="A16" s="5" t="str">
        <f ca="1">IFERROR(__xludf.DUMMYFUNCTION("""COMPUTED_VALUE"""),"A169")</f>
        <v>A169</v>
      </c>
      <c r="B16" s="5" t="str">
        <f ca="1">IFERROR(__xludf.DUMMYFUNCTION("""COMPUTED_VALUE"""),"AGUSTAWESTLAND")</f>
        <v>AGUSTAWESTLAND</v>
      </c>
      <c r="C16" s="5" t="str">
        <f ca="1">IFERROR(__xludf.DUMMYFUNCTION("""COMPUTED_VALUE"""),"AW-169")</f>
        <v>AW-169</v>
      </c>
      <c r="D16" s="5" t="str">
        <f ca="1">IFERROR(__xludf.DUMMYFUNCTION("""COMPUTED_VALUE"""),"Helicopter")</f>
        <v>Helicopter</v>
      </c>
      <c r="E16" s="5" t="str">
        <f ca="1">IFERROR(__xludf.DUMMYFUNCTION("""COMPUTED_VALUE"""),"Turboprop/Turboshaft")</f>
        <v>Turboprop/Turboshaft</v>
      </c>
      <c r="F16" s="5">
        <f ca="1">IFERROR(__xludf.DUMMYFUNCTION("""COMPUTED_VALUE"""),2)</f>
        <v>2</v>
      </c>
    </row>
    <row r="17" spans="1:6" ht="15" customHeight="1" x14ac:dyDescent="0.2">
      <c r="A17" s="5" t="str">
        <f ca="1">IFERROR(__xludf.DUMMYFUNCTION("""COMPUTED_VALUE"""),"A178")</f>
        <v>A178</v>
      </c>
      <c r="B17" s="5" t="str">
        <f ca="1">IFERROR(__xludf.DUMMYFUNCTION("""COMPUTED_VALUE"""),"ANTONOV")</f>
        <v>ANTONOV</v>
      </c>
      <c r="C17" s="5" t="str">
        <f ca="1">IFERROR(__xludf.DUMMYFUNCTION("""COMPUTED_VALUE"""),"An-178")</f>
        <v>An-178</v>
      </c>
      <c r="D17" s="5" t="str">
        <f ca="1">IFERROR(__xludf.DUMMYFUNCTION("""COMPUTED_VALUE"""),"LandPlane")</f>
        <v>LandPlane</v>
      </c>
      <c r="E17" s="5" t="str">
        <f ca="1">IFERROR(__xludf.DUMMYFUNCTION("""COMPUTED_VALUE"""),"Jet")</f>
        <v>Jet</v>
      </c>
      <c r="F17" s="5">
        <f ca="1">IFERROR(__xludf.DUMMYFUNCTION("""COMPUTED_VALUE"""),2)</f>
        <v>2</v>
      </c>
    </row>
    <row r="18" spans="1:6" ht="15" customHeight="1" x14ac:dyDescent="0.2">
      <c r="A18" s="5" t="str">
        <f ca="1">IFERROR(__xludf.DUMMYFUNCTION("""COMPUTED_VALUE"""),"A189")</f>
        <v>A189</v>
      </c>
      <c r="B18" s="5" t="str">
        <f ca="1">IFERROR(__xludf.DUMMYFUNCTION("""COMPUTED_VALUE"""),"AGUSTAWESTLAND")</f>
        <v>AGUSTAWESTLAND</v>
      </c>
      <c r="C18" s="5" t="str">
        <f ca="1">IFERROR(__xludf.DUMMYFUNCTION("""COMPUTED_VALUE"""),"AW-189")</f>
        <v>AW-189</v>
      </c>
      <c r="D18" s="5" t="str">
        <f ca="1">IFERROR(__xludf.DUMMYFUNCTION("""COMPUTED_VALUE"""),"Helicopter")</f>
        <v>Helicopter</v>
      </c>
      <c r="E18" s="5" t="str">
        <f ca="1">IFERROR(__xludf.DUMMYFUNCTION("""COMPUTED_VALUE"""),"Turboprop/Turboshaft")</f>
        <v>Turboprop/Turboshaft</v>
      </c>
      <c r="F18" s="5">
        <f ca="1">IFERROR(__xludf.DUMMYFUNCTION("""COMPUTED_VALUE"""),2)</f>
        <v>2</v>
      </c>
    </row>
    <row r="19" spans="1:6" ht="15" customHeight="1" x14ac:dyDescent="0.2">
      <c r="A19" s="5" t="str">
        <f ca="1">IFERROR(__xludf.DUMMYFUNCTION("""COMPUTED_VALUE"""),"A19")</f>
        <v>A19</v>
      </c>
      <c r="B19" s="5" t="str">
        <f ca="1">IFERROR(__xludf.DUMMYFUNCTION("""COMPUTED_VALUE"""),"AEROPRACT")</f>
        <v>AEROPRACT</v>
      </c>
      <c r="C19" s="5" t="str">
        <f ca="1">IFERROR(__xludf.DUMMYFUNCTION("""COMPUTED_VALUE"""),"A-19")</f>
        <v>A-19</v>
      </c>
      <c r="D19" s="5" t="str">
        <f ca="1">IFERROR(__xludf.DUMMYFUNCTION("""COMPUTED_VALUE"""),"LandPlane")</f>
        <v>LandPlane</v>
      </c>
      <c r="E19" s="5" t="str">
        <f ca="1">IFERROR(__xludf.DUMMYFUNCTION("""COMPUTED_VALUE"""),"Piston")</f>
        <v>Piston</v>
      </c>
      <c r="F19" s="5">
        <f ca="1">IFERROR(__xludf.DUMMYFUNCTION("""COMPUTED_VALUE"""),1)</f>
        <v>1</v>
      </c>
    </row>
    <row r="20" spans="1:6" ht="15" customHeight="1" x14ac:dyDescent="0.2">
      <c r="A20" s="5" t="str">
        <f ca="1">IFERROR(__xludf.DUMMYFUNCTION("""COMPUTED_VALUE"""),"A19N")</f>
        <v>A19N</v>
      </c>
      <c r="B20" s="5" t="str">
        <f ca="1">IFERROR(__xludf.DUMMYFUNCTION("""COMPUTED_VALUE"""),"AIRBUS")</f>
        <v>AIRBUS</v>
      </c>
      <c r="C20" s="5" t="str">
        <f ca="1">IFERROR(__xludf.DUMMYFUNCTION("""COMPUTED_VALUE"""),"A-319neo")</f>
        <v>A-319neo</v>
      </c>
      <c r="D20" s="5" t="str">
        <f ca="1">IFERROR(__xludf.DUMMYFUNCTION("""COMPUTED_VALUE"""),"LandPlane")</f>
        <v>LandPlane</v>
      </c>
      <c r="E20" s="5" t="str">
        <f ca="1">IFERROR(__xludf.DUMMYFUNCTION("""COMPUTED_VALUE"""),"Jet")</f>
        <v>Jet</v>
      </c>
      <c r="F20" s="5">
        <f ca="1">IFERROR(__xludf.DUMMYFUNCTION("""COMPUTED_VALUE"""),2)</f>
        <v>2</v>
      </c>
    </row>
    <row r="21" spans="1:6" ht="15" customHeight="1" x14ac:dyDescent="0.2">
      <c r="A21" s="5" t="str">
        <f ca="1">IFERROR(__xludf.DUMMYFUNCTION("""COMPUTED_VALUE"""),"A20")</f>
        <v>A20</v>
      </c>
      <c r="B21" s="5" t="str">
        <f ca="1">IFERROR(__xludf.DUMMYFUNCTION("""COMPUTED_VALUE"""),"DOUGLAS")</f>
        <v>DOUGLAS</v>
      </c>
      <c r="C21" s="5" t="str">
        <f ca="1">IFERROR(__xludf.DUMMYFUNCTION("""COMPUTED_VALUE"""),"A-20 Havoc")</f>
        <v>A-20 Havoc</v>
      </c>
      <c r="D21" s="5" t="str">
        <f ca="1">IFERROR(__xludf.DUMMYFUNCTION("""COMPUTED_VALUE"""),"LandPlane")</f>
        <v>LandPlane</v>
      </c>
      <c r="E21" s="5" t="str">
        <f ca="1">IFERROR(__xludf.DUMMYFUNCTION("""COMPUTED_VALUE"""),"Piston")</f>
        <v>Piston</v>
      </c>
      <c r="F21" s="5">
        <f ca="1">IFERROR(__xludf.DUMMYFUNCTION("""COMPUTED_VALUE"""),2)</f>
        <v>2</v>
      </c>
    </row>
    <row r="22" spans="1:6" ht="15" customHeight="1" x14ac:dyDescent="0.2">
      <c r="A22" s="5" t="str">
        <f ca="1">IFERROR(__xludf.DUMMYFUNCTION("""COMPUTED_VALUE"""),"A205")</f>
        <v>A205</v>
      </c>
      <c r="B22" s="5" t="str">
        <f ca="1">IFERROR(__xludf.DUMMYFUNCTION("""COMPUTED_VALUE"""),"OSKBES-MAI")</f>
        <v>OSKBES-MAI</v>
      </c>
      <c r="C22" s="5" t="str">
        <f ca="1">IFERROR(__xludf.DUMMYFUNCTION("""COMPUTED_VALUE"""),"MAI-205")</f>
        <v>MAI-205</v>
      </c>
      <c r="D22" s="5" t="str">
        <f ca="1">IFERROR(__xludf.DUMMYFUNCTION("""COMPUTED_VALUE"""),"Gyrocopter")</f>
        <v>Gyrocopter</v>
      </c>
      <c r="E22" s="5" t="str">
        <f ca="1">IFERROR(__xludf.DUMMYFUNCTION("""COMPUTED_VALUE"""),"Piston")</f>
        <v>Piston</v>
      </c>
      <c r="F22" s="5">
        <f ca="1">IFERROR(__xludf.DUMMYFUNCTION("""COMPUTED_VALUE"""),1)</f>
        <v>1</v>
      </c>
    </row>
    <row r="23" spans="1:6" ht="15" customHeight="1" x14ac:dyDescent="0.2">
      <c r="A23" s="5" t="str">
        <f ca="1">IFERROR(__xludf.DUMMYFUNCTION("""COMPUTED_VALUE"""),"A20J")</f>
        <v>A20J</v>
      </c>
      <c r="B23" s="5" t="str">
        <f ca="1">IFERROR(__xludf.DUMMYFUNCTION("""COMPUTED_VALUE"""),"SCHLEICHER")</f>
        <v>SCHLEICHER</v>
      </c>
      <c r="C23" s="5" t="str">
        <f ca="1">IFERROR(__xludf.DUMMYFUNCTION("""COMPUTED_VALUE"""),"ASW-20J")</f>
        <v>ASW-20J</v>
      </c>
      <c r="D23" s="5" t="str">
        <f ca="1">IFERROR(__xludf.DUMMYFUNCTION("""COMPUTED_VALUE"""),"LandPlane")</f>
        <v>LandPlane</v>
      </c>
      <c r="E23" s="5" t="str">
        <f ca="1">IFERROR(__xludf.DUMMYFUNCTION("""COMPUTED_VALUE"""),"Jet")</f>
        <v>Jet</v>
      </c>
      <c r="F23" s="5">
        <f ca="1">IFERROR(__xludf.DUMMYFUNCTION("""COMPUTED_VALUE"""),1)</f>
        <v>1</v>
      </c>
    </row>
    <row r="24" spans="1:6" ht="15" customHeight="1" x14ac:dyDescent="0.2">
      <c r="A24" s="5" t="str">
        <f ca="1">IFERROR(__xludf.DUMMYFUNCTION("""COMPUTED_VALUE"""),"A20N")</f>
        <v>A20N</v>
      </c>
      <c r="B24" s="5" t="str">
        <f ca="1">IFERROR(__xludf.DUMMYFUNCTION("""COMPUTED_VALUE"""),"AIRBUS")</f>
        <v>AIRBUS</v>
      </c>
      <c r="C24" s="5" t="str">
        <f ca="1">IFERROR(__xludf.DUMMYFUNCTION("""COMPUTED_VALUE"""),"A-320neo")</f>
        <v>A-320neo</v>
      </c>
      <c r="D24" s="5" t="str">
        <f ca="1">IFERROR(__xludf.DUMMYFUNCTION("""COMPUTED_VALUE"""),"LandPlane")</f>
        <v>LandPlane</v>
      </c>
      <c r="E24" s="5" t="str">
        <f ca="1">IFERROR(__xludf.DUMMYFUNCTION("""COMPUTED_VALUE"""),"Jet")</f>
        <v>Jet</v>
      </c>
      <c r="F24" s="5">
        <f ca="1">IFERROR(__xludf.DUMMYFUNCTION("""COMPUTED_VALUE"""),2)</f>
        <v>2</v>
      </c>
    </row>
    <row r="25" spans="1:6" ht="15" customHeight="1" x14ac:dyDescent="0.2">
      <c r="A25" s="5" t="str">
        <f ca="1">IFERROR(__xludf.DUMMYFUNCTION("""COMPUTED_VALUE"""),"A21")</f>
        <v>A21</v>
      </c>
      <c r="B25" s="5" t="str">
        <f ca="1">IFERROR(__xludf.DUMMYFUNCTION("""COMPUTED_VALUE"""),"AEROPRACT")</f>
        <v>AEROPRACT</v>
      </c>
      <c r="C25" s="5" t="str">
        <f ca="1">IFERROR(__xludf.DUMMYFUNCTION("""COMPUTED_VALUE"""),"A-21 Solo")</f>
        <v>A-21 Solo</v>
      </c>
      <c r="D25" s="5" t="str">
        <f ca="1">IFERROR(__xludf.DUMMYFUNCTION("""COMPUTED_VALUE"""),"LandPlane")</f>
        <v>LandPlane</v>
      </c>
      <c r="E25" s="5" t="str">
        <f ca="1">IFERROR(__xludf.DUMMYFUNCTION("""COMPUTED_VALUE"""),"Piston")</f>
        <v>Piston</v>
      </c>
      <c r="F25" s="5">
        <f ca="1">IFERROR(__xludf.DUMMYFUNCTION("""COMPUTED_VALUE"""),1)</f>
        <v>1</v>
      </c>
    </row>
    <row r="26" spans="1:6" ht="15" customHeight="1" x14ac:dyDescent="0.2">
      <c r="A26" s="5" t="str">
        <f ca="1">IFERROR(__xludf.DUMMYFUNCTION("""COMPUTED_VALUE"""),"A210")</f>
        <v>A210</v>
      </c>
      <c r="B26" s="5" t="str">
        <f ca="1">IFERROR(__xludf.DUMMYFUNCTION("""COMPUTED_VALUE"""),"AQUILA")</f>
        <v>AQUILA</v>
      </c>
      <c r="C26" s="5" t="str">
        <f ca="1">IFERROR(__xludf.DUMMYFUNCTION("""COMPUTED_VALUE"""),"A-210")</f>
        <v>A-210</v>
      </c>
      <c r="D26" s="5" t="str">
        <f ca="1">IFERROR(__xludf.DUMMYFUNCTION("""COMPUTED_VALUE"""),"LandPlane")</f>
        <v>LandPlane</v>
      </c>
      <c r="E26" s="5" t="str">
        <f ca="1">IFERROR(__xludf.DUMMYFUNCTION("""COMPUTED_VALUE"""),"Piston")</f>
        <v>Piston</v>
      </c>
      <c r="F26" s="5">
        <f ca="1">IFERROR(__xludf.DUMMYFUNCTION("""COMPUTED_VALUE"""),1)</f>
        <v>1</v>
      </c>
    </row>
    <row r="27" spans="1:6" ht="15" customHeight="1" x14ac:dyDescent="0.2">
      <c r="A27" s="5" t="str">
        <f ca="1">IFERROR(__xludf.DUMMYFUNCTION("""COMPUTED_VALUE"""),"A21N")</f>
        <v>A21N</v>
      </c>
      <c r="B27" s="5" t="str">
        <f ca="1">IFERROR(__xludf.DUMMYFUNCTION("""COMPUTED_VALUE"""),"AIRBUS")</f>
        <v>AIRBUS</v>
      </c>
      <c r="C27" s="5" t="str">
        <f ca="1">IFERROR(__xludf.DUMMYFUNCTION("""COMPUTED_VALUE"""),"A-321neo")</f>
        <v>A-321neo</v>
      </c>
      <c r="D27" s="5" t="str">
        <f ca="1">IFERROR(__xludf.DUMMYFUNCTION("""COMPUTED_VALUE"""),"LandPlane")</f>
        <v>LandPlane</v>
      </c>
      <c r="E27" s="5" t="str">
        <f ca="1">IFERROR(__xludf.DUMMYFUNCTION("""COMPUTED_VALUE"""),"Jet")</f>
        <v>Jet</v>
      </c>
      <c r="F27" s="5">
        <f ca="1">IFERROR(__xludf.DUMMYFUNCTION("""COMPUTED_VALUE"""),2)</f>
        <v>2</v>
      </c>
    </row>
    <row r="28" spans="1:6" ht="15" customHeight="1" x14ac:dyDescent="0.2">
      <c r="A28" s="5" t="str">
        <f ca="1">IFERROR(__xludf.DUMMYFUNCTION("""COMPUTED_VALUE"""),"A22")</f>
        <v>A22</v>
      </c>
      <c r="B28" s="5" t="str">
        <f ca="1">IFERROR(__xludf.DUMMYFUNCTION("""COMPUTED_VALUE"""),"SADLER")</f>
        <v>SADLER</v>
      </c>
      <c r="C28" s="5" t="str">
        <f ca="1">IFERROR(__xludf.DUMMYFUNCTION("""COMPUTED_VALUE"""),"A-22 Piranha")</f>
        <v>A-22 Piranha</v>
      </c>
      <c r="D28" s="5" t="str">
        <f ca="1">IFERROR(__xludf.DUMMYFUNCTION("""COMPUTED_VALUE"""),"LandPlane")</f>
        <v>LandPlane</v>
      </c>
      <c r="E28" s="5" t="str">
        <f ca="1">IFERROR(__xludf.DUMMYFUNCTION("""COMPUTED_VALUE"""),"Piston")</f>
        <v>Piston</v>
      </c>
      <c r="F28" s="5">
        <f ca="1">IFERROR(__xludf.DUMMYFUNCTION("""COMPUTED_VALUE"""),1)</f>
        <v>1</v>
      </c>
    </row>
    <row r="29" spans="1:6" ht="15" customHeight="1" x14ac:dyDescent="0.2">
      <c r="A29" s="5" t="str">
        <f ca="1">IFERROR(__xludf.DUMMYFUNCTION("""COMPUTED_VALUE"""),"A223")</f>
        <v>A223</v>
      </c>
      <c r="B29" s="5" t="str">
        <f ca="1">IFERROR(__xludf.DUMMYFUNCTION("""COMPUTED_VALUE"""),"OSKBES-MAI")</f>
        <v>OSKBES-MAI</v>
      </c>
      <c r="C29" s="5" t="str">
        <f ca="1">IFERROR(__xludf.DUMMYFUNCTION("""COMPUTED_VALUE"""),"MAI-223 Kityonok")</f>
        <v>MAI-223 Kityonok</v>
      </c>
      <c r="D29" s="5" t="str">
        <f ca="1">IFERROR(__xludf.DUMMYFUNCTION("""COMPUTED_VALUE"""),"LandPlane")</f>
        <v>LandPlane</v>
      </c>
      <c r="E29" s="5" t="str">
        <f ca="1">IFERROR(__xludf.DUMMYFUNCTION("""COMPUTED_VALUE"""),"Piston")</f>
        <v>Piston</v>
      </c>
      <c r="F29" s="5">
        <f ca="1">IFERROR(__xludf.DUMMYFUNCTION("""COMPUTED_VALUE"""),1)</f>
        <v>1</v>
      </c>
    </row>
    <row r="30" spans="1:6" ht="15" customHeight="1" x14ac:dyDescent="0.2">
      <c r="A30" s="5" t="str">
        <f ca="1">IFERROR(__xludf.DUMMYFUNCTION("""COMPUTED_VALUE"""),"A225")</f>
        <v>A225</v>
      </c>
      <c r="B30" s="5" t="str">
        <f ca="1">IFERROR(__xludf.DUMMYFUNCTION("""COMPUTED_VALUE"""),"ANTONOV")</f>
        <v>ANTONOV</v>
      </c>
      <c r="C30" s="5" t="str">
        <f ca="1">IFERROR(__xludf.DUMMYFUNCTION("""COMPUTED_VALUE"""),"An-225 Mriya")</f>
        <v>An-225 Mriya</v>
      </c>
      <c r="D30" s="5" t="str">
        <f ca="1">IFERROR(__xludf.DUMMYFUNCTION("""COMPUTED_VALUE"""),"LandPlane")</f>
        <v>LandPlane</v>
      </c>
      <c r="E30" s="5" t="str">
        <f ca="1">IFERROR(__xludf.DUMMYFUNCTION("""COMPUTED_VALUE"""),"Jet")</f>
        <v>Jet</v>
      </c>
      <c r="F30" s="5">
        <f ca="1">IFERROR(__xludf.DUMMYFUNCTION("""COMPUTED_VALUE"""),6)</f>
        <v>6</v>
      </c>
    </row>
    <row r="31" spans="1:6" ht="15" customHeight="1" x14ac:dyDescent="0.2">
      <c r="A31" s="5" t="str">
        <f ca="1">IFERROR(__xludf.DUMMYFUNCTION("""COMPUTED_VALUE"""),"A23")</f>
        <v>A23</v>
      </c>
      <c r="B31" s="5" t="str">
        <f ca="1">IFERROR(__xludf.DUMMYFUNCTION("""COMPUTED_VALUE"""),"AEROPRACT")</f>
        <v>AEROPRACT</v>
      </c>
      <c r="C31" s="5" t="str">
        <f ca="1">IFERROR(__xludf.DUMMYFUNCTION("""COMPUTED_VALUE"""),"A-23 Dragon")</f>
        <v>A-23 Dragon</v>
      </c>
      <c r="D31" s="5" t="str">
        <f ca="1">IFERROR(__xludf.DUMMYFUNCTION("""COMPUTED_VALUE"""),"LandPlane")</f>
        <v>LandPlane</v>
      </c>
      <c r="E31" s="5" t="str">
        <f ca="1">IFERROR(__xludf.DUMMYFUNCTION("""COMPUTED_VALUE"""),"Piston")</f>
        <v>Piston</v>
      </c>
      <c r="F31" s="5">
        <f ca="1">IFERROR(__xludf.DUMMYFUNCTION("""COMPUTED_VALUE"""),1)</f>
        <v>1</v>
      </c>
    </row>
    <row r="32" spans="1:6" ht="15" customHeight="1" x14ac:dyDescent="0.2">
      <c r="A32" s="5" t="str">
        <f ca="1">IFERROR(__xludf.DUMMYFUNCTION("""COMPUTED_VALUE"""),"A25")</f>
        <v>A25</v>
      </c>
      <c r="B32" s="5" t="str">
        <f ca="1">IFERROR(__xludf.DUMMYFUNCTION("""COMPUTED_VALUE"""),"AEROPRACT")</f>
        <v>AEROPRACT</v>
      </c>
      <c r="C32" s="5" t="str">
        <f ca="1">IFERROR(__xludf.DUMMYFUNCTION("""COMPUTED_VALUE"""),"A-25 Breeze")</f>
        <v>A-25 Breeze</v>
      </c>
      <c r="D32" s="5" t="str">
        <f ca="1">IFERROR(__xludf.DUMMYFUNCTION("""COMPUTED_VALUE"""),"Amphibian")</f>
        <v>Amphibian</v>
      </c>
      <c r="E32" s="5" t="str">
        <f ca="1">IFERROR(__xludf.DUMMYFUNCTION("""COMPUTED_VALUE"""),"Piston")</f>
        <v>Piston</v>
      </c>
      <c r="F32" s="5">
        <f ca="1">IFERROR(__xludf.DUMMYFUNCTION("""COMPUTED_VALUE"""),1)</f>
        <v>1</v>
      </c>
    </row>
    <row r="33" spans="1:6" ht="15" customHeight="1" x14ac:dyDescent="0.2">
      <c r="A33" s="5" t="str">
        <f ca="1">IFERROR(__xludf.DUMMYFUNCTION("""COMPUTED_VALUE"""),"A251")</f>
        <v>A251</v>
      </c>
      <c r="B33" s="5" t="str">
        <f ca="1">IFERROR(__xludf.DUMMYFUNCTION("""COMPUTED_VALUE"""),"AVIATIK-ALYANS")</f>
        <v>AVIATIK-ALYANS</v>
      </c>
      <c r="C33" s="5" t="str">
        <f ca="1">IFERROR(__xludf.DUMMYFUNCTION("""COMPUTED_VALUE"""),"Aleks-251")</f>
        <v>Aleks-251</v>
      </c>
      <c r="D33" s="5" t="str">
        <f ca="1">IFERROR(__xludf.DUMMYFUNCTION("""COMPUTED_VALUE"""),"Amphibian")</f>
        <v>Amphibian</v>
      </c>
      <c r="E33" s="5" t="str">
        <f ca="1">IFERROR(__xludf.DUMMYFUNCTION("""COMPUTED_VALUE"""),"Piston")</f>
        <v>Piston</v>
      </c>
      <c r="F33" s="5">
        <f ca="1">IFERROR(__xludf.DUMMYFUNCTION("""COMPUTED_VALUE"""),2)</f>
        <v>2</v>
      </c>
    </row>
    <row r="34" spans="1:6" ht="15" customHeight="1" x14ac:dyDescent="0.2">
      <c r="A34" s="5" t="str">
        <f ca="1">IFERROR(__xludf.DUMMYFUNCTION("""COMPUTED_VALUE"""),"A27")</f>
        <v>A27</v>
      </c>
      <c r="B34" s="5" t="str">
        <f ca="1">IFERROR(__xludf.DUMMYFUNCTION("""COMPUTED_VALUE"""),"AEROPRACT")</f>
        <v>AEROPRACT</v>
      </c>
      <c r="C34" s="5" t="str">
        <f ca="1">IFERROR(__xludf.DUMMYFUNCTION("""COMPUTED_VALUE"""),"A-27")</f>
        <v>A-27</v>
      </c>
      <c r="D34" s="5" t="str">
        <f ca="1">IFERROR(__xludf.DUMMYFUNCTION("""COMPUTED_VALUE"""),"LandPlane")</f>
        <v>LandPlane</v>
      </c>
      <c r="E34" s="5" t="str">
        <f ca="1">IFERROR(__xludf.DUMMYFUNCTION("""COMPUTED_VALUE"""),"Piston")</f>
        <v>Piston</v>
      </c>
      <c r="F34" s="5">
        <f ca="1">IFERROR(__xludf.DUMMYFUNCTION("""COMPUTED_VALUE"""),1)</f>
        <v>1</v>
      </c>
    </row>
    <row r="35" spans="1:6" ht="15" customHeight="1" x14ac:dyDescent="0.2">
      <c r="A35" s="5" t="str">
        <f ca="1">IFERROR(__xludf.DUMMYFUNCTION("""COMPUTED_VALUE"""),"A270")</f>
        <v>A270</v>
      </c>
      <c r="B35" s="5" t="str">
        <f ca="1">IFERROR(__xludf.DUMMYFUNCTION("""COMPUTED_VALUE"""),"AERO (2)")</f>
        <v>AERO (2)</v>
      </c>
      <c r="C35" s="5" t="str">
        <f ca="1">IFERROR(__xludf.DUMMYFUNCTION("""COMPUTED_VALUE"""),"Ae-270 Propjet")</f>
        <v>Ae-270 Propjet</v>
      </c>
      <c r="D35" s="5" t="str">
        <f ca="1">IFERROR(__xludf.DUMMYFUNCTION("""COMPUTED_VALUE"""),"LandPlane")</f>
        <v>LandPlane</v>
      </c>
      <c r="E35" s="5" t="str">
        <f ca="1">IFERROR(__xludf.DUMMYFUNCTION("""COMPUTED_VALUE"""),"Turboprop/Turboshaft")</f>
        <v>Turboprop/Turboshaft</v>
      </c>
      <c r="F35" s="5">
        <f ca="1">IFERROR(__xludf.DUMMYFUNCTION("""COMPUTED_VALUE"""),1)</f>
        <v>1</v>
      </c>
    </row>
    <row r="36" spans="1:6" ht="15" customHeight="1" x14ac:dyDescent="0.2">
      <c r="A36" s="5" t="str">
        <f ca="1">IFERROR(__xludf.DUMMYFUNCTION("""COMPUTED_VALUE"""),"A29")</f>
        <v>A29</v>
      </c>
      <c r="B36" s="5" t="str">
        <f ca="1">IFERROR(__xludf.DUMMYFUNCTION("""COMPUTED_VALUE"""),"AVANTAGE")</f>
        <v>AVANTAGE</v>
      </c>
      <c r="C36" s="5" t="str">
        <f ca="1">IFERROR(__xludf.DUMMYFUNCTION("""COMPUTED_VALUE"""),"A-29")</f>
        <v>A-29</v>
      </c>
      <c r="D36" s="5" t="str">
        <f ca="1">IFERROR(__xludf.DUMMYFUNCTION("""COMPUTED_VALUE"""),"LandPlane")</f>
        <v>LandPlane</v>
      </c>
      <c r="E36" s="5" t="str">
        <f ca="1">IFERROR(__xludf.DUMMYFUNCTION("""COMPUTED_VALUE"""),"Piston")</f>
        <v>Piston</v>
      </c>
      <c r="F36" s="5">
        <f ca="1">IFERROR(__xludf.DUMMYFUNCTION("""COMPUTED_VALUE"""),1)</f>
        <v>1</v>
      </c>
    </row>
    <row r="37" spans="1:6" ht="15" customHeight="1" x14ac:dyDescent="0.2">
      <c r="A37" s="5" t="str">
        <f ca="1">IFERROR(__xludf.DUMMYFUNCTION("""COMPUTED_VALUE"""),"A2RT")</f>
        <v>A2RT</v>
      </c>
      <c r="B37" s="5" t="str">
        <f ca="1">IFERROR(__xludf.DUMMYFUNCTION("""COMPUTED_VALUE"""),"KAZAN")</f>
        <v>KAZAN</v>
      </c>
      <c r="C37" s="5" t="str">
        <f ca="1">IFERROR(__xludf.DUMMYFUNCTION("""COMPUTED_VALUE"""),"Ansat 2RT")</f>
        <v>Ansat 2RT</v>
      </c>
      <c r="D37" s="5" t="str">
        <f ca="1">IFERROR(__xludf.DUMMYFUNCTION("""COMPUTED_VALUE"""),"Helicopter")</f>
        <v>Helicopter</v>
      </c>
      <c r="E37" s="5" t="str">
        <f ca="1">IFERROR(__xludf.DUMMYFUNCTION("""COMPUTED_VALUE"""),"Turboprop/Turboshaft")</f>
        <v>Turboprop/Turboshaft</v>
      </c>
      <c r="F37" s="5">
        <f ca="1">IFERROR(__xludf.DUMMYFUNCTION("""COMPUTED_VALUE"""),2)</f>
        <v>2</v>
      </c>
    </row>
    <row r="38" spans="1:6" ht="15" customHeight="1" x14ac:dyDescent="0.2">
      <c r="A38" s="5" t="str">
        <f ca="1">IFERROR(__xludf.DUMMYFUNCTION("""COMPUTED_VALUE"""),"A3")</f>
        <v>A3</v>
      </c>
      <c r="B38" s="5" t="str">
        <f ca="1">IFERROR(__xludf.DUMMYFUNCTION("""COMPUTED_VALUE"""),"DOUGLAS")</f>
        <v>DOUGLAS</v>
      </c>
      <c r="C38" s="5" t="str">
        <f ca="1">IFERROR(__xludf.DUMMYFUNCTION("""COMPUTED_VALUE"""),"A-3 Skywarrior")</f>
        <v>A-3 Skywarrior</v>
      </c>
      <c r="D38" s="5" t="str">
        <f ca="1">IFERROR(__xludf.DUMMYFUNCTION("""COMPUTED_VALUE"""),"LandPlane")</f>
        <v>LandPlane</v>
      </c>
      <c r="E38" s="5" t="str">
        <f ca="1">IFERROR(__xludf.DUMMYFUNCTION("""COMPUTED_VALUE"""),"Jet")</f>
        <v>Jet</v>
      </c>
      <c r="F38" s="5">
        <f ca="1">IFERROR(__xludf.DUMMYFUNCTION("""COMPUTED_VALUE"""),2)</f>
        <v>2</v>
      </c>
    </row>
    <row r="39" spans="1:6" ht="15" customHeight="1" x14ac:dyDescent="0.2">
      <c r="A39" s="5" t="str">
        <f ca="1">IFERROR(__xludf.DUMMYFUNCTION("""COMPUTED_VALUE"""),"A306")</f>
        <v>A306</v>
      </c>
      <c r="B39" s="5" t="str">
        <f ca="1">IFERROR(__xludf.DUMMYFUNCTION("""COMPUTED_VALUE"""),"AIRBUS")</f>
        <v>AIRBUS</v>
      </c>
      <c r="C39" s="5" t="str">
        <f ca="1">IFERROR(__xludf.DUMMYFUNCTION("""COMPUTED_VALUE"""),"A-300B4-600")</f>
        <v>A-300B4-600</v>
      </c>
      <c r="D39" s="5" t="str">
        <f ca="1">IFERROR(__xludf.DUMMYFUNCTION("""COMPUTED_VALUE"""),"LandPlane")</f>
        <v>LandPlane</v>
      </c>
      <c r="E39" s="5" t="str">
        <f ca="1">IFERROR(__xludf.DUMMYFUNCTION("""COMPUTED_VALUE"""),"Jet")</f>
        <v>Jet</v>
      </c>
      <c r="F39" s="5">
        <f ca="1">IFERROR(__xludf.DUMMYFUNCTION("""COMPUTED_VALUE"""),2)</f>
        <v>2</v>
      </c>
    </row>
    <row r="40" spans="1:6" ht="15" customHeight="1" x14ac:dyDescent="0.2">
      <c r="A40" s="5" t="str">
        <f ca="1">IFERROR(__xludf.DUMMYFUNCTION("""COMPUTED_VALUE"""),"A30B")</f>
        <v>A30B</v>
      </c>
      <c r="B40" s="5" t="str">
        <f ca="1">IFERROR(__xludf.DUMMYFUNCTION("""COMPUTED_VALUE"""),"AIRBUS")</f>
        <v>AIRBUS</v>
      </c>
      <c r="C40" s="5" t="str">
        <f ca="1">IFERROR(__xludf.DUMMYFUNCTION("""COMPUTED_VALUE"""),"A-300B4-200")</f>
        <v>A-300B4-200</v>
      </c>
      <c r="D40" s="5" t="str">
        <f ca="1">IFERROR(__xludf.DUMMYFUNCTION("""COMPUTED_VALUE"""),"LandPlane")</f>
        <v>LandPlane</v>
      </c>
      <c r="E40" s="5" t="str">
        <f ca="1">IFERROR(__xludf.DUMMYFUNCTION("""COMPUTED_VALUE"""),"Jet")</f>
        <v>Jet</v>
      </c>
      <c r="F40" s="5">
        <f ca="1">IFERROR(__xludf.DUMMYFUNCTION("""COMPUTED_VALUE"""),2)</f>
        <v>2</v>
      </c>
    </row>
    <row r="41" spans="1:6" ht="15" customHeight="1" x14ac:dyDescent="0.2">
      <c r="A41" s="5" t="str">
        <f ca="1">IFERROR(__xludf.DUMMYFUNCTION("""COMPUTED_VALUE"""),"A31")</f>
        <v>A31</v>
      </c>
      <c r="B41" s="5" t="str">
        <f ca="1">IFERROR(__xludf.DUMMYFUNCTION("""COMPUTED_VALUE"""),"AVANTAGE")</f>
        <v>AVANTAGE</v>
      </c>
      <c r="C41" s="5" t="str">
        <f ca="1">IFERROR(__xludf.DUMMYFUNCTION("""COMPUTED_VALUE"""),"A-31 Spectrum")</f>
        <v>A-31 Spectrum</v>
      </c>
      <c r="D41" s="5" t="str">
        <f ca="1">IFERROR(__xludf.DUMMYFUNCTION("""COMPUTED_VALUE"""),"LandPlane")</f>
        <v>LandPlane</v>
      </c>
      <c r="E41" s="5" t="str">
        <f ca="1">IFERROR(__xludf.DUMMYFUNCTION("""COMPUTED_VALUE"""),"Piston")</f>
        <v>Piston</v>
      </c>
      <c r="F41" s="5">
        <f ca="1">IFERROR(__xludf.DUMMYFUNCTION("""COMPUTED_VALUE"""),1)</f>
        <v>1</v>
      </c>
    </row>
    <row r="42" spans="1:6" ht="15" customHeight="1" x14ac:dyDescent="0.2">
      <c r="A42" s="5" t="str">
        <f ca="1">IFERROR(__xludf.DUMMYFUNCTION("""COMPUTED_VALUE"""),"A310")</f>
        <v>A310</v>
      </c>
      <c r="B42" s="5" t="str">
        <f ca="1">IFERROR(__xludf.DUMMYFUNCTION("""COMPUTED_VALUE"""),"AIRBUS")</f>
        <v>AIRBUS</v>
      </c>
      <c r="C42" s="5" t="str">
        <f ca="1">IFERROR(__xludf.DUMMYFUNCTION("""COMPUTED_VALUE"""),"A-310")</f>
        <v>A-310</v>
      </c>
      <c r="D42" s="5" t="str">
        <f ca="1">IFERROR(__xludf.DUMMYFUNCTION("""COMPUTED_VALUE"""),"LandPlane")</f>
        <v>LandPlane</v>
      </c>
      <c r="E42" s="5" t="str">
        <f ca="1">IFERROR(__xludf.DUMMYFUNCTION("""COMPUTED_VALUE"""),"Jet")</f>
        <v>Jet</v>
      </c>
      <c r="F42" s="5">
        <f ca="1">IFERROR(__xludf.DUMMYFUNCTION("""COMPUTED_VALUE"""),2)</f>
        <v>2</v>
      </c>
    </row>
    <row r="43" spans="1:6" ht="15" customHeight="1" x14ac:dyDescent="0.2">
      <c r="A43" s="5" t="str">
        <f ca="1">IFERROR(__xludf.DUMMYFUNCTION("""COMPUTED_VALUE"""),"A318")</f>
        <v>A318</v>
      </c>
      <c r="B43" s="5" t="str">
        <f ca="1">IFERROR(__xludf.DUMMYFUNCTION("""COMPUTED_VALUE"""),"AIRBUS")</f>
        <v>AIRBUS</v>
      </c>
      <c r="C43" s="5" t="str">
        <f ca="1">IFERROR(__xludf.DUMMYFUNCTION("""COMPUTED_VALUE"""),"A-318")</f>
        <v>A-318</v>
      </c>
      <c r="D43" s="5" t="str">
        <f ca="1">IFERROR(__xludf.DUMMYFUNCTION("""COMPUTED_VALUE"""),"LandPlane")</f>
        <v>LandPlane</v>
      </c>
      <c r="E43" s="5" t="str">
        <f ca="1">IFERROR(__xludf.DUMMYFUNCTION("""COMPUTED_VALUE"""),"Jet")</f>
        <v>Jet</v>
      </c>
      <c r="F43" s="5">
        <f ca="1">IFERROR(__xludf.DUMMYFUNCTION("""COMPUTED_VALUE"""),2)</f>
        <v>2</v>
      </c>
    </row>
    <row r="44" spans="1:6" ht="15" customHeight="1" x14ac:dyDescent="0.2">
      <c r="A44" s="5" t="str">
        <f ca="1">IFERROR(__xludf.DUMMYFUNCTION("""COMPUTED_VALUE"""),"A319")</f>
        <v>A319</v>
      </c>
      <c r="B44" s="5" t="str">
        <f ca="1">IFERROR(__xludf.DUMMYFUNCTION("""COMPUTED_VALUE"""),"AIRBUS")</f>
        <v>AIRBUS</v>
      </c>
      <c r="C44" s="5" t="str">
        <f ca="1">IFERROR(__xludf.DUMMYFUNCTION("""COMPUTED_VALUE"""),"A-319")</f>
        <v>A-319</v>
      </c>
      <c r="D44" s="5" t="str">
        <f ca="1">IFERROR(__xludf.DUMMYFUNCTION("""COMPUTED_VALUE"""),"LandPlane")</f>
        <v>LandPlane</v>
      </c>
      <c r="E44" s="5" t="str">
        <f ca="1">IFERROR(__xludf.DUMMYFUNCTION("""COMPUTED_VALUE"""),"Jet")</f>
        <v>Jet</v>
      </c>
      <c r="F44" s="5">
        <f ca="1">IFERROR(__xludf.DUMMYFUNCTION("""COMPUTED_VALUE"""),2)</f>
        <v>2</v>
      </c>
    </row>
    <row r="45" spans="1:6" ht="15" customHeight="1" x14ac:dyDescent="0.2">
      <c r="A45" s="5" t="str">
        <f ca="1">IFERROR(__xludf.DUMMYFUNCTION("""COMPUTED_VALUE"""),"A320")</f>
        <v>A320</v>
      </c>
      <c r="B45" s="5" t="str">
        <f ca="1">IFERROR(__xludf.DUMMYFUNCTION("""COMPUTED_VALUE"""),"AIRBUS")</f>
        <v>AIRBUS</v>
      </c>
      <c r="C45" s="5" t="str">
        <f ca="1">IFERROR(__xludf.DUMMYFUNCTION("""COMPUTED_VALUE"""),"A-320")</f>
        <v>A-320</v>
      </c>
      <c r="D45" s="5" t="str">
        <f ca="1">IFERROR(__xludf.DUMMYFUNCTION("""COMPUTED_VALUE"""),"LandPlane")</f>
        <v>LandPlane</v>
      </c>
      <c r="E45" s="5" t="str">
        <f ca="1">IFERROR(__xludf.DUMMYFUNCTION("""COMPUTED_VALUE"""),"Jet")</f>
        <v>Jet</v>
      </c>
      <c r="F45" s="5">
        <f ca="1">IFERROR(__xludf.DUMMYFUNCTION("""COMPUTED_VALUE"""),2)</f>
        <v>2</v>
      </c>
    </row>
    <row r="46" spans="1:6" ht="15" customHeight="1" x14ac:dyDescent="0.2">
      <c r="A46" s="5" t="str">
        <f ca="1">IFERROR(__xludf.DUMMYFUNCTION("""COMPUTED_VALUE"""),"A321")</f>
        <v>A321</v>
      </c>
      <c r="B46" s="5" t="str">
        <f ca="1">IFERROR(__xludf.DUMMYFUNCTION("""COMPUTED_VALUE"""),"AIRBUS")</f>
        <v>AIRBUS</v>
      </c>
      <c r="C46" s="5" t="str">
        <f ca="1">IFERROR(__xludf.DUMMYFUNCTION("""COMPUTED_VALUE"""),"A-321")</f>
        <v>A-321</v>
      </c>
      <c r="D46" s="5" t="str">
        <f ca="1">IFERROR(__xludf.DUMMYFUNCTION("""COMPUTED_VALUE"""),"LandPlane")</f>
        <v>LandPlane</v>
      </c>
      <c r="E46" s="5" t="str">
        <f ca="1">IFERROR(__xludf.DUMMYFUNCTION("""COMPUTED_VALUE"""),"Jet")</f>
        <v>Jet</v>
      </c>
      <c r="F46" s="5">
        <f ca="1">IFERROR(__xludf.DUMMYFUNCTION("""COMPUTED_VALUE"""),2)</f>
        <v>2</v>
      </c>
    </row>
    <row r="47" spans="1:6" ht="15" customHeight="1" x14ac:dyDescent="0.2">
      <c r="A47" s="5" t="str">
        <f ca="1">IFERROR(__xludf.DUMMYFUNCTION("""COMPUTED_VALUE"""),"A32E")</f>
        <v>A32E</v>
      </c>
      <c r="B47" s="5" t="str">
        <f ca="1">IFERROR(__xludf.DUMMYFUNCTION("""COMPUTED_VALUE"""),"SCHLEICHER")</f>
        <v>SCHLEICHER</v>
      </c>
      <c r="C47" s="5" t="str">
        <f ca="1">IFERROR(__xludf.DUMMYFUNCTION("""COMPUTED_VALUE"""),"ASG-32EL")</f>
        <v>ASG-32EL</v>
      </c>
      <c r="D47" s="5" t="str">
        <f ca="1">IFERROR(__xludf.DUMMYFUNCTION("""COMPUTED_VALUE"""),"LandPlane")</f>
        <v>LandPlane</v>
      </c>
      <c r="E47" s="5" t="str">
        <f ca="1">IFERROR(__xludf.DUMMYFUNCTION("""COMPUTED_VALUE"""),"Electric")</f>
        <v>Electric</v>
      </c>
      <c r="F47" s="5">
        <f ca="1">IFERROR(__xludf.DUMMYFUNCTION("""COMPUTED_VALUE"""),1)</f>
        <v>1</v>
      </c>
    </row>
    <row r="48" spans="1:6" ht="15" customHeight="1" x14ac:dyDescent="0.2">
      <c r="A48" s="5" t="str">
        <f ca="1">IFERROR(__xludf.DUMMYFUNCTION("""COMPUTED_VALUE"""),"A32P")</f>
        <v>A32P</v>
      </c>
      <c r="B48" s="5" t="str">
        <f ca="1">IFERROR(__xludf.DUMMYFUNCTION("""COMPUTED_VALUE"""),"SCHLEICHER")</f>
        <v>SCHLEICHER</v>
      </c>
      <c r="C48" s="5" t="str">
        <f ca="1">IFERROR(__xludf.DUMMYFUNCTION("""COMPUTED_VALUE"""),"ASG-32Mi")</f>
        <v>ASG-32Mi</v>
      </c>
      <c r="D48" s="5" t="str">
        <f ca="1">IFERROR(__xludf.DUMMYFUNCTION("""COMPUTED_VALUE"""),"LandPlane")</f>
        <v>LandPlane</v>
      </c>
      <c r="E48" s="5" t="str">
        <f ca="1">IFERROR(__xludf.DUMMYFUNCTION("""COMPUTED_VALUE"""),"Piston")</f>
        <v>Piston</v>
      </c>
      <c r="F48" s="5">
        <f ca="1">IFERROR(__xludf.DUMMYFUNCTION("""COMPUTED_VALUE"""),1)</f>
        <v>1</v>
      </c>
    </row>
    <row r="49" spans="1:6" ht="15" customHeight="1" x14ac:dyDescent="0.2">
      <c r="A49" s="5" t="str">
        <f ca="1">IFERROR(__xludf.DUMMYFUNCTION("""COMPUTED_VALUE"""),"A33")</f>
        <v>A33</v>
      </c>
      <c r="B49" s="5" t="str">
        <f ca="1">IFERROR(__xludf.DUMMYFUNCTION("""COMPUTED_VALUE"""),"AEROPRACT")</f>
        <v>AEROPRACT</v>
      </c>
      <c r="C49" s="5" t="str">
        <f ca="1">IFERROR(__xludf.DUMMYFUNCTION("""COMPUTED_VALUE"""),"A-33")</f>
        <v>A-33</v>
      </c>
      <c r="D49" s="5" t="str">
        <f ca="1">IFERROR(__xludf.DUMMYFUNCTION("""COMPUTED_VALUE"""),"LandPlane")</f>
        <v>LandPlane</v>
      </c>
      <c r="E49" s="5" t="str">
        <f ca="1">IFERROR(__xludf.DUMMYFUNCTION("""COMPUTED_VALUE"""),"Piston")</f>
        <v>Piston</v>
      </c>
      <c r="F49" s="5">
        <f ca="1">IFERROR(__xludf.DUMMYFUNCTION("""COMPUTED_VALUE"""),1)</f>
        <v>1</v>
      </c>
    </row>
    <row r="50" spans="1:6" ht="15" customHeight="1" x14ac:dyDescent="0.2">
      <c r="A50" s="5" t="str">
        <f ca="1">IFERROR(__xludf.DUMMYFUNCTION("""COMPUTED_VALUE"""),"A332")</f>
        <v>A332</v>
      </c>
      <c r="B50" s="5" t="str">
        <f ca="1">IFERROR(__xludf.DUMMYFUNCTION("""COMPUTED_VALUE"""),"AIRBUS")</f>
        <v>AIRBUS</v>
      </c>
      <c r="C50" s="5" t="str">
        <f ca="1">IFERROR(__xludf.DUMMYFUNCTION("""COMPUTED_VALUE"""),"A-330-200")</f>
        <v>A-330-200</v>
      </c>
      <c r="D50" s="5" t="str">
        <f ca="1">IFERROR(__xludf.DUMMYFUNCTION("""COMPUTED_VALUE"""),"LandPlane")</f>
        <v>LandPlane</v>
      </c>
      <c r="E50" s="5" t="str">
        <f ca="1">IFERROR(__xludf.DUMMYFUNCTION("""COMPUTED_VALUE"""),"Jet")</f>
        <v>Jet</v>
      </c>
      <c r="F50" s="5">
        <f ca="1">IFERROR(__xludf.DUMMYFUNCTION("""COMPUTED_VALUE"""),2)</f>
        <v>2</v>
      </c>
    </row>
    <row r="51" spans="1:6" ht="15" customHeight="1" x14ac:dyDescent="0.2">
      <c r="A51" s="5" t="str">
        <f ca="1">IFERROR(__xludf.DUMMYFUNCTION("""COMPUTED_VALUE"""),"A333")</f>
        <v>A333</v>
      </c>
      <c r="B51" s="5" t="str">
        <f ca="1">IFERROR(__xludf.DUMMYFUNCTION("""COMPUTED_VALUE"""),"AIRBUS")</f>
        <v>AIRBUS</v>
      </c>
      <c r="C51" s="5" t="str">
        <f ca="1">IFERROR(__xludf.DUMMYFUNCTION("""COMPUTED_VALUE"""),"A-330-300")</f>
        <v>A-330-300</v>
      </c>
      <c r="D51" s="5" t="str">
        <f ca="1">IFERROR(__xludf.DUMMYFUNCTION("""COMPUTED_VALUE"""),"LandPlane")</f>
        <v>LandPlane</v>
      </c>
      <c r="E51" s="5" t="str">
        <f ca="1">IFERROR(__xludf.DUMMYFUNCTION("""COMPUTED_VALUE"""),"Jet")</f>
        <v>Jet</v>
      </c>
      <c r="F51" s="5">
        <f ca="1">IFERROR(__xludf.DUMMYFUNCTION("""COMPUTED_VALUE"""),2)</f>
        <v>2</v>
      </c>
    </row>
    <row r="52" spans="1:6" ht="15" customHeight="1" x14ac:dyDescent="0.2">
      <c r="A52" s="5" t="str">
        <f ca="1">IFERROR(__xludf.DUMMYFUNCTION("""COMPUTED_VALUE"""),"A337")</f>
        <v>A337</v>
      </c>
      <c r="B52" s="5" t="str">
        <f ca="1">IFERROR(__xludf.DUMMYFUNCTION("""COMPUTED_VALUE"""),"AIRBUS")</f>
        <v>AIRBUS</v>
      </c>
      <c r="C52" s="5" t="str">
        <f ca="1">IFERROR(__xludf.DUMMYFUNCTION("""COMPUTED_VALUE"""),"A-330-700 Beluga XL")</f>
        <v>A-330-700 Beluga XL</v>
      </c>
      <c r="D52" s="5" t="str">
        <f ca="1">IFERROR(__xludf.DUMMYFUNCTION("""COMPUTED_VALUE"""),"LandPlane")</f>
        <v>LandPlane</v>
      </c>
      <c r="E52" s="5" t="str">
        <f ca="1">IFERROR(__xludf.DUMMYFUNCTION("""COMPUTED_VALUE"""),"Jet")</f>
        <v>Jet</v>
      </c>
      <c r="F52" s="5">
        <f ca="1">IFERROR(__xludf.DUMMYFUNCTION("""COMPUTED_VALUE"""),2)</f>
        <v>2</v>
      </c>
    </row>
    <row r="53" spans="1:6" ht="15" customHeight="1" x14ac:dyDescent="0.2">
      <c r="A53" s="5" t="str">
        <f ca="1">IFERROR(__xludf.DUMMYFUNCTION("""COMPUTED_VALUE"""),"A337")</f>
        <v>A337</v>
      </c>
      <c r="B53" s="5" t="str">
        <f ca="1">IFERROR(__xludf.DUMMYFUNCTION("""COMPUTED_VALUE"""),"AIRBUS")</f>
        <v>AIRBUS</v>
      </c>
      <c r="C53" s="5" t="str">
        <f ca="1">IFERROR(__xludf.DUMMYFUNCTION("""COMPUTED_VALUE"""),"Beluga XL")</f>
        <v>Beluga XL</v>
      </c>
      <c r="D53" s="5" t="str">
        <f ca="1">IFERROR(__xludf.DUMMYFUNCTION("""COMPUTED_VALUE"""),"LandPlane")</f>
        <v>LandPlane</v>
      </c>
      <c r="E53" s="5" t="str">
        <f ca="1">IFERROR(__xludf.DUMMYFUNCTION("""COMPUTED_VALUE"""),"Jet")</f>
        <v>Jet</v>
      </c>
      <c r="F53" s="5">
        <f ca="1">IFERROR(__xludf.DUMMYFUNCTION("""COMPUTED_VALUE"""),2)</f>
        <v>2</v>
      </c>
    </row>
    <row r="54" spans="1:6" ht="15" customHeight="1" x14ac:dyDescent="0.2">
      <c r="A54" s="5" t="str">
        <f ca="1">IFERROR(__xludf.DUMMYFUNCTION("""COMPUTED_VALUE"""),"A338")</f>
        <v>A338</v>
      </c>
      <c r="B54" s="5" t="str">
        <f ca="1">IFERROR(__xludf.DUMMYFUNCTION("""COMPUTED_VALUE"""),"AIRBUS")</f>
        <v>AIRBUS</v>
      </c>
      <c r="C54" s="5" t="str">
        <f ca="1">IFERROR(__xludf.DUMMYFUNCTION("""COMPUTED_VALUE"""),"A-330-800")</f>
        <v>A-330-800</v>
      </c>
      <c r="D54" s="5" t="str">
        <f ca="1">IFERROR(__xludf.DUMMYFUNCTION("""COMPUTED_VALUE"""),"LandPlane")</f>
        <v>LandPlane</v>
      </c>
      <c r="E54" s="5" t="str">
        <f ca="1">IFERROR(__xludf.DUMMYFUNCTION("""COMPUTED_VALUE"""),"Jet")</f>
        <v>Jet</v>
      </c>
      <c r="F54" s="5">
        <f ca="1">IFERROR(__xludf.DUMMYFUNCTION("""COMPUTED_VALUE"""),2)</f>
        <v>2</v>
      </c>
    </row>
    <row r="55" spans="1:6" ht="15" customHeight="1" x14ac:dyDescent="0.2">
      <c r="A55" s="5" t="str">
        <f ca="1">IFERROR(__xludf.DUMMYFUNCTION("""COMPUTED_VALUE"""),"A339")</f>
        <v>A339</v>
      </c>
      <c r="B55" s="5" t="str">
        <f ca="1">IFERROR(__xludf.DUMMYFUNCTION("""COMPUTED_VALUE"""),"AIRBUS")</f>
        <v>AIRBUS</v>
      </c>
      <c r="C55" s="5" t="str">
        <f ca="1">IFERROR(__xludf.DUMMYFUNCTION("""COMPUTED_VALUE"""),"A-330-900")</f>
        <v>A-330-900</v>
      </c>
      <c r="D55" s="5" t="str">
        <f ca="1">IFERROR(__xludf.DUMMYFUNCTION("""COMPUTED_VALUE"""),"LandPlane")</f>
        <v>LandPlane</v>
      </c>
      <c r="E55" s="5" t="str">
        <f ca="1">IFERROR(__xludf.DUMMYFUNCTION("""COMPUTED_VALUE"""),"Jet")</f>
        <v>Jet</v>
      </c>
      <c r="F55" s="5">
        <f ca="1">IFERROR(__xludf.DUMMYFUNCTION("""COMPUTED_VALUE"""),2)</f>
        <v>2</v>
      </c>
    </row>
    <row r="56" spans="1:6" ht="15" customHeight="1" x14ac:dyDescent="0.2">
      <c r="A56" s="5" t="str">
        <f ca="1">IFERROR(__xludf.DUMMYFUNCTION("""COMPUTED_VALUE"""),"A33E")</f>
        <v>A33E</v>
      </c>
      <c r="B56" s="5" t="str">
        <f ca="1">IFERROR(__xludf.DUMMYFUNCTION("""COMPUTED_VALUE"""),"SCHLEICHER")</f>
        <v>SCHLEICHER</v>
      </c>
      <c r="C56" s="5" t="str">
        <f ca="1">IFERROR(__xludf.DUMMYFUNCTION("""COMPUTED_VALUE"""),"AS-33Me")</f>
        <v>AS-33Me</v>
      </c>
      <c r="D56" s="5" t="str">
        <f ca="1">IFERROR(__xludf.DUMMYFUNCTION("""COMPUTED_VALUE"""),"LandPlane")</f>
        <v>LandPlane</v>
      </c>
      <c r="E56" s="5" t="str">
        <f ca="1">IFERROR(__xludf.DUMMYFUNCTION("""COMPUTED_VALUE"""),"Electric")</f>
        <v>Electric</v>
      </c>
      <c r="F56" s="5">
        <f ca="1">IFERROR(__xludf.DUMMYFUNCTION("""COMPUTED_VALUE"""),1)</f>
        <v>1</v>
      </c>
    </row>
    <row r="57" spans="1:6" ht="15" customHeight="1" x14ac:dyDescent="0.2">
      <c r="A57" s="5" t="str">
        <f ca="1">IFERROR(__xludf.DUMMYFUNCTION("""COMPUTED_VALUE"""),"A33P")</f>
        <v>A33P</v>
      </c>
      <c r="B57" s="5" t="str">
        <f ca="1">IFERROR(__xludf.DUMMYFUNCTION("""COMPUTED_VALUE"""),"SCHLEICHER")</f>
        <v>SCHLEICHER</v>
      </c>
      <c r="C57" s="5" t="str">
        <f ca="1">IFERROR(__xludf.DUMMYFUNCTION("""COMPUTED_VALUE"""),"AS-33Es")</f>
        <v>AS-33Es</v>
      </c>
      <c r="D57" s="5" t="str">
        <f ca="1">IFERROR(__xludf.DUMMYFUNCTION("""COMPUTED_VALUE"""),"LandPlane")</f>
        <v>LandPlane</v>
      </c>
      <c r="E57" s="5" t="str">
        <f ca="1">IFERROR(__xludf.DUMMYFUNCTION("""COMPUTED_VALUE"""),"Piston")</f>
        <v>Piston</v>
      </c>
      <c r="F57" s="5">
        <f ca="1">IFERROR(__xludf.DUMMYFUNCTION("""COMPUTED_VALUE"""),1)</f>
        <v>1</v>
      </c>
    </row>
    <row r="58" spans="1:6" ht="15" customHeight="1" x14ac:dyDescent="0.2">
      <c r="A58" s="5" t="str">
        <f ca="1">IFERROR(__xludf.DUMMYFUNCTION("""COMPUTED_VALUE"""),"A342")</f>
        <v>A342</v>
      </c>
      <c r="B58" s="5" t="str">
        <f ca="1">IFERROR(__xludf.DUMMYFUNCTION("""COMPUTED_VALUE"""),"AIRBUS")</f>
        <v>AIRBUS</v>
      </c>
      <c r="C58" s="5" t="str">
        <f ca="1">IFERROR(__xludf.DUMMYFUNCTION("""COMPUTED_VALUE"""),"A-340-200")</f>
        <v>A-340-200</v>
      </c>
      <c r="D58" s="5" t="str">
        <f ca="1">IFERROR(__xludf.DUMMYFUNCTION("""COMPUTED_VALUE"""),"LandPlane")</f>
        <v>LandPlane</v>
      </c>
      <c r="E58" s="5" t="str">
        <f ca="1">IFERROR(__xludf.DUMMYFUNCTION("""COMPUTED_VALUE"""),"Jet")</f>
        <v>Jet</v>
      </c>
      <c r="F58" s="5">
        <f ca="1">IFERROR(__xludf.DUMMYFUNCTION("""COMPUTED_VALUE"""),4)</f>
        <v>4</v>
      </c>
    </row>
    <row r="59" spans="1:6" ht="15" customHeight="1" x14ac:dyDescent="0.2">
      <c r="A59" s="5" t="str">
        <f ca="1">IFERROR(__xludf.DUMMYFUNCTION("""COMPUTED_VALUE"""),"A343")</f>
        <v>A343</v>
      </c>
      <c r="B59" s="5" t="str">
        <f ca="1">IFERROR(__xludf.DUMMYFUNCTION("""COMPUTED_VALUE"""),"AIRBUS")</f>
        <v>AIRBUS</v>
      </c>
      <c r="C59" s="5" t="str">
        <f ca="1">IFERROR(__xludf.DUMMYFUNCTION("""COMPUTED_VALUE"""),"A-340-300")</f>
        <v>A-340-300</v>
      </c>
      <c r="D59" s="5" t="str">
        <f ca="1">IFERROR(__xludf.DUMMYFUNCTION("""COMPUTED_VALUE"""),"LandPlane")</f>
        <v>LandPlane</v>
      </c>
      <c r="E59" s="5" t="str">
        <f ca="1">IFERROR(__xludf.DUMMYFUNCTION("""COMPUTED_VALUE"""),"Jet")</f>
        <v>Jet</v>
      </c>
      <c r="F59" s="5">
        <f ca="1">IFERROR(__xludf.DUMMYFUNCTION("""COMPUTED_VALUE"""),4)</f>
        <v>4</v>
      </c>
    </row>
    <row r="60" spans="1:6" ht="15" customHeight="1" x14ac:dyDescent="0.2">
      <c r="A60" s="5" t="str">
        <f ca="1">IFERROR(__xludf.DUMMYFUNCTION("""COMPUTED_VALUE"""),"A345")</f>
        <v>A345</v>
      </c>
      <c r="B60" s="5" t="str">
        <f ca="1">IFERROR(__xludf.DUMMYFUNCTION("""COMPUTED_VALUE"""),"AIRBUS")</f>
        <v>AIRBUS</v>
      </c>
      <c r="C60" s="5" t="str">
        <f ca="1">IFERROR(__xludf.DUMMYFUNCTION("""COMPUTED_VALUE"""),"A-340-500")</f>
        <v>A-340-500</v>
      </c>
      <c r="D60" s="5" t="str">
        <f ca="1">IFERROR(__xludf.DUMMYFUNCTION("""COMPUTED_VALUE"""),"LandPlane")</f>
        <v>LandPlane</v>
      </c>
      <c r="E60" s="5" t="str">
        <f ca="1">IFERROR(__xludf.DUMMYFUNCTION("""COMPUTED_VALUE"""),"Jet")</f>
        <v>Jet</v>
      </c>
      <c r="F60" s="5">
        <f ca="1">IFERROR(__xludf.DUMMYFUNCTION("""COMPUTED_VALUE"""),4)</f>
        <v>4</v>
      </c>
    </row>
    <row r="61" spans="1:6" ht="15" customHeight="1" x14ac:dyDescent="0.2">
      <c r="A61" s="5" t="str">
        <f ca="1">IFERROR(__xludf.DUMMYFUNCTION("""COMPUTED_VALUE"""),"A346")</f>
        <v>A346</v>
      </c>
      <c r="B61" s="5" t="str">
        <f ca="1">IFERROR(__xludf.DUMMYFUNCTION("""COMPUTED_VALUE"""),"AIRBUS")</f>
        <v>AIRBUS</v>
      </c>
      <c r="C61" s="5" t="str">
        <f ca="1">IFERROR(__xludf.DUMMYFUNCTION("""COMPUTED_VALUE"""),"A-340-600")</f>
        <v>A-340-600</v>
      </c>
      <c r="D61" s="5" t="str">
        <f ca="1">IFERROR(__xludf.DUMMYFUNCTION("""COMPUTED_VALUE"""),"LandPlane")</f>
        <v>LandPlane</v>
      </c>
      <c r="E61" s="5" t="str">
        <f ca="1">IFERROR(__xludf.DUMMYFUNCTION("""COMPUTED_VALUE"""),"Jet")</f>
        <v>Jet</v>
      </c>
      <c r="F61" s="5">
        <f ca="1">IFERROR(__xludf.DUMMYFUNCTION("""COMPUTED_VALUE"""),4)</f>
        <v>4</v>
      </c>
    </row>
    <row r="62" spans="1:6" ht="15" customHeight="1" x14ac:dyDescent="0.2">
      <c r="A62" s="5" t="str">
        <f ca="1">IFERROR(__xludf.DUMMYFUNCTION("""COMPUTED_VALUE"""),"A34E")</f>
        <v>A34E</v>
      </c>
      <c r="B62" s="5" t="str">
        <f ca="1">IFERROR(__xludf.DUMMYFUNCTION("""COMPUTED_VALUE"""),"SCHLEICHER")</f>
        <v>SCHLEICHER</v>
      </c>
      <c r="C62" s="5" t="str">
        <f ca="1">IFERROR(__xludf.DUMMYFUNCTION("""COMPUTED_VALUE"""),"AS-34Me")</f>
        <v>AS-34Me</v>
      </c>
      <c r="D62" s="5" t="str">
        <f ca="1">IFERROR(__xludf.DUMMYFUNCTION("""COMPUTED_VALUE"""),"LandPlane")</f>
        <v>LandPlane</v>
      </c>
      <c r="E62" s="5" t="str">
        <f ca="1">IFERROR(__xludf.DUMMYFUNCTION("""COMPUTED_VALUE"""),"Electric")</f>
        <v>Electric</v>
      </c>
      <c r="F62" s="5">
        <f ca="1">IFERROR(__xludf.DUMMYFUNCTION("""COMPUTED_VALUE"""),1)</f>
        <v>1</v>
      </c>
    </row>
    <row r="63" spans="1:6" ht="15" customHeight="1" x14ac:dyDescent="0.2">
      <c r="A63" s="5" t="str">
        <f ca="1">IFERROR(__xludf.DUMMYFUNCTION("""COMPUTED_VALUE"""),"A35")</f>
        <v>A35</v>
      </c>
      <c r="B63" s="5" t="str">
        <f ca="1">IFERROR(__xludf.DUMMYFUNCTION("""COMPUTED_VALUE"""),"AVANTAGE")</f>
        <v>AVANTAGE</v>
      </c>
      <c r="C63" s="5" t="str">
        <f ca="1">IFERROR(__xludf.DUMMYFUNCTION("""COMPUTED_VALUE"""),"A-35 Scanner")</f>
        <v>A-35 Scanner</v>
      </c>
      <c r="D63" s="5" t="str">
        <f ca="1">IFERROR(__xludf.DUMMYFUNCTION("""COMPUTED_VALUE"""),"LandPlane")</f>
        <v>LandPlane</v>
      </c>
      <c r="E63" s="5" t="str">
        <f ca="1">IFERROR(__xludf.DUMMYFUNCTION("""COMPUTED_VALUE"""),"Piston")</f>
        <v>Piston</v>
      </c>
      <c r="F63" s="5">
        <f ca="1">IFERROR(__xludf.DUMMYFUNCTION("""COMPUTED_VALUE"""),1)</f>
        <v>1</v>
      </c>
    </row>
    <row r="64" spans="1:6" ht="15" customHeight="1" x14ac:dyDescent="0.2">
      <c r="A64" s="5" t="str">
        <f ca="1">IFERROR(__xludf.DUMMYFUNCTION("""COMPUTED_VALUE"""),"A35")</f>
        <v>A35</v>
      </c>
      <c r="B64" s="5" t="str">
        <f ca="1">IFERROR(__xludf.DUMMYFUNCTION("""COMPUTED_VALUE"""),"AVANTAGE")</f>
        <v>AVANTAGE</v>
      </c>
      <c r="C64" s="5" t="str">
        <f ca="1">IFERROR(__xludf.DUMMYFUNCTION("""COMPUTED_VALUE"""),"Scanner")</f>
        <v>Scanner</v>
      </c>
      <c r="D64" s="5" t="str">
        <f ca="1">IFERROR(__xludf.DUMMYFUNCTION("""COMPUTED_VALUE"""),"LandPlane")</f>
        <v>LandPlane</v>
      </c>
      <c r="E64" s="5" t="str">
        <f ca="1">IFERROR(__xludf.DUMMYFUNCTION("""COMPUTED_VALUE"""),"Piston")</f>
        <v>Piston</v>
      </c>
      <c r="F64" s="5">
        <f ca="1">IFERROR(__xludf.DUMMYFUNCTION("""COMPUTED_VALUE"""),1)</f>
        <v>1</v>
      </c>
    </row>
    <row r="65" spans="1:6" ht="15" customHeight="1" x14ac:dyDescent="0.2">
      <c r="A65" s="5" t="str">
        <f ca="1">IFERROR(__xludf.DUMMYFUNCTION("""COMPUTED_VALUE"""),"A359")</f>
        <v>A359</v>
      </c>
      <c r="B65" s="5" t="str">
        <f ca="1">IFERROR(__xludf.DUMMYFUNCTION("""COMPUTED_VALUE"""),"AIRBUS")</f>
        <v>AIRBUS</v>
      </c>
      <c r="C65" s="5" t="str">
        <f ca="1">IFERROR(__xludf.DUMMYFUNCTION("""COMPUTED_VALUE"""),"A-350-900 XWB")</f>
        <v>A-350-900 XWB</v>
      </c>
      <c r="D65" s="5" t="str">
        <f ca="1">IFERROR(__xludf.DUMMYFUNCTION("""COMPUTED_VALUE"""),"LandPlane")</f>
        <v>LandPlane</v>
      </c>
      <c r="E65" s="5" t="str">
        <f ca="1">IFERROR(__xludf.DUMMYFUNCTION("""COMPUTED_VALUE"""),"Jet")</f>
        <v>Jet</v>
      </c>
      <c r="F65" s="5">
        <f ca="1">IFERROR(__xludf.DUMMYFUNCTION("""COMPUTED_VALUE"""),2)</f>
        <v>2</v>
      </c>
    </row>
    <row r="66" spans="1:6" ht="15" customHeight="1" x14ac:dyDescent="0.2">
      <c r="A66" s="5" t="str">
        <f ca="1">IFERROR(__xludf.DUMMYFUNCTION("""COMPUTED_VALUE"""),"A35K")</f>
        <v>A35K</v>
      </c>
      <c r="B66" s="5" t="str">
        <f ca="1">IFERROR(__xludf.DUMMYFUNCTION("""COMPUTED_VALUE"""),"AIRBUS")</f>
        <v>AIRBUS</v>
      </c>
      <c r="C66" s="5" t="str">
        <f ca="1">IFERROR(__xludf.DUMMYFUNCTION("""COMPUTED_VALUE"""),"A-350-1000 XWB")</f>
        <v>A-350-1000 XWB</v>
      </c>
      <c r="D66" s="5" t="str">
        <f ca="1">IFERROR(__xludf.DUMMYFUNCTION("""COMPUTED_VALUE"""),"LandPlane")</f>
        <v>LandPlane</v>
      </c>
      <c r="E66" s="5" t="str">
        <f ca="1">IFERROR(__xludf.DUMMYFUNCTION("""COMPUTED_VALUE"""),"Jet")</f>
        <v>Jet</v>
      </c>
      <c r="F66" s="5">
        <f ca="1">IFERROR(__xludf.DUMMYFUNCTION("""COMPUTED_VALUE"""),2)</f>
        <v>2</v>
      </c>
    </row>
    <row r="67" spans="1:6" ht="15" customHeight="1" x14ac:dyDescent="0.2">
      <c r="A67" s="5" t="str">
        <f ca="1">IFERROR(__xludf.DUMMYFUNCTION("""COMPUTED_VALUE"""),"A37")</f>
        <v>A37</v>
      </c>
      <c r="B67" s="5" t="str">
        <f ca="1">IFERROR(__xludf.DUMMYFUNCTION("""COMPUTED_VALUE"""),"CESSNA")</f>
        <v>CESSNA</v>
      </c>
      <c r="C67" s="5" t="str">
        <f ca="1">IFERROR(__xludf.DUMMYFUNCTION("""COMPUTED_VALUE"""),"A-37 Dragonfly")</f>
        <v>A-37 Dragonfly</v>
      </c>
      <c r="D67" s="5" t="str">
        <f ca="1">IFERROR(__xludf.DUMMYFUNCTION("""COMPUTED_VALUE"""),"LandPlane")</f>
        <v>LandPlane</v>
      </c>
      <c r="E67" s="5" t="str">
        <f ca="1">IFERROR(__xludf.DUMMYFUNCTION("""COMPUTED_VALUE"""),"Jet")</f>
        <v>Jet</v>
      </c>
      <c r="F67" s="5">
        <f ca="1">IFERROR(__xludf.DUMMYFUNCTION("""COMPUTED_VALUE"""),2)</f>
        <v>2</v>
      </c>
    </row>
    <row r="68" spans="1:6" ht="15" customHeight="1" x14ac:dyDescent="0.2">
      <c r="A68" s="5" t="str">
        <f ca="1">IFERROR(__xludf.DUMMYFUNCTION("""COMPUTED_VALUE"""),"A388")</f>
        <v>A388</v>
      </c>
      <c r="B68" s="5" t="str">
        <f ca="1">IFERROR(__xludf.DUMMYFUNCTION("""COMPUTED_VALUE"""),"AIRBUS")</f>
        <v>AIRBUS</v>
      </c>
      <c r="C68" s="5" t="str">
        <f ca="1">IFERROR(__xludf.DUMMYFUNCTION("""COMPUTED_VALUE"""),"A-380-800")</f>
        <v>A-380-800</v>
      </c>
      <c r="D68" s="5" t="str">
        <f ca="1">IFERROR(__xludf.DUMMYFUNCTION("""COMPUTED_VALUE"""),"LandPlane")</f>
        <v>LandPlane</v>
      </c>
      <c r="E68" s="5" t="str">
        <f ca="1">IFERROR(__xludf.DUMMYFUNCTION("""COMPUTED_VALUE"""),"Jet")</f>
        <v>Jet</v>
      </c>
      <c r="F68" s="5">
        <f ca="1">IFERROR(__xludf.DUMMYFUNCTION("""COMPUTED_VALUE"""),4)</f>
        <v>4</v>
      </c>
    </row>
    <row r="69" spans="1:6" ht="15" customHeight="1" x14ac:dyDescent="0.2">
      <c r="A69" s="5" t="str">
        <f ca="1">IFERROR(__xludf.DUMMYFUNCTION("""COMPUTED_VALUE"""),"A3ST")</f>
        <v>A3ST</v>
      </c>
      <c r="B69" s="5" t="str">
        <f ca="1">IFERROR(__xludf.DUMMYFUNCTION("""COMPUTED_VALUE"""),"AIRBUS")</f>
        <v>AIRBUS</v>
      </c>
      <c r="C69" s="5" t="str">
        <f ca="1">IFERROR(__xludf.DUMMYFUNCTION("""COMPUTED_VALUE"""),"A-300ST Beluga")</f>
        <v>A-300ST Beluga</v>
      </c>
      <c r="D69" s="5" t="str">
        <f ca="1">IFERROR(__xludf.DUMMYFUNCTION("""COMPUTED_VALUE"""),"LandPlane")</f>
        <v>LandPlane</v>
      </c>
      <c r="E69" s="5" t="str">
        <f ca="1">IFERROR(__xludf.DUMMYFUNCTION("""COMPUTED_VALUE"""),"Jet")</f>
        <v>Jet</v>
      </c>
      <c r="F69" s="5">
        <f ca="1">IFERROR(__xludf.DUMMYFUNCTION("""COMPUTED_VALUE"""),2)</f>
        <v>2</v>
      </c>
    </row>
    <row r="70" spans="1:6" ht="15" customHeight="1" x14ac:dyDescent="0.2">
      <c r="A70" s="5" t="str">
        <f ca="1">IFERROR(__xludf.DUMMYFUNCTION("""COMPUTED_VALUE"""),"A4")</f>
        <v>A4</v>
      </c>
      <c r="B70" s="5" t="str">
        <f ca="1">IFERROR(__xludf.DUMMYFUNCTION("""COMPUTED_VALUE"""),"MCDONNELL DOUGLAS")</f>
        <v>MCDONNELL DOUGLAS</v>
      </c>
      <c r="C70" s="5" t="str">
        <f ca="1">IFERROR(__xludf.DUMMYFUNCTION("""COMPUTED_VALUE"""),"A-4 Skyhawk")</f>
        <v>A-4 Skyhawk</v>
      </c>
      <c r="D70" s="5" t="str">
        <f ca="1">IFERROR(__xludf.DUMMYFUNCTION("""COMPUTED_VALUE"""),"LandPlane")</f>
        <v>LandPlane</v>
      </c>
      <c r="E70" s="5" t="str">
        <f ca="1">IFERROR(__xludf.DUMMYFUNCTION("""COMPUTED_VALUE"""),"Jet")</f>
        <v>Jet</v>
      </c>
      <c r="F70" s="5">
        <f ca="1">IFERROR(__xludf.DUMMYFUNCTION("""COMPUTED_VALUE"""),1)</f>
        <v>1</v>
      </c>
    </row>
    <row r="71" spans="1:6" ht="15" customHeight="1" x14ac:dyDescent="0.2">
      <c r="A71" s="5" t="str">
        <f ca="1">IFERROR(__xludf.DUMMYFUNCTION("""COMPUTED_VALUE"""),"A400")</f>
        <v>A400</v>
      </c>
      <c r="B71" s="5" t="str">
        <f ca="1">IFERROR(__xludf.DUMMYFUNCTION("""COMPUTED_VALUE"""),"AIRBUS")</f>
        <v>AIRBUS</v>
      </c>
      <c r="C71" s="5" t="str">
        <f ca="1">IFERROR(__xludf.DUMMYFUNCTION("""COMPUTED_VALUE"""),"A-400M Atlas")</f>
        <v>A-400M Atlas</v>
      </c>
      <c r="D71" s="5" t="str">
        <f ca="1">IFERROR(__xludf.DUMMYFUNCTION("""COMPUTED_VALUE"""),"LandPlane")</f>
        <v>LandPlane</v>
      </c>
      <c r="E71" s="5" t="str">
        <f ca="1">IFERROR(__xludf.DUMMYFUNCTION("""COMPUTED_VALUE"""),"Turboprop/Turboshaft")</f>
        <v>Turboprop/Turboshaft</v>
      </c>
      <c r="F71" s="5">
        <f ca="1">IFERROR(__xludf.DUMMYFUNCTION("""COMPUTED_VALUE"""),4)</f>
        <v>4</v>
      </c>
    </row>
    <row r="72" spans="1:6" ht="15" customHeight="1" x14ac:dyDescent="0.2">
      <c r="A72" s="5" t="str">
        <f ca="1">IFERROR(__xludf.DUMMYFUNCTION("""COMPUTED_VALUE"""),"A411")</f>
        <v>A411</v>
      </c>
      <c r="B72" s="5" t="str">
        <f ca="1">IFERROR(__xludf.DUMMYFUNCTION("""COMPUTED_VALUE"""),"OSKBES-MAI")</f>
        <v>OSKBES-MAI</v>
      </c>
      <c r="C72" s="5" t="str">
        <f ca="1">IFERROR(__xludf.DUMMYFUNCTION("""COMPUTED_VALUE"""),"MAI-411")</f>
        <v>MAI-411</v>
      </c>
      <c r="D72" s="5" t="str">
        <f ca="1">IFERROR(__xludf.DUMMYFUNCTION("""COMPUTED_VALUE"""),"LandPlane")</f>
        <v>LandPlane</v>
      </c>
      <c r="E72" s="5" t="str">
        <f ca="1">IFERROR(__xludf.DUMMYFUNCTION("""COMPUTED_VALUE"""),"Piston")</f>
        <v>Piston</v>
      </c>
      <c r="F72" s="5">
        <f ca="1">IFERROR(__xludf.DUMMYFUNCTION("""COMPUTED_VALUE"""),2)</f>
        <v>2</v>
      </c>
    </row>
    <row r="73" spans="1:6" ht="15" customHeight="1" x14ac:dyDescent="0.2">
      <c r="A73" s="5" t="str">
        <f ca="1">IFERROR(__xludf.DUMMYFUNCTION("""COMPUTED_VALUE"""),"A5")</f>
        <v>A5</v>
      </c>
      <c r="B73" s="5" t="str">
        <f ca="1">IFERROR(__xludf.DUMMYFUNCTION("""COMPUTED_VALUE"""),"ICON")</f>
        <v>ICON</v>
      </c>
      <c r="C73" s="5" t="str">
        <f ca="1">IFERROR(__xludf.DUMMYFUNCTION("""COMPUTED_VALUE"""),"A-5")</f>
        <v>A-5</v>
      </c>
      <c r="D73" s="5" t="str">
        <f ca="1">IFERROR(__xludf.DUMMYFUNCTION("""COMPUTED_VALUE"""),"Amphibian")</f>
        <v>Amphibian</v>
      </c>
      <c r="E73" s="5" t="str">
        <f ca="1">IFERROR(__xludf.DUMMYFUNCTION("""COMPUTED_VALUE"""),"Piston")</f>
        <v>Piston</v>
      </c>
      <c r="F73" s="5">
        <f ca="1">IFERROR(__xludf.DUMMYFUNCTION("""COMPUTED_VALUE"""),1)</f>
        <v>1</v>
      </c>
    </row>
    <row r="74" spans="1:6" ht="15" customHeight="1" x14ac:dyDescent="0.2">
      <c r="A74" s="5" t="str">
        <f ca="1">IFERROR(__xludf.DUMMYFUNCTION("""COMPUTED_VALUE"""),"A50")</f>
        <v>A50</v>
      </c>
      <c r="B74" s="5" t="str">
        <f ca="1">IFERROR(__xludf.DUMMYFUNCTION("""COMPUTED_VALUE"""),"BERIEV")</f>
        <v>BERIEV</v>
      </c>
      <c r="C74" s="5" t="str">
        <f ca="1">IFERROR(__xludf.DUMMYFUNCTION("""COMPUTED_VALUE"""),"A-50")</f>
        <v>A-50</v>
      </c>
      <c r="D74" s="5" t="str">
        <f ca="1">IFERROR(__xludf.DUMMYFUNCTION("""COMPUTED_VALUE"""),"LandPlane")</f>
        <v>LandPlane</v>
      </c>
      <c r="E74" s="5" t="str">
        <f ca="1">IFERROR(__xludf.DUMMYFUNCTION("""COMPUTED_VALUE"""),"Jet")</f>
        <v>Jet</v>
      </c>
      <c r="F74" s="5">
        <f ca="1">IFERROR(__xludf.DUMMYFUNCTION("""COMPUTED_VALUE"""),4)</f>
        <v>4</v>
      </c>
    </row>
    <row r="75" spans="1:6" ht="15" customHeight="1" x14ac:dyDescent="0.2">
      <c r="A75" s="5" t="str">
        <f ca="1">IFERROR(__xludf.DUMMYFUNCTION("""COMPUTED_VALUE"""),"A500")</f>
        <v>A500</v>
      </c>
      <c r="B75" s="5" t="str">
        <f ca="1">IFERROR(__xludf.DUMMYFUNCTION("""COMPUTED_VALUE"""),"ADAM (2)")</f>
        <v>ADAM (2)</v>
      </c>
      <c r="C75" s="5" t="str">
        <f ca="1">IFERROR(__xludf.DUMMYFUNCTION("""COMPUTED_VALUE"""),"A-500 CarbonAero")</f>
        <v>A-500 CarbonAero</v>
      </c>
      <c r="D75" s="5" t="str">
        <f ca="1">IFERROR(__xludf.DUMMYFUNCTION("""COMPUTED_VALUE"""),"LandPlane")</f>
        <v>LandPlane</v>
      </c>
      <c r="E75" s="5" t="str">
        <f ca="1">IFERROR(__xludf.DUMMYFUNCTION("""COMPUTED_VALUE"""),"Piston")</f>
        <v>Piston</v>
      </c>
      <c r="F75" s="5">
        <f ca="1">IFERROR(__xludf.DUMMYFUNCTION("""COMPUTED_VALUE"""),2)</f>
        <v>2</v>
      </c>
    </row>
    <row r="76" spans="1:6" ht="15" customHeight="1" x14ac:dyDescent="0.2">
      <c r="A76" s="5" t="str">
        <f ca="1">IFERROR(__xludf.DUMMYFUNCTION("""COMPUTED_VALUE"""),"A504")</f>
        <v>A504</v>
      </c>
      <c r="B76" s="5" t="str">
        <f ca="1">IFERROR(__xludf.DUMMYFUNCTION("""COMPUTED_VALUE"""),"AVRO")</f>
        <v>AVRO</v>
      </c>
      <c r="C76" s="5" t="str">
        <f ca="1">IFERROR(__xludf.DUMMYFUNCTION("""COMPUTED_VALUE"""),"504 Replica")</f>
        <v>504 Replica</v>
      </c>
      <c r="D76" s="5" t="str">
        <f ca="1">IFERROR(__xludf.DUMMYFUNCTION("""COMPUTED_VALUE"""),"LandPlane")</f>
        <v>LandPlane</v>
      </c>
      <c r="E76" s="5" t="str">
        <f ca="1">IFERROR(__xludf.DUMMYFUNCTION("""COMPUTED_VALUE"""),"Piston")</f>
        <v>Piston</v>
      </c>
      <c r="F76" s="5">
        <f ca="1">IFERROR(__xludf.DUMMYFUNCTION("""COMPUTED_VALUE"""),1)</f>
        <v>1</v>
      </c>
    </row>
    <row r="77" spans="1:6" ht="15" customHeight="1" x14ac:dyDescent="0.2">
      <c r="A77" s="5" t="str">
        <f ca="1">IFERROR(__xludf.DUMMYFUNCTION("""COMPUTED_VALUE"""),"A6")</f>
        <v>A6</v>
      </c>
      <c r="B77" s="5" t="str">
        <f ca="1">IFERROR(__xludf.DUMMYFUNCTION("""COMPUTED_VALUE"""),"GRUMMAN")</f>
        <v>GRUMMAN</v>
      </c>
      <c r="C77" s="5" t="str">
        <f ca="1">IFERROR(__xludf.DUMMYFUNCTION("""COMPUTED_VALUE"""),"A-6 Intruder")</f>
        <v>A-6 Intruder</v>
      </c>
      <c r="D77" s="5" t="str">
        <f ca="1">IFERROR(__xludf.DUMMYFUNCTION("""COMPUTED_VALUE"""),"LandPlane")</f>
        <v>LandPlane</v>
      </c>
      <c r="E77" s="5" t="str">
        <f ca="1">IFERROR(__xludf.DUMMYFUNCTION("""COMPUTED_VALUE"""),"Jet")</f>
        <v>Jet</v>
      </c>
      <c r="F77" s="5">
        <f ca="1">IFERROR(__xludf.DUMMYFUNCTION("""COMPUTED_VALUE"""),2)</f>
        <v>2</v>
      </c>
    </row>
    <row r="78" spans="1:6" ht="15" customHeight="1" x14ac:dyDescent="0.2">
      <c r="A78" s="5" t="str">
        <f ca="1">IFERROR(__xludf.DUMMYFUNCTION("""COMPUTED_VALUE"""),"A600")</f>
        <v>A600</v>
      </c>
      <c r="B78" s="5" t="str">
        <f ca="1">IFERROR(__xludf.DUMMYFUNCTION("""COMPUTED_VALUE"""),"ROTORWAY")</f>
        <v>ROTORWAY</v>
      </c>
      <c r="C78" s="5" t="str">
        <f ca="1">IFERROR(__xludf.DUMMYFUNCTION("""COMPUTED_VALUE"""),"A-600 Talon")</f>
        <v>A-600 Talon</v>
      </c>
      <c r="D78" s="5" t="str">
        <f ca="1">IFERROR(__xludf.DUMMYFUNCTION("""COMPUTED_VALUE"""),"Helicopter")</f>
        <v>Helicopter</v>
      </c>
      <c r="E78" s="5" t="str">
        <f ca="1">IFERROR(__xludf.DUMMYFUNCTION("""COMPUTED_VALUE"""),"Piston")</f>
        <v>Piston</v>
      </c>
      <c r="F78" s="5">
        <f ca="1">IFERROR(__xludf.DUMMYFUNCTION("""COMPUTED_VALUE"""),1)</f>
        <v>1</v>
      </c>
    </row>
    <row r="79" spans="1:6" ht="15" customHeight="1" x14ac:dyDescent="0.2">
      <c r="A79" s="5" t="str">
        <f ca="1">IFERROR(__xludf.DUMMYFUNCTION("""COMPUTED_VALUE"""),"A660")</f>
        <v>A660</v>
      </c>
      <c r="B79" s="5" t="str">
        <f ca="1">IFERROR(__xludf.DUMMYFUNCTION("""COMPUTED_VALUE"""),"AYRES")</f>
        <v>AYRES</v>
      </c>
      <c r="C79" s="5" t="str">
        <f ca="1">IFERROR(__xludf.DUMMYFUNCTION("""COMPUTED_VALUE"""),"S-2R-T660 Turbo Thrush")</f>
        <v>S-2R-T660 Turbo Thrush</v>
      </c>
      <c r="D79" s="5" t="str">
        <f ca="1">IFERROR(__xludf.DUMMYFUNCTION("""COMPUTED_VALUE"""),"LandPlane")</f>
        <v>LandPlane</v>
      </c>
      <c r="E79" s="5" t="str">
        <f ca="1">IFERROR(__xludf.DUMMYFUNCTION("""COMPUTED_VALUE"""),"Turboprop/Turboshaft")</f>
        <v>Turboprop/Turboshaft</v>
      </c>
      <c r="F79" s="5">
        <f ca="1">IFERROR(__xludf.DUMMYFUNCTION("""COMPUTED_VALUE"""),1)</f>
        <v>1</v>
      </c>
    </row>
    <row r="80" spans="1:6" ht="15" customHeight="1" x14ac:dyDescent="0.2">
      <c r="A80" s="5" t="str">
        <f ca="1">IFERROR(__xludf.DUMMYFUNCTION("""COMPUTED_VALUE"""),"A700")</f>
        <v>A700</v>
      </c>
      <c r="B80" s="5" t="str">
        <f ca="1">IFERROR(__xludf.DUMMYFUNCTION("""COMPUTED_VALUE"""),"ADAM (2)")</f>
        <v>ADAM (2)</v>
      </c>
      <c r="C80" s="5" t="str">
        <f ca="1">IFERROR(__xludf.DUMMYFUNCTION("""COMPUTED_VALUE"""),"A-700 AdamJet")</f>
        <v>A-700 AdamJet</v>
      </c>
      <c r="D80" s="5" t="str">
        <f ca="1">IFERROR(__xludf.DUMMYFUNCTION("""COMPUTED_VALUE"""),"LandPlane")</f>
        <v>LandPlane</v>
      </c>
      <c r="E80" s="5" t="str">
        <f ca="1">IFERROR(__xludf.DUMMYFUNCTION("""COMPUTED_VALUE"""),"Jet")</f>
        <v>Jet</v>
      </c>
      <c r="F80" s="5">
        <f ca="1">IFERROR(__xludf.DUMMYFUNCTION("""COMPUTED_VALUE"""),2)</f>
        <v>2</v>
      </c>
    </row>
    <row r="81" spans="1:6" ht="15" customHeight="1" x14ac:dyDescent="0.2">
      <c r="A81" s="5" t="str">
        <f ca="1">IFERROR(__xludf.DUMMYFUNCTION("""COMPUTED_VALUE"""),"A743")</f>
        <v>A743</v>
      </c>
      <c r="B81" s="5" t="str">
        <f ca="1">IFERROR(__xludf.DUMMYFUNCTION("""COMPUTED_VALUE"""),"ANTONOV")</f>
        <v>ANTONOV</v>
      </c>
      <c r="C81" s="5" t="str">
        <f ca="1">IFERROR(__xludf.DUMMYFUNCTION("""COMPUTED_VALUE"""),"An-74-300")</f>
        <v>An-74-300</v>
      </c>
      <c r="D81" s="5" t="str">
        <f ca="1">IFERROR(__xludf.DUMMYFUNCTION("""COMPUTED_VALUE"""),"LandPlane")</f>
        <v>LandPlane</v>
      </c>
      <c r="E81" s="5" t="str">
        <f ca="1">IFERROR(__xludf.DUMMYFUNCTION("""COMPUTED_VALUE"""),"Jet")</f>
        <v>Jet</v>
      </c>
      <c r="F81" s="5">
        <f ca="1">IFERROR(__xludf.DUMMYFUNCTION("""COMPUTED_VALUE"""),2)</f>
        <v>2</v>
      </c>
    </row>
    <row r="82" spans="1:6" ht="15" customHeight="1" x14ac:dyDescent="0.2">
      <c r="A82" s="5" t="str">
        <f ca="1">IFERROR(__xludf.DUMMYFUNCTION("""COMPUTED_VALUE"""),"A748")</f>
        <v>A748</v>
      </c>
      <c r="B82" s="5" t="str">
        <f ca="1">IFERROR(__xludf.DUMMYFUNCTION("""COMPUTED_VALUE"""),"HAWKER SIDDELEY")</f>
        <v>HAWKER SIDDELEY</v>
      </c>
      <c r="C82" s="5" t="str">
        <f ca="1">IFERROR(__xludf.DUMMYFUNCTION("""COMPUTED_VALUE"""),"HS-748 Andover")</f>
        <v>HS-748 Andover</v>
      </c>
      <c r="D82" s="5" t="str">
        <f ca="1">IFERROR(__xludf.DUMMYFUNCTION("""COMPUTED_VALUE"""),"LandPlane")</f>
        <v>LandPlane</v>
      </c>
      <c r="E82" s="5" t="str">
        <f ca="1">IFERROR(__xludf.DUMMYFUNCTION("""COMPUTED_VALUE"""),"Turboprop/Turboshaft")</f>
        <v>Turboprop/Turboshaft</v>
      </c>
      <c r="F82" s="5">
        <f ca="1">IFERROR(__xludf.DUMMYFUNCTION("""COMPUTED_VALUE"""),2)</f>
        <v>2</v>
      </c>
    </row>
    <row r="83" spans="1:6" ht="15" customHeight="1" x14ac:dyDescent="0.2">
      <c r="A83" s="5" t="str">
        <f ca="1">IFERROR(__xludf.DUMMYFUNCTION("""COMPUTED_VALUE"""),"A890")</f>
        <v>A890</v>
      </c>
      <c r="B83" s="5" t="str">
        <f ca="1">IFERROR(__xludf.DUMMYFUNCTION("""COMPUTED_VALUE"""),"OSKBES-MAI")</f>
        <v>OSKBES-MAI</v>
      </c>
      <c r="C83" s="5" t="str">
        <f ca="1">IFERROR(__xludf.DUMMYFUNCTION("""COMPUTED_VALUE"""),"MAI-890")</f>
        <v>MAI-890</v>
      </c>
      <c r="D83" s="5" t="str">
        <f ca="1">IFERROR(__xludf.DUMMYFUNCTION("""COMPUTED_VALUE"""),"LandPlane")</f>
        <v>LandPlane</v>
      </c>
      <c r="E83" s="5" t="str">
        <f ca="1">IFERROR(__xludf.DUMMYFUNCTION("""COMPUTED_VALUE"""),"Piston")</f>
        <v>Piston</v>
      </c>
      <c r="F83" s="5">
        <f ca="1">IFERROR(__xludf.DUMMYFUNCTION("""COMPUTED_VALUE"""),1)</f>
        <v>1</v>
      </c>
    </row>
    <row r="84" spans="1:6" ht="15" customHeight="1" x14ac:dyDescent="0.2">
      <c r="A84" s="5" t="str">
        <f ca="1">IFERROR(__xludf.DUMMYFUNCTION("""COMPUTED_VALUE"""),"A9")</f>
        <v>A9</v>
      </c>
      <c r="B84" s="5" t="str">
        <f ca="1">IFERROR(__xludf.DUMMYFUNCTION("""COMPUTED_VALUE"""),"AAMSA")</f>
        <v>AAMSA</v>
      </c>
      <c r="C84" s="5" t="str">
        <f ca="1">IFERROR(__xludf.DUMMYFUNCTION("""COMPUTED_VALUE"""),"A-9 Quail")</f>
        <v>A-9 Quail</v>
      </c>
      <c r="D84" s="5" t="str">
        <f ca="1">IFERROR(__xludf.DUMMYFUNCTION("""COMPUTED_VALUE"""),"LandPlane")</f>
        <v>LandPlane</v>
      </c>
      <c r="E84" s="5" t="str">
        <f ca="1">IFERROR(__xludf.DUMMYFUNCTION("""COMPUTED_VALUE"""),"Piston")</f>
        <v>Piston</v>
      </c>
      <c r="F84" s="5">
        <f ca="1">IFERROR(__xludf.DUMMYFUNCTION("""COMPUTED_VALUE"""),1)</f>
        <v>1</v>
      </c>
    </row>
    <row r="85" spans="1:6" ht="15" customHeight="1" x14ac:dyDescent="0.2">
      <c r="A85" s="5" t="str">
        <f ca="1">IFERROR(__xludf.DUMMYFUNCTION("""COMPUTED_VALUE"""),"A900")</f>
        <v>A900</v>
      </c>
      <c r="B85" s="5" t="str">
        <f ca="1">IFERROR(__xludf.DUMMYFUNCTION("""COMPUTED_VALUE"""),"OSKBES-MAI")</f>
        <v>OSKBES-MAI</v>
      </c>
      <c r="C85" s="5" t="str">
        <f ca="1">IFERROR(__xludf.DUMMYFUNCTION("""COMPUTED_VALUE"""),"MAI-900 Acrobat")</f>
        <v>MAI-900 Acrobat</v>
      </c>
      <c r="D85" s="5" t="str">
        <f ca="1">IFERROR(__xludf.DUMMYFUNCTION("""COMPUTED_VALUE"""),"LandPlane")</f>
        <v>LandPlane</v>
      </c>
      <c r="E85" s="5" t="str">
        <f ca="1">IFERROR(__xludf.DUMMYFUNCTION("""COMPUTED_VALUE"""),"Piston")</f>
        <v>Piston</v>
      </c>
      <c r="F85" s="5">
        <f ca="1">IFERROR(__xludf.DUMMYFUNCTION("""COMPUTED_VALUE"""),1)</f>
        <v>1</v>
      </c>
    </row>
    <row r="86" spans="1:6" ht="15" customHeight="1" x14ac:dyDescent="0.2">
      <c r="A86" s="5" t="str">
        <f ca="1">IFERROR(__xludf.DUMMYFUNCTION("""COMPUTED_VALUE"""),"A910")</f>
        <v>A910</v>
      </c>
      <c r="B86" s="5" t="str">
        <f ca="1">IFERROR(__xludf.DUMMYFUNCTION("""COMPUTED_VALUE"""),"OSKBES-MAI")</f>
        <v>OSKBES-MAI</v>
      </c>
      <c r="C86" s="5" t="str">
        <f ca="1">IFERROR(__xludf.DUMMYFUNCTION("""COMPUTED_VALUE"""),"MAI-910 Interfly")</f>
        <v>MAI-910 Interfly</v>
      </c>
      <c r="D86" s="5" t="str">
        <f ca="1">IFERROR(__xludf.DUMMYFUNCTION("""COMPUTED_VALUE"""),"LandPlane")</f>
        <v>LandPlane</v>
      </c>
      <c r="E86" s="5" t="str">
        <f ca="1">IFERROR(__xludf.DUMMYFUNCTION("""COMPUTED_VALUE"""),"Piston")</f>
        <v>Piston</v>
      </c>
      <c r="F86" s="5">
        <f ca="1">IFERROR(__xludf.DUMMYFUNCTION("""COMPUTED_VALUE"""),1)</f>
        <v>1</v>
      </c>
    </row>
    <row r="87" spans="1:6" ht="15" customHeight="1" x14ac:dyDescent="0.2">
      <c r="A87" s="5" t="str">
        <f ca="1">IFERROR(__xludf.DUMMYFUNCTION("""COMPUTED_VALUE"""),"AA1")</f>
        <v>AA1</v>
      </c>
      <c r="B87" s="5" t="str">
        <f ca="1">IFERROR(__xludf.DUMMYFUNCTION("""COMPUTED_VALUE"""),"GRUMMAN AMERICAN")</f>
        <v>GRUMMAN AMERICAN</v>
      </c>
      <c r="C87" s="5" t="str">
        <f ca="1">IFERROR(__xludf.DUMMYFUNCTION("""COMPUTED_VALUE"""),"AA-1 Lynx")</f>
        <v>AA-1 Lynx</v>
      </c>
      <c r="D87" s="5" t="str">
        <f ca="1">IFERROR(__xludf.DUMMYFUNCTION("""COMPUTED_VALUE"""),"LandPlane")</f>
        <v>LandPlane</v>
      </c>
      <c r="E87" s="5" t="str">
        <f ca="1">IFERROR(__xludf.DUMMYFUNCTION("""COMPUTED_VALUE"""),"Piston")</f>
        <v>Piston</v>
      </c>
      <c r="F87" s="5">
        <f ca="1">IFERROR(__xludf.DUMMYFUNCTION("""COMPUTED_VALUE"""),1)</f>
        <v>1</v>
      </c>
    </row>
    <row r="88" spans="1:6" ht="15" customHeight="1" x14ac:dyDescent="0.2">
      <c r="A88" s="5" t="str">
        <f ca="1">IFERROR(__xludf.DUMMYFUNCTION("""COMPUTED_VALUE"""),"AA37")</f>
        <v>AA37</v>
      </c>
      <c r="B88" s="5" t="str">
        <f ca="1">IFERROR(__xludf.DUMMYFUNCTION("""COMPUTED_VALUE"""),"AEROPRACT")</f>
        <v>AEROPRACT</v>
      </c>
      <c r="C88" s="5" t="str">
        <f ca="1">IFERROR(__xludf.DUMMYFUNCTION("""COMPUTED_VALUE"""),"A-37")</f>
        <v>A-37</v>
      </c>
      <c r="D88" s="5" t="str">
        <f ca="1">IFERROR(__xludf.DUMMYFUNCTION("""COMPUTED_VALUE"""),"LandPlane")</f>
        <v>LandPlane</v>
      </c>
      <c r="E88" s="5" t="str">
        <f ca="1">IFERROR(__xludf.DUMMYFUNCTION("""COMPUTED_VALUE"""),"Piston")</f>
        <v>Piston</v>
      </c>
      <c r="F88" s="5">
        <f ca="1">IFERROR(__xludf.DUMMYFUNCTION("""COMPUTED_VALUE"""),2)</f>
        <v>2</v>
      </c>
    </row>
    <row r="89" spans="1:6" ht="15" customHeight="1" x14ac:dyDescent="0.2">
      <c r="A89" s="5" t="str">
        <f ca="1">IFERROR(__xludf.DUMMYFUNCTION("""COMPUTED_VALUE"""),"AA5")</f>
        <v>AA5</v>
      </c>
      <c r="B89" s="5" t="str">
        <f ca="1">IFERROR(__xludf.DUMMYFUNCTION("""COMPUTED_VALUE"""),"GRUMMAN AMERICAN")</f>
        <v>GRUMMAN AMERICAN</v>
      </c>
      <c r="C89" s="5" t="str">
        <f ca="1">IFERROR(__xludf.DUMMYFUNCTION("""COMPUTED_VALUE"""),"AA-5 Traveler")</f>
        <v>AA-5 Traveler</v>
      </c>
      <c r="D89" s="5" t="str">
        <f ca="1">IFERROR(__xludf.DUMMYFUNCTION("""COMPUTED_VALUE"""),"LandPlane")</f>
        <v>LandPlane</v>
      </c>
      <c r="E89" s="5" t="str">
        <f ca="1">IFERROR(__xludf.DUMMYFUNCTION("""COMPUTED_VALUE"""),"Piston")</f>
        <v>Piston</v>
      </c>
      <c r="F89" s="5">
        <f ca="1">IFERROR(__xludf.DUMMYFUNCTION("""COMPUTED_VALUE"""),1)</f>
        <v>1</v>
      </c>
    </row>
    <row r="90" spans="1:6" ht="15" customHeight="1" x14ac:dyDescent="0.2">
      <c r="A90" s="5" t="str">
        <f ca="1">IFERROR(__xludf.DUMMYFUNCTION("""COMPUTED_VALUE"""),"AAT3")</f>
        <v>AAT3</v>
      </c>
      <c r="B90" s="5" t="str">
        <f ca="1">IFERROR(__xludf.DUMMYFUNCTION("""COMPUTED_VALUE"""),"AERO (3)")</f>
        <v>AERO (3)</v>
      </c>
      <c r="C90" s="5" t="str">
        <f ca="1">IFERROR(__xludf.DUMMYFUNCTION("""COMPUTED_VALUE"""),"AT-3")</f>
        <v>AT-3</v>
      </c>
      <c r="D90" s="5" t="str">
        <f ca="1">IFERROR(__xludf.DUMMYFUNCTION("""COMPUTED_VALUE"""),"LandPlane")</f>
        <v>LandPlane</v>
      </c>
      <c r="E90" s="5" t="str">
        <f ca="1">IFERROR(__xludf.DUMMYFUNCTION("""COMPUTED_VALUE"""),"Piston")</f>
        <v>Piston</v>
      </c>
      <c r="F90" s="5">
        <f ca="1">IFERROR(__xludf.DUMMYFUNCTION("""COMPUTED_VALUE"""),1)</f>
        <v>1</v>
      </c>
    </row>
    <row r="91" spans="1:6" ht="15" customHeight="1" x14ac:dyDescent="0.2">
      <c r="A91" s="5" t="str">
        <f ca="1">IFERROR(__xludf.DUMMYFUNCTION("""COMPUTED_VALUE"""),"AAT4")</f>
        <v>AAT4</v>
      </c>
      <c r="B91" s="5" t="str">
        <f ca="1">IFERROR(__xludf.DUMMYFUNCTION("""COMPUTED_VALUE"""),"AERO (3)")</f>
        <v>AERO (3)</v>
      </c>
      <c r="C91" s="5" t="str">
        <f ca="1">IFERROR(__xludf.DUMMYFUNCTION("""COMPUTED_VALUE"""),"AT-4")</f>
        <v>AT-4</v>
      </c>
      <c r="D91" s="5" t="str">
        <f ca="1">IFERROR(__xludf.DUMMYFUNCTION("""COMPUTED_VALUE"""),"LandPlane")</f>
        <v>LandPlane</v>
      </c>
      <c r="E91" s="5" t="str">
        <f ca="1">IFERROR(__xludf.DUMMYFUNCTION("""COMPUTED_VALUE"""),"Piston")</f>
        <v>Piston</v>
      </c>
      <c r="F91" s="5">
        <f ca="1">IFERROR(__xludf.DUMMYFUNCTION("""COMPUTED_VALUE"""),1)</f>
        <v>1</v>
      </c>
    </row>
    <row r="92" spans="1:6" ht="15" customHeight="1" x14ac:dyDescent="0.2">
      <c r="A92" s="5" t="str">
        <f ca="1">IFERROR(__xludf.DUMMYFUNCTION("""COMPUTED_VALUE"""),"AB11")</f>
        <v>AB11</v>
      </c>
      <c r="B92" s="5" t="str">
        <f ca="1">IFERROR(__xludf.DUMMYFUNCTION("""COMPUTED_VALUE"""),"AERO BOERO")</f>
        <v>AERO BOERO</v>
      </c>
      <c r="C92" s="5" t="str">
        <f ca="1">IFERROR(__xludf.DUMMYFUNCTION("""COMPUTED_VALUE"""),"AB-115")</f>
        <v>AB-115</v>
      </c>
      <c r="D92" s="5" t="str">
        <f ca="1">IFERROR(__xludf.DUMMYFUNCTION("""COMPUTED_VALUE"""),"LandPlane")</f>
        <v>LandPlane</v>
      </c>
      <c r="E92" s="5" t="str">
        <f ca="1">IFERROR(__xludf.DUMMYFUNCTION("""COMPUTED_VALUE"""),"Piston")</f>
        <v>Piston</v>
      </c>
      <c r="F92" s="5">
        <f ca="1">IFERROR(__xludf.DUMMYFUNCTION("""COMPUTED_VALUE"""),1)</f>
        <v>1</v>
      </c>
    </row>
    <row r="93" spans="1:6" ht="15" customHeight="1" x14ac:dyDescent="0.2">
      <c r="A93" s="5" t="str">
        <f ca="1">IFERROR(__xludf.DUMMYFUNCTION("""COMPUTED_VALUE"""),"AB15")</f>
        <v>AB15</v>
      </c>
      <c r="B93" s="5" t="str">
        <f ca="1">IFERROR(__xludf.DUMMYFUNCTION("""COMPUTED_VALUE"""),"AERO BOERO")</f>
        <v>AERO BOERO</v>
      </c>
      <c r="C93" s="5" t="str">
        <f ca="1">IFERROR(__xludf.DUMMYFUNCTION("""COMPUTED_VALUE"""),"AB-150")</f>
        <v>AB-150</v>
      </c>
      <c r="D93" s="5" t="str">
        <f ca="1">IFERROR(__xludf.DUMMYFUNCTION("""COMPUTED_VALUE"""),"LandPlane")</f>
        <v>LandPlane</v>
      </c>
      <c r="E93" s="5" t="str">
        <f ca="1">IFERROR(__xludf.DUMMYFUNCTION("""COMPUTED_VALUE"""),"Piston")</f>
        <v>Piston</v>
      </c>
      <c r="F93" s="5">
        <f ca="1">IFERROR(__xludf.DUMMYFUNCTION("""COMPUTED_VALUE"""),1)</f>
        <v>1</v>
      </c>
    </row>
    <row r="94" spans="1:6" ht="15" customHeight="1" x14ac:dyDescent="0.2">
      <c r="A94" s="5" t="str">
        <f ca="1">IFERROR(__xludf.DUMMYFUNCTION("""COMPUTED_VALUE"""),"AB18")</f>
        <v>AB18</v>
      </c>
      <c r="B94" s="5" t="str">
        <f ca="1">IFERROR(__xludf.DUMMYFUNCTION("""COMPUTED_VALUE"""),"AERO BOERO")</f>
        <v>AERO BOERO</v>
      </c>
      <c r="C94" s="5" t="str">
        <f ca="1">IFERROR(__xludf.DUMMYFUNCTION("""COMPUTED_VALUE"""),"AB-180")</f>
        <v>AB-180</v>
      </c>
      <c r="D94" s="5" t="str">
        <f ca="1">IFERROR(__xludf.DUMMYFUNCTION("""COMPUTED_VALUE"""),"LandPlane")</f>
        <v>LandPlane</v>
      </c>
      <c r="E94" s="5" t="str">
        <f ca="1">IFERROR(__xludf.DUMMYFUNCTION("""COMPUTED_VALUE"""),"Piston")</f>
        <v>Piston</v>
      </c>
      <c r="F94" s="5">
        <f ca="1">IFERROR(__xludf.DUMMYFUNCTION("""COMPUTED_VALUE"""),1)</f>
        <v>1</v>
      </c>
    </row>
    <row r="95" spans="1:6" ht="15" customHeight="1" x14ac:dyDescent="0.2">
      <c r="A95" s="5" t="str">
        <f ca="1">IFERROR(__xludf.DUMMYFUNCTION("""COMPUTED_VALUE"""),"AB95")</f>
        <v>AB95</v>
      </c>
      <c r="B95" s="5" t="str">
        <f ca="1">IFERROR(__xludf.DUMMYFUNCTION("""COMPUTED_VALUE"""),"AERO BOERO")</f>
        <v>AERO BOERO</v>
      </c>
      <c r="C95" s="5" t="str">
        <f ca="1">IFERROR(__xludf.DUMMYFUNCTION("""COMPUTED_VALUE"""),"AB-95")</f>
        <v>AB-95</v>
      </c>
      <c r="D95" s="5" t="str">
        <f ca="1">IFERROR(__xludf.DUMMYFUNCTION("""COMPUTED_VALUE"""),"LandPlane")</f>
        <v>LandPlane</v>
      </c>
      <c r="E95" s="5" t="str">
        <f ca="1">IFERROR(__xludf.DUMMYFUNCTION("""COMPUTED_VALUE"""),"Piston")</f>
        <v>Piston</v>
      </c>
      <c r="F95" s="5">
        <f ca="1">IFERROR(__xludf.DUMMYFUNCTION("""COMPUTED_VALUE"""),1)</f>
        <v>1</v>
      </c>
    </row>
    <row r="96" spans="1:6" ht="15" customHeight="1" x14ac:dyDescent="0.2">
      <c r="A96" s="5" t="str">
        <f ca="1">IFERROR(__xludf.DUMMYFUNCTION("""COMPUTED_VALUE"""),"AC10")</f>
        <v>AC10</v>
      </c>
      <c r="B96" s="5" t="str">
        <f ca="1">IFERROR(__xludf.DUMMYFUNCTION("""COMPUTED_VALUE"""),"FD-COMPOSITES")</f>
        <v>FD-COMPOSITES</v>
      </c>
      <c r="C96" s="5" t="str">
        <f ca="1">IFERROR(__xludf.DUMMYFUNCTION("""COMPUTED_VALUE"""),"ArrowCopter")</f>
        <v>ArrowCopter</v>
      </c>
      <c r="D96" s="5" t="str">
        <f ca="1">IFERROR(__xludf.DUMMYFUNCTION("""COMPUTED_VALUE"""),"Gyrocopter")</f>
        <v>Gyrocopter</v>
      </c>
      <c r="E96" s="5" t="str">
        <f ca="1">IFERROR(__xludf.DUMMYFUNCTION("""COMPUTED_VALUE"""),"Piston")</f>
        <v>Piston</v>
      </c>
      <c r="F96" s="5">
        <f ca="1">IFERROR(__xludf.DUMMYFUNCTION("""COMPUTED_VALUE"""),1)</f>
        <v>1</v>
      </c>
    </row>
    <row r="97" spans="1:6" ht="15" customHeight="1" x14ac:dyDescent="0.2">
      <c r="A97" s="5" t="str">
        <f ca="1">IFERROR(__xludf.DUMMYFUNCTION("""COMPUTED_VALUE"""),"AC11")</f>
        <v>AC11</v>
      </c>
      <c r="B97" s="5" t="str">
        <f ca="1">IFERROR(__xludf.DUMMYFUNCTION("""COMPUTED_VALUE"""),"NORTH AMERICAN ROCKWELL")</f>
        <v>NORTH AMERICAN ROCKWELL</v>
      </c>
      <c r="C97" s="5" t="str">
        <f ca="1">IFERROR(__xludf.DUMMYFUNCTION("""COMPUTED_VALUE"""),"Commander 112")</f>
        <v>Commander 112</v>
      </c>
      <c r="D97" s="5" t="str">
        <f ca="1">IFERROR(__xludf.DUMMYFUNCTION("""COMPUTED_VALUE"""),"LandPlane")</f>
        <v>LandPlane</v>
      </c>
      <c r="E97" s="5" t="str">
        <f ca="1">IFERROR(__xludf.DUMMYFUNCTION("""COMPUTED_VALUE"""),"Piston")</f>
        <v>Piston</v>
      </c>
      <c r="F97" s="5">
        <f ca="1">IFERROR(__xludf.DUMMYFUNCTION("""COMPUTED_VALUE"""),1)</f>
        <v>1</v>
      </c>
    </row>
    <row r="98" spans="1:6" ht="15" customHeight="1" x14ac:dyDescent="0.2">
      <c r="A98" s="5" t="str">
        <f ca="1">IFERROR(__xludf.DUMMYFUNCTION("""COMPUTED_VALUE"""),"AC31")</f>
        <v>AC31</v>
      </c>
      <c r="B98" s="5" t="str">
        <f ca="1">IFERROR(__xludf.DUMMYFUNCTION("""COMPUTED_VALUE"""),"AVICOPTER")</f>
        <v>AVICOPTER</v>
      </c>
      <c r="C98" s="5" t="str">
        <f ca="1">IFERROR(__xludf.DUMMYFUNCTION("""COMPUTED_VALUE"""),"AC-311")</f>
        <v>AC-311</v>
      </c>
      <c r="D98" s="5" t="str">
        <f ca="1">IFERROR(__xludf.DUMMYFUNCTION("""COMPUTED_VALUE"""),"Helicopter")</f>
        <v>Helicopter</v>
      </c>
      <c r="E98" s="5" t="str">
        <f ca="1">IFERROR(__xludf.DUMMYFUNCTION("""COMPUTED_VALUE"""),"Turboprop/Turboshaft")</f>
        <v>Turboprop/Turboshaft</v>
      </c>
      <c r="F98" s="5">
        <f ca="1">IFERROR(__xludf.DUMMYFUNCTION("""COMPUTED_VALUE"""),1)</f>
        <v>1</v>
      </c>
    </row>
    <row r="99" spans="1:6" ht="15" customHeight="1" x14ac:dyDescent="0.2">
      <c r="A99" s="5" t="str">
        <f ca="1">IFERROR(__xludf.DUMMYFUNCTION("""COMPUTED_VALUE"""),"AC33")</f>
        <v>AC33</v>
      </c>
      <c r="B99" s="5" t="str">
        <f ca="1">IFERROR(__xludf.DUMMYFUNCTION("""COMPUTED_VALUE"""),"AVICOPTER")</f>
        <v>AVICOPTER</v>
      </c>
      <c r="C99" s="5" t="str">
        <f ca="1">IFERROR(__xludf.DUMMYFUNCTION("""COMPUTED_VALUE"""),"AC-313")</f>
        <v>AC-313</v>
      </c>
      <c r="D99" s="5" t="str">
        <f ca="1">IFERROR(__xludf.DUMMYFUNCTION("""COMPUTED_VALUE"""),"Helicopter")</f>
        <v>Helicopter</v>
      </c>
      <c r="E99" s="5" t="str">
        <f ca="1">IFERROR(__xludf.DUMMYFUNCTION("""COMPUTED_VALUE"""),"Turboprop/Turboshaft")</f>
        <v>Turboprop/Turboshaft</v>
      </c>
      <c r="F99" s="5">
        <f ca="1">IFERROR(__xludf.DUMMYFUNCTION("""COMPUTED_VALUE"""),3)</f>
        <v>3</v>
      </c>
    </row>
    <row r="100" spans="1:6" ht="15" customHeight="1" x14ac:dyDescent="0.2">
      <c r="A100" s="5" t="str">
        <f ca="1">IFERROR(__xludf.DUMMYFUNCTION("""COMPUTED_VALUE"""),"AC4")</f>
        <v>AC4</v>
      </c>
      <c r="B100" s="5" t="str">
        <f ca="1">IFERROR(__xludf.DUMMYFUNCTION("""COMPUTED_VALUE"""),"LIGHT WING")</f>
        <v>LIGHT WING</v>
      </c>
      <c r="C100" s="5" t="str">
        <f ca="1">IFERROR(__xludf.DUMMYFUNCTION("""COMPUTED_VALUE"""),"AC-4")</f>
        <v>AC-4</v>
      </c>
      <c r="D100" s="5" t="str">
        <f ca="1">IFERROR(__xludf.DUMMYFUNCTION("""COMPUTED_VALUE"""),"LandPlane")</f>
        <v>LandPlane</v>
      </c>
      <c r="E100" s="5" t="str">
        <f ca="1">IFERROR(__xludf.DUMMYFUNCTION("""COMPUTED_VALUE"""),"Piston")</f>
        <v>Piston</v>
      </c>
      <c r="F100" s="5">
        <f ca="1">IFERROR(__xludf.DUMMYFUNCTION("""COMPUTED_VALUE"""),1)</f>
        <v>1</v>
      </c>
    </row>
    <row r="101" spans="1:6" ht="15" customHeight="1" x14ac:dyDescent="0.2">
      <c r="A101" s="5" t="str">
        <f ca="1">IFERROR(__xludf.DUMMYFUNCTION("""COMPUTED_VALUE"""),"AC50")</f>
        <v>AC50</v>
      </c>
      <c r="B101" s="5" t="str">
        <f ca="1">IFERROR(__xludf.DUMMYFUNCTION("""COMPUTED_VALUE"""),"AERO (1)")</f>
        <v>AERO (1)</v>
      </c>
      <c r="C101" s="5" t="str">
        <f ca="1">IFERROR(__xludf.DUMMYFUNCTION("""COMPUTED_VALUE"""),"Commander 500")</f>
        <v>Commander 500</v>
      </c>
      <c r="D101" s="5" t="str">
        <f ca="1">IFERROR(__xludf.DUMMYFUNCTION("""COMPUTED_VALUE"""),"LandPlane")</f>
        <v>LandPlane</v>
      </c>
      <c r="E101" s="5" t="str">
        <f ca="1">IFERROR(__xludf.DUMMYFUNCTION("""COMPUTED_VALUE"""),"Piston")</f>
        <v>Piston</v>
      </c>
      <c r="F101" s="5">
        <f ca="1">IFERROR(__xludf.DUMMYFUNCTION("""COMPUTED_VALUE"""),2)</f>
        <v>2</v>
      </c>
    </row>
    <row r="102" spans="1:6" ht="15" customHeight="1" x14ac:dyDescent="0.2">
      <c r="A102" s="5" t="str">
        <f ca="1">IFERROR(__xludf.DUMMYFUNCTION("""COMPUTED_VALUE"""),"AC52")</f>
        <v>AC52</v>
      </c>
      <c r="B102" s="5" t="str">
        <f ca="1">IFERROR(__xludf.DUMMYFUNCTION("""COMPUTED_VALUE"""),"AERO (1)")</f>
        <v>AERO (1)</v>
      </c>
      <c r="C102" s="5" t="str">
        <f ca="1">IFERROR(__xludf.DUMMYFUNCTION("""COMPUTED_VALUE"""),"Commander 520")</f>
        <v>Commander 520</v>
      </c>
      <c r="D102" s="5" t="str">
        <f ca="1">IFERROR(__xludf.DUMMYFUNCTION("""COMPUTED_VALUE"""),"LandPlane")</f>
        <v>LandPlane</v>
      </c>
      <c r="E102" s="5" t="str">
        <f ca="1">IFERROR(__xludf.DUMMYFUNCTION("""COMPUTED_VALUE"""),"Piston")</f>
        <v>Piston</v>
      </c>
      <c r="F102" s="5">
        <f ca="1">IFERROR(__xludf.DUMMYFUNCTION("""COMPUTED_VALUE"""),2)</f>
        <v>2</v>
      </c>
    </row>
    <row r="103" spans="1:6" ht="15" customHeight="1" x14ac:dyDescent="0.2">
      <c r="A103" s="5" t="str">
        <f ca="1">IFERROR(__xludf.DUMMYFUNCTION("""COMPUTED_VALUE"""),"AC56")</f>
        <v>AC56</v>
      </c>
      <c r="B103" s="5" t="str">
        <f ca="1">IFERROR(__xludf.DUMMYFUNCTION("""COMPUTED_VALUE"""),"AERO (1)")</f>
        <v>AERO (1)</v>
      </c>
      <c r="C103" s="5" t="str">
        <f ca="1">IFERROR(__xludf.DUMMYFUNCTION("""COMPUTED_VALUE"""),"Commander 560")</f>
        <v>Commander 560</v>
      </c>
      <c r="D103" s="5" t="str">
        <f ca="1">IFERROR(__xludf.DUMMYFUNCTION("""COMPUTED_VALUE"""),"LandPlane")</f>
        <v>LandPlane</v>
      </c>
      <c r="E103" s="5" t="str">
        <f ca="1">IFERROR(__xludf.DUMMYFUNCTION("""COMPUTED_VALUE"""),"Piston")</f>
        <v>Piston</v>
      </c>
      <c r="F103" s="5">
        <f ca="1">IFERROR(__xludf.DUMMYFUNCTION("""COMPUTED_VALUE"""),2)</f>
        <v>2</v>
      </c>
    </row>
    <row r="104" spans="1:6" ht="15" customHeight="1" x14ac:dyDescent="0.2">
      <c r="A104" s="5" t="str">
        <f ca="1">IFERROR(__xludf.DUMMYFUNCTION("""COMPUTED_VALUE"""),"AC5A")</f>
        <v>AC5A</v>
      </c>
      <c r="B104" s="5" t="str">
        <f ca="1">IFERROR(__xludf.DUMMYFUNCTION("""COMPUTED_VALUE"""),"NANJING")</f>
        <v>NANJING</v>
      </c>
      <c r="C104" s="5" t="str">
        <f ca="1">IFERROR(__xludf.DUMMYFUNCTION("""COMPUTED_VALUE"""),"AC-500 Aircar")</f>
        <v>AC-500 Aircar</v>
      </c>
      <c r="D104" s="5" t="str">
        <f ca="1">IFERROR(__xludf.DUMMYFUNCTION("""COMPUTED_VALUE"""),"LandPlane")</f>
        <v>LandPlane</v>
      </c>
      <c r="E104" s="5" t="str">
        <f ca="1">IFERROR(__xludf.DUMMYFUNCTION("""COMPUTED_VALUE"""),"Piston")</f>
        <v>Piston</v>
      </c>
      <c r="F104" s="5">
        <f ca="1">IFERROR(__xludf.DUMMYFUNCTION("""COMPUTED_VALUE"""),1)</f>
        <v>1</v>
      </c>
    </row>
    <row r="105" spans="1:6" ht="15" customHeight="1" x14ac:dyDescent="0.2">
      <c r="A105" s="5" t="str">
        <f ca="1">IFERROR(__xludf.DUMMYFUNCTION("""COMPUTED_VALUE"""),"AC5M")</f>
        <v>AC5M</v>
      </c>
      <c r="B105" s="5" t="str">
        <f ca="1">IFERROR(__xludf.DUMMYFUNCTION("""COMPUTED_VALUE"""),"AVIASTROITEL")</f>
        <v>AVIASTROITEL</v>
      </c>
      <c r="C105" s="5" t="str">
        <f ca="1">IFERROR(__xludf.DUMMYFUNCTION("""COMPUTED_VALUE"""),"AC-5M")</f>
        <v>AC-5M</v>
      </c>
      <c r="D105" s="5" t="str">
        <f ca="1">IFERROR(__xludf.DUMMYFUNCTION("""COMPUTED_VALUE"""),"LandPlane")</f>
        <v>LandPlane</v>
      </c>
      <c r="E105" s="5" t="str">
        <f ca="1">IFERROR(__xludf.DUMMYFUNCTION("""COMPUTED_VALUE"""),"Piston")</f>
        <v>Piston</v>
      </c>
      <c r="F105" s="5">
        <f ca="1">IFERROR(__xludf.DUMMYFUNCTION("""COMPUTED_VALUE"""),1)</f>
        <v>1</v>
      </c>
    </row>
    <row r="106" spans="1:6" ht="15" customHeight="1" x14ac:dyDescent="0.2">
      <c r="A106" s="5" t="str">
        <f ca="1">IFERROR(__xludf.DUMMYFUNCTION("""COMPUTED_VALUE"""),"AC68")</f>
        <v>AC68</v>
      </c>
      <c r="B106" s="5" t="str">
        <f ca="1">IFERROR(__xludf.DUMMYFUNCTION("""COMPUTED_VALUE"""),"AERO (1)")</f>
        <v>AERO (1)</v>
      </c>
      <c r="C106" s="5" t="str">
        <f ca="1">IFERROR(__xludf.DUMMYFUNCTION("""COMPUTED_VALUE"""),"Commander 680 Super")</f>
        <v>Commander 680 Super</v>
      </c>
      <c r="D106" s="5" t="str">
        <f ca="1">IFERROR(__xludf.DUMMYFUNCTION("""COMPUTED_VALUE"""),"LandPlane")</f>
        <v>LandPlane</v>
      </c>
      <c r="E106" s="5" t="str">
        <f ca="1">IFERROR(__xludf.DUMMYFUNCTION("""COMPUTED_VALUE"""),"Piston")</f>
        <v>Piston</v>
      </c>
      <c r="F106" s="5">
        <f ca="1">IFERROR(__xludf.DUMMYFUNCTION("""COMPUTED_VALUE"""),2)</f>
        <v>2</v>
      </c>
    </row>
    <row r="107" spans="1:6" ht="15" customHeight="1" x14ac:dyDescent="0.2">
      <c r="A107" s="5" t="str">
        <f ca="1">IFERROR(__xludf.DUMMYFUNCTION("""COMPUTED_VALUE"""),"AC6L")</f>
        <v>AC6L</v>
      </c>
      <c r="B107" s="5" t="str">
        <f ca="1">IFERROR(__xludf.DUMMYFUNCTION("""COMPUTED_VALUE"""),"NORTH AMERICAN ROCKWELL")</f>
        <v>NORTH AMERICAN ROCKWELL</v>
      </c>
      <c r="C107" s="5" t="str">
        <f ca="1">IFERROR(__xludf.DUMMYFUNCTION("""COMPUTED_VALUE"""),"Commander 685")</f>
        <v>Commander 685</v>
      </c>
      <c r="D107" s="5" t="str">
        <f ca="1">IFERROR(__xludf.DUMMYFUNCTION("""COMPUTED_VALUE"""),"LandPlane")</f>
        <v>LandPlane</v>
      </c>
      <c r="E107" s="5" t="str">
        <f ca="1">IFERROR(__xludf.DUMMYFUNCTION("""COMPUTED_VALUE"""),"Piston")</f>
        <v>Piston</v>
      </c>
      <c r="F107" s="5">
        <f ca="1">IFERROR(__xludf.DUMMYFUNCTION("""COMPUTED_VALUE"""),2)</f>
        <v>2</v>
      </c>
    </row>
    <row r="108" spans="1:6" ht="15" customHeight="1" x14ac:dyDescent="0.2">
      <c r="A108" s="5" t="str">
        <f ca="1">IFERROR(__xludf.DUMMYFUNCTION("""COMPUTED_VALUE"""),"AC72")</f>
        <v>AC72</v>
      </c>
      <c r="B108" s="5" t="str">
        <f ca="1">IFERROR(__xludf.DUMMYFUNCTION("""COMPUTED_VALUE"""),"AERO (1)")</f>
        <v>AERO (1)</v>
      </c>
      <c r="C108" s="5" t="str">
        <f ca="1">IFERROR(__xludf.DUMMYFUNCTION("""COMPUTED_VALUE"""),"Commander 720 Alti Cruiser")</f>
        <v>Commander 720 Alti Cruiser</v>
      </c>
      <c r="D108" s="5" t="str">
        <f ca="1">IFERROR(__xludf.DUMMYFUNCTION("""COMPUTED_VALUE"""),"LandPlane")</f>
        <v>LandPlane</v>
      </c>
      <c r="E108" s="5" t="str">
        <f ca="1">IFERROR(__xludf.DUMMYFUNCTION("""COMPUTED_VALUE"""),"Piston")</f>
        <v>Piston</v>
      </c>
      <c r="F108" s="5">
        <f ca="1">IFERROR(__xludf.DUMMYFUNCTION("""COMPUTED_VALUE"""),2)</f>
        <v>2</v>
      </c>
    </row>
    <row r="109" spans="1:6" ht="15" customHeight="1" x14ac:dyDescent="0.2">
      <c r="A109" s="5" t="str">
        <f ca="1">IFERROR(__xludf.DUMMYFUNCTION("""COMPUTED_VALUE"""),"AC80")</f>
        <v>AC80</v>
      </c>
      <c r="B109" s="5" t="str">
        <f ca="1">IFERROR(__xludf.DUMMYFUNCTION("""COMPUTED_VALUE"""),"AERO COMMANDER")</f>
        <v>AERO COMMANDER</v>
      </c>
      <c r="C109" s="5" t="str">
        <f ca="1">IFERROR(__xludf.DUMMYFUNCTION("""COMPUTED_VALUE"""),"680T Turbo Commander")</f>
        <v>680T Turbo Commander</v>
      </c>
      <c r="D109" s="5" t="str">
        <f ca="1">IFERROR(__xludf.DUMMYFUNCTION("""COMPUTED_VALUE"""),"LandPlane")</f>
        <v>LandPlane</v>
      </c>
      <c r="E109" s="5" t="str">
        <f ca="1">IFERROR(__xludf.DUMMYFUNCTION("""COMPUTED_VALUE"""),"Turboprop/Turboshaft")</f>
        <v>Turboprop/Turboshaft</v>
      </c>
      <c r="F109" s="5">
        <f ca="1">IFERROR(__xludf.DUMMYFUNCTION("""COMPUTED_VALUE"""),2)</f>
        <v>2</v>
      </c>
    </row>
    <row r="110" spans="1:6" ht="15" customHeight="1" x14ac:dyDescent="0.2">
      <c r="A110" s="5" t="str">
        <f ca="1">IFERROR(__xludf.DUMMYFUNCTION("""COMPUTED_VALUE"""),"AC90")</f>
        <v>AC90</v>
      </c>
      <c r="B110" s="5" t="str">
        <f ca="1">IFERROR(__xludf.DUMMYFUNCTION("""COMPUTED_VALUE"""),"NORTH AMERICAN ROCKWELL")</f>
        <v>NORTH AMERICAN ROCKWELL</v>
      </c>
      <c r="C110" s="5" t="str">
        <f ca="1">IFERROR(__xludf.DUMMYFUNCTION("""COMPUTED_VALUE"""),"Turbo Commander 690")</f>
        <v>Turbo Commander 690</v>
      </c>
      <c r="D110" s="5" t="str">
        <f ca="1">IFERROR(__xludf.DUMMYFUNCTION("""COMPUTED_VALUE"""),"LandPlane")</f>
        <v>LandPlane</v>
      </c>
      <c r="E110" s="5" t="str">
        <f ca="1">IFERROR(__xludf.DUMMYFUNCTION("""COMPUTED_VALUE"""),"Turboprop/Turboshaft")</f>
        <v>Turboprop/Turboshaft</v>
      </c>
      <c r="F110" s="5">
        <f ca="1">IFERROR(__xludf.DUMMYFUNCTION("""COMPUTED_VALUE"""),2)</f>
        <v>2</v>
      </c>
    </row>
    <row r="111" spans="1:6" ht="15" customHeight="1" x14ac:dyDescent="0.2">
      <c r="A111" s="5" t="str">
        <f ca="1">IFERROR(__xludf.DUMMYFUNCTION("""COMPUTED_VALUE"""),"AC95")</f>
        <v>AC95</v>
      </c>
      <c r="B111" s="5" t="str">
        <f ca="1">IFERROR(__xludf.DUMMYFUNCTION("""COMPUTED_VALUE"""),"ROCKWELL")</f>
        <v>ROCKWELL</v>
      </c>
      <c r="C111" s="5" t="str">
        <f ca="1">IFERROR(__xludf.DUMMYFUNCTION("""COMPUTED_VALUE"""),"Jetprop Commander 1000")</f>
        <v>Jetprop Commander 1000</v>
      </c>
      <c r="D111" s="5" t="str">
        <f ca="1">IFERROR(__xludf.DUMMYFUNCTION("""COMPUTED_VALUE"""),"LandPlane")</f>
        <v>LandPlane</v>
      </c>
      <c r="E111" s="5" t="str">
        <f ca="1">IFERROR(__xludf.DUMMYFUNCTION("""COMPUTED_VALUE"""),"Turboprop/Turboshaft")</f>
        <v>Turboprop/Turboshaft</v>
      </c>
      <c r="F111" s="5">
        <f ca="1">IFERROR(__xludf.DUMMYFUNCTION("""COMPUTED_VALUE"""),2)</f>
        <v>2</v>
      </c>
    </row>
    <row r="112" spans="1:6" ht="15" customHeight="1" x14ac:dyDescent="0.2">
      <c r="A112" s="5" t="str">
        <f ca="1">IFERROR(__xludf.DUMMYFUNCTION("""COMPUTED_VALUE"""),"ACAM")</f>
        <v>ACAM</v>
      </c>
      <c r="B112" s="5" t="str">
        <f ca="1">IFERROR(__xludf.DUMMYFUNCTION("""COMPUTED_VALUE"""),"LOCKWOOD")</f>
        <v>LOCKWOOD</v>
      </c>
      <c r="C112" s="5" t="str">
        <f ca="1">IFERROR(__xludf.DUMMYFUNCTION("""COMPUTED_VALUE"""),"Air Cam")</f>
        <v>Air Cam</v>
      </c>
      <c r="D112" s="5" t="str">
        <f ca="1">IFERROR(__xludf.DUMMYFUNCTION("""COMPUTED_VALUE"""),"LandPlane")</f>
        <v>LandPlane</v>
      </c>
      <c r="E112" s="5" t="str">
        <f ca="1">IFERROR(__xludf.DUMMYFUNCTION("""COMPUTED_VALUE"""),"Piston")</f>
        <v>Piston</v>
      </c>
      <c r="F112" s="5">
        <f ca="1">IFERROR(__xludf.DUMMYFUNCTION("""COMPUTED_VALUE"""),2)</f>
        <v>2</v>
      </c>
    </row>
    <row r="113" spans="1:6" ht="15" customHeight="1" x14ac:dyDescent="0.2">
      <c r="A113" s="5" t="str">
        <f ca="1">IFERROR(__xludf.DUMMYFUNCTION("""COMPUTED_VALUE"""),"ACAR")</f>
        <v>ACAR</v>
      </c>
      <c r="B113" s="5" t="str">
        <f ca="1">IFERROR(__xludf.DUMMYFUNCTION("""COMPUTED_VALUE"""),"AUSTER")</f>
        <v>AUSTER</v>
      </c>
      <c r="C113" s="5" t="str">
        <f ca="1">IFERROR(__xludf.DUMMYFUNCTION("""COMPUTED_VALUE"""),"J-5 Autocar")</f>
        <v>J-5 Autocar</v>
      </c>
      <c r="D113" s="5" t="str">
        <f ca="1">IFERROR(__xludf.DUMMYFUNCTION("""COMPUTED_VALUE"""),"LandPlane")</f>
        <v>LandPlane</v>
      </c>
      <c r="E113" s="5" t="str">
        <f ca="1">IFERROR(__xludf.DUMMYFUNCTION("""COMPUTED_VALUE"""),"Piston")</f>
        <v>Piston</v>
      </c>
      <c r="F113" s="5">
        <f ca="1">IFERROR(__xludf.DUMMYFUNCTION("""COMPUTED_VALUE"""),1)</f>
        <v>1</v>
      </c>
    </row>
    <row r="114" spans="1:6" ht="15" customHeight="1" x14ac:dyDescent="0.2">
      <c r="A114" s="5" t="str">
        <f ca="1">IFERROR(__xludf.DUMMYFUNCTION("""COMPUTED_VALUE"""),"ACED")</f>
        <v>ACED</v>
      </c>
      <c r="B114" s="5" t="str">
        <f ca="1">IFERROR(__xludf.DUMMYFUNCTION("""COMPUTED_VALUE"""),"POWELL")</f>
        <v>POWELL</v>
      </c>
      <c r="C114" s="5" t="str">
        <f ca="1">IFERROR(__xludf.DUMMYFUNCTION("""COMPUTED_VALUE"""),"P-70 Acey Deucy")</f>
        <v>P-70 Acey Deucy</v>
      </c>
      <c r="D114" s="5" t="str">
        <f ca="1">IFERROR(__xludf.DUMMYFUNCTION("""COMPUTED_VALUE"""),"LandPlane")</f>
        <v>LandPlane</v>
      </c>
      <c r="E114" s="5" t="str">
        <f ca="1">IFERROR(__xludf.DUMMYFUNCTION("""COMPUTED_VALUE"""),"Piston")</f>
        <v>Piston</v>
      </c>
      <c r="F114" s="5">
        <f ca="1">IFERROR(__xludf.DUMMYFUNCTION("""COMPUTED_VALUE"""),1)</f>
        <v>1</v>
      </c>
    </row>
    <row r="115" spans="1:6" ht="15" customHeight="1" x14ac:dyDescent="0.2">
      <c r="A115" s="5" t="str">
        <f ca="1">IFERROR(__xludf.DUMMYFUNCTION("""COMPUTED_VALUE"""),"ACJR")</f>
        <v>ACJR</v>
      </c>
      <c r="B115" s="5" t="str">
        <f ca="1">IFERROR(__xludf.DUMMYFUNCTION("""COMPUTED_VALUE"""),"SPENCER")</f>
        <v>SPENCER</v>
      </c>
      <c r="C115" s="5" t="str">
        <f ca="1">IFERROR(__xludf.DUMMYFUNCTION("""COMPUTED_VALUE"""),"Air Car Junior")</f>
        <v>Air Car Junior</v>
      </c>
      <c r="D115" s="5" t="str">
        <f ca="1">IFERROR(__xludf.DUMMYFUNCTION("""COMPUTED_VALUE"""),"Amphibian")</f>
        <v>Amphibian</v>
      </c>
      <c r="E115" s="5" t="str">
        <f ca="1">IFERROR(__xludf.DUMMYFUNCTION("""COMPUTED_VALUE"""),"Piston")</f>
        <v>Piston</v>
      </c>
      <c r="F115" s="5">
        <f ca="1">IFERROR(__xludf.DUMMYFUNCTION("""COMPUTED_VALUE"""),1)</f>
        <v>1</v>
      </c>
    </row>
    <row r="116" spans="1:6" ht="15" customHeight="1" x14ac:dyDescent="0.2">
      <c r="A116" s="5" t="str">
        <f ca="1">IFERROR(__xludf.DUMMYFUNCTION("""COMPUTED_VALUE"""),"ACPL")</f>
        <v>ACPL</v>
      </c>
      <c r="B116" s="5" t="str">
        <f ca="1">IFERROR(__xludf.DUMMYFUNCTION("""COMPUTED_VALUE"""),"OPTION AIR")</f>
        <v>OPTION AIR</v>
      </c>
      <c r="C116" s="5" t="str">
        <f ca="1">IFERROR(__xludf.DUMMYFUNCTION("""COMPUTED_VALUE"""),"Acapella")</f>
        <v>Acapella</v>
      </c>
      <c r="D116" s="5" t="str">
        <f ca="1">IFERROR(__xludf.DUMMYFUNCTION("""COMPUTED_VALUE"""),"LandPlane")</f>
        <v>LandPlane</v>
      </c>
      <c r="E116" s="5" t="str">
        <f ca="1">IFERROR(__xludf.DUMMYFUNCTION("""COMPUTED_VALUE"""),"Piston")</f>
        <v>Piston</v>
      </c>
      <c r="F116" s="5">
        <f ca="1">IFERROR(__xludf.DUMMYFUNCTION("""COMPUTED_VALUE"""),1)</f>
        <v>1</v>
      </c>
    </row>
    <row r="117" spans="1:6" ht="15" customHeight="1" x14ac:dyDescent="0.2">
      <c r="A117" s="5" t="str">
        <f ca="1">IFERROR(__xludf.DUMMYFUNCTION("""COMPUTED_VALUE"""),"ACR2")</f>
        <v>ACR2</v>
      </c>
      <c r="B117" s="5" t="str">
        <f ca="1">IFERROR(__xludf.DUMMYFUNCTION("""COMPUTED_VALUE"""),"ACRO SPORT")</f>
        <v>ACRO SPORT</v>
      </c>
      <c r="C117" s="5" t="str">
        <f ca="1">IFERROR(__xludf.DUMMYFUNCTION("""COMPUTED_VALUE"""),"Acro-Sport 2")</f>
        <v>Acro-Sport 2</v>
      </c>
      <c r="D117" s="5" t="str">
        <f ca="1">IFERROR(__xludf.DUMMYFUNCTION("""COMPUTED_VALUE"""),"LandPlane")</f>
        <v>LandPlane</v>
      </c>
      <c r="E117" s="5" t="str">
        <f ca="1">IFERROR(__xludf.DUMMYFUNCTION("""COMPUTED_VALUE"""),"Piston")</f>
        <v>Piston</v>
      </c>
      <c r="F117" s="5">
        <f ca="1">IFERROR(__xludf.DUMMYFUNCTION("""COMPUTED_VALUE"""),1)</f>
        <v>1</v>
      </c>
    </row>
    <row r="118" spans="1:6" ht="15" customHeight="1" x14ac:dyDescent="0.2">
      <c r="A118" s="5" t="str">
        <f ca="1">IFERROR(__xludf.DUMMYFUNCTION("""COMPUTED_VALUE"""),"ACR2")</f>
        <v>ACR2</v>
      </c>
      <c r="B118" s="5" t="str">
        <f ca="1">IFERROR(__xludf.DUMMYFUNCTION("""COMPUTED_VALUE"""),"EAA")</f>
        <v>EAA</v>
      </c>
      <c r="C118" s="5" t="str">
        <f ca="1">IFERROR(__xludf.DUMMYFUNCTION("""COMPUTED_VALUE"""),"Acro-Sport 2")</f>
        <v>Acro-Sport 2</v>
      </c>
      <c r="D118" s="5" t="str">
        <f ca="1">IFERROR(__xludf.DUMMYFUNCTION("""COMPUTED_VALUE"""),"LandPlane")</f>
        <v>LandPlane</v>
      </c>
      <c r="E118" s="5" t="str">
        <f ca="1">IFERROR(__xludf.DUMMYFUNCTION("""COMPUTED_VALUE"""),"Piston")</f>
        <v>Piston</v>
      </c>
      <c r="F118" s="5">
        <f ca="1">IFERROR(__xludf.DUMMYFUNCTION("""COMPUTED_VALUE"""),1)</f>
        <v>1</v>
      </c>
    </row>
    <row r="119" spans="1:6" ht="15" customHeight="1" x14ac:dyDescent="0.2">
      <c r="A119" s="5" t="str">
        <f ca="1">IFERROR(__xludf.DUMMYFUNCTION("""COMPUTED_VALUE"""),"ACRD")</f>
        <v>ACRD</v>
      </c>
      <c r="B119" s="5" t="str">
        <f ca="1">IFERROR(__xludf.DUMMYFUNCTION("""COMPUTED_VALUE"""),"AVIA (3)")</f>
        <v>AVIA (3)</v>
      </c>
      <c r="C119" s="5" t="str">
        <f ca="1">IFERROR(__xludf.DUMMYFUNCTION("""COMPUTED_VALUE"""),"Accord")</f>
        <v>Accord</v>
      </c>
      <c r="D119" s="5" t="str">
        <f ca="1">IFERROR(__xludf.DUMMYFUNCTION("""COMPUTED_VALUE"""),"LandPlane")</f>
        <v>LandPlane</v>
      </c>
      <c r="E119" s="5" t="str">
        <f ca="1">IFERROR(__xludf.DUMMYFUNCTION("""COMPUTED_VALUE"""),"Piston")</f>
        <v>Piston</v>
      </c>
      <c r="F119" s="5">
        <f ca="1">IFERROR(__xludf.DUMMYFUNCTION("""COMPUTED_VALUE"""),2)</f>
        <v>2</v>
      </c>
    </row>
    <row r="120" spans="1:6" ht="15" customHeight="1" x14ac:dyDescent="0.2">
      <c r="A120" s="5" t="str">
        <f ca="1">IFERROR(__xludf.DUMMYFUNCTION("""COMPUTED_VALUE"""),"ACRO")</f>
        <v>ACRO</v>
      </c>
      <c r="B120" s="5" t="str">
        <f ca="1">IFERROR(__xludf.DUMMYFUNCTION("""COMPUTED_VALUE"""),"ACRO SPORT")</f>
        <v>ACRO SPORT</v>
      </c>
      <c r="C120" s="5" t="str">
        <f ca="1">IFERROR(__xludf.DUMMYFUNCTION("""COMPUTED_VALUE"""),"Acro-Sport 1")</f>
        <v>Acro-Sport 1</v>
      </c>
      <c r="D120" s="5" t="str">
        <f ca="1">IFERROR(__xludf.DUMMYFUNCTION("""COMPUTED_VALUE"""),"LandPlane")</f>
        <v>LandPlane</v>
      </c>
      <c r="E120" s="5" t="str">
        <f ca="1">IFERROR(__xludf.DUMMYFUNCTION("""COMPUTED_VALUE"""),"Piston")</f>
        <v>Piston</v>
      </c>
      <c r="F120" s="5">
        <f ca="1">IFERROR(__xludf.DUMMYFUNCTION("""COMPUTED_VALUE"""),1)</f>
        <v>1</v>
      </c>
    </row>
    <row r="121" spans="1:6" ht="15" customHeight="1" x14ac:dyDescent="0.2">
      <c r="A121" s="5" t="str">
        <f ca="1">IFERROR(__xludf.DUMMYFUNCTION("""COMPUTED_VALUE"""),"ACSR")</f>
        <v>ACSR</v>
      </c>
      <c r="B121" s="5" t="str">
        <f ca="1">IFERROR(__xludf.DUMMYFUNCTION("""COMPUTED_VALUE"""),"VICTA")</f>
        <v>VICTA</v>
      </c>
      <c r="C121" s="5" t="str">
        <f ca="1">IFERROR(__xludf.DUMMYFUNCTION("""COMPUTED_VALUE"""),"Aircruiser")</f>
        <v>Aircruiser</v>
      </c>
      <c r="D121" s="5" t="str">
        <f ca="1">IFERROR(__xludf.DUMMYFUNCTION("""COMPUTED_VALUE"""),"LandPlane")</f>
        <v>LandPlane</v>
      </c>
      <c r="E121" s="5" t="str">
        <f ca="1">IFERROR(__xludf.DUMMYFUNCTION("""COMPUTED_VALUE"""),"Piston")</f>
        <v>Piston</v>
      </c>
      <c r="F121" s="5">
        <f ca="1">IFERROR(__xludf.DUMMYFUNCTION("""COMPUTED_VALUE"""),1)</f>
        <v>1</v>
      </c>
    </row>
    <row r="122" spans="1:6" ht="15" customHeight="1" x14ac:dyDescent="0.2">
      <c r="A122" s="5" t="str">
        <f ca="1">IFERROR(__xludf.DUMMYFUNCTION("""COMPUTED_VALUE"""),"AD20")</f>
        <v>AD20</v>
      </c>
      <c r="B122" s="5" t="str">
        <f ca="1">IFERROR(__xludf.DUMMYFUNCTION("""COMPUTED_VALUE"""),"BEIJING KEYUAN")</f>
        <v>BEIJING KEYUAN</v>
      </c>
      <c r="C122" s="5" t="str">
        <f ca="1">IFERROR(__xludf.DUMMYFUNCTION("""COMPUTED_VALUE"""),"AD-200")</f>
        <v>AD-200</v>
      </c>
      <c r="D122" s="5" t="str">
        <f ca="1">IFERROR(__xludf.DUMMYFUNCTION("""COMPUTED_VALUE"""),"LandPlane")</f>
        <v>LandPlane</v>
      </c>
      <c r="E122" s="5" t="str">
        <f ca="1">IFERROR(__xludf.DUMMYFUNCTION("""COMPUTED_VALUE"""),"Piston")</f>
        <v>Piston</v>
      </c>
      <c r="F122" s="5">
        <f ca="1">IFERROR(__xludf.DUMMYFUNCTION("""COMPUTED_VALUE"""),1)</f>
        <v>1</v>
      </c>
    </row>
    <row r="123" spans="1:6" ht="15" customHeight="1" x14ac:dyDescent="0.2">
      <c r="A123" s="5" t="str">
        <f ca="1">IFERROR(__xludf.DUMMYFUNCTION("""COMPUTED_VALUE"""),"ADEL")</f>
        <v>ADEL</v>
      </c>
      <c r="B123" s="5" t="str">
        <f ca="1">IFERROR(__xludf.DUMMYFUNCTION("""COMPUTED_VALUE"""),"USTINOV")</f>
        <v>USTINOV</v>
      </c>
      <c r="C123" s="5" t="str">
        <f ca="1">IFERROR(__xludf.DUMMYFUNCTION("""COMPUTED_VALUE"""),"Adel")</f>
        <v>Adel</v>
      </c>
      <c r="D123" s="5" t="str">
        <f ca="1">IFERROR(__xludf.DUMMYFUNCTION("""COMPUTED_VALUE"""),"Gyrocopter")</f>
        <v>Gyrocopter</v>
      </c>
      <c r="E123" s="5" t="str">
        <f ca="1">IFERROR(__xludf.DUMMYFUNCTION("""COMPUTED_VALUE"""),"Piston")</f>
        <v>Piston</v>
      </c>
      <c r="F123" s="5">
        <f ca="1">IFERROR(__xludf.DUMMYFUNCTION("""COMPUTED_VALUE"""),1)</f>
        <v>1</v>
      </c>
    </row>
    <row r="124" spans="1:6" ht="15" customHeight="1" x14ac:dyDescent="0.2">
      <c r="A124" s="5" t="str">
        <f ca="1">IFERROR(__xludf.DUMMYFUNCTION("""COMPUTED_VALUE"""),"ADVE")</f>
        <v>ADVE</v>
      </c>
      <c r="B124" s="5" t="str">
        <f ca="1">IFERROR(__xludf.DUMMYFUNCTION("""COMPUTED_VALUE"""),"AUSTER")</f>
        <v>AUSTER</v>
      </c>
      <c r="C124" s="5" t="str">
        <f ca="1">IFERROR(__xludf.DUMMYFUNCTION("""COMPUTED_VALUE"""),"J-5 Adventurer")</f>
        <v>J-5 Adventurer</v>
      </c>
      <c r="D124" s="5" t="str">
        <f ca="1">IFERROR(__xludf.DUMMYFUNCTION("""COMPUTED_VALUE"""),"LandPlane")</f>
        <v>LandPlane</v>
      </c>
      <c r="E124" s="5" t="str">
        <f ca="1">IFERROR(__xludf.DUMMYFUNCTION("""COMPUTED_VALUE"""),"Piston")</f>
        <v>Piston</v>
      </c>
      <c r="F124" s="5">
        <f ca="1">IFERROR(__xludf.DUMMYFUNCTION("""COMPUTED_VALUE"""),1)</f>
        <v>1</v>
      </c>
    </row>
    <row r="125" spans="1:6" ht="15" customHeight="1" x14ac:dyDescent="0.2">
      <c r="A125" s="5" t="str">
        <f ca="1">IFERROR(__xludf.DUMMYFUNCTION("""COMPUTED_VALUE"""),"ADVN")</f>
        <v>ADVN</v>
      </c>
      <c r="B125" s="5" t="str">
        <f ca="1">IFERROR(__xludf.DUMMYFUNCTION("""COMPUTED_VALUE"""),"ADVENTURE AIR")</f>
        <v>ADVENTURE AIR</v>
      </c>
      <c r="C125" s="5" t="str">
        <f ca="1">IFERROR(__xludf.DUMMYFUNCTION("""COMPUTED_VALUE"""),"Adventurer")</f>
        <v>Adventurer</v>
      </c>
      <c r="D125" s="5" t="str">
        <f ca="1">IFERROR(__xludf.DUMMYFUNCTION("""COMPUTED_VALUE"""),"Amphibian")</f>
        <v>Amphibian</v>
      </c>
      <c r="E125" s="5" t="str">
        <f ca="1">IFERROR(__xludf.DUMMYFUNCTION("""COMPUTED_VALUE"""),"Piston")</f>
        <v>Piston</v>
      </c>
      <c r="F125" s="5">
        <f ca="1">IFERROR(__xludf.DUMMYFUNCTION("""COMPUTED_VALUE"""),1)</f>
        <v>1</v>
      </c>
    </row>
    <row r="126" spans="1:6" ht="15" customHeight="1" x14ac:dyDescent="0.2">
      <c r="A126" s="5" t="str">
        <f ca="1">IFERROR(__xludf.DUMMYFUNCTION("""COMPUTED_VALUE"""),"AE45")</f>
        <v>AE45</v>
      </c>
      <c r="B126" s="5" t="str">
        <f ca="1">IFERROR(__xludf.DUMMYFUNCTION("""COMPUTED_VALUE"""),"LET")</f>
        <v>LET</v>
      </c>
      <c r="C126" s="5" t="str">
        <f ca="1">IFERROR(__xludf.DUMMYFUNCTION("""COMPUTED_VALUE"""),"Aero 45")</f>
        <v>Aero 45</v>
      </c>
      <c r="D126" s="5" t="str">
        <f ca="1">IFERROR(__xludf.DUMMYFUNCTION("""COMPUTED_VALUE"""),"LandPlane")</f>
        <v>LandPlane</v>
      </c>
      <c r="E126" s="5" t="str">
        <f ca="1">IFERROR(__xludf.DUMMYFUNCTION("""COMPUTED_VALUE"""),"Piston")</f>
        <v>Piston</v>
      </c>
      <c r="F126" s="5">
        <f ca="1">IFERROR(__xludf.DUMMYFUNCTION("""COMPUTED_VALUE"""),2)</f>
        <v>2</v>
      </c>
    </row>
    <row r="127" spans="1:6" ht="15" customHeight="1" x14ac:dyDescent="0.2">
      <c r="A127" s="5" t="str">
        <f ca="1">IFERROR(__xludf.DUMMYFUNCTION("""COMPUTED_VALUE"""),"AEA1")</f>
        <v>AEA1</v>
      </c>
      <c r="B127" s="5" t="str">
        <f ca="1">IFERROR(__xludf.DUMMYFUNCTION("""COMPUTED_VALUE"""),"AMERICAN EAGLE")</f>
        <v>AMERICAN EAGLE</v>
      </c>
      <c r="C127" s="5" t="str">
        <f ca="1">IFERROR(__xludf.DUMMYFUNCTION("""COMPUTED_VALUE"""),"A-1")</f>
        <v>A-1</v>
      </c>
      <c r="D127" s="5" t="str">
        <f ca="1">IFERROR(__xludf.DUMMYFUNCTION("""COMPUTED_VALUE"""),"LandPlane")</f>
        <v>LandPlane</v>
      </c>
      <c r="E127" s="5" t="str">
        <f ca="1">IFERROR(__xludf.DUMMYFUNCTION("""COMPUTED_VALUE"""),"Piston")</f>
        <v>Piston</v>
      </c>
      <c r="F127" s="5">
        <f ca="1">IFERROR(__xludf.DUMMYFUNCTION("""COMPUTED_VALUE"""),1)</f>
        <v>1</v>
      </c>
    </row>
    <row r="128" spans="1:6" ht="15" customHeight="1" x14ac:dyDescent="0.2">
      <c r="A128" s="5" t="str">
        <f ca="1">IFERROR(__xludf.DUMMYFUNCTION("""COMPUTED_VALUE"""),"AERK")</f>
        <v>AERK</v>
      </c>
      <c r="B128" s="5" t="str">
        <f ca="1">IFERROR(__xludf.DUMMYFUNCTION("""COMPUTED_VALUE"""),"AERONCA")</f>
        <v>AERONCA</v>
      </c>
      <c r="C128" s="5" t="str">
        <f ca="1">IFERROR(__xludf.DUMMYFUNCTION("""COMPUTED_VALUE"""),"K Scout")</f>
        <v>K Scout</v>
      </c>
      <c r="D128" s="5" t="str">
        <f ca="1">IFERROR(__xludf.DUMMYFUNCTION("""COMPUTED_VALUE"""),"LandPlane")</f>
        <v>LandPlane</v>
      </c>
      <c r="E128" s="5" t="str">
        <f ca="1">IFERROR(__xludf.DUMMYFUNCTION("""COMPUTED_VALUE"""),"Piston")</f>
        <v>Piston</v>
      </c>
      <c r="F128" s="5">
        <f ca="1">IFERROR(__xludf.DUMMYFUNCTION("""COMPUTED_VALUE"""),1)</f>
        <v>1</v>
      </c>
    </row>
    <row r="129" spans="1:6" ht="15" customHeight="1" x14ac:dyDescent="0.2">
      <c r="A129" s="5" t="str">
        <f ca="1">IFERROR(__xludf.DUMMYFUNCTION("""COMPUTED_VALUE"""),"AEST")</f>
        <v>AEST</v>
      </c>
      <c r="B129" s="5" t="str">
        <f ca="1">IFERROR(__xludf.DUMMYFUNCTION("""COMPUTED_VALUE"""),"AEROSTAR (1)")</f>
        <v>AEROSTAR (1)</v>
      </c>
      <c r="C129" s="5" t="str">
        <f ca="1">IFERROR(__xludf.DUMMYFUNCTION("""COMPUTED_VALUE"""),"600")</f>
        <v>600</v>
      </c>
      <c r="D129" s="5" t="str">
        <f ca="1">IFERROR(__xludf.DUMMYFUNCTION("""COMPUTED_VALUE"""),"LandPlane")</f>
        <v>LandPlane</v>
      </c>
      <c r="E129" s="5" t="str">
        <f ca="1">IFERROR(__xludf.DUMMYFUNCTION("""COMPUTED_VALUE"""),"Piston")</f>
        <v>Piston</v>
      </c>
      <c r="F129" s="5">
        <f ca="1">IFERROR(__xludf.DUMMYFUNCTION("""COMPUTED_VALUE"""),2)</f>
        <v>2</v>
      </c>
    </row>
    <row r="130" spans="1:6" ht="15" customHeight="1" x14ac:dyDescent="0.2">
      <c r="A130" s="5" t="str">
        <f ca="1">IFERROR(__xludf.DUMMYFUNCTION("""COMPUTED_VALUE"""),"AFOX")</f>
        <v>AFOX</v>
      </c>
      <c r="B130" s="5" t="str">
        <f ca="1">IFERROR(__xludf.DUMMYFUNCTION("""COMPUTED_VALUE"""),"HALLEY")</f>
        <v>HALLEY</v>
      </c>
      <c r="C130" s="5" t="str">
        <f ca="1">IFERROR(__xludf.DUMMYFUNCTION("""COMPUTED_VALUE"""),"Apollo Fox")</f>
        <v>Apollo Fox</v>
      </c>
      <c r="D130" s="5" t="str">
        <f ca="1">IFERROR(__xludf.DUMMYFUNCTION("""COMPUTED_VALUE"""),"LandPlane")</f>
        <v>LandPlane</v>
      </c>
      <c r="E130" s="5" t="str">
        <f ca="1">IFERROR(__xludf.DUMMYFUNCTION("""COMPUTED_VALUE"""),"Piston")</f>
        <v>Piston</v>
      </c>
      <c r="F130" s="5">
        <f ca="1">IFERROR(__xludf.DUMMYFUNCTION("""COMPUTED_VALUE"""),1)</f>
        <v>1</v>
      </c>
    </row>
    <row r="131" spans="1:6" ht="15" customHeight="1" x14ac:dyDescent="0.2">
      <c r="A131" s="5" t="str">
        <f ca="1">IFERROR(__xludf.DUMMYFUNCTION("""COMPUTED_VALUE"""),"AG02")</f>
        <v>AG02</v>
      </c>
      <c r="B131" s="5" t="str">
        <f ca="1">IFERROR(__xludf.DUMMYFUNCTION("""COMPUTED_VALUE"""),"GATARD")</f>
        <v>GATARD</v>
      </c>
      <c r="C131" s="5" t="str">
        <f ca="1">IFERROR(__xludf.DUMMYFUNCTION("""COMPUTED_VALUE"""),"AG-02 Poussin")</f>
        <v>AG-02 Poussin</v>
      </c>
      <c r="D131" s="5" t="str">
        <f ca="1">IFERROR(__xludf.DUMMYFUNCTION("""COMPUTED_VALUE"""),"LandPlane")</f>
        <v>LandPlane</v>
      </c>
      <c r="E131" s="5" t="str">
        <f ca="1">IFERROR(__xludf.DUMMYFUNCTION("""COMPUTED_VALUE"""),"Piston")</f>
        <v>Piston</v>
      </c>
      <c r="F131" s="5">
        <f ca="1">IFERROR(__xludf.DUMMYFUNCTION("""COMPUTED_VALUE"""),1)</f>
        <v>1</v>
      </c>
    </row>
    <row r="132" spans="1:6" ht="15" customHeight="1" x14ac:dyDescent="0.2">
      <c r="A132" s="5" t="str">
        <f ca="1">IFERROR(__xludf.DUMMYFUNCTION("""COMPUTED_VALUE"""),"AG10")</f>
        <v>AG10</v>
      </c>
      <c r="B132" s="5" t="str">
        <f ca="1">IFERROR(__xludf.DUMMYFUNCTION("""COMPUTED_VALUE"""),"CAIGA")</f>
        <v>CAIGA</v>
      </c>
      <c r="C132" s="5" t="str">
        <f ca="1">IFERROR(__xludf.DUMMYFUNCTION("""COMPUTED_VALUE"""),"AG-100")</f>
        <v>AG-100</v>
      </c>
      <c r="D132" s="5" t="str">
        <f ca="1">IFERROR(__xludf.DUMMYFUNCTION("""COMPUTED_VALUE"""),"LandPlane")</f>
        <v>LandPlane</v>
      </c>
      <c r="E132" s="5" t="str">
        <f ca="1">IFERROR(__xludf.DUMMYFUNCTION("""COMPUTED_VALUE"""),"Piston")</f>
        <v>Piston</v>
      </c>
      <c r="F132" s="5">
        <f ca="1">IFERROR(__xludf.DUMMYFUNCTION("""COMPUTED_VALUE"""),1)</f>
        <v>1</v>
      </c>
    </row>
    <row r="133" spans="1:6" ht="15" customHeight="1" x14ac:dyDescent="0.2">
      <c r="A133" s="5" t="str">
        <f ca="1">IFERROR(__xludf.DUMMYFUNCTION("""COMPUTED_VALUE"""),"AG60")</f>
        <v>AG60</v>
      </c>
      <c r="B133" s="5" t="str">
        <f ca="1">IFERROR(__xludf.DUMMYFUNCTION("""COMPUTED_VALUE"""),"CAIGA")</f>
        <v>CAIGA</v>
      </c>
      <c r="C133" s="5" t="str">
        <f ca="1">IFERROR(__xludf.DUMMYFUNCTION("""COMPUTED_VALUE"""),"AG-600 Kunlong")</f>
        <v>AG-600 Kunlong</v>
      </c>
      <c r="D133" s="5" t="str">
        <f ca="1">IFERROR(__xludf.DUMMYFUNCTION("""COMPUTED_VALUE"""),"Amphibian")</f>
        <v>Amphibian</v>
      </c>
      <c r="E133" s="5" t="str">
        <f ca="1">IFERROR(__xludf.DUMMYFUNCTION("""COMPUTED_VALUE"""),"Turboprop/Turboshaft")</f>
        <v>Turboprop/Turboshaft</v>
      </c>
      <c r="F133" s="5">
        <f ca="1">IFERROR(__xludf.DUMMYFUNCTION("""COMPUTED_VALUE"""),4)</f>
        <v>4</v>
      </c>
    </row>
    <row r="134" spans="1:6" ht="15" customHeight="1" x14ac:dyDescent="0.2">
      <c r="A134" s="5" t="str">
        <f ca="1">IFERROR(__xludf.DUMMYFUNCTION("""COMPUTED_VALUE"""),"AGSH")</f>
        <v>AGSH</v>
      </c>
      <c r="B134" s="5" t="str">
        <f ca="1">IFERROR(__xludf.DUMMYFUNCTION("""COMPUTED_VALUE"""),"AERO GARE")</f>
        <v>AERO GARE</v>
      </c>
      <c r="C134" s="5" t="str">
        <f ca="1">IFERROR(__xludf.DUMMYFUNCTION("""COMPUTED_VALUE"""),"Sea Hawker")</f>
        <v>Sea Hawker</v>
      </c>
      <c r="D134" s="5" t="str">
        <f ca="1">IFERROR(__xludf.DUMMYFUNCTION("""COMPUTED_VALUE"""),"Amphibian")</f>
        <v>Amphibian</v>
      </c>
      <c r="E134" s="5" t="str">
        <f ca="1">IFERROR(__xludf.DUMMYFUNCTION("""COMPUTED_VALUE"""),"Piston")</f>
        <v>Piston</v>
      </c>
      <c r="F134" s="5">
        <f ca="1">IFERROR(__xludf.DUMMYFUNCTION("""COMPUTED_VALUE"""),1)</f>
        <v>1</v>
      </c>
    </row>
    <row r="135" spans="1:6" ht="15" customHeight="1" x14ac:dyDescent="0.2">
      <c r="A135" s="5" t="str">
        <f ca="1">IFERROR(__xludf.DUMMYFUNCTION("""COMPUTED_VALUE"""),"AI10")</f>
        <v>AI10</v>
      </c>
      <c r="B135" s="5" t="str">
        <f ca="1">IFERROR(__xludf.DUMMYFUNCTION("""COMPUTED_VALUE"""),"IKAR")</f>
        <v>IKAR</v>
      </c>
      <c r="C135" s="5" t="str">
        <f ca="1">IFERROR(__xludf.DUMMYFUNCTION("""COMPUTED_VALUE"""),"Ai-10 Ikar")</f>
        <v>Ai-10 Ikar</v>
      </c>
      <c r="D135" s="5" t="str">
        <f ca="1">IFERROR(__xludf.DUMMYFUNCTION("""COMPUTED_VALUE"""),"LandPlane")</f>
        <v>LandPlane</v>
      </c>
      <c r="E135" s="5" t="str">
        <f ca="1">IFERROR(__xludf.DUMMYFUNCTION("""COMPUTED_VALUE"""),"Piston")</f>
        <v>Piston</v>
      </c>
      <c r="F135" s="5">
        <f ca="1">IFERROR(__xludf.DUMMYFUNCTION("""COMPUTED_VALUE"""),1)</f>
        <v>1</v>
      </c>
    </row>
    <row r="136" spans="1:6" ht="15" customHeight="1" x14ac:dyDescent="0.2">
      <c r="A136" s="5" t="str">
        <f ca="1">IFERROR(__xludf.DUMMYFUNCTION("""COMPUTED_VALUE"""),"AIGT")</f>
        <v>AIGT</v>
      </c>
      <c r="B136" s="5" t="str">
        <f ca="1">IFERROR(__xludf.DUMMYFUNCTION("""COMPUTED_VALUE"""),"AUSTER")</f>
        <v>AUSTER</v>
      </c>
      <c r="C136" s="5" t="str">
        <f ca="1">IFERROR(__xludf.DUMMYFUNCTION("""COMPUTED_VALUE"""),"J-5F Aiglet Trainer")</f>
        <v>J-5F Aiglet Trainer</v>
      </c>
      <c r="D136" s="5" t="str">
        <f ca="1">IFERROR(__xludf.DUMMYFUNCTION("""COMPUTED_VALUE"""),"LandPlane")</f>
        <v>LandPlane</v>
      </c>
      <c r="E136" s="5" t="str">
        <f ca="1">IFERROR(__xludf.DUMMYFUNCTION("""COMPUTED_VALUE"""),"Piston")</f>
        <v>Piston</v>
      </c>
      <c r="F136" s="5">
        <f ca="1">IFERROR(__xludf.DUMMYFUNCTION("""COMPUTED_VALUE"""),1)</f>
        <v>1</v>
      </c>
    </row>
    <row r="137" spans="1:6" ht="15" customHeight="1" x14ac:dyDescent="0.2">
      <c r="A137" s="5" t="str">
        <f ca="1">IFERROR(__xludf.DUMMYFUNCTION("""COMPUTED_VALUE"""),"AIRD")</f>
        <v>AIRD</v>
      </c>
      <c r="B137" s="5" t="str">
        <f ca="1">IFERROR(__xludf.DUMMYFUNCTION("""COMPUTED_VALUE"""),"BEAGLE-AUSTER")</f>
        <v>BEAGLE-AUSTER</v>
      </c>
      <c r="C137" s="5" t="str">
        <f ca="1">IFERROR(__xludf.DUMMYFUNCTION("""COMPUTED_VALUE"""),"A-109 Airedale")</f>
        <v>A-109 Airedale</v>
      </c>
      <c r="D137" s="5" t="str">
        <f ca="1">IFERROR(__xludf.DUMMYFUNCTION("""COMPUTED_VALUE"""),"LandPlane")</f>
        <v>LandPlane</v>
      </c>
      <c r="E137" s="5" t="str">
        <f ca="1">IFERROR(__xludf.DUMMYFUNCTION("""COMPUTED_VALUE"""),"Piston")</f>
        <v>Piston</v>
      </c>
      <c r="F137" s="5">
        <f ca="1">IFERROR(__xludf.DUMMYFUNCTION("""COMPUTED_VALUE"""),1)</f>
        <v>1</v>
      </c>
    </row>
    <row r="138" spans="1:6" ht="15" customHeight="1" x14ac:dyDescent="0.2">
      <c r="A138" s="5" t="str">
        <f ca="1">IFERROR(__xludf.DUMMYFUNCTION("""COMPUTED_VALUE"""),"AIRL")</f>
        <v>AIRL</v>
      </c>
      <c r="B138" s="5" t="str">
        <f ca="1">IFERROR(__xludf.DUMMYFUNCTION("""COMPUTED_VALUE"""),"AERONIX")</f>
        <v>AERONIX</v>
      </c>
      <c r="C138" s="5" t="str">
        <f ca="1">IFERROR(__xludf.DUMMYFUNCTION("""COMPUTED_VALUE"""),"Airelle")</f>
        <v>Airelle</v>
      </c>
      <c r="D138" s="5" t="str">
        <f ca="1">IFERROR(__xludf.DUMMYFUNCTION("""COMPUTED_VALUE"""),"LandPlane")</f>
        <v>LandPlane</v>
      </c>
      <c r="E138" s="5" t="str">
        <f ca="1">IFERROR(__xludf.DUMMYFUNCTION("""COMPUTED_VALUE"""),"Piston")</f>
        <v>Piston</v>
      </c>
      <c r="F138" s="5">
        <f ca="1">IFERROR(__xludf.DUMMYFUNCTION("""COMPUTED_VALUE"""),2)</f>
        <v>2</v>
      </c>
    </row>
    <row r="139" spans="1:6" ht="15" customHeight="1" x14ac:dyDescent="0.2">
      <c r="A139" s="5" t="str">
        <f ca="1">IFERROR(__xludf.DUMMYFUNCTION("""COMPUTED_VALUE"""),"AJ27")</f>
        <v>AJ27</v>
      </c>
      <c r="B139" s="5" t="str">
        <f ca="1">IFERROR(__xludf.DUMMYFUNCTION("""COMPUTED_VALUE"""),"COMAC")</f>
        <v>COMAC</v>
      </c>
      <c r="C139" s="5" t="str">
        <f ca="1">IFERROR(__xludf.DUMMYFUNCTION("""COMPUTED_VALUE"""),"ARJ-21-700")</f>
        <v>ARJ-21-700</v>
      </c>
      <c r="D139" s="5" t="str">
        <f ca="1">IFERROR(__xludf.DUMMYFUNCTION("""COMPUTED_VALUE"""),"LandPlane")</f>
        <v>LandPlane</v>
      </c>
      <c r="E139" s="5" t="str">
        <f ca="1">IFERROR(__xludf.DUMMYFUNCTION("""COMPUTED_VALUE"""),"Jet")</f>
        <v>Jet</v>
      </c>
      <c r="F139" s="5">
        <f ca="1">IFERROR(__xludf.DUMMYFUNCTION("""COMPUTED_VALUE"""),2)</f>
        <v>2</v>
      </c>
    </row>
    <row r="140" spans="1:6" ht="15" customHeight="1" x14ac:dyDescent="0.2">
      <c r="A140" s="5" t="str">
        <f ca="1">IFERROR(__xludf.DUMMYFUNCTION("""COMPUTED_VALUE"""),"AJET")</f>
        <v>AJET</v>
      </c>
      <c r="B140" s="5" t="str">
        <f ca="1">IFERROR(__xludf.DUMMYFUNCTION("""COMPUTED_VALUE"""),"DASSAULT-DORNIER")</f>
        <v>DASSAULT-DORNIER</v>
      </c>
      <c r="C140" s="5" t="str">
        <f ca="1">IFERROR(__xludf.DUMMYFUNCTION("""COMPUTED_VALUE"""),"Alpha Jet")</f>
        <v>Alpha Jet</v>
      </c>
      <c r="D140" s="5" t="str">
        <f ca="1">IFERROR(__xludf.DUMMYFUNCTION("""COMPUTED_VALUE"""),"LandPlane")</f>
        <v>LandPlane</v>
      </c>
      <c r="E140" s="5" t="str">
        <f ca="1">IFERROR(__xludf.DUMMYFUNCTION("""COMPUTED_VALUE"""),"Jet")</f>
        <v>Jet</v>
      </c>
      <c r="F140" s="5">
        <f ca="1">IFERROR(__xludf.DUMMYFUNCTION("""COMPUTED_VALUE"""),2)</f>
        <v>2</v>
      </c>
    </row>
    <row r="141" spans="1:6" ht="15" customHeight="1" x14ac:dyDescent="0.2">
      <c r="A141" s="5" t="str">
        <f ca="1">IFERROR(__xludf.DUMMYFUNCTION("""COMPUTED_VALUE"""),"AK1")</f>
        <v>AK1</v>
      </c>
      <c r="B141" s="5" t="str">
        <f ca="1">IFERROR(__xludf.DUMMYFUNCTION("""COMPUTED_VALUE"""),"AKAFLIEG KARLSRUHE")</f>
        <v>AKAFLIEG KARLSRUHE</v>
      </c>
      <c r="C141" s="5" t="str">
        <f ca="1">IFERROR(__xludf.DUMMYFUNCTION("""COMPUTED_VALUE"""),"AK-1")</f>
        <v>AK-1</v>
      </c>
      <c r="D141" s="5" t="str">
        <f ca="1">IFERROR(__xludf.DUMMYFUNCTION("""COMPUTED_VALUE"""),"LandPlane")</f>
        <v>LandPlane</v>
      </c>
      <c r="E141" s="5" t="str">
        <f ca="1">IFERROR(__xludf.DUMMYFUNCTION("""COMPUTED_VALUE"""),"Piston")</f>
        <v>Piston</v>
      </c>
      <c r="F141" s="5">
        <f ca="1">IFERROR(__xludf.DUMMYFUNCTION("""COMPUTED_VALUE"""),1)</f>
        <v>1</v>
      </c>
    </row>
    <row r="142" spans="1:6" ht="15" customHeight="1" x14ac:dyDescent="0.2">
      <c r="A142" s="5" t="str">
        <f ca="1">IFERROR(__xludf.DUMMYFUNCTION("""COMPUTED_VALUE"""),"AKOY")</f>
        <v>AKOY</v>
      </c>
      <c r="B142" s="5" t="str">
        <f ca="1">IFERROR(__xludf.DUMMYFUNCTION("""COMPUTED_VALUE"""),"LISA")</f>
        <v>LISA</v>
      </c>
      <c r="C142" s="5" t="str">
        <f ca="1">IFERROR(__xludf.DUMMYFUNCTION("""COMPUTED_VALUE"""),"Akoya")</f>
        <v>Akoya</v>
      </c>
      <c r="D142" s="5" t="str">
        <f ca="1">IFERROR(__xludf.DUMMYFUNCTION("""COMPUTED_VALUE"""),"Amphibian")</f>
        <v>Amphibian</v>
      </c>
      <c r="E142" s="5" t="str">
        <f ca="1">IFERROR(__xludf.DUMMYFUNCTION("""COMPUTED_VALUE"""),"Piston")</f>
        <v>Piston</v>
      </c>
      <c r="F142" s="5">
        <f ca="1">IFERROR(__xludf.DUMMYFUNCTION("""COMPUTED_VALUE"""),1)</f>
        <v>1</v>
      </c>
    </row>
    <row r="143" spans="1:6" ht="15" customHeight="1" x14ac:dyDescent="0.2">
      <c r="A143" s="5" t="str">
        <f ca="1">IFERROR(__xludf.DUMMYFUNCTION("""COMPUTED_VALUE"""),"AKRO")</f>
        <v>AKRO</v>
      </c>
      <c r="B143" s="5" t="str">
        <f ca="1">IFERROR(__xludf.DUMMYFUNCTION("""COMPUTED_VALUE"""),"STEPHENS")</f>
        <v>STEPHENS</v>
      </c>
      <c r="C143" s="5" t="str">
        <f ca="1">IFERROR(__xludf.DUMMYFUNCTION("""COMPUTED_VALUE"""),"Akro")</f>
        <v>Akro</v>
      </c>
      <c r="D143" s="5" t="str">
        <f ca="1">IFERROR(__xludf.DUMMYFUNCTION("""COMPUTED_VALUE"""),"LandPlane")</f>
        <v>LandPlane</v>
      </c>
      <c r="E143" s="5" t="str">
        <f ca="1">IFERROR(__xludf.DUMMYFUNCTION("""COMPUTED_VALUE"""),"Piston")</f>
        <v>Piston</v>
      </c>
      <c r="F143" s="5">
        <f ca="1">IFERROR(__xludf.DUMMYFUNCTION("""COMPUTED_VALUE"""),1)</f>
        <v>1</v>
      </c>
    </row>
    <row r="144" spans="1:6" ht="15" customHeight="1" x14ac:dyDescent="0.2">
      <c r="A144" s="5" t="str">
        <f ca="1">IFERROR(__xludf.DUMMYFUNCTION("""COMPUTED_VALUE"""),"ALBU")</f>
        <v>ALBU</v>
      </c>
      <c r="B144" s="5" t="str">
        <f ca="1">IFERROR(__xludf.DUMMYFUNCTION("""COMPUTED_VALUE"""),"AVIATION DEVELOPMENT")</f>
        <v>AVIATION DEVELOPMENT</v>
      </c>
      <c r="C144" s="5" t="str">
        <f ca="1">IFERROR(__xludf.DUMMYFUNCTION("""COMPUTED_VALUE"""),"Alaskan Bushmaster")</f>
        <v>Alaskan Bushmaster</v>
      </c>
      <c r="D144" s="5" t="str">
        <f ca="1">IFERROR(__xludf.DUMMYFUNCTION("""COMPUTED_VALUE"""),"LandPlane")</f>
        <v>LandPlane</v>
      </c>
      <c r="E144" s="5" t="str">
        <f ca="1">IFERROR(__xludf.DUMMYFUNCTION("""COMPUTED_VALUE"""),"Piston")</f>
        <v>Piston</v>
      </c>
      <c r="F144" s="5">
        <f ca="1">IFERROR(__xludf.DUMMYFUNCTION("""COMPUTED_VALUE"""),1)</f>
        <v>1</v>
      </c>
    </row>
    <row r="145" spans="1:6" ht="15" customHeight="1" x14ac:dyDescent="0.2">
      <c r="A145" s="5" t="str">
        <f ca="1">IFERROR(__xludf.DUMMYFUNCTION("""COMPUTED_VALUE"""),"ALC1")</f>
        <v>ALC1</v>
      </c>
      <c r="B145" s="5" t="str">
        <f ca="1">IFERROR(__xludf.DUMMYFUNCTION("""COMPUTED_VALUE"""),"ALTAIR COELHO")</f>
        <v>ALTAIR COELHO</v>
      </c>
      <c r="C145" s="5" t="str">
        <f ca="1">IFERROR(__xludf.DUMMYFUNCTION("""COMPUTED_VALUE"""),"AC-11")</f>
        <v>AC-11</v>
      </c>
      <c r="D145" s="5" t="str">
        <f ca="1">IFERROR(__xludf.DUMMYFUNCTION("""COMPUTED_VALUE"""),"LandPlane")</f>
        <v>LandPlane</v>
      </c>
      <c r="E145" s="5" t="str">
        <f ca="1">IFERROR(__xludf.DUMMYFUNCTION("""COMPUTED_VALUE"""),"Piston")</f>
        <v>Piston</v>
      </c>
      <c r="F145" s="5">
        <f ca="1">IFERROR(__xludf.DUMMYFUNCTION("""COMPUTED_VALUE"""),1)</f>
        <v>1</v>
      </c>
    </row>
    <row r="146" spans="1:6" ht="15" customHeight="1" x14ac:dyDescent="0.2">
      <c r="A146" s="5" t="str">
        <f ca="1">IFERROR(__xludf.DUMMYFUNCTION("""COMPUTED_VALUE"""),"ALGR")</f>
        <v>ALGR</v>
      </c>
      <c r="B146" s="5" t="str">
        <f ca="1">IFERROR(__xludf.DUMMYFUNCTION("""COMPUTED_VALUE"""),"FANTASY AIR")</f>
        <v>FANTASY AIR</v>
      </c>
      <c r="C146" s="5" t="str">
        <f ca="1">IFERROR(__xludf.DUMMYFUNCTION("""COMPUTED_VALUE"""),"Allegro")</f>
        <v>Allegro</v>
      </c>
      <c r="D146" s="5" t="str">
        <f ca="1">IFERROR(__xludf.DUMMYFUNCTION("""COMPUTED_VALUE"""),"LandPlane")</f>
        <v>LandPlane</v>
      </c>
      <c r="E146" s="5" t="str">
        <f ca="1">IFERROR(__xludf.DUMMYFUNCTION("""COMPUTED_VALUE"""),"Piston")</f>
        <v>Piston</v>
      </c>
      <c r="F146" s="5">
        <f ca="1">IFERROR(__xludf.DUMMYFUNCTION("""COMPUTED_VALUE"""),1)</f>
        <v>1</v>
      </c>
    </row>
    <row r="147" spans="1:6" ht="15" customHeight="1" x14ac:dyDescent="0.2">
      <c r="A147" s="5" t="str">
        <f ca="1">IFERROR(__xludf.DUMMYFUNCTION("""COMPUTED_VALUE"""),"ALH")</f>
        <v>ALH</v>
      </c>
      <c r="B147" s="5" t="str">
        <f ca="1">IFERROR(__xludf.DUMMYFUNCTION("""COMPUTED_VALUE"""),"HINDUSTAN")</f>
        <v>HINDUSTAN</v>
      </c>
      <c r="C147" s="5" t="str">
        <f ca="1">IFERROR(__xludf.DUMMYFUNCTION("""COMPUTED_VALUE"""),"ALH Dhruv")</f>
        <v>ALH Dhruv</v>
      </c>
      <c r="D147" s="5" t="str">
        <f ca="1">IFERROR(__xludf.DUMMYFUNCTION("""COMPUTED_VALUE"""),"Helicopter")</f>
        <v>Helicopter</v>
      </c>
      <c r="E147" s="5" t="str">
        <f ca="1">IFERROR(__xludf.DUMMYFUNCTION("""COMPUTED_VALUE"""),"Turboprop/Turboshaft")</f>
        <v>Turboprop/Turboshaft</v>
      </c>
      <c r="F147" s="5">
        <f ca="1">IFERROR(__xludf.DUMMYFUNCTION("""COMPUTED_VALUE"""),2)</f>
        <v>2</v>
      </c>
    </row>
    <row r="148" spans="1:6" ht="15" customHeight="1" x14ac:dyDescent="0.2">
      <c r="A148" s="5" t="str">
        <f ca="1">IFERROR(__xludf.DUMMYFUNCTION("""COMPUTED_VALUE"""),"ALIG")</f>
        <v>ALIG</v>
      </c>
      <c r="B148" s="5" t="str">
        <f ca="1">IFERROR(__xludf.DUMMYFUNCTION("""COMPUTED_VALUE"""),"ARION")</f>
        <v>ARION</v>
      </c>
      <c r="C148" s="5" t="str">
        <f ca="1">IFERROR(__xludf.DUMMYFUNCTION("""COMPUTED_VALUE"""),"LS-1 Lightning")</f>
        <v>LS-1 Lightning</v>
      </c>
      <c r="D148" s="5" t="str">
        <f ca="1">IFERROR(__xludf.DUMMYFUNCTION("""COMPUTED_VALUE"""),"LandPlane")</f>
        <v>LandPlane</v>
      </c>
      <c r="E148" s="5" t="str">
        <f ca="1">IFERROR(__xludf.DUMMYFUNCTION("""COMPUTED_VALUE"""),"Piston")</f>
        <v>Piston</v>
      </c>
      <c r="F148" s="5">
        <f ca="1">IFERROR(__xludf.DUMMYFUNCTION("""COMPUTED_VALUE"""),1)</f>
        <v>1</v>
      </c>
    </row>
    <row r="149" spans="1:6" ht="15" customHeight="1" x14ac:dyDescent="0.2">
      <c r="A149" s="5" t="str">
        <f ca="1">IFERROR(__xludf.DUMMYFUNCTION("""COMPUTED_VALUE"""),"ALIZ")</f>
        <v>ALIZ</v>
      </c>
      <c r="B149" s="5" t="str">
        <f ca="1">IFERROR(__xludf.DUMMYFUNCTION("""COMPUTED_VALUE"""),"BREGUET")</f>
        <v>BREGUET</v>
      </c>
      <c r="C149" s="5" t="str">
        <f ca="1">IFERROR(__xludf.DUMMYFUNCTION("""COMPUTED_VALUE"""),"1050 Alizé")</f>
        <v>1050 Alizé</v>
      </c>
      <c r="D149" s="5" t="str">
        <f ca="1">IFERROR(__xludf.DUMMYFUNCTION("""COMPUTED_VALUE"""),"LandPlane")</f>
        <v>LandPlane</v>
      </c>
      <c r="E149" s="5" t="str">
        <f ca="1">IFERROR(__xludf.DUMMYFUNCTION("""COMPUTED_VALUE"""),"Turboprop/Turboshaft")</f>
        <v>Turboprop/Turboshaft</v>
      </c>
      <c r="F149" s="5">
        <f ca="1">IFERROR(__xludf.DUMMYFUNCTION("""COMPUTED_VALUE"""),1)</f>
        <v>1</v>
      </c>
    </row>
    <row r="150" spans="1:6" ht="15" customHeight="1" x14ac:dyDescent="0.2">
      <c r="A150" s="5" t="str">
        <f ca="1">IFERROR(__xludf.DUMMYFUNCTION("""COMPUTED_VALUE"""),"ALO2")</f>
        <v>ALO2</v>
      </c>
      <c r="B150" s="5" t="str">
        <f ca="1">IFERROR(__xludf.DUMMYFUNCTION("""COMPUTED_VALUE"""),"AEROSPATIALE")</f>
        <v>AEROSPATIALE</v>
      </c>
      <c r="C150" s="5" t="str">
        <f ca="1">IFERROR(__xludf.DUMMYFUNCTION("""COMPUTED_VALUE"""),"Alouette 2")</f>
        <v>Alouette 2</v>
      </c>
      <c r="D150" s="5" t="str">
        <f ca="1">IFERROR(__xludf.DUMMYFUNCTION("""COMPUTED_VALUE"""),"Helicopter")</f>
        <v>Helicopter</v>
      </c>
      <c r="E150" s="5" t="str">
        <f ca="1">IFERROR(__xludf.DUMMYFUNCTION("""COMPUTED_VALUE"""),"Turboprop/Turboshaft")</f>
        <v>Turboprop/Turboshaft</v>
      </c>
      <c r="F150" s="5">
        <f ca="1">IFERROR(__xludf.DUMMYFUNCTION("""COMPUTED_VALUE"""),1)</f>
        <v>1</v>
      </c>
    </row>
    <row r="151" spans="1:6" ht="15" customHeight="1" x14ac:dyDescent="0.2">
      <c r="A151" s="5" t="str">
        <f ca="1">IFERROR(__xludf.DUMMYFUNCTION("""COMPUTED_VALUE"""),"ALO3")</f>
        <v>ALO3</v>
      </c>
      <c r="B151" s="5" t="str">
        <f ca="1">IFERROR(__xludf.DUMMYFUNCTION("""COMPUTED_VALUE"""),"AEROSPATIALE")</f>
        <v>AEROSPATIALE</v>
      </c>
      <c r="C151" s="5" t="str">
        <f ca="1">IFERROR(__xludf.DUMMYFUNCTION("""COMPUTED_VALUE"""),"Alouette 3")</f>
        <v>Alouette 3</v>
      </c>
      <c r="D151" s="5" t="str">
        <f ca="1">IFERROR(__xludf.DUMMYFUNCTION("""COMPUTED_VALUE"""),"Helicopter")</f>
        <v>Helicopter</v>
      </c>
      <c r="E151" s="5" t="str">
        <f ca="1">IFERROR(__xludf.DUMMYFUNCTION("""COMPUTED_VALUE"""),"Turboprop/Turboshaft")</f>
        <v>Turboprop/Turboshaft</v>
      </c>
      <c r="F151" s="5">
        <f ca="1">IFERROR(__xludf.DUMMYFUNCTION("""COMPUTED_VALUE"""),1)</f>
        <v>1</v>
      </c>
    </row>
    <row r="152" spans="1:6" ht="15" customHeight="1" x14ac:dyDescent="0.2">
      <c r="A152" s="5" t="str">
        <f ca="1">IFERROR(__xludf.DUMMYFUNCTION("""COMPUTED_VALUE"""),"ALPI")</f>
        <v>ALPI</v>
      </c>
      <c r="B152" s="5" t="str">
        <f ca="1">IFERROR(__xludf.DUMMYFUNCTION("""COMPUTED_VALUE"""),"AUSTER")</f>
        <v>AUSTER</v>
      </c>
      <c r="C152" s="5" t="str">
        <f ca="1">IFERROR(__xludf.DUMMYFUNCTION("""COMPUTED_VALUE"""),"J-5R Alpine")</f>
        <v>J-5R Alpine</v>
      </c>
      <c r="D152" s="5" t="str">
        <f ca="1">IFERROR(__xludf.DUMMYFUNCTION("""COMPUTED_VALUE"""),"LandPlane")</f>
        <v>LandPlane</v>
      </c>
      <c r="E152" s="5" t="str">
        <f ca="1">IFERROR(__xludf.DUMMYFUNCTION("""COMPUTED_VALUE"""),"Piston")</f>
        <v>Piston</v>
      </c>
      <c r="F152" s="5">
        <f ca="1">IFERROR(__xludf.DUMMYFUNCTION("""COMPUTED_VALUE"""),1)</f>
        <v>1</v>
      </c>
    </row>
    <row r="153" spans="1:6" ht="15" customHeight="1" x14ac:dyDescent="0.2">
      <c r="A153" s="5" t="str">
        <f ca="1">IFERROR(__xludf.DUMMYFUNCTION("""COMPUTED_VALUE"""),"ALSL")</f>
        <v>ALSL</v>
      </c>
      <c r="B153" s="5" t="str">
        <f ca="1">IFERROR(__xludf.DUMMYFUNCTION("""COMPUTED_VALUE"""),"AIRLONY")</f>
        <v>AIRLONY</v>
      </c>
      <c r="C153" s="5" t="str">
        <f ca="1">IFERROR(__xludf.DUMMYFUNCTION("""COMPUTED_VALUE"""),"Skylane")</f>
        <v>Skylane</v>
      </c>
      <c r="D153" s="5" t="str">
        <f ca="1">IFERROR(__xludf.DUMMYFUNCTION("""COMPUTED_VALUE"""),"LandPlane")</f>
        <v>LandPlane</v>
      </c>
      <c r="E153" s="5" t="str">
        <f ca="1">IFERROR(__xludf.DUMMYFUNCTION("""COMPUTED_VALUE"""),"Piston")</f>
        <v>Piston</v>
      </c>
      <c r="F153" s="5">
        <f ca="1">IFERROR(__xludf.DUMMYFUNCTION("""COMPUTED_VALUE"""),1)</f>
        <v>1</v>
      </c>
    </row>
    <row r="154" spans="1:6" ht="15" customHeight="1" x14ac:dyDescent="0.2">
      <c r="A154" s="5" t="str">
        <f ca="1">IFERROR(__xludf.DUMMYFUNCTION("""COMPUTED_VALUE"""),"ALTO")</f>
        <v>ALTO</v>
      </c>
      <c r="B154" s="5" t="str">
        <f ca="1">IFERROR(__xludf.DUMMYFUNCTION("""COMPUTED_VALUE"""),"DIRECT FLY")</f>
        <v>DIRECT FLY</v>
      </c>
      <c r="C154" s="5" t="str">
        <f ca="1">IFERROR(__xludf.DUMMYFUNCTION("""COMPUTED_VALUE"""),"Alto")</f>
        <v>Alto</v>
      </c>
      <c r="D154" s="5" t="str">
        <f ca="1">IFERROR(__xludf.DUMMYFUNCTION("""COMPUTED_VALUE"""),"LandPlane")</f>
        <v>LandPlane</v>
      </c>
      <c r="E154" s="5" t="str">
        <f ca="1">IFERROR(__xludf.DUMMYFUNCTION("""COMPUTED_VALUE"""),"Piston")</f>
        <v>Piston</v>
      </c>
      <c r="F154" s="5">
        <f ca="1">IFERROR(__xludf.DUMMYFUNCTION("""COMPUTED_VALUE"""),1)</f>
        <v>1</v>
      </c>
    </row>
    <row r="155" spans="1:6" ht="15" customHeight="1" x14ac:dyDescent="0.2">
      <c r="A155" s="5" t="str">
        <f ca="1">IFERROR(__xludf.DUMMYFUNCTION("""COMPUTED_VALUE"""),"AM3")</f>
        <v>AM3</v>
      </c>
      <c r="B155" s="5" t="str">
        <f ca="1">IFERROR(__xludf.DUMMYFUNCTION("""COMPUTED_VALUE"""),"AERITALIA-AERMACCHI")</f>
        <v>AERITALIA-AERMACCHI</v>
      </c>
      <c r="C155" s="5" t="str">
        <f ca="1">IFERROR(__xludf.DUMMYFUNCTION("""COMPUTED_VALUE"""),"AM-3")</f>
        <v>AM-3</v>
      </c>
      <c r="D155" s="5" t="str">
        <f ca="1">IFERROR(__xludf.DUMMYFUNCTION("""COMPUTED_VALUE"""),"LandPlane")</f>
        <v>LandPlane</v>
      </c>
      <c r="E155" s="5" t="str">
        <f ca="1">IFERROR(__xludf.DUMMYFUNCTION("""COMPUTED_VALUE"""),"Piston")</f>
        <v>Piston</v>
      </c>
      <c r="F155" s="5">
        <f ca="1">IFERROR(__xludf.DUMMYFUNCTION("""COMPUTED_VALUE"""),1)</f>
        <v>1</v>
      </c>
    </row>
    <row r="156" spans="1:6" ht="15" customHeight="1" x14ac:dyDescent="0.2">
      <c r="A156" s="5" t="str">
        <f ca="1">IFERROR(__xludf.DUMMYFUNCTION("""COMPUTED_VALUE"""),"AMX")</f>
        <v>AMX</v>
      </c>
      <c r="B156" s="5" t="str">
        <f ca="1">IFERROR(__xludf.DUMMYFUNCTION("""COMPUTED_VALUE"""),"AMX")</f>
        <v>AMX</v>
      </c>
      <c r="C156" s="5" t="str">
        <f ca="1">IFERROR(__xludf.DUMMYFUNCTION("""COMPUTED_VALUE"""),"AMX")</f>
        <v>AMX</v>
      </c>
      <c r="D156" s="5" t="str">
        <f ca="1">IFERROR(__xludf.DUMMYFUNCTION("""COMPUTED_VALUE"""),"LandPlane")</f>
        <v>LandPlane</v>
      </c>
      <c r="E156" s="5" t="str">
        <f ca="1">IFERROR(__xludf.DUMMYFUNCTION("""COMPUTED_VALUE"""),"Jet")</f>
        <v>Jet</v>
      </c>
      <c r="F156" s="5">
        <f ca="1">IFERROR(__xludf.DUMMYFUNCTION("""COMPUTED_VALUE"""),1)</f>
        <v>1</v>
      </c>
    </row>
    <row r="157" spans="1:6" ht="15" customHeight="1" x14ac:dyDescent="0.2">
      <c r="A157" s="5" t="str">
        <f ca="1">IFERROR(__xludf.DUMMYFUNCTION("""COMPUTED_VALUE"""),"AN12")</f>
        <v>AN12</v>
      </c>
      <c r="B157" s="5" t="str">
        <f ca="1">IFERROR(__xludf.DUMMYFUNCTION("""COMPUTED_VALUE"""),"ANTONOV")</f>
        <v>ANTONOV</v>
      </c>
      <c r="C157" s="5" t="str">
        <f ca="1">IFERROR(__xludf.DUMMYFUNCTION("""COMPUTED_VALUE"""),"An-12")</f>
        <v>An-12</v>
      </c>
      <c r="D157" s="5" t="str">
        <f ca="1">IFERROR(__xludf.DUMMYFUNCTION("""COMPUTED_VALUE"""),"LandPlane")</f>
        <v>LandPlane</v>
      </c>
      <c r="E157" s="5" t="str">
        <f ca="1">IFERROR(__xludf.DUMMYFUNCTION("""COMPUTED_VALUE"""),"Turboprop/Turboshaft")</f>
        <v>Turboprop/Turboshaft</v>
      </c>
      <c r="F157" s="5">
        <f ca="1">IFERROR(__xludf.DUMMYFUNCTION("""COMPUTED_VALUE"""),4)</f>
        <v>4</v>
      </c>
    </row>
    <row r="158" spans="1:6" ht="15" customHeight="1" x14ac:dyDescent="0.2">
      <c r="A158" s="5" t="str">
        <f ca="1">IFERROR(__xludf.DUMMYFUNCTION("""COMPUTED_VALUE"""),"AN2")</f>
        <v>AN2</v>
      </c>
      <c r="B158" s="5" t="str">
        <f ca="1">IFERROR(__xludf.DUMMYFUNCTION("""COMPUTED_VALUE"""),"ANTONOV")</f>
        <v>ANTONOV</v>
      </c>
      <c r="C158" s="5" t="str">
        <f ca="1">IFERROR(__xludf.DUMMYFUNCTION("""COMPUTED_VALUE"""),"An-2")</f>
        <v>An-2</v>
      </c>
      <c r="D158" s="5" t="str">
        <f ca="1">IFERROR(__xludf.DUMMYFUNCTION("""COMPUTED_VALUE"""),"LandPlane")</f>
        <v>LandPlane</v>
      </c>
      <c r="E158" s="5" t="str">
        <f ca="1">IFERROR(__xludf.DUMMYFUNCTION("""COMPUTED_VALUE"""),"Piston")</f>
        <v>Piston</v>
      </c>
      <c r="F158" s="5">
        <f ca="1">IFERROR(__xludf.DUMMYFUNCTION("""COMPUTED_VALUE"""),1)</f>
        <v>1</v>
      </c>
    </row>
    <row r="159" spans="1:6" ht="15" customHeight="1" x14ac:dyDescent="0.2">
      <c r="A159" s="5" t="str">
        <f ca="1">IFERROR(__xludf.DUMMYFUNCTION("""COMPUTED_VALUE"""),"AN22")</f>
        <v>AN22</v>
      </c>
      <c r="B159" s="5" t="str">
        <f ca="1">IFERROR(__xludf.DUMMYFUNCTION("""COMPUTED_VALUE"""),"ANTONOV")</f>
        <v>ANTONOV</v>
      </c>
      <c r="C159" s="5" t="str">
        <f ca="1">IFERROR(__xludf.DUMMYFUNCTION("""COMPUTED_VALUE"""),"An-22 Antheus")</f>
        <v>An-22 Antheus</v>
      </c>
      <c r="D159" s="5" t="str">
        <f ca="1">IFERROR(__xludf.DUMMYFUNCTION("""COMPUTED_VALUE"""),"LandPlane")</f>
        <v>LandPlane</v>
      </c>
      <c r="E159" s="5" t="str">
        <f ca="1">IFERROR(__xludf.DUMMYFUNCTION("""COMPUTED_VALUE"""),"Turboprop/Turboshaft")</f>
        <v>Turboprop/Turboshaft</v>
      </c>
      <c r="F159" s="5">
        <f ca="1">IFERROR(__xludf.DUMMYFUNCTION("""COMPUTED_VALUE"""),4)</f>
        <v>4</v>
      </c>
    </row>
    <row r="160" spans="1:6" ht="15" customHeight="1" x14ac:dyDescent="0.2">
      <c r="A160" s="5" t="str">
        <f ca="1">IFERROR(__xludf.DUMMYFUNCTION("""COMPUTED_VALUE"""),"AN24")</f>
        <v>AN24</v>
      </c>
      <c r="B160" s="5" t="str">
        <f ca="1">IFERROR(__xludf.DUMMYFUNCTION("""COMPUTED_VALUE"""),"ANTONOV")</f>
        <v>ANTONOV</v>
      </c>
      <c r="C160" s="5" t="str">
        <f ca="1">IFERROR(__xludf.DUMMYFUNCTION("""COMPUTED_VALUE"""),"An-24")</f>
        <v>An-24</v>
      </c>
      <c r="D160" s="5" t="str">
        <f ca="1">IFERROR(__xludf.DUMMYFUNCTION("""COMPUTED_VALUE"""),"LandPlane")</f>
        <v>LandPlane</v>
      </c>
      <c r="E160" s="5" t="str">
        <f ca="1">IFERROR(__xludf.DUMMYFUNCTION("""COMPUTED_VALUE"""),"Turboprop/Turboshaft")</f>
        <v>Turboprop/Turboshaft</v>
      </c>
      <c r="F160" s="5">
        <f ca="1">IFERROR(__xludf.DUMMYFUNCTION("""COMPUTED_VALUE"""),2)</f>
        <v>2</v>
      </c>
    </row>
    <row r="161" spans="1:6" ht="15" customHeight="1" x14ac:dyDescent="0.2">
      <c r="A161" s="5" t="str">
        <f ca="1">IFERROR(__xludf.DUMMYFUNCTION("""COMPUTED_VALUE"""),"AN26")</f>
        <v>AN26</v>
      </c>
      <c r="B161" s="5" t="str">
        <f ca="1">IFERROR(__xludf.DUMMYFUNCTION("""COMPUTED_VALUE"""),"ANTONOV")</f>
        <v>ANTONOV</v>
      </c>
      <c r="C161" s="5" t="str">
        <f ca="1">IFERROR(__xludf.DUMMYFUNCTION("""COMPUTED_VALUE"""),"An-26")</f>
        <v>An-26</v>
      </c>
      <c r="D161" s="5" t="str">
        <f ca="1">IFERROR(__xludf.DUMMYFUNCTION("""COMPUTED_VALUE"""),"LandPlane")</f>
        <v>LandPlane</v>
      </c>
      <c r="E161" s="5" t="str">
        <f ca="1">IFERROR(__xludf.DUMMYFUNCTION("""COMPUTED_VALUE"""),"Turboprop/Turboshaft")</f>
        <v>Turboprop/Turboshaft</v>
      </c>
      <c r="F161" s="5">
        <f ca="1">IFERROR(__xludf.DUMMYFUNCTION("""COMPUTED_VALUE"""),2)</f>
        <v>2</v>
      </c>
    </row>
    <row r="162" spans="1:6" ht="15" customHeight="1" x14ac:dyDescent="0.2">
      <c r="A162" s="5" t="str">
        <f ca="1">IFERROR(__xludf.DUMMYFUNCTION("""COMPUTED_VALUE"""),"AN28")</f>
        <v>AN28</v>
      </c>
      <c r="B162" s="5" t="str">
        <f ca="1">IFERROR(__xludf.DUMMYFUNCTION("""COMPUTED_VALUE"""),"ANTONOV")</f>
        <v>ANTONOV</v>
      </c>
      <c r="C162" s="5" t="str">
        <f ca="1">IFERROR(__xludf.DUMMYFUNCTION("""COMPUTED_VALUE"""),"An-28")</f>
        <v>An-28</v>
      </c>
      <c r="D162" s="5" t="str">
        <f ca="1">IFERROR(__xludf.DUMMYFUNCTION("""COMPUTED_VALUE"""),"LandPlane")</f>
        <v>LandPlane</v>
      </c>
      <c r="E162" s="5" t="str">
        <f ca="1">IFERROR(__xludf.DUMMYFUNCTION("""COMPUTED_VALUE"""),"Turboprop/Turboshaft")</f>
        <v>Turboprop/Turboshaft</v>
      </c>
      <c r="F162" s="5">
        <f ca="1">IFERROR(__xludf.DUMMYFUNCTION("""COMPUTED_VALUE"""),2)</f>
        <v>2</v>
      </c>
    </row>
    <row r="163" spans="1:6" ht="15" customHeight="1" x14ac:dyDescent="0.2">
      <c r="A163" s="5" t="str">
        <f ca="1">IFERROR(__xludf.DUMMYFUNCTION("""COMPUTED_VALUE"""),"AN3")</f>
        <v>AN3</v>
      </c>
      <c r="B163" s="5" t="str">
        <f ca="1">IFERROR(__xludf.DUMMYFUNCTION("""COMPUTED_VALUE"""),"ANTONOV")</f>
        <v>ANTONOV</v>
      </c>
      <c r="C163" s="5" t="str">
        <f ca="1">IFERROR(__xludf.DUMMYFUNCTION("""COMPUTED_VALUE"""),"An-3")</f>
        <v>An-3</v>
      </c>
      <c r="D163" s="5" t="str">
        <f ca="1">IFERROR(__xludf.DUMMYFUNCTION("""COMPUTED_VALUE"""),"LandPlane")</f>
        <v>LandPlane</v>
      </c>
      <c r="E163" s="5" t="str">
        <f ca="1">IFERROR(__xludf.DUMMYFUNCTION("""COMPUTED_VALUE"""),"Turboprop/Turboshaft")</f>
        <v>Turboprop/Turboshaft</v>
      </c>
      <c r="F163" s="5">
        <f ca="1">IFERROR(__xludf.DUMMYFUNCTION("""COMPUTED_VALUE"""),1)</f>
        <v>1</v>
      </c>
    </row>
    <row r="164" spans="1:6" ht="15" customHeight="1" x14ac:dyDescent="0.2">
      <c r="A164" s="5" t="str">
        <f ca="1">IFERROR(__xludf.DUMMYFUNCTION("""COMPUTED_VALUE"""),"AN30")</f>
        <v>AN30</v>
      </c>
      <c r="B164" s="5" t="str">
        <f ca="1">IFERROR(__xludf.DUMMYFUNCTION("""COMPUTED_VALUE"""),"ANTONOV")</f>
        <v>ANTONOV</v>
      </c>
      <c r="C164" s="5" t="str">
        <f ca="1">IFERROR(__xludf.DUMMYFUNCTION("""COMPUTED_VALUE"""),"An-30")</f>
        <v>An-30</v>
      </c>
      <c r="D164" s="5" t="str">
        <f ca="1">IFERROR(__xludf.DUMMYFUNCTION("""COMPUTED_VALUE"""),"LandPlane")</f>
        <v>LandPlane</v>
      </c>
      <c r="E164" s="5" t="str">
        <f ca="1">IFERROR(__xludf.DUMMYFUNCTION("""COMPUTED_VALUE"""),"Turboprop/Turboshaft")</f>
        <v>Turboprop/Turboshaft</v>
      </c>
      <c r="F164" s="5">
        <f ca="1">IFERROR(__xludf.DUMMYFUNCTION("""COMPUTED_VALUE"""),2)</f>
        <v>2</v>
      </c>
    </row>
    <row r="165" spans="1:6" ht="15" customHeight="1" x14ac:dyDescent="0.2">
      <c r="A165" s="5" t="str">
        <f ca="1">IFERROR(__xludf.DUMMYFUNCTION("""COMPUTED_VALUE"""),"AN32")</f>
        <v>AN32</v>
      </c>
      <c r="B165" s="5" t="str">
        <f ca="1">IFERROR(__xludf.DUMMYFUNCTION("""COMPUTED_VALUE"""),"ANTONOV")</f>
        <v>ANTONOV</v>
      </c>
      <c r="C165" s="5" t="str">
        <f ca="1">IFERROR(__xludf.DUMMYFUNCTION("""COMPUTED_VALUE"""),"An-32")</f>
        <v>An-32</v>
      </c>
      <c r="D165" s="5" t="str">
        <f ca="1">IFERROR(__xludf.DUMMYFUNCTION("""COMPUTED_VALUE"""),"LandPlane")</f>
        <v>LandPlane</v>
      </c>
      <c r="E165" s="5" t="str">
        <f ca="1">IFERROR(__xludf.DUMMYFUNCTION("""COMPUTED_VALUE"""),"Turboprop/Turboshaft")</f>
        <v>Turboprop/Turboshaft</v>
      </c>
      <c r="F165" s="5">
        <f ca="1">IFERROR(__xludf.DUMMYFUNCTION("""COMPUTED_VALUE"""),2)</f>
        <v>2</v>
      </c>
    </row>
    <row r="166" spans="1:6" ht="15" customHeight="1" x14ac:dyDescent="0.2">
      <c r="A166" s="5" t="str">
        <f ca="1">IFERROR(__xludf.DUMMYFUNCTION("""COMPUTED_VALUE"""),"AN38")</f>
        <v>AN38</v>
      </c>
      <c r="B166" s="5" t="str">
        <f ca="1">IFERROR(__xludf.DUMMYFUNCTION("""COMPUTED_VALUE"""),"ANTONOV")</f>
        <v>ANTONOV</v>
      </c>
      <c r="C166" s="5" t="str">
        <f ca="1">IFERROR(__xludf.DUMMYFUNCTION("""COMPUTED_VALUE"""),"An-38")</f>
        <v>An-38</v>
      </c>
      <c r="D166" s="5" t="str">
        <f ca="1">IFERROR(__xludf.DUMMYFUNCTION("""COMPUTED_VALUE"""),"LandPlane")</f>
        <v>LandPlane</v>
      </c>
      <c r="E166" s="5" t="str">
        <f ca="1">IFERROR(__xludf.DUMMYFUNCTION("""COMPUTED_VALUE"""),"Turboprop/Turboshaft")</f>
        <v>Turboprop/Turboshaft</v>
      </c>
      <c r="F166" s="5">
        <f ca="1">IFERROR(__xludf.DUMMYFUNCTION("""COMPUTED_VALUE"""),2)</f>
        <v>2</v>
      </c>
    </row>
    <row r="167" spans="1:6" ht="15" customHeight="1" x14ac:dyDescent="0.2">
      <c r="A167" s="5" t="str">
        <f ca="1">IFERROR(__xludf.DUMMYFUNCTION("""COMPUTED_VALUE"""),"AN70")</f>
        <v>AN70</v>
      </c>
      <c r="B167" s="5" t="str">
        <f ca="1">IFERROR(__xludf.DUMMYFUNCTION("""COMPUTED_VALUE"""),"ANTONOV")</f>
        <v>ANTONOV</v>
      </c>
      <c r="C167" s="5" t="str">
        <f ca="1">IFERROR(__xludf.DUMMYFUNCTION("""COMPUTED_VALUE"""),"An-70")</f>
        <v>An-70</v>
      </c>
      <c r="D167" s="5" t="str">
        <f ca="1">IFERROR(__xludf.DUMMYFUNCTION("""COMPUTED_VALUE"""),"LandPlane")</f>
        <v>LandPlane</v>
      </c>
      <c r="E167" s="5" t="str">
        <f ca="1">IFERROR(__xludf.DUMMYFUNCTION("""COMPUTED_VALUE"""),"Turboprop/Turboshaft")</f>
        <v>Turboprop/Turboshaft</v>
      </c>
      <c r="F167" s="5">
        <f ca="1">IFERROR(__xludf.DUMMYFUNCTION("""COMPUTED_VALUE"""),4)</f>
        <v>4</v>
      </c>
    </row>
    <row r="168" spans="1:6" ht="15" customHeight="1" x14ac:dyDescent="0.2">
      <c r="A168" s="5" t="str">
        <f ca="1">IFERROR(__xludf.DUMMYFUNCTION("""COMPUTED_VALUE"""),"AN72")</f>
        <v>AN72</v>
      </c>
      <c r="B168" s="5" t="str">
        <f ca="1">IFERROR(__xludf.DUMMYFUNCTION("""COMPUTED_VALUE"""),"ANTONOV")</f>
        <v>ANTONOV</v>
      </c>
      <c r="C168" s="5" t="str">
        <f ca="1">IFERROR(__xludf.DUMMYFUNCTION("""COMPUTED_VALUE"""),"An-72")</f>
        <v>An-72</v>
      </c>
      <c r="D168" s="5" t="str">
        <f ca="1">IFERROR(__xludf.DUMMYFUNCTION("""COMPUTED_VALUE"""),"LandPlane")</f>
        <v>LandPlane</v>
      </c>
      <c r="E168" s="5" t="str">
        <f ca="1">IFERROR(__xludf.DUMMYFUNCTION("""COMPUTED_VALUE"""),"Jet")</f>
        <v>Jet</v>
      </c>
      <c r="F168" s="5">
        <f ca="1">IFERROR(__xludf.DUMMYFUNCTION("""COMPUTED_VALUE"""),2)</f>
        <v>2</v>
      </c>
    </row>
    <row r="169" spans="1:6" ht="15" customHeight="1" x14ac:dyDescent="0.2">
      <c r="A169" s="5" t="str">
        <f ca="1">IFERROR(__xludf.DUMMYFUNCTION("""COMPUTED_VALUE"""),"AN8")</f>
        <v>AN8</v>
      </c>
      <c r="B169" s="5" t="str">
        <f ca="1">IFERROR(__xludf.DUMMYFUNCTION("""COMPUTED_VALUE"""),"ANTONOV")</f>
        <v>ANTONOV</v>
      </c>
      <c r="C169" s="5" t="str">
        <f ca="1">IFERROR(__xludf.DUMMYFUNCTION("""COMPUTED_VALUE"""),"An-8")</f>
        <v>An-8</v>
      </c>
      <c r="D169" s="5" t="str">
        <f ca="1">IFERROR(__xludf.DUMMYFUNCTION("""COMPUTED_VALUE"""),"LandPlane")</f>
        <v>LandPlane</v>
      </c>
      <c r="E169" s="5" t="str">
        <f ca="1">IFERROR(__xludf.DUMMYFUNCTION("""COMPUTED_VALUE"""),"Turboprop/Turboshaft")</f>
        <v>Turboprop/Turboshaft</v>
      </c>
      <c r="F169" s="5">
        <f ca="1">IFERROR(__xludf.DUMMYFUNCTION("""COMPUTED_VALUE"""),2)</f>
        <v>2</v>
      </c>
    </row>
    <row r="170" spans="1:6" ht="15" customHeight="1" x14ac:dyDescent="0.2">
      <c r="A170" s="5" t="str">
        <f ca="1">IFERROR(__xludf.DUMMYFUNCTION("""COMPUTED_VALUE"""),"ANGL")</f>
        <v>ANGL</v>
      </c>
      <c r="B170" s="5" t="str">
        <f ca="1">IFERROR(__xludf.DUMMYFUNCTION("""COMPUTED_VALUE"""),"KING'S")</f>
        <v>KING'S</v>
      </c>
      <c r="C170" s="5" t="str">
        <f ca="1">IFERROR(__xludf.DUMMYFUNCTION("""COMPUTED_VALUE"""),"44 Angel")</f>
        <v>44 Angel</v>
      </c>
      <c r="D170" s="5" t="str">
        <f ca="1">IFERROR(__xludf.DUMMYFUNCTION("""COMPUTED_VALUE"""),"LandPlane")</f>
        <v>LandPlane</v>
      </c>
      <c r="E170" s="5" t="str">
        <f ca="1">IFERROR(__xludf.DUMMYFUNCTION("""COMPUTED_VALUE"""),"Piston")</f>
        <v>Piston</v>
      </c>
      <c r="F170" s="5">
        <f ca="1">IFERROR(__xludf.DUMMYFUNCTION("""COMPUTED_VALUE"""),2)</f>
        <v>2</v>
      </c>
    </row>
    <row r="171" spans="1:6" ht="15" customHeight="1" x14ac:dyDescent="0.2">
      <c r="A171" s="5" t="str">
        <f ca="1">IFERROR(__xludf.DUMMYFUNCTION("""COMPUTED_VALUE"""),"ANKA")</f>
        <v>ANKA</v>
      </c>
      <c r="B171" s="5" t="str">
        <f ca="1">IFERROR(__xludf.DUMMYFUNCTION("""COMPUTED_VALUE"""),"TAI")</f>
        <v>TAI</v>
      </c>
      <c r="C171" s="5" t="str">
        <f ca="1">IFERROR(__xludf.DUMMYFUNCTION("""COMPUTED_VALUE"""),"Anka")</f>
        <v>Anka</v>
      </c>
      <c r="D171" s="5" t="str">
        <f ca="1">IFERROR(__xludf.DUMMYFUNCTION("""COMPUTED_VALUE"""),"LandPlane")</f>
        <v>LandPlane</v>
      </c>
      <c r="E171" s="5" t="str">
        <f ca="1">IFERROR(__xludf.DUMMYFUNCTION("""COMPUTED_VALUE"""),"Piston")</f>
        <v>Piston</v>
      </c>
      <c r="F171" s="5">
        <f ca="1">IFERROR(__xludf.DUMMYFUNCTION("""COMPUTED_VALUE"""),1)</f>
        <v>1</v>
      </c>
    </row>
    <row r="172" spans="1:6" ht="15" customHeight="1" x14ac:dyDescent="0.2">
      <c r="A172" s="5" t="str">
        <f ca="1">IFERROR(__xludf.DUMMYFUNCTION("""COMPUTED_VALUE"""),"ANSN")</f>
        <v>ANSN</v>
      </c>
      <c r="B172" s="5" t="str">
        <f ca="1">IFERROR(__xludf.DUMMYFUNCTION("""COMPUTED_VALUE"""),"AVRO")</f>
        <v>AVRO</v>
      </c>
      <c r="C172" s="5" t="str">
        <f ca="1">IFERROR(__xludf.DUMMYFUNCTION("""COMPUTED_VALUE"""),"652 Anson")</f>
        <v>652 Anson</v>
      </c>
      <c r="D172" s="5" t="str">
        <f ca="1">IFERROR(__xludf.DUMMYFUNCTION("""COMPUTED_VALUE"""),"LandPlane")</f>
        <v>LandPlane</v>
      </c>
      <c r="E172" s="5" t="str">
        <f ca="1">IFERROR(__xludf.DUMMYFUNCTION("""COMPUTED_VALUE"""),"Piston")</f>
        <v>Piston</v>
      </c>
      <c r="F172" s="5">
        <f ca="1">IFERROR(__xludf.DUMMYFUNCTION("""COMPUTED_VALUE"""),2)</f>
        <v>2</v>
      </c>
    </row>
    <row r="173" spans="1:6" ht="15" customHeight="1" x14ac:dyDescent="0.2">
      <c r="A173" s="5" t="str">
        <f ca="1">IFERROR(__xludf.DUMMYFUNCTION("""COMPUTED_VALUE"""),"ANST")</f>
        <v>ANST</v>
      </c>
      <c r="B173" s="5" t="str">
        <f ca="1">IFERROR(__xludf.DUMMYFUNCTION("""COMPUTED_VALUE"""),"KAZAN")</f>
        <v>KAZAN</v>
      </c>
      <c r="C173" s="5" t="str">
        <f ca="1">IFERROR(__xludf.DUMMYFUNCTION("""COMPUTED_VALUE"""),"Ansat")</f>
        <v>Ansat</v>
      </c>
      <c r="D173" s="5" t="str">
        <f ca="1">IFERROR(__xludf.DUMMYFUNCTION("""COMPUTED_VALUE"""),"Helicopter")</f>
        <v>Helicopter</v>
      </c>
      <c r="E173" s="5" t="str">
        <f ca="1">IFERROR(__xludf.DUMMYFUNCTION("""COMPUTED_VALUE"""),"Turboprop/Turboshaft")</f>
        <v>Turboprop/Turboshaft</v>
      </c>
      <c r="F173" s="5">
        <f ca="1">IFERROR(__xludf.DUMMYFUNCTION("""COMPUTED_VALUE"""),2)</f>
        <v>2</v>
      </c>
    </row>
    <row r="174" spans="1:6" ht="15" customHeight="1" x14ac:dyDescent="0.2">
      <c r="A174" s="5" t="str">
        <f ca="1">IFERROR(__xludf.DUMMYFUNCTION("""COMPUTED_VALUE"""),"AP20")</f>
        <v>AP20</v>
      </c>
      <c r="B174" s="5" t="str">
        <f ca="1">IFERROR(__xludf.DUMMYFUNCTION("""COMPUTED_VALUE"""),"AEROPRAKT")</f>
        <v>AEROPRAKT</v>
      </c>
      <c r="C174" s="5" t="str">
        <f ca="1">IFERROR(__xludf.DUMMYFUNCTION("""COMPUTED_VALUE"""),"A-20")</f>
        <v>A-20</v>
      </c>
      <c r="D174" s="5" t="str">
        <f ca="1">IFERROR(__xludf.DUMMYFUNCTION("""COMPUTED_VALUE"""),"LandPlane")</f>
        <v>LandPlane</v>
      </c>
      <c r="E174" s="5" t="str">
        <f ca="1">IFERROR(__xludf.DUMMYFUNCTION("""COMPUTED_VALUE"""),"Piston")</f>
        <v>Piston</v>
      </c>
      <c r="F174" s="5">
        <f ca="1">IFERROR(__xludf.DUMMYFUNCTION("""COMPUTED_VALUE"""),1)</f>
        <v>1</v>
      </c>
    </row>
    <row r="175" spans="1:6" ht="15" customHeight="1" x14ac:dyDescent="0.2">
      <c r="A175" s="5" t="str">
        <f ca="1">IFERROR(__xludf.DUMMYFUNCTION("""COMPUTED_VALUE"""),"AP22")</f>
        <v>AP22</v>
      </c>
      <c r="B175" s="5" t="str">
        <f ca="1">IFERROR(__xludf.DUMMYFUNCTION("""COMPUTED_VALUE"""),"AEROPRAKT")</f>
        <v>AEROPRAKT</v>
      </c>
      <c r="C175" s="5" t="str">
        <f ca="1">IFERROR(__xludf.DUMMYFUNCTION("""COMPUTED_VALUE"""),"A-22")</f>
        <v>A-22</v>
      </c>
      <c r="D175" s="5" t="str">
        <f ca="1">IFERROR(__xludf.DUMMYFUNCTION("""COMPUTED_VALUE"""),"LandPlane")</f>
        <v>LandPlane</v>
      </c>
      <c r="E175" s="5" t="str">
        <f ca="1">IFERROR(__xludf.DUMMYFUNCTION("""COMPUTED_VALUE"""),"Piston")</f>
        <v>Piston</v>
      </c>
      <c r="F175" s="5">
        <f ca="1">IFERROR(__xludf.DUMMYFUNCTION("""COMPUTED_VALUE"""),1)</f>
        <v>1</v>
      </c>
    </row>
    <row r="176" spans="1:6" ht="15" customHeight="1" x14ac:dyDescent="0.2">
      <c r="A176" s="5" t="str">
        <f ca="1">IFERROR(__xludf.DUMMYFUNCTION("""COMPUTED_VALUE"""),"AP24")</f>
        <v>AP24</v>
      </c>
      <c r="B176" s="5" t="str">
        <f ca="1">IFERROR(__xludf.DUMMYFUNCTION("""COMPUTED_VALUE"""),"AEROPRAKT")</f>
        <v>AEROPRAKT</v>
      </c>
      <c r="C176" s="5" t="str">
        <f ca="1">IFERROR(__xludf.DUMMYFUNCTION("""COMPUTED_VALUE"""),"A-24 Viking")</f>
        <v>A-24 Viking</v>
      </c>
      <c r="D176" s="5" t="str">
        <f ca="1">IFERROR(__xludf.DUMMYFUNCTION("""COMPUTED_VALUE"""),"Amphibian")</f>
        <v>Amphibian</v>
      </c>
      <c r="E176" s="5" t="str">
        <f ca="1">IFERROR(__xludf.DUMMYFUNCTION("""COMPUTED_VALUE"""),"Piston")</f>
        <v>Piston</v>
      </c>
      <c r="F176" s="5">
        <f ca="1">IFERROR(__xludf.DUMMYFUNCTION("""COMPUTED_VALUE"""),1)</f>
        <v>1</v>
      </c>
    </row>
    <row r="177" spans="1:6" ht="15" customHeight="1" x14ac:dyDescent="0.2">
      <c r="A177" s="5" t="str">
        <f ca="1">IFERROR(__xludf.DUMMYFUNCTION("""COMPUTED_VALUE"""),"AP26")</f>
        <v>AP26</v>
      </c>
      <c r="B177" s="5" t="str">
        <f ca="1">IFERROR(__xludf.DUMMYFUNCTION("""COMPUTED_VALUE"""),"AEROPRAKT")</f>
        <v>AEROPRAKT</v>
      </c>
      <c r="C177" s="5" t="str">
        <f ca="1">IFERROR(__xludf.DUMMYFUNCTION("""COMPUTED_VALUE"""),"A-26 Twin Vista")</f>
        <v>A-26 Twin Vista</v>
      </c>
      <c r="D177" s="5" t="str">
        <f ca="1">IFERROR(__xludf.DUMMYFUNCTION("""COMPUTED_VALUE"""),"LandPlane")</f>
        <v>LandPlane</v>
      </c>
      <c r="E177" s="5" t="str">
        <f ca="1">IFERROR(__xludf.DUMMYFUNCTION("""COMPUTED_VALUE"""),"Piston")</f>
        <v>Piston</v>
      </c>
      <c r="F177" s="5">
        <f ca="1">IFERROR(__xludf.DUMMYFUNCTION("""COMPUTED_VALUE"""),2)</f>
        <v>2</v>
      </c>
    </row>
    <row r="178" spans="1:6" ht="15" customHeight="1" x14ac:dyDescent="0.2">
      <c r="A178" s="5" t="str">
        <f ca="1">IFERROR(__xludf.DUMMYFUNCTION("""COMPUTED_VALUE"""),"AP28")</f>
        <v>AP28</v>
      </c>
      <c r="B178" s="5" t="str">
        <f ca="1">IFERROR(__xludf.DUMMYFUNCTION("""COMPUTED_VALUE"""),"AEROPRAKT")</f>
        <v>AEROPRAKT</v>
      </c>
      <c r="C178" s="5" t="str">
        <f ca="1">IFERROR(__xludf.DUMMYFUNCTION("""COMPUTED_VALUE"""),"A-28 Victor")</f>
        <v>A-28 Victor</v>
      </c>
      <c r="D178" s="5" t="str">
        <f ca="1">IFERROR(__xludf.DUMMYFUNCTION("""COMPUTED_VALUE"""),"LandPlane")</f>
        <v>LandPlane</v>
      </c>
      <c r="E178" s="5" t="str">
        <f ca="1">IFERROR(__xludf.DUMMYFUNCTION("""COMPUTED_VALUE"""),"Piston")</f>
        <v>Piston</v>
      </c>
      <c r="F178" s="5">
        <f ca="1">IFERROR(__xludf.DUMMYFUNCTION("""COMPUTED_VALUE"""),2)</f>
        <v>2</v>
      </c>
    </row>
    <row r="179" spans="1:6" ht="15" customHeight="1" x14ac:dyDescent="0.2">
      <c r="A179" s="5" t="str">
        <f ca="1">IFERROR(__xludf.DUMMYFUNCTION("""COMPUTED_VALUE"""),"AP32")</f>
        <v>AP32</v>
      </c>
      <c r="B179" s="5" t="str">
        <f ca="1">IFERROR(__xludf.DUMMYFUNCTION("""COMPUTED_VALUE"""),"AEROPRAKT")</f>
        <v>AEROPRAKT</v>
      </c>
      <c r="C179" s="5" t="str">
        <f ca="1">IFERROR(__xludf.DUMMYFUNCTION("""COMPUTED_VALUE"""),"A-32 Vixxen")</f>
        <v>A-32 Vixxen</v>
      </c>
      <c r="D179" s="5" t="str">
        <f ca="1">IFERROR(__xludf.DUMMYFUNCTION("""COMPUTED_VALUE"""),"LandPlane")</f>
        <v>LandPlane</v>
      </c>
      <c r="E179" s="5" t="str">
        <f ca="1">IFERROR(__xludf.DUMMYFUNCTION("""COMPUTED_VALUE"""),"Piston")</f>
        <v>Piston</v>
      </c>
      <c r="F179" s="5">
        <f ca="1">IFERROR(__xludf.DUMMYFUNCTION("""COMPUTED_VALUE"""),1)</f>
        <v>1</v>
      </c>
    </row>
    <row r="180" spans="1:6" ht="15" customHeight="1" x14ac:dyDescent="0.2">
      <c r="A180" s="5" t="str">
        <f ca="1">IFERROR(__xludf.DUMMYFUNCTION("""COMPUTED_VALUE"""),"AP36")</f>
        <v>AP36</v>
      </c>
      <c r="B180" s="5" t="str">
        <f ca="1">IFERROR(__xludf.DUMMYFUNCTION("""COMPUTED_VALUE"""),"AEROPRAKT")</f>
        <v>AEROPRAKT</v>
      </c>
      <c r="C180" s="5" t="str">
        <f ca="1">IFERROR(__xludf.DUMMYFUNCTION("""COMPUTED_VALUE"""),"A-36 Vulcan")</f>
        <v>A-36 Vulcan</v>
      </c>
      <c r="D180" s="5" t="str">
        <f ca="1">IFERROR(__xludf.DUMMYFUNCTION("""COMPUTED_VALUE"""),"LandPlane")</f>
        <v>LandPlane</v>
      </c>
      <c r="E180" s="5" t="str">
        <f ca="1">IFERROR(__xludf.DUMMYFUNCTION("""COMPUTED_VALUE"""),"Piston")</f>
        <v>Piston</v>
      </c>
      <c r="F180" s="5">
        <f ca="1">IFERROR(__xludf.DUMMYFUNCTION("""COMPUTED_VALUE"""),2)</f>
        <v>2</v>
      </c>
    </row>
    <row r="181" spans="1:6" ht="15" customHeight="1" x14ac:dyDescent="0.2">
      <c r="A181" s="5" t="str">
        <f ca="1">IFERROR(__xludf.DUMMYFUNCTION("""COMPUTED_VALUE"""),"APM2")</f>
        <v>APM2</v>
      </c>
      <c r="B181" s="5" t="str">
        <f ca="1">IFERROR(__xludf.DUMMYFUNCTION("""COMPUTED_VALUE"""),"ISSOIRE")</f>
        <v>ISSOIRE</v>
      </c>
      <c r="C181" s="5" t="str">
        <f ca="1">IFERROR(__xludf.DUMMYFUNCTION("""COMPUTED_VALUE"""),"APM-20 Lionceau")</f>
        <v>APM-20 Lionceau</v>
      </c>
      <c r="D181" s="5" t="str">
        <f ca="1">IFERROR(__xludf.DUMMYFUNCTION("""COMPUTED_VALUE"""),"LandPlane")</f>
        <v>LandPlane</v>
      </c>
      <c r="E181" s="5" t="str">
        <f ca="1">IFERROR(__xludf.DUMMYFUNCTION("""COMPUTED_VALUE"""),"Piston")</f>
        <v>Piston</v>
      </c>
      <c r="F181" s="5">
        <f ca="1">IFERROR(__xludf.DUMMYFUNCTION("""COMPUTED_VALUE"""),1)</f>
        <v>1</v>
      </c>
    </row>
    <row r="182" spans="1:6" ht="15" customHeight="1" x14ac:dyDescent="0.2">
      <c r="A182" s="5" t="str">
        <f ca="1">IFERROR(__xludf.DUMMYFUNCTION("""COMPUTED_VALUE"""),"APM3")</f>
        <v>APM3</v>
      </c>
      <c r="B182" s="5" t="str">
        <f ca="1">IFERROR(__xludf.DUMMYFUNCTION("""COMPUTED_VALUE"""),"ISSOIRE")</f>
        <v>ISSOIRE</v>
      </c>
      <c r="C182" s="5" t="str">
        <f ca="1">IFERROR(__xludf.DUMMYFUNCTION("""COMPUTED_VALUE"""),"APM-30 Lion")</f>
        <v>APM-30 Lion</v>
      </c>
      <c r="D182" s="5" t="str">
        <f ca="1">IFERROR(__xludf.DUMMYFUNCTION("""COMPUTED_VALUE"""),"LandPlane")</f>
        <v>LandPlane</v>
      </c>
      <c r="E182" s="5" t="str">
        <f ca="1">IFERROR(__xludf.DUMMYFUNCTION("""COMPUTED_VALUE"""),"Piston")</f>
        <v>Piston</v>
      </c>
      <c r="F182" s="5">
        <f ca="1">IFERROR(__xludf.DUMMYFUNCTION("""COMPUTED_VALUE"""),1)</f>
        <v>1</v>
      </c>
    </row>
    <row r="183" spans="1:6" ht="15" customHeight="1" x14ac:dyDescent="0.2">
      <c r="A183" s="5" t="str">
        <f ca="1">IFERROR(__xludf.DUMMYFUNCTION("""COMPUTED_VALUE"""),"APM4")</f>
        <v>APM4</v>
      </c>
      <c r="B183" s="5" t="str">
        <f ca="1">IFERROR(__xludf.DUMMYFUNCTION("""COMPUTED_VALUE"""),"ISSOIRE")</f>
        <v>ISSOIRE</v>
      </c>
      <c r="C183" s="5" t="str">
        <f ca="1">IFERROR(__xludf.DUMMYFUNCTION("""COMPUTED_VALUE"""),"APM-40 Simba")</f>
        <v>APM-40 Simba</v>
      </c>
      <c r="D183" s="5" t="str">
        <f ca="1">IFERROR(__xludf.DUMMYFUNCTION("""COMPUTED_VALUE"""),"LandPlane")</f>
        <v>LandPlane</v>
      </c>
      <c r="E183" s="5" t="str">
        <f ca="1">IFERROR(__xludf.DUMMYFUNCTION("""COMPUTED_VALUE"""),"Piston")</f>
        <v>Piston</v>
      </c>
      <c r="F183" s="5">
        <f ca="1">IFERROR(__xludf.DUMMYFUNCTION("""COMPUTED_VALUE"""),1)</f>
        <v>1</v>
      </c>
    </row>
    <row r="184" spans="1:6" ht="15" customHeight="1" x14ac:dyDescent="0.2">
      <c r="A184" s="5" t="str">
        <f ca="1">IFERROR(__xludf.DUMMYFUNCTION("""COMPUTED_VALUE"""),"APUP")</f>
        <v>APUP</v>
      </c>
      <c r="B184" s="5" t="str">
        <f ca="1">IFERROR(__xludf.DUMMYFUNCTION("""COMPUTED_VALUE"""),"AEROPUP")</f>
        <v>AEROPUP</v>
      </c>
      <c r="C184" s="5" t="str">
        <f ca="1">IFERROR(__xludf.DUMMYFUNCTION("""COMPUTED_VALUE"""),"Aeropup")</f>
        <v>Aeropup</v>
      </c>
      <c r="D184" s="5" t="str">
        <f ca="1">IFERROR(__xludf.DUMMYFUNCTION("""COMPUTED_VALUE"""),"LandPlane")</f>
        <v>LandPlane</v>
      </c>
      <c r="E184" s="5" t="str">
        <f ca="1">IFERROR(__xludf.DUMMYFUNCTION("""COMPUTED_VALUE"""),"Piston")</f>
        <v>Piston</v>
      </c>
      <c r="F184" s="5">
        <f ca="1">IFERROR(__xludf.DUMMYFUNCTION("""COMPUTED_VALUE"""),1)</f>
        <v>1</v>
      </c>
    </row>
    <row r="185" spans="1:6" ht="15" customHeight="1" x14ac:dyDescent="0.2">
      <c r="A185" s="5" t="str">
        <f ca="1">IFERROR(__xludf.DUMMYFUNCTION("""COMPUTED_VALUE"""),"AR11")</f>
        <v>AR11</v>
      </c>
      <c r="B185" s="5" t="str">
        <f ca="1">IFERROR(__xludf.DUMMYFUNCTION("""COMPUTED_VALUE"""),"AERONCA")</f>
        <v>AERONCA</v>
      </c>
      <c r="C185" s="5" t="str">
        <f ca="1">IFERROR(__xludf.DUMMYFUNCTION("""COMPUTED_VALUE"""),"11 Chief")</f>
        <v>11 Chief</v>
      </c>
      <c r="D185" s="5" t="str">
        <f ca="1">IFERROR(__xludf.DUMMYFUNCTION("""COMPUTED_VALUE"""),"LandPlane")</f>
        <v>LandPlane</v>
      </c>
      <c r="E185" s="5" t="str">
        <f ca="1">IFERROR(__xludf.DUMMYFUNCTION("""COMPUTED_VALUE"""),"Piston")</f>
        <v>Piston</v>
      </c>
      <c r="F185" s="5">
        <f ca="1">IFERROR(__xludf.DUMMYFUNCTION("""COMPUTED_VALUE"""),1)</f>
        <v>1</v>
      </c>
    </row>
    <row r="186" spans="1:6" ht="15" customHeight="1" x14ac:dyDescent="0.2">
      <c r="A186" s="5" t="str">
        <f ca="1">IFERROR(__xludf.DUMMYFUNCTION("""COMPUTED_VALUE"""),"AR15")</f>
        <v>AR15</v>
      </c>
      <c r="B186" s="5" t="str">
        <f ca="1">IFERROR(__xludf.DUMMYFUNCTION("""COMPUTED_VALUE"""),"AERONCA")</f>
        <v>AERONCA</v>
      </c>
      <c r="C186" s="5" t="str">
        <f ca="1">IFERROR(__xludf.DUMMYFUNCTION("""COMPUTED_VALUE"""),"15 Sedan")</f>
        <v>15 Sedan</v>
      </c>
      <c r="D186" s="5" t="str">
        <f ca="1">IFERROR(__xludf.DUMMYFUNCTION("""COMPUTED_VALUE"""),"LandPlane")</f>
        <v>LandPlane</v>
      </c>
      <c r="E186" s="5" t="str">
        <f ca="1">IFERROR(__xludf.DUMMYFUNCTION("""COMPUTED_VALUE"""),"Piston")</f>
        <v>Piston</v>
      </c>
      <c r="F186" s="5">
        <f ca="1">IFERROR(__xludf.DUMMYFUNCTION("""COMPUTED_VALUE"""),1)</f>
        <v>1</v>
      </c>
    </row>
    <row r="187" spans="1:6" ht="15" customHeight="1" x14ac:dyDescent="0.2">
      <c r="A187" s="5" t="str">
        <f ca="1">IFERROR(__xludf.DUMMYFUNCTION("""COMPUTED_VALUE"""),"AR50")</f>
        <v>AR50</v>
      </c>
      <c r="B187" s="5" t="str">
        <f ca="1">IFERROR(__xludf.DUMMYFUNCTION("""COMPUTED_VALUE"""),"AERONCA")</f>
        <v>AERONCA</v>
      </c>
      <c r="C187" s="5" t="str">
        <f ca="1">IFERROR(__xludf.DUMMYFUNCTION("""COMPUTED_VALUE"""),"50 Chief")</f>
        <v>50 Chief</v>
      </c>
      <c r="D187" s="5" t="str">
        <f ca="1">IFERROR(__xludf.DUMMYFUNCTION("""COMPUTED_VALUE"""),"LandPlane")</f>
        <v>LandPlane</v>
      </c>
      <c r="E187" s="5" t="str">
        <f ca="1">IFERROR(__xludf.DUMMYFUNCTION("""COMPUTED_VALUE"""),"Piston")</f>
        <v>Piston</v>
      </c>
      <c r="F187" s="5">
        <f ca="1">IFERROR(__xludf.DUMMYFUNCTION("""COMPUTED_VALUE"""),1)</f>
        <v>1</v>
      </c>
    </row>
    <row r="188" spans="1:6" ht="15" customHeight="1" x14ac:dyDescent="0.2">
      <c r="A188" s="5" t="str">
        <f ca="1">IFERROR(__xludf.DUMMYFUNCTION("""COMPUTED_VALUE"""),"AR5T")</f>
        <v>AR5T</v>
      </c>
      <c r="B188" s="5" t="str">
        <f ca="1">IFERROR(__xludf.DUMMYFUNCTION("""COMPUTED_VALUE"""),"AERONCA")</f>
        <v>AERONCA</v>
      </c>
      <c r="C188" s="5" t="str">
        <f ca="1">IFERROR(__xludf.DUMMYFUNCTION("""COMPUTED_VALUE"""),"50 Tandem")</f>
        <v>50 Tandem</v>
      </c>
      <c r="D188" s="5" t="str">
        <f ca="1">IFERROR(__xludf.DUMMYFUNCTION("""COMPUTED_VALUE"""),"LandPlane")</f>
        <v>LandPlane</v>
      </c>
      <c r="E188" s="5" t="str">
        <f ca="1">IFERROR(__xludf.DUMMYFUNCTION("""COMPUTED_VALUE"""),"Piston")</f>
        <v>Piston</v>
      </c>
      <c r="F188" s="5">
        <f ca="1">IFERROR(__xludf.DUMMYFUNCTION("""COMPUTED_VALUE"""),1)</f>
        <v>1</v>
      </c>
    </row>
    <row r="189" spans="1:6" ht="15" customHeight="1" x14ac:dyDescent="0.2">
      <c r="A189" s="5" t="str">
        <f ca="1">IFERROR(__xludf.DUMMYFUNCTION("""COMPUTED_VALUE"""),"AR65")</f>
        <v>AR65</v>
      </c>
      <c r="B189" s="5" t="str">
        <f ca="1">IFERROR(__xludf.DUMMYFUNCTION("""COMPUTED_VALUE"""),"AERONCA")</f>
        <v>AERONCA</v>
      </c>
      <c r="C189" s="5" t="str">
        <f ca="1">IFERROR(__xludf.DUMMYFUNCTION("""COMPUTED_VALUE"""),"65 Super Chief")</f>
        <v>65 Super Chief</v>
      </c>
      <c r="D189" s="5" t="str">
        <f ca="1">IFERROR(__xludf.DUMMYFUNCTION("""COMPUTED_VALUE"""),"LandPlane")</f>
        <v>LandPlane</v>
      </c>
      <c r="E189" s="5" t="str">
        <f ca="1">IFERROR(__xludf.DUMMYFUNCTION("""COMPUTED_VALUE"""),"Piston")</f>
        <v>Piston</v>
      </c>
      <c r="F189" s="5">
        <f ca="1">IFERROR(__xludf.DUMMYFUNCTION("""COMPUTED_VALUE"""),1)</f>
        <v>1</v>
      </c>
    </row>
    <row r="190" spans="1:6" ht="15" customHeight="1" x14ac:dyDescent="0.2">
      <c r="A190" s="5" t="str">
        <f ca="1">IFERROR(__xludf.DUMMYFUNCTION("""COMPUTED_VALUE"""),"AR6T")</f>
        <v>AR6T</v>
      </c>
      <c r="B190" s="5" t="str">
        <f ca="1">IFERROR(__xludf.DUMMYFUNCTION("""COMPUTED_VALUE"""),"AERONCA")</f>
        <v>AERONCA</v>
      </c>
      <c r="C190" s="5" t="str">
        <f ca="1">IFERROR(__xludf.DUMMYFUNCTION("""COMPUTED_VALUE"""),"60 Tandem")</f>
        <v>60 Tandem</v>
      </c>
      <c r="D190" s="5" t="str">
        <f ca="1">IFERROR(__xludf.DUMMYFUNCTION("""COMPUTED_VALUE"""),"LandPlane")</f>
        <v>LandPlane</v>
      </c>
      <c r="E190" s="5" t="str">
        <f ca="1">IFERROR(__xludf.DUMMYFUNCTION("""COMPUTED_VALUE"""),"Piston")</f>
        <v>Piston</v>
      </c>
      <c r="F190" s="5">
        <f ca="1">IFERROR(__xludf.DUMMYFUNCTION("""COMPUTED_VALUE"""),1)</f>
        <v>1</v>
      </c>
    </row>
    <row r="191" spans="1:6" ht="15" customHeight="1" x14ac:dyDescent="0.2">
      <c r="A191" s="5" t="str">
        <f ca="1">IFERROR(__xludf.DUMMYFUNCTION("""COMPUTED_VALUE"""),"AR79")</f>
        <v>AR79</v>
      </c>
      <c r="B191" s="5" t="str">
        <f ca="1">IFERROR(__xludf.DUMMYFUNCTION("""COMPUTED_VALUE"""),"ARADO")</f>
        <v>ARADO</v>
      </c>
      <c r="C191" s="5" t="str">
        <f ca="1">IFERROR(__xludf.DUMMYFUNCTION("""COMPUTED_VALUE"""),"Ar-79")</f>
        <v>Ar-79</v>
      </c>
      <c r="D191" s="5" t="str">
        <f ca="1">IFERROR(__xludf.DUMMYFUNCTION("""COMPUTED_VALUE"""),"LandPlane")</f>
        <v>LandPlane</v>
      </c>
      <c r="E191" s="5" t="str">
        <f ca="1">IFERROR(__xludf.DUMMYFUNCTION("""COMPUTED_VALUE"""),"Piston")</f>
        <v>Piston</v>
      </c>
      <c r="F191" s="5">
        <f ca="1">IFERROR(__xludf.DUMMYFUNCTION("""COMPUTED_VALUE"""),1)</f>
        <v>1</v>
      </c>
    </row>
    <row r="192" spans="1:6" ht="15" customHeight="1" x14ac:dyDescent="0.2">
      <c r="A192" s="5" t="str">
        <f ca="1">IFERROR(__xludf.DUMMYFUNCTION("""COMPUTED_VALUE"""),"ARCE")</f>
        <v>ARCE</v>
      </c>
      <c r="B192" s="5" t="str">
        <f ca="1">IFERROR(__xludf.DUMMYFUNCTION("""COMPUTED_VALUE"""),"SCHEMPP-HIRTH")</f>
        <v>SCHEMPP-HIRTH</v>
      </c>
      <c r="C192" s="5" t="str">
        <f ca="1">IFERROR(__xludf.DUMMYFUNCTION("""COMPUTED_VALUE"""),"Arcus E")</f>
        <v>Arcus E</v>
      </c>
      <c r="D192" s="5" t="str">
        <f ca="1">IFERROR(__xludf.DUMMYFUNCTION("""COMPUTED_VALUE"""),"LandPlane")</f>
        <v>LandPlane</v>
      </c>
      <c r="E192" s="5" t="str">
        <f ca="1">IFERROR(__xludf.DUMMYFUNCTION("""COMPUTED_VALUE"""),"Electric")</f>
        <v>Electric</v>
      </c>
      <c r="F192" s="5">
        <f ca="1">IFERROR(__xludf.DUMMYFUNCTION("""COMPUTED_VALUE"""),1)</f>
        <v>1</v>
      </c>
    </row>
    <row r="193" spans="1:6" ht="15" customHeight="1" x14ac:dyDescent="0.2">
      <c r="A193" s="5" t="str">
        <f ca="1">IFERROR(__xludf.DUMMYFUNCTION("""COMPUTED_VALUE"""),"ARCP")</f>
        <v>ARCP</v>
      </c>
      <c r="B193" s="5" t="str">
        <f ca="1">IFERROR(__xludf.DUMMYFUNCTION("""COMPUTED_VALUE"""),"SCHEMPP-HIRTH")</f>
        <v>SCHEMPP-HIRTH</v>
      </c>
      <c r="C193" s="5" t="str">
        <f ca="1">IFERROR(__xludf.DUMMYFUNCTION("""COMPUTED_VALUE"""),"Arcus T")</f>
        <v>Arcus T</v>
      </c>
      <c r="D193" s="5" t="str">
        <f ca="1">IFERROR(__xludf.DUMMYFUNCTION("""COMPUTED_VALUE"""),"LandPlane")</f>
        <v>LandPlane</v>
      </c>
      <c r="E193" s="5" t="str">
        <f ca="1">IFERROR(__xludf.DUMMYFUNCTION("""COMPUTED_VALUE"""),"Piston")</f>
        <v>Piston</v>
      </c>
      <c r="F193" s="5">
        <f ca="1">IFERROR(__xludf.DUMMYFUNCTION("""COMPUTED_VALUE"""),1)</f>
        <v>1</v>
      </c>
    </row>
    <row r="194" spans="1:6" ht="15" customHeight="1" x14ac:dyDescent="0.2">
      <c r="A194" s="5" t="str">
        <f ca="1">IFERROR(__xludf.DUMMYFUNCTION("""COMPUTED_VALUE"""),"ARES")</f>
        <v>ARES</v>
      </c>
      <c r="B194" s="5" t="str">
        <f ca="1">IFERROR(__xludf.DUMMYFUNCTION("""COMPUTED_VALUE"""),"SCALED")</f>
        <v>SCALED</v>
      </c>
      <c r="C194" s="5" t="str">
        <f ca="1">IFERROR(__xludf.DUMMYFUNCTION("""COMPUTED_VALUE"""),"Ares")</f>
        <v>Ares</v>
      </c>
      <c r="D194" s="5" t="str">
        <f ca="1">IFERROR(__xludf.DUMMYFUNCTION("""COMPUTED_VALUE"""),"LandPlane")</f>
        <v>LandPlane</v>
      </c>
      <c r="E194" s="5" t="str">
        <f ca="1">IFERROR(__xludf.DUMMYFUNCTION("""COMPUTED_VALUE"""),"Jet")</f>
        <v>Jet</v>
      </c>
      <c r="F194" s="5">
        <f ca="1">IFERROR(__xludf.DUMMYFUNCTION("""COMPUTED_VALUE"""),1)</f>
        <v>1</v>
      </c>
    </row>
    <row r="195" spans="1:6" ht="15" customHeight="1" x14ac:dyDescent="0.2">
      <c r="A195" s="5" t="str">
        <f ca="1">IFERROR(__xludf.DUMMYFUNCTION("""COMPUTED_VALUE"""),"ARKS")</f>
        <v>ARKS</v>
      </c>
      <c r="B195" s="5" t="str">
        <f ca="1">IFERROR(__xludf.DUMMYFUNCTION("""COMPUTED_VALUE"""),"ACEAIR")</f>
        <v>ACEAIR</v>
      </c>
      <c r="C195" s="5" t="str">
        <f ca="1">IFERROR(__xludf.DUMMYFUNCTION("""COMPUTED_VALUE"""),"A-200 Aeriks 200")</f>
        <v>A-200 Aeriks 200</v>
      </c>
      <c r="D195" s="5" t="str">
        <f ca="1">IFERROR(__xludf.DUMMYFUNCTION("""COMPUTED_VALUE"""),"LandPlane")</f>
        <v>LandPlane</v>
      </c>
      <c r="E195" s="5" t="str">
        <f ca="1">IFERROR(__xludf.DUMMYFUNCTION("""COMPUTED_VALUE"""),"Piston")</f>
        <v>Piston</v>
      </c>
      <c r="F195" s="5">
        <f ca="1">IFERROR(__xludf.DUMMYFUNCTION("""COMPUTED_VALUE"""),1)</f>
        <v>1</v>
      </c>
    </row>
    <row r="196" spans="1:6" ht="15" customHeight="1" x14ac:dyDescent="0.2">
      <c r="A196" s="5" t="str">
        <f ca="1">IFERROR(__xludf.DUMMYFUNCTION("""COMPUTED_VALUE"""),"ARON")</f>
        <v>ARON</v>
      </c>
      <c r="B196" s="5" t="str">
        <f ca="1">IFERROR(__xludf.DUMMYFUNCTION("""COMPUTED_VALUE"""),"GENERAL AVIA")</f>
        <v>GENERAL AVIA</v>
      </c>
      <c r="C196" s="5" t="str">
        <f ca="1">IFERROR(__xludf.DUMMYFUNCTION("""COMPUTED_VALUE"""),"F-220 Airone")</f>
        <v>F-220 Airone</v>
      </c>
      <c r="D196" s="5" t="str">
        <f ca="1">IFERROR(__xludf.DUMMYFUNCTION("""COMPUTED_VALUE"""),"LandPlane")</f>
        <v>LandPlane</v>
      </c>
      <c r="E196" s="5" t="str">
        <f ca="1">IFERROR(__xludf.DUMMYFUNCTION("""COMPUTED_VALUE"""),"Piston")</f>
        <v>Piston</v>
      </c>
      <c r="F196" s="5">
        <f ca="1">IFERROR(__xludf.DUMMYFUNCTION("""COMPUTED_VALUE"""),1)</f>
        <v>1</v>
      </c>
    </row>
    <row r="197" spans="1:6" ht="15" customHeight="1" x14ac:dyDescent="0.2">
      <c r="A197" s="5" t="str">
        <f ca="1">IFERROR(__xludf.DUMMYFUNCTION("""COMPUTED_VALUE"""),"ARV1")</f>
        <v>ARV1</v>
      </c>
      <c r="B197" s="5" t="str">
        <f ca="1">IFERROR(__xludf.DUMMYFUNCTION("""COMPUTED_VALUE"""),"ARV")</f>
        <v>ARV</v>
      </c>
      <c r="C197" s="5" t="str">
        <f ca="1">IFERROR(__xludf.DUMMYFUNCTION("""COMPUTED_VALUE"""),"Super 2")</f>
        <v>Super 2</v>
      </c>
      <c r="D197" s="5" t="str">
        <f ca="1">IFERROR(__xludf.DUMMYFUNCTION("""COMPUTED_VALUE"""),"LandPlane")</f>
        <v>LandPlane</v>
      </c>
      <c r="E197" s="5" t="str">
        <f ca="1">IFERROR(__xludf.DUMMYFUNCTION("""COMPUTED_VALUE"""),"Piston")</f>
        <v>Piston</v>
      </c>
      <c r="F197" s="5">
        <f ca="1">IFERROR(__xludf.DUMMYFUNCTION("""COMPUTED_VALUE"""),1)</f>
        <v>1</v>
      </c>
    </row>
    <row r="198" spans="1:6" ht="15" customHeight="1" x14ac:dyDescent="0.2">
      <c r="A198" s="5" t="str">
        <f ca="1">IFERROR(__xludf.DUMMYFUNCTION("""COMPUTED_VALUE"""),"ARVA")</f>
        <v>ARVA</v>
      </c>
      <c r="B198" s="5" t="str">
        <f ca="1">IFERROR(__xludf.DUMMYFUNCTION("""COMPUTED_VALUE"""),"IAI")</f>
        <v>IAI</v>
      </c>
      <c r="C198" s="5" t="str">
        <f ca="1">IFERROR(__xludf.DUMMYFUNCTION("""COMPUTED_VALUE"""),"201 Arava")</f>
        <v>201 Arava</v>
      </c>
      <c r="D198" s="5" t="str">
        <f ca="1">IFERROR(__xludf.DUMMYFUNCTION("""COMPUTED_VALUE"""),"LandPlane")</f>
        <v>LandPlane</v>
      </c>
      <c r="E198" s="5" t="str">
        <f ca="1">IFERROR(__xludf.DUMMYFUNCTION("""COMPUTED_VALUE"""),"Turboprop/Turboshaft")</f>
        <v>Turboprop/Turboshaft</v>
      </c>
      <c r="F198" s="5">
        <f ca="1">IFERROR(__xludf.DUMMYFUNCTION("""COMPUTED_VALUE"""),2)</f>
        <v>2</v>
      </c>
    </row>
    <row r="199" spans="1:6" ht="15" customHeight="1" x14ac:dyDescent="0.2">
      <c r="A199" s="5" t="str">
        <f ca="1">IFERROR(__xludf.DUMMYFUNCTION("""COMPUTED_VALUE"""),"ARWF")</f>
        <v>ARWF</v>
      </c>
      <c r="B199" s="5" t="str">
        <f ca="1">IFERROR(__xludf.DUMMYFUNCTION("""COMPUTED_VALUE"""),"ARROW (1)")</f>
        <v>ARROW (1)</v>
      </c>
      <c r="C199" s="5" t="str">
        <f ca="1">IFERROR(__xludf.DUMMYFUNCTION("""COMPUTED_VALUE"""),"F Sport")</f>
        <v>F Sport</v>
      </c>
      <c r="D199" s="5" t="str">
        <f ca="1">IFERROR(__xludf.DUMMYFUNCTION("""COMPUTED_VALUE"""),"LandPlane")</f>
        <v>LandPlane</v>
      </c>
      <c r="E199" s="5" t="str">
        <f ca="1">IFERROR(__xludf.DUMMYFUNCTION("""COMPUTED_VALUE"""),"Piston")</f>
        <v>Piston</v>
      </c>
      <c r="F199" s="5">
        <f ca="1">IFERROR(__xludf.DUMMYFUNCTION("""COMPUTED_VALUE"""),1)</f>
        <v>1</v>
      </c>
    </row>
    <row r="200" spans="1:6" ht="15" customHeight="1" x14ac:dyDescent="0.2">
      <c r="A200" s="5" t="str">
        <f ca="1">IFERROR(__xludf.DUMMYFUNCTION("""COMPUTED_VALUE"""),"AS02")</f>
        <v>AS02</v>
      </c>
      <c r="B200" s="5" t="str">
        <f ca="1">IFERROR(__xludf.DUMMYFUNCTION("""COMPUTED_VALUE"""),"FFA")</f>
        <v>FFA</v>
      </c>
      <c r="C200" s="5" t="str">
        <f ca="1">IFERROR(__xludf.DUMMYFUNCTION("""COMPUTED_VALUE"""),"AS-202-15 Bravo")</f>
        <v>AS-202-15 Bravo</v>
      </c>
      <c r="D200" s="5" t="str">
        <f ca="1">IFERROR(__xludf.DUMMYFUNCTION("""COMPUTED_VALUE"""),"LandPlane")</f>
        <v>LandPlane</v>
      </c>
      <c r="E200" s="5" t="str">
        <f ca="1">IFERROR(__xludf.DUMMYFUNCTION("""COMPUTED_VALUE"""),"Piston")</f>
        <v>Piston</v>
      </c>
      <c r="F200" s="5">
        <f ca="1">IFERROR(__xludf.DUMMYFUNCTION("""COMPUTED_VALUE"""),1)</f>
        <v>1</v>
      </c>
    </row>
    <row r="201" spans="1:6" ht="15" customHeight="1" x14ac:dyDescent="0.2">
      <c r="A201" s="5" t="str">
        <f ca="1">IFERROR(__xludf.DUMMYFUNCTION("""COMPUTED_VALUE"""),"AS14")</f>
        <v>AS14</v>
      </c>
      <c r="B201" s="5" t="str">
        <f ca="1">IFERROR(__xludf.DUMMYFUNCTION("""COMPUTED_VALUE"""),"SCHLEICHER")</f>
        <v>SCHLEICHER</v>
      </c>
      <c r="C201" s="5" t="str">
        <f ca="1">IFERROR(__xludf.DUMMYFUNCTION("""COMPUTED_VALUE"""),"ASK-14")</f>
        <v>ASK-14</v>
      </c>
      <c r="D201" s="5" t="str">
        <f ca="1">IFERROR(__xludf.DUMMYFUNCTION("""COMPUTED_VALUE"""),"LandPlane")</f>
        <v>LandPlane</v>
      </c>
      <c r="E201" s="5" t="str">
        <f ca="1">IFERROR(__xludf.DUMMYFUNCTION("""COMPUTED_VALUE"""),"Piston")</f>
        <v>Piston</v>
      </c>
      <c r="F201" s="5">
        <f ca="1">IFERROR(__xludf.DUMMYFUNCTION("""COMPUTED_VALUE"""),1)</f>
        <v>1</v>
      </c>
    </row>
    <row r="202" spans="1:6" ht="15" customHeight="1" x14ac:dyDescent="0.2">
      <c r="A202" s="5" t="str">
        <f ca="1">IFERROR(__xludf.DUMMYFUNCTION("""COMPUTED_VALUE"""),"AS16")</f>
        <v>AS16</v>
      </c>
      <c r="B202" s="5" t="str">
        <f ca="1">IFERROR(__xludf.DUMMYFUNCTION("""COMPUTED_VALUE"""),"SCHLEICHER")</f>
        <v>SCHLEICHER</v>
      </c>
      <c r="C202" s="5" t="str">
        <f ca="1">IFERROR(__xludf.DUMMYFUNCTION("""COMPUTED_VALUE"""),"ASK-16")</f>
        <v>ASK-16</v>
      </c>
      <c r="D202" s="5" t="str">
        <f ca="1">IFERROR(__xludf.DUMMYFUNCTION("""COMPUTED_VALUE"""),"LandPlane")</f>
        <v>LandPlane</v>
      </c>
      <c r="E202" s="5" t="str">
        <f ca="1">IFERROR(__xludf.DUMMYFUNCTION("""COMPUTED_VALUE"""),"Piston")</f>
        <v>Piston</v>
      </c>
      <c r="F202" s="5">
        <f ca="1">IFERROR(__xludf.DUMMYFUNCTION("""COMPUTED_VALUE"""),1)</f>
        <v>1</v>
      </c>
    </row>
    <row r="203" spans="1:6" ht="15" customHeight="1" x14ac:dyDescent="0.2">
      <c r="A203" s="5" t="str">
        <f ca="1">IFERROR(__xludf.DUMMYFUNCTION("""COMPUTED_VALUE"""),"AS20")</f>
        <v>AS20</v>
      </c>
      <c r="B203" s="5" t="str">
        <f ca="1">IFERROR(__xludf.DUMMYFUNCTION("""COMPUTED_VALUE"""),"SCHLEICHER")</f>
        <v>SCHLEICHER</v>
      </c>
      <c r="C203" s="5" t="str">
        <f ca="1">IFERROR(__xludf.DUMMYFUNCTION("""COMPUTED_VALUE"""),"ASW-20TOP")</f>
        <v>ASW-20TOP</v>
      </c>
      <c r="D203" s="5" t="str">
        <f ca="1">IFERROR(__xludf.DUMMYFUNCTION("""COMPUTED_VALUE"""),"LandPlane")</f>
        <v>LandPlane</v>
      </c>
      <c r="E203" s="5" t="str">
        <f ca="1">IFERROR(__xludf.DUMMYFUNCTION("""COMPUTED_VALUE"""),"Piston")</f>
        <v>Piston</v>
      </c>
      <c r="F203" s="5">
        <f ca="1">IFERROR(__xludf.DUMMYFUNCTION("""COMPUTED_VALUE"""),1)</f>
        <v>1</v>
      </c>
    </row>
    <row r="204" spans="1:6" ht="15" customHeight="1" x14ac:dyDescent="0.2">
      <c r="A204" s="5" t="str">
        <f ca="1">IFERROR(__xludf.DUMMYFUNCTION("""COMPUTED_VALUE"""),"AS21")</f>
        <v>AS21</v>
      </c>
      <c r="B204" s="5" t="str">
        <f ca="1">IFERROR(__xludf.DUMMYFUNCTION("""COMPUTED_VALUE"""),"SCHLEICHER")</f>
        <v>SCHLEICHER</v>
      </c>
      <c r="C204" s="5" t="str">
        <f ca="1">IFERROR(__xludf.DUMMYFUNCTION("""COMPUTED_VALUE"""),"ASK-21Mi")</f>
        <v>ASK-21Mi</v>
      </c>
      <c r="D204" s="5" t="str">
        <f ca="1">IFERROR(__xludf.DUMMYFUNCTION("""COMPUTED_VALUE"""),"LandPlane")</f>
        <v>LandPlane</v>
      </c>
      <c r="E204" s="5" t="str">
        <f ca="1">IFERROR(__xludf.DUMMYFUNCTION("""COMPUTED_VALUE"""),"Piston")</f>
        <v>Piston</v>
      </c>
      <c r="F204" s="5">
        <f ca="1">IFERROR(__xludf.DUMMYFUNCTION("""COMPUTED_VALUE"""),1)</f>
        <v>1</v>
      </c>
    </row>
    <row r="205" spans="1:6" ht="15" customHeight="1" x14ac:dyDescent="0.2">
      <c r="A205" s="5" t="str">
        <f ca="1">IFERROR(__xludf.DUMMYFUNCTION("""COMPUTED_VALUE"""),"AS22")</f>
        <v>AS22</v>
      </c>
      <c r="B205" s="5" t="str">
        <f ca="1">IFERROR(__xludf.DUMMYFUNCTION("""COMPUTED_VALUE"""),"SCHLEICHER")</f>
        <v>SCHLEICHER</v>
      </c>
      <c r="C205" s="5" t="str">
        <f ca="1">IFERROR(__xludf.DUMMYFUNCTION("""COMPUTED_VALUE"""),"ASW-22M")</f>
        <v>ASW-22M</v>
      </c>
      <c r="D205" s="5" t="str">
        <f ca="1">IFERROR(__xludf.DUMMYFUNCTION("""COMPUTED_VALUE"""),"LandPlane")</f>
        <v>LandPlane</v>
      </c>
      <c r="E205" s="5" t="str">
        <f ca="1">IFERROR(__xludf.DUMMYFUNCTION("""COMPUTED_VALUE"""),"Piston")</f>
        <v>Piston</v>
      </c>
      <c r="F205" s="5">
        <f ca="1">IFERROR(__xludf.DUMMYFUNCTION("""COMPUTED_VALUE"""),1)</f>
        <v>1</v>
      </c>
    </row>
    <row r="206" spans="1:6" ht="15" customHeight="1" x14ac:dyDescent="0.2">
      <c r="A206" s="5" t="str">
        <f ca="1">IFERROR(__xludf.DUMMYFUNCTION("""COMPUTED_VALUE"""),"AS24")</f>
        <v>AS24</v>
      </c>
      <c r="B206" s="5" t="str">
        <f ca="1">IFERROR(__xludf.DUMMYFUNCTION("""COMPUTED_VALUE"""),"SCHLEICHER")</f>
        <v>SCHLEICHER</v>
      </c>
      <c r="C206" s="5" t="str">
        <f ca="1">IFERROR(__xludf.DUMMYFUNCTION("""COMPUTED_VALUE"""),"ASW-24E")</f>
        <v>ASW-24E</v>
      </c>
      <c r="D206" s="5" t="str">
        <f ca="1">IFERROR(__xludf.DUMMYFUNCTION("""COMPUTED_VALUE"""),"LandPlane")</f>
        <v>LandPlane</v>
      </c>
      <c r="E206" s="5" t="str">
        <f ca="1">IFERROR(__xludf.DUMMYFUNCTION("""COMPUTED_VALUE"""),"Piston")</f>
        <v>Piston</v>
      </c>
      <c r="F206" s="5">
        <f ca="1">IFERROR(__xludf.DUMMYFUNCTION("""COMPUTED_VALUE"""),1)</f>
        <v>1</v>
      </c>
    </row>
    <row r="207" spans="1:6" ht="15" customHeight="1" x14ac:dyDescent="0.2">
      <c r="A207" s="5" t="str">
        <f ca="1">IFERROR(__xludf.DUMMYFUNCTION("""COMPUTED_VALUE"""),"AS25")</f>
        <v>AS25</v>
      </c>
      <c r="B207" s="5" t="str">
        <f ca="1">IFERROR(__xludf.DUMMYFUNCTION("""COMPUTED_VALUE"""),"SCHLEICHER")</f>
        <v>SCHLEICHER</v>
      </c>
      <c r="C207" s="5" t="str">
        <f ca="1">IFERROR(__xludf.DUMMYFUNCTION("""COMPUTED_VALUE"""),"ASH-25M")</f>
        <v>ASH-25M</v>
      </c>
      <c r="D207" s="5" t="str">
        <f ca="1">IFERROR(__xludf.DUMMYFUNCTION("""COMPUTED_VALUE"""),"LandPlane")</f>
        <v>LandPlane</v>
      </c>
      <c r="E207" s="5" t="str">
        <f ca="1">IFERROR(__xludf.DUMMYFUNCTION("""COMPUTED_VALUE"""),"Piston")</f>
        <v>Piston</v>
      </c>
      <c r="F207" s="5">
        <f ca="1">IFERROR(__xludf.DUMMYFUNCTION("""COMPUTED_VALUE"""),1)</f>
        <v>1</v>
      </c>
    </row>
    <row r="208" spans="1:6" ht="15" customHeight="1" x14ac:dyDescent="0.2">
      <c r="A208" s="5" t="str">
        <f ca="1">IFERROR(__xludf.DUMMYFUNCTION("""COMPUTED_VALUE"""),"AS26")</f>
        <v>AS26</v>
      </c>
      <c r="B208" s="5" t="str">
        <f ca="1">IFERROR(__xludf.DUMMYFUNCTION("""COMPUTED_VALUE"""),"SCHLEICHER")</f>
        <v>SCHLEICHER</v>
      </c>
      <c r="C208" s="5" t="str">
        <f ca="1">IFERROR(__xludf.DUMMYFUNCTION("""COMPUTED_VALUE"""),"ASH-26E")</f>
        <v>ASH-26E</v>
      </c>
      <c r="D208" s="5" t="str">
        <f ca="1">IFERROR(__xludf.DUMMYFUNCTION("""COMPUTED_VALUE"""),"LandPlane")</f>
        <v>LandPlane</v>
      </c>
      <c r="E208" s="5" t="str">
        <f ca="1">IFERROR(__xludf.DUMMYFUNCTION("""COMPUTED_VALUE"""),"Piston")</f>
        <v>Piston</v>
      </c>
      <c r="F208" s="5">
        <f ca="1">IFERROR(__xludf.DUMMYFUNCTION("""COMPUTED_VALUE"""),1)</f>
        <v>1</v>
      </c>
    </row>
    <row r="209" spans="1:6" ht="15" customHeight="1" x14ac:dyDescent="0.2">
      <c r="A209" s="5" t="str">
        <f ca="1">IFERROR(__xludf.DUMMYFUNCTION("""COMPUTED_VALUE"""),"AS28")</f>
        <v>AS28</v>
      </c>
      <c r="B209" s="5" t="str">
        <f ca="1">IFERROR(__xludf.DUMMYFUNCTION("""COMPUTED_VALUE"""),"SCHLEICHER")</f>
        <v>SCHLEICHER</v>
      </c>
      <c r="C209" s="5" t="str">
        <f ca="1">IFERROR(__xludf.DUMMYFUNCTION("""COMPUTED_VALUE"""),"ASW-28E")</f>
        <v>ASW-28E</v>
      </c>
      <c r="D209" s="5" t="str">
        <f ca="1">IFERROR(__xludf.DUMMYFUNCTION("""COMPUTED_VALUE"""),"LandPlane")</f>
        <v>LandPlane</v>
      </c>
      <c r="E209" s="5" t="str">
        <f ca="1">IFERROR(__xludf.DUMMYFUNCTION("""COMPUTED_VALUE"""),"Piston")</f>
        <v>Piston</v>
      </c>
      <c r="F209" s="5">
        <f ca="1">IFERROR(__xludf.DUMMYFUNCTION("""COMPUTED_VALUE"""),1)</f>
        <v>1</v>
      </c>
    </row>
    <row r="210" spans="1:6" ht="15" customHeight="1" x14ac:dyDescent="0.2">
      <c r="A210" s="5" t="str">
        <f ca="1">IFERROR(__xludf.DUMMYFUNCTION("""COMPUTED_VALUE"""),"AS29")</f>
        <v>AS29</v>
      </c>
      <c r="B210" s="5" t="str">
        <f ca="1">IFERROR(__xludf.DUMMYFUNCTION("""COMPUTED_VALUE"""),"SCHLEICHER")</f>
        <v>SCHLEICHER</v>
      </c>
      <c r="C210" s="5" t="str">
        <f ca="1">IFERROR(__xludf.DUMMYFUNCTION("""COMPUTED_VALUE"""),"ASG-29E")</f>
        <v>ASG-29E</v>
      </c>
      <c r="D210" s="5" t="str">
        <f ca="1">IFERROR(__xludf.DUMMYFUNCTION("""COMPUTED_VALUE"""),"LandPlane")</f>
        <v>LandPlane</v>
      </c>
      <c r="E210" s="5" t="str">
        <f ca="1">IFERROR(__xludf.DUMMYFUNCTION("""COMPUTED_VALUE"""),"Piston")</f>
        <v>Piston</v>
      </c>
      <c r="F210" s="5">
        <f ca="1">IFERROR(__xludf.DUMMYFUNCTION("""COMPUTED_VALUE"""),1)</f>
        <v>1</v>
      </c>
    </row>
    <row r="211" spans="1:6" ht="15" customHeight="1" x14ac:dyDescent="0.2">
      <c r="A211" s="5" t="str">
        <f ca="1">IFERROR(__xludf.DUMMYFUNCTION("""COMPUTED_VALUE"""),"AS2T")</f>
        <v>AS2T</v>
      </c>
      <c r="B211" s="5" t="str">
        <f ca="1">IFERROR(__xludf.DUMMYFUNCTION("""COMPUTED_VALUE"""),"FFA")</f>
        <v>FFA</v>
      </c>
      <c r="C211" s="5" t="str">
        <f ca="1">IFERROR(__xludf.DUMMYFUNCTION("""COMPUTED_VALUE"""),"AS-202-32TP Turbine Bravo")</f>
        <v>AS-202-32TP Turbine Bravo</v>
      </c>
      <c r="D211" s="5" t="str">
        <f ca="1">IFERROR(__xludf.DUMMYFUNCTION("""COMPUTED_VALUE"""),"LandPlane")</f>
        <v>LandPlane</v>
      </c>
      <c r="E211" s="5" t="str">
        <f ca="1">IFERROR(__xludf.DUMMYFUNCTION("""COMPUTED_VALUE"""),"Turboprop/Turboshaft")</f>
        <v>Turboprop/Turboshaft</v>
      </c>
      <c r="F211" s="5">
        <f ca="1">IFERROR(__xludf.DUMMYFUNCTION("""COMPUTED_VALUE"""),1)</f>
        <v>1</v>
      </c>
    </row>
    <row r="212" spans="1:6" ht="15" customHeight="1" x14ac:dyDescent="0.2">
      <c r="A212" s="5" t="str">
        <f ca="1">IFERROR(__xludf.DUMMYFUNCTION("""COMPUTED_VALUE"""),"AS30")</f>
        <v>AS30</v>
      </c>
      <c r="B212" s="5" t="str">
        <f ca="1">IFERROR(__xludf.DUMMYFUNCTION("""COMPUTED_VALUE"""),"SCHLEICHER")</f>
        <v>SCHLEICHER</v>
      </c>
      <c r="C212" s="5" t="str">
        <f ca="1">IFERROR(__xludf.DUMMYFUNCTION("""COMPUTED_VALUE"""),"ASH-30Mi")</f>
        <v>ASH-30Mi</v>
      </c>
      <c r="D212" s="5" t="str">
        <f ca="1">IFERROR(__xludf.DUMMYFUNCTION("""COMPUTED_VALUE"""),"LandPlane")</f>
        <v>LandPlane</v>
      </c>
      <c r="E212" s="5" t="str">
        <f ca="1">IFERROR(__xludf.DUMMYFUNCTION("""COMPUTED_VALUE"""),"Piston")</f>
        <v>Piston</v>
      </c>
      <c r="F212" s="5">
        <f ca="1">IFERROR(__xludf.DUMMYFUNCTION("""COMPUTED_VALUE"""),1)</f>
        <v>1</v>
      </c>
    </row>
    <row r="213" spans="1:6" ht="15" customHeight="1" x14ac:dyDescent="0.2">
      <c r="A213" s="5" t="str">
        <f ca="1">IFERROR(__xludf.DUMMYFUNCTION("""COMPUTED_VALUE"""),"AS31")</f>
        <v>AS31</v>
      </c>
      <c r="B213" s="5" t="str">
        <f ca="1">IFERROR(__xludf.DUMMYFUNCTION("""COMPUTED_VALUE"""),"SCHLEICHER")</f>
        <v>SCHLEICHER</v>
      </c>
      <c r="C213" s="5" t="str">
        <f ca="1">IFERROR(__xludf.DUMMYFUNCTION("""COMPUTED_VALUE"""),"ASH-31Mi")</f>
        <v>ASH-31Mi</v>
      </c>
      <c r="D213" s="5" t="str">
        <f ca="1">IFERROR(__xludf.DUMMYFUNCTION("""COMPUTED_VALUE"""),"LandPlane")</f>
        <v>LandPlane</v>
      </c>
      <c r="E213" s="5" t="str">
        <f ca="1">IFERROR(__xludf.DUMMYFUNCTION("""COMPUTED_VALUE"""),"Piston")</f>
        <v>Piston</v>
      </c>
      <c r="F213" s="5">
        <f ca="1">IFERROR(__xludf.DUMMYFUNCTION("""COMPUTED_VALUE"""),1)</f>
        <v>1</v>
      </c>
    </row>
    <row r="214" spans="1:6" ht="15" customHeight="1" x14ac:dyDescent="0.2">
      <c r="A214" s="5" t="str">
        <f ca="1">IFERROR(__xludf.DUMMYFUNCTION("""COMPUTED_VALUE"""),"AS32")</f>
        <v>AS32</v>
      </c>
      <c r="B214" s="5" t="str">
        <f ca="1">IFERROR(__xludf.DUMMYFUNCTION("""COMPUTED_VALUE"""),"AEROSPATIALE")</f>
        <v>AEROSPATIALE</v>
      </c>
      <c r="C214" s="5" t="str">
        <f ca="1">IFERROR(__xludf.DUMMYFUNCTION("""COMPUTED_VALUE"""),"AS-532 Cougar")</f>
        <v>AS-532 Cougar</v>
      </c>
      <c r="D214" s="5" t="str">
        <f ca="1">IFERROR(__xludf.DUMMYFUNCTION("""COMPUTED_VALUE"""),"Helicopter")</f>
        <v>Helicopter</v>
      </c>
      <c r="E214" s="5" t="str">
        <f ca="1">IFERROR(__xludf.DUMMYFUNCTION("""COMPUTED_VALUE"""),"Turboprop/Turboshaft")</f>
        <v>Turboprop/Turboshaft</v>
      </c>
      <c r="F214" s="5">
        <f ca="1">IFERROR(__xludf.DUMMYFUNCTION("""COMPUTED_VALUE"""),2)</f>
        <v>2</v>
      </c>
    </row>
    <row r="215" spans="1:6" ht="15" customHeight="1" x14ac:dyDescent="0.2">
      <c r="A215" s="5" t="str">
        <f ca="1">IFERROR(__xludf.DUMMYFUNCTION("""COMPUTED_VALUE"""),"AS3B")</f>
        <v>AS3B</v>
      </c>
      <c r="B215" s="5" t="str">
        <f ca="1">IFERROR(__xludf.DUMMYFUNCTION("""COMPUTED_VALUE"""),"AEROSPATIALE")</f>
        <v>AEROSPATIALE</v>
      </c>
      <c r="C215" s="5" t="str">
        <f ca="1">IFERROR(__xludf.DUMMYFUNCTION("""COMPUTED_VALUE"""),"AS-532A2 Cougar Mk2")</f>
        <v>AS-532A2 Cougar Mk2</v>
      </c>
      <c r="D215" s="5" t="str">
        <f ca="1">IFERROR(__xludf.DUMMYFUNCTION("""COMPUTED_VALUE"""),"Helicopter")</f>
        <v>Helicopter</v>
      </c>
      <c r="E215" s="5" t="str">
        <f ca="1">IFERROR(__xludf.DUMMYFUNCTION("""COMPUTED_VALUE"""),"Turboprop/Turboshaft")</f>
        <v>Turboprop/Turboshaft</v>
      </c>
      <c r="F215" s="5">
        <f ca="1">IFERROR(__xludf.DUMMYFUNCTION("""COMPUTED_VALUE"""),2)</f>
        <v>2</v>
      </c>
    </row>
    <row r="216" spans="1:6" ht="15" customHeight="1" x14ac:dyDescent="0.2">
      <c r="A216" s="5" t="str">
        <f ca="1">IFERROR(__xludf.DUMMYFUNCTION("""COMPUTED_VALUE"""),"AS50")</f>
        <v>AS50</v>
      </c>
      <c r="B216" s="5" t="str">
        <f ca="1">IFERROR(__xludf.DUMMYFUNCTION("""COMPUTED_VALUE"""),"AEROSPATIALE")</f>
        <v>AEROSPATIALE</v>
      </c>
      <c r="C216" s="5" t="str">
        <f ca="1">IFERROR(__xludf.DUMMYFUNCTION("""COMPUTED_VALUE"""),"AS-350 Ecureuil")</f>
        <v>AS-350 Ecureuil</v>
      </c>
      <c r="D216" s="5" t="str">
        <f ca="1">IFERROR(__xludf.DUMMYFUNCTION("""COMPUTED_VALUE"""),"Helicopter")</f>
        <v>Helicopter</v>
      </c>
      <c r="E216" s="5" t="str">
        <f ca="1">IFERROR(__xludf.DUMMYFUNCTION("""COMPUTED_VALUE"""),"Turboprop/Turboshaft")</f>
        <v>Turboprop/Turboshaft</v>
      </c>
      <c r="F216" s="5">
        <f ca="1">IFERROR(__xludf.DUMMYFUNCTION("""COMPUTED_VALUE"""),1)</f>
        <v>1</v>
      </c>
    </row>
    <row r="217" spans="1:6" ht="15" customHeight="1" x14ac:dyDescent="0.2">
      <c r="A217" s="5" t="str">
        <f ca="1">IFERROR(__xludf.DUMMYFUNCTION("""COMPUTED_VALUE"""),"AS55")</f>
        <v>AS55</v>
      </c>
      <c r="B217" s="5" t="str">
        <f ca="1">IFERROR(__xludf.DUMMYFUNCTION("""COMPUTED_VALUE"""),"AEROSPATIALE")</f>
        <v>AEROSPATIALE</v>
      </c>
      <c r="C217" s="5" t="str">
        <f ca="1">IFERROR(__xludf.DUMMYFUNCTION("""COMPUTED_VALUE"""),"AS-355 Ecureuil 2")</f>
        <v>AS-355 Ecureuil 2</v>
      </c>
      <c r="D217" s="5" t="str">
        <f ca="1">IFERROR(__xludf.DUMMYFUNCTION("""COMPUTED_VALUE"""),"Helicopter")</f>
        <v>Helicopter</v>
      </c>
      <c r="E217" s="5" t="str">
        <f ca="1">IFERROR(__xludf.DUMMYFUNCTION("""COMPUTED_VALUE"""),"Turboprop/Turboshaft")</f>
        <v>Turboprop/Turboshaft</v>
      </c>
      <c r="F217" s="5">
        <f ca="1">IFERROR(__xludf.DUMMYFUNCTION("""COMPUTED_VALUE"""),2)</f>
        <v>2</v>
      </c>
    </row>
    <row r="218" spans="1:6" ht="15" customHeight="1" x14ac:dyDescent="0.2">
      <c r="A218" s="5" t="str">
        <f ca="1">IFERROR(__xludf.DUMMYFUNCTION("""COMPUTED_VALUE"""),"AS65")</f>
        <v>AS65</v>
      </c>
      <c r="B218" s="5" t="str">
        <f ca="1">IFERROR(__xludf.DUMMYFUNCTION("""COMPUTED_VALUE"""),"AEROSPATIALE")</f>
        <v>AEROSPATIALE</v>
      </c>
      <c r="C218" s="5" t="str">
        <f ca="1">IFERROR(__xludf.DUMMYFUNCTION("""COMPUTED_VALUE"""),"AS-365 Dauphin 2")</f>
        <v>AS-365 Dauphin 2</v>
      </c>
      <c r="D218" s="5" t="str">
        <f ca="1">IFERROR(__xludf.DUMMYFUNCTION("""COMPUTED_VALUE"""),"Helicopter")</f>
        <v>Helicopter</v>
      </c>
      <c r="E218" s="5" t="str">
        <f ca="1">IFERROR(__xludf.DUMMYFUNCTION("""COMPUTED_VALUE"""),"Turboprop/Turboshaft")</f>
        <v>Turboprop/Turboshaft</v>
      </c>
      <c r="F218" s="5">
        <f ca="1">IFERROR(__xludf.DUMMYFUNCTION("""COMPUTED_VALUE"""),2)</f>
        <v>2</v>
      </c>
    </row>
    <row r="219" spans="1:6" ht="15" customHeight="1" x14ac:dyDescent="0.2">
      <c r="A219" s="5" t="str">
        <f ca="1">IFERROR(__xludf.DUMMYFUNCTION("""COMPUTED_VALUE"""),"AS80")</f>
        <v>AS80</v>
      </c>
      <c r="B219" s="5" t="str">
        <f ca="1">IFERROR(__xludf.DUMMYFUNCTION("""COMPUTED_VALUE"""),"STARCK")</f>
        <v>STARCK</v>
      </c>
      <c r="C219" s="5" t="str">
        <f ca="1">IFERROR(__xludf.DUMMYFUNCTION("""COMPUTED_VALUE"""),"AS-80 Holiday")</f>
        <v>AS-80 Holiday</v>
      </c>
      <c r="D219" s="5" t="str">
        <f ca="1">IFERROR(__xludf.DUMMYFUNCTION("""COMPUTED_VALUE"""),"LandPlane")</f>
        <v>LandPlane</v>
      </c>
      <c r="E219" s="5" t="str">
        <f ca="1">IFERROR(__xludf.DUMMYFUNCTION("""COMPUTED_VALUE"""),"Piston")</f>
        <v>Piston</v>
      </c>
      <c r="F219" s="5">
        <f ca="1">IFERROR(__xludf.DUMMYFUNCTION("""COMPUTED_VALUE"""),1)</f>
        <v>1</v>
      </c>
    </row>
    <row r="220" spans="1:6" ht="15" customHeight="1" x14ac:dyDescent="0.2">
      <c r="A220" s="5" t="str">
        <f ca="1">IFERROR(__xludf.DUMMYFUNCTION("""COMPUTED_VALUE"""),"ASO4")</f>
        <v>ASO4</v>
      </c>
      <c r="B220" s="5" t="str">
        <f ca="1">IFERROR(__xludf.DUMMYFUNCTION("""COMPUTED_VALUE"""),"ASSO AEREI")</f>
        <v>ASSO AEREI</v>
      </c>
      <c r="C220" s="5" t="str">
        <f ca="1">IFERROR(__xludf.DUMMYFUNCTION("""COMPUTED_VALUE"""),"Asso 4 Whisky")</f>
        <v>Asso 4 Whisky</v>
      </c>
      <c r="D220" s="5" t="str">
        <f ca="1">IFERROR(__xludf.DUMMYFUNCTION("""COMPUTED_VALUE"""),"LandPlane")</f>
        <v>LandPlane</v>
      </c>
      <c r="E220" s="5" t="str">
        <f ca="1">IFERROR(__xludf.DUMMYFUNCTION("""COMPUTED_VALUE"""),"Piston")</f>
        <v>Piston</v>
      </c>
      <c r="F220" s="5">
        <f ca="1">IFERROR(__xludf.DUMMYFUNCTION("""COMPUTED_VALUE"""),1)</f>
        <v>1</v>
      </c>
    </row>
    <row r="221" spans="1:6" ht="15" customHeight="1" x14ac:dyDescent="0.2">
      <c r="A221" s="5" t="str">
        <f ca="1">IFERROR(__xludf.DUMMYFUNCTION("""COMPUTED_VALUE"""),"ASTO")</f>
        <v>ASTO</v>
      </c>
      <c r="B221" s="5" t="str">
        <f ca="1">IFERROR(__xludf.DUMMYFUNCTION("""COMPUTED_VALUE"""),"TECNAM")</f>
        <v>TECNAM</v>
      </c>
      <c r="C221" s="5" t="str">
        <f ca="1">IFERROR(__xludf.DUMMYFUNCTION("""COMPUTED_VALUE"""),"Astore")</f>
        <v>Astore</v>
      </c>
      <c r="D221" s="5" t="str">
        <f ca="1">IFERROR(__xludf.DUMMYFUNCTION("""COMPUTED_VALUE"""),"LandPlane")</f>
        <v>LandPlane</v>
      </c>
      <c r="E221" s="5" t="str">
        <f ca="1">IFERROR(__xludf.DUMMYFUNCTION("""COMPUTED_VALUE"""),"Piston")</f>
        <v>Piston</v>
      </c>
      <c r="F221" s="5">
        <f ca="1">IFERROR(__xludf.DUMMYFUNCTION("""COMPUTED_VALUE"""),1)</f>
        <v>1</v>
      </c>
    </row>
    <row r="222" spans="1:6" ht="15" customHeight="1" x14ac:dyDescent="0.2">
      <c r="A222" s="5" t="str">
        <f ca="1">IFERROR(__xludf.DUMMYFUNCTION("""COMPUTED_VALUE"""),"ASTR")</f>
        <v>ASTR</v>
      </c>
      <c r="B222" s="5" t="str">
        <f ca="1">IFERROR(__xludf.DUMMYFUNCTION("""COMPUTED_VALUE"""),"IAI")</f>
        <v>IAI</v>
      </c>
      <c r="C222" s="5" t="str">
        <f ca="1">IFERROR(__xludf.DUMMYFUNCTION("""COMPUTED_VALUE"""),"1125 Astra")</f>
        <v>1125 Astra</v>
      </c>
      <c r="D222" s="5" t="str">
        <f ca="1">IFERROR(__xludf.DUMMYFUNCTION("""COMPUTED_VALUE"""),"LandPlane")</f>
        <v>LandPlane</v>
      </c>
      <c r="E222" s="5" t="str">
        <f ca="1">IFERROR(__xludf.DUMMYFUNCTION("""COMPUTED_VALUE"""),"Jet")</f>
        <v>Jet</v>
      </c>
      <c r="F222" s="5">
        <f ca="1">IFERROR(__xludf.DUMMYFUNCTION("""COMPUTED_VALUE"""),2)</f>
        <v>2</v>
      </c>
    </row>
    <row r="223" spans="1:6" ht="15" customHeight="1" x14ac:dyDescent="0.2">
      <c r="A223" s="5" t="str">
        <f ca="1">IFERROR(__xludf.DUMMYFUNCTION("""COMPUTED_VALUE"""),"AT2P")</f>
        <v>AT2P</v>
      </c>
      <c r="B223" s="5" t="str">
        <f ca="1">IFERROR(__xludf.DUMMYFUNCTION("""COMPUTED_VALUE"""),"AIR TRACTOR")</f>
        <v>AIR TRACTOR</v>
      </c>
      <c r="C223" s="5" t="str">
        <f ca="1">IFERROR(__xludf.DUMMYFUNCTION("""COMPUTED_VALUE"""),"AT-250")</f>
        <v>AT-250</v>
      </c>
      <c r="D223" s="5" t="str">
        <f ca="1">IFERROR(__xludf.DUMMYFUNCTION("""COMPUTED_VALUE"""),"LandPlane")</f>
        <v>LandPlane</v>
      </c>
      <c r="E223" s="5" t="str">
        <f ca="1">IFERROR(__xludf.DUMMYFUNCTION("""COMPUTED_VALUE"""),"Piston")</f>
        <v>Piston</v>
      </c>
      <c r="F223" s="5">
        <f ca="1">IFERROR(__xludf.DUMMYFUNCTION("""COMPUTED_VALUE"""),1)</f>
        <v>1</v>
      </c>
    </row>
    <row r="224" spans="1:6" ht="15" customHeight="1" x14ac:dyDescent="0.2">
      <c r="A224" s="5" t="str">
        <f ca="1">IFERROR(__xludf.DUMMYFUNCTION("""COMPUTED_VALUE"""),"AT3")</f>
        <v>AT3</v>
      </c>
      <c r="B224" s="5" t="str">
        <f ca="1">IFERROR(__xludf.DUMMYFUNCTION("""COMPUTED_VALUE"""),"AIDC")</f>
        <v>AIDC</v>
      </c>
      <c r="C224" s="5" t="str">
        <f ca="1">IFERROR(__xludf.DUMMYFUNCTION("""COMPUTED_VALUE"""),"AT-3 Tzu-Chung")</f>
        <v>AT-3 Tzu-Chung</v>
      </c>
      <c r="D224" s="5" t="str">
        <f ca="1">IFERROR(__xludf.DUMMYFUNCTION("""COMPUTED_VALUE"""),"LandPlane")</f>
        <v>LandPlane</v>
      </c>
      <c r="E224" s="5" t="str">
        <f ca="1">IFERROR(__xludf.DUMMYFUNCTION("""COMPUTED_VALUE"""),"Jet")</f>
        <v>Jet</v>
      </c>
      <c r="F224" s="5">
        <f ca="1">IFERROR(__xludf.DUMMYFUNCTION("""COMPUTED_VALUE"""),2)</f>
        <v>2</v>
      </c>
    </row>
    <row r="225" spans="1:6" ht="15" customHeight="1" x14ac:dyDescent="0.2">
      <c r="A225" s="5" t="str">
        <f ca="1">IFERROR(__xludf.DUMMYFUNCTION("""COMPUTED_VALUE"""),"AT3P")</f>
        <v>AT3P</v>
      </c>
      <c r="B225" s="5" t="str">
        <f ca="1">IFERROR(__xludf.DUMMYFUNCTION("""COMPUTED_VALUE"""),"AIR TRACTOR")</f>
        <v>AIR TRACTOR</v>
      </c>
      <c r="C225" s="5" t="str">
        <f ca="1">IFERROR(__xludf.DUMMYFUNCTION("""COMPUTED_VALUE"""),"AT-300")</f>
        <v>AT-300</v>
      </c>
      <c r="D225" s="5" t="str">
        <f ca="1">IFERROR(__xludf.DUMMYFUNCTION("""COMPUTED_VALUE"""),"LandPlane")</f>
        <v>LandPlane</v>
      </c>
      <c r="E225" s="5" t="str">
        <f ca="1">IFERROR(__xludf.DUMMYFUNCTION("""COMPUTED_VALUE"""),"Piston")</f>
        <v>Piston</v>
      </c>
      <c r="F225" s="5">
        <f ca="1">IFERROR(__xludf.DUMMYFUNCTION("""COMPUTED_VALUE"""),1)</f>
        <v>1</v>
      </c>
    </row>
    <row r="226" spans="1:6" ht="15" customHeight="1" x14ac:dyDescent="0.2">
      <c r="A226" s="5" t="str">
        <f ca="1">IFERROR(__xludf.DUMMYFUNCTION("""COMPUTED_VALUE"""),"AT3T")</f>
        <v>AT3T</v>
      </c>
      <c r="B226" s="5" t="str">
        <f ca="1">IFERROR(__xludf.DUMMYFUNCTION("""COMPUTED_VALUE"""),"AIR TRACTOR")</f>
        <v>AIR TRACTOR</v>
      </c>
      <c r="C226" s="5" t="str">
        <f ca="1">IFERROR(__xludf.DUMMYFUNCTION("""COMPUTED_VALUE"""),"AT-302")</f>
        <v>AT-302</v>
      </c>
      <c r="D226" s="5" t="str">
        <f ca="1">IFERROR(__xludf.DUMMYFUNCTION("""COMPUTED_VALUE"""),"LandPlane")</f>
        <v>LandPlane</v>
      </c>
      <c r="E226" s="5" t="str">
        <f ca="1">IFERROR(__xludf.DUMMYFUNCTION("""COMPUTED_VALUE"""),"Turboprop/Turboshaft")</f>
        <v>Turboprop/Turboshaft</v>
      </c>
      <c r="F226" s="5">
        <f ca="1">IFERROR(__xludf.DUMMYFUNCTION("""COMPUTED_VALUE"""),1)</f>
        <v>1</v>
      </c>
    </row>
    <row r="227" spans="1:6" ht="15" customHeight="1" x14ac:dyDescent="0.2">
      <c r="A227" s="5" t="str">
        <f ca="1">IFERROR(__xludf.DUMMYFUNCTION("""COMPUTED_VALUE"""),"AT43")</f>
        <v>AT43</v>
      </c>
      <c r="B227" s="5" t="str">
        <f ca="1">IFERROR(__xludf.DUMMYFUNCTION("""COMPUTED_VALUE"""),"ATR")</f>
        <v>ATR</v>
      </c>
      <c r="C227" s="5" t="str">
        <f ca="1">IFERROR(__xludf.DUMMYFUNCTION("""COMPUTED_VALUE"""),"ATR-42-300")</f>
        <v>ATR-42-300</v>
      </c>
      <c r="D227" s="5" t="str">
        <f ca="1">IFERROR(__xludf.DUMMYFUNCTION("""COMPUTED_VALUE"""),"LandPlane")</f>
        <v>LandPlane</v>
      </c>
      <c r="E227" s="5" t="str">
        <f ca="1">IFERROR(__xludf.DUMMYFUNCTION("""COMPUTED_VALUE"""),"Turboprop/Turboshaft")</f>
        <v>Turboprop/Turboshaft</v>
      </c>
      <c r="F227" s="5">
        <f ca="1">IFERROR(__xludf.DUMMYFUNCTION("""COMPUTED_VALUE"""),2)</f>
        <v>2</v>
      </c>
    </row>
    <row r="228" spans="1:6" ht="15" customHeight="1" x14ac:dyDescent="0.2">
      <c r="A228" s="5" t="str">
        <f ca="1">IFERROR(__xludf.DUMMYFUNCTION("""COMPUTED_VALUE"""),"AT44")</f>
        <v>AT44</v>
      </c>
      <c r="B228" s="5" t="str">
        <f ca="1">IFERROR(__xludf.DUMMYFUNCTION("""COMPUTED_VALUE"""),"ATR")</f>
        <v>ATR</v>
      </c>
      <c r="C228" s="5" t="str">
        <f ca="1">IFERROR(__xludf.DUMMYFUNCTION("""COMPUTED_VALUE"""),"ATR-42-400")</f>
        <v>ATR-42-400</v>
      </c>
      <c r="D228" s="5" t="str">
        <f ca="1">IFERROR(__xludf.DUMMYFUNCTION("""COMPUTED_VALUE"""),"LandPlane")</f>
        <v>LandPlane</v>
      </c>
      <c r="E228" s="5" t="str">
        <f ca="1">IFERROR(__xludf.DUMMYFUNCTION("""COMPUTED_VALUE"""),"Turboprop/Turboshaft")</f>
        <v>Turboprop/Turboshaft</v>
      </c>
      <c r="F228" s="5">
        <f ca="1">IFERROR(__xludf.DUMMYFUNCTION("""COMPUTED_VALUE"""),2)</f>
        <v>2</v>
      </c>
    </row>
    <row r="229" spans="1:6" ht="15" customHeight="1" x14ac:dyDescent="0.2">
      <c r="A229" s="5" t="str">
        <f ca="1">IFERROR(__xludf.DUMMYFUNCTION("""COMPUTED_VALUE"""),"AT45")</f>
        <v>AT45</v>
      </c>
      <c r="B229" s="5" t="str">
        <f ca="1">IFERROR(__xludf.DUMMYFUNCTION("""COMPUTED_VALUE"""),"ATR")</f>
        <v>ATR</v>
      </c>
      <c r="C229" s="5" t="str">
        <f ca="1">IFERROR(__xludf.DUMMYFUNCTION("""COMPUTED_VALUE"""),"ATR-42-500")</f>
        <v>ATR-42-500</v>
      </c>
      <c r="D229" s="5" t="str">
        <f ca="1">IFERROR(__xludf.DUMMYFUNCTION("""COMPUTED_VALUE"""),"LandPlane")</f>
        <v>LandPlane</v>
      </c>
      <c r="E229" s="5" t="str">
        <f ca="1">IFERROR(__xludf.DUMMYFUNCTION("""COMPUTED_VALUE"""),"Turboprop/Turboshaft")</f>
        <v>Turboprop/Turboshaft</v>
      </c>
      <c r="F229" s="5">
        <f ca="1">IFERROR(__xludf.DUMMYFUNCTION("""COMPUTED_VALUE"""),2)</f>
        <v>2</v>
      </c>
    </row>
    <row r="230" spans="1:6" ht="15" customHeight="1" x14ac:dyDescent="0.2">
      <c r="A230" s="5" t="str">
        <f ca="1">IFERROR(__xludf.DUMMYFUNCTION("""COMPUTED_VALUE"""),"AT46")</f>
        <v>AT46</v>
      </c>
      <c r="B230" s="5" t="str">
        <f ca="1">IFERROR(__xludf.DUMMYFUNCTION("""COMPUTED_VALUE"""),"ATR")</f>
        <v>ATR</v>
      </c>
      <c r="C230" s="5" t="str">
        <f ca="1">IFERROR(__xludf.DUMMYFUNCTION("""COMPUTED_VALUE"""),"ATR-42-600")</f>
        <v>ATR-42-600</v>
      </c>
      <c r="D230" s="5" t="str">
        <f ca="1">IFERROR(__xludf.DUMMYFUNCTION("""COMPUTED_VALUE"""),"LandPlane")</f>
        <v>LandPlane</v>
      </c>
      <c r="E230" s="5" t="str">
        <f ca="1">IFERROR(__xludf.DUMMYFUNCTION("""COMPUTED_VALUE"""),"Turboprop/Turboshaft")</f>
        <v>Turboprop/Turboshaft</v>
      </c>
      <c r="F230" s="5">
        <f ca="1">IFERROR(__xludf.DUMMYFUNCTION("""COMPUTED_VALUE"""),2)</f>
        <v>2</v>
      </c>
    </row>
    <row r="231" spans="1:6" ht="15" customHeight="1" x14ac:dyDescent="0.2">
      <c r="A231" s="5" t="str">
        <f ca="1">IFERROR(__xludf.DUMMYFUNCTION("""COMPUTED_VALUE"""),"AT5P")</f>
        <v>AT5P</v>
      </c>
      <c r="B231" s="5" t="str">
        <f ca="1">IFERROR(__xludf.DUMMYFUNCTION("""COMPUTED_VALUE"""),"AIR TRACTOR")</f>
        <v>AIR TRACTOR</v>
      </c>
      <c r="C231" s="5" t="str">
        <f ca="1">IFERROR(__xludf.DUMMYFUNCTION("""COMPUTED_VALUE"""),"AT-501")</f>
        <v>AT-501</v>
      </c>
      <c r="D231" s="5" t="str">
        <f ca="1">IFERROR(__xludf.DUMMYFUNCTION("""COMPUTED_VALUE"""),"LandPlane")</f>
        <v>LandPlane</v>
      </c>
      <c r="E231" s="5" t="str">
        <f ca="1">IFERROR(__xludf.DUMMYFUNCTION("""COMPUTED_VALUE"""),"Piston")</f>
        <v>Piston</v>
      </c>
      <c r="F231" s="5">
        <f ca="1">IFERROR(__xludf.DUMMYFUNCTION("""COMPUTED_VALUE"""),1)</f>
        <v>1</v>
      </c>
    </row>
    <row r="232" spans="1:6" ht="15" customHeight="1" x14ac:dyDescent="0.2">
      <c r="A232" s="5" t="str">
        <f ca="1">IFERROR(__xludf.DUMMYFUNCTION("""COMPUTED_VALUE"""),"AT6T")</f>
        <v>AT6T</v>
      </c>
      <c r="B232" s="5" t="str">
        <f ca="1">IFERROR(__xludf.DUMMYFUNCTION("""COMPUTED_VALUE"""),"AIR TRACTOR")</f>
        <v>AIR TRACTOR</v>
      </c>
      <c r="C232" s="5" t="str">
        <f ca="1">IFERROR(__xludf.DUMMYFUNCTION("""COMPUTED_VALUE"""),"AT-602")</f>
        <v>AT-602</v>
      </c>
      <c r="D232" s="5" t="str">
        <f ca="1">IFERROR(__xludf.DUMMYFUNCTION("""COMPUTED_VALUE"""),"LandPlane")</f>
        <v>LandPlane</v>
      </c>
      <c r="E232" s="5" t="str">
        <f ca="1">IFERROR(__xludf.DUMMYFUNCTION("""COMPUTED_VALUE"""),"Turboprop/Turboshaft")</f>
        <v>Turboprop/Turboshaft</v>
      </c>
      <c r="F232" s="5">
        <f ca="1">IFERROR(__xludf.DUMMYFUNCTION("""COMPUTED_VALUE"""),1)</f>
        <v>1</v>
      </c>
    </row>
    <row r="233" spans="1:6" ht="15" customHeight="1" x14ac:dyDescent="0.2">
      <c r="A233" s="5" t="str">
        <f ca="1">IFERROR(__xludf.DUMMYFUNCTION("""COMPUTED_VALUE"""),"AT72")</f>
        <v>AT72</v>
      </c>
      <c r="B233" s="5" t="str">
        <f ca="1">IFERROR(__xludf.DUMMYFUNCTION("""COMPUTED_VALUE"""),"ATR")</f>
        <v>ATR</v>
      </c>
      <c r="C233" s="5" t="str">
        <f ca="1">IFERROR(__xludf.DUMMYFUNCTION("""COMPUTED_VALUE"""),"ATR-72-201")</f>
        <v>ATR-72-201</v>
      </c>
      <c r="D233" s="5" t="str">
        <f ca="1">IFERROR(__xludf.DUMMYFUNCTION("""COMPUTED_VALUE"""),"LandPlane")</f>
        <v>LandPlane</v>
      </c>
      <c r="E233" s="5" t="str">
        <f ca="1">IFERROR(__xludf.DUMMYFUNCTION("""COMPUTED_VALUE"""),"Turboprop/Turboshaft")</f>
        <v>Turboprop/Turboshaft</v>
      </c>
      <c r="F233" s="5">
        <f ca="1">IFERROR(__xludf.DUMMYFUNCTION("""COMPUTED_VALUE"""),2)</f>
        <v>2</v>
      </c>
    </row>
    <row r="234" spans="1:6" ht="15" customHeight="1" x14ac:dyDescent="0.2">
      <c r="A234" s="5" t="str">
        <f ca="1">IFERROR(__xludf.DUMMYFUNCTION("""COMPUTED_VALUE"""),"AT73")</f>
        <v>AT73</v>
      </c>
      <c r="B234" s="5" t="str">
        <f ca="1">IFERROR(__xludf.DUMMYFUNCTION("""COMPUTED_VALUE"""),"ATR")</f>
        <v>ATR</v>
      </c>
      <c r="C234" s="5" t="str">
        <f ca="1">IFERROR(__xludf.DUMMYFUNCTION("""COMPUTED_VALUE"""),"ATR-72-211")</f>
        <v>ATR-72-211</v>
      </c>
      <c r="D234" s="5" t="str">
        <f ca="1">IFERROR(__xludf.DUMMYFUNCTION("""COMPUTED_VALUE"""),"LandPlane")</f>
        <v>LandPlane</v>
      </c>
      <c r="E234" s="5" t="str">
        <f ca="1">IFERROR(__xludf.DUMMYFUNCTION("""COMPUTED_VALUE"""),"Turboprop/Turboshaft")</f>
        <v>Turboprop/Turboshaft</v>
      </c>
      <c r="F234" s="5">
        <f ca="1">IFERROR(__xludf.DUMMYFUNCTION("""COMPUTED_VALUE"""),2)</f>
        <v>2</v>
      </c>
    </row>
    <row r="235" spans="1:6" ht="15" customHeight="1" x14ac:dyDescent="0.2">
      <c r="A235" s="5" t="str">
        <f ca="1">IFERROR(__xludf.DUMMYFUNCTION("""COMPUTED_VALUE"""),"AT75")</f>
        <v>AT75</v>
      </c>
      <c r="B235" s="5" t="str">
        <f ca="1">IFERROR(__xludf.DUMMYFUNCTION("""COMPUTED_VALUE"""),"ATR")</f>
        <v>ATR</v>
      </c>
      <c r="C235" s="5" t="str">
        <f ca="1">IFERROR(__xludf.DUMMYFUNCTION("""COMPUTED_VALUE"""),"ATR-72-212A (500)")</f>
        <v>ATR-72-212A (500)</v>
      </c>
      <c r="D235" s="5" t="str">
        <f ca="1">IFERROR(__xludf.DUMMYFUNCTION("""COMPUTED_VALUE"""),"LandPlane")</f>
        <v>LandPlane</v>
      </c>
      <c r="E235" s="5" t="str">
        <f ca="1">IFERROR(__xludf.DUMMYFUNCTION("""COMPUTED_VALUE"""),"Turboprop/Turboshaft")</f>
        <v>Turboprop/Turboshaft</v>
      </c>
      <c r="F235" s="5">
        <f ca="1">IFERROR(__xludf.DUMMYFUNCTION("""COMPUTED_VALUE"""),2)</f>
        <v>2</v>
      </c>
    </row>
    <row r="236" spans="1:6" ht="15" customHeight="1" x14ac:dyDescent="0.2">
      <c r="A236" s="5" t="str">
        <f ca="1">IFERROR(__xludf.DUMMYFUNCTION("""COMPUTED_VALUE"""),"AT76")</f>
        <v>AT76</v>
      </c>
      <c r="B236" s="5" t="str">
        <f ca="1">IFERROR(__xludf.DUMMYFUNCTION("""COMPUTED_VALUE"""),"ATR")</f>
        <v>ATR</v>
      </c>
      <c r="C236" s="5" t="str">
        <f ca="1">IFERROR(__xludf.DUMMYFUNCTION("""COMPUTED_VALUE"""),"ATR-72-212A (600)")</f>
        <v>ATR-72-212A (600)</v>
      </c>
      <c r="D236" s="5" t="str">
        <f ca="1">IFERROR(__xludf.DUMMYFUNCTION("""COMPUTED_VALUE"""),"LandPlane")</f>
        <v>LandPlane</v>
      </c>
      <c r="E236" s="5" t="str">
        <f ca="1">IFERROR(__xludf.DUMMYFUNCTION("""COMPUTED_VALUE"""),"Turboprop/Turboshaft")</f>
        <v>Turboprop/Turboshaft</v>
      </c>
      <c r="F236" s="5">
        <f ca="1">IFERROR(__xludf.DUMMYFUNCTION("""COMPUTED_VALUE"""),2)</f>
        <v>2</v>
      </c>
    </row>
    <row r="237" spans="1:6" ht="15" customHeight="1" x14ac:dyDescent="0.2">
      <c r="A237" s="5" t="str">
        <f ca="1">IFERROR(__xludf.DUMMYFUNCTION("""COMPUTED_VALUE"""),"AT8T")</f>
        <v>AT8T</v>
      </c>
      <c r="B237" s="5" t="str">
        <f ca="1">IFERROR(__xludf.DUMMYFUNCTION("""COMPUTED_VALUE"""),"AIR TRACTOR")</f>
        <v>AIR TRACTOR</v>
      </c>
      <c r="C237" s="5" t="str">
        <f ca="1">IFERROR(__xludf.DUMMYFUNCTION("""COMPUTED_VALUE"""),"AT-802")</f>
        <v>AT-802</v>
      </c>
      <c r="D237" s="5" t="str">
        <f ca="1">IFERROR(__xludf.DUMMYFUNCTION("""COMPUTED_VALUE"""),"LandPlane")</f>
        <v>LandPlane</v>
      </c>
      <c r="E237" s="5" t="str">
        <f ca="1">IFERROR(__xludf.DUMMYFUNCTION("""COMPUTED_VALUE"""),"Turboprop/Turboshaft")</f>
        <v>Turboprop/Turboshaft</v>
      </c>
      <c r="F237" s="5">
        <f ca="1">IFERROR(__xludf.DUMMYFUNCTION("""COMPUTED_VALUE"""),1)</f>
        <v>1</v>
      </c>
    </row>
    <row r="238" spans="1:6" ht="15" customHeight="1" x14ac:dyDescent="0.2">
      <c r="A238" s="5" t="str">
        <f ca="1">IFERROR(__xludf.DUMMYFUNCTION("""COMPUTED_VALUE"""),"ATAC")</f>
        <v>ATAC</v>
      </c>
      <c r="B238" s="5" t="str">
        <f ca="1">IFERROR(__xludf.DUMMYFUNCTION("""COMPUTED_VALUE"""),"AIRCRAFT TECHNOLOGIES")</f>
        <v>AIRCRAFT TECHNOLOGIES</v>
      </c>
      <c r="C238" s="5" t="str">
        <f ca="1">IFERROR(__xludf.DUMMYFUNCTION("""COMPUTED_VALUE"""),"Acro 1")</f>
        <v>Acro 1</v>
      </c>
      <c r="D238" s="5" t="str">
        <f ca="1">IFERROR(__xludf.DUMMYFUNCTION("""COMPUTED_VALUE"""),"LandPlane")</f>
        <v>LandPlane</v>
      </c>
      <c r="E238" s="5" t="str">
        <f ca="1">IFERROR(__xludf.DUMMYFUNCTION("""COMPUTED_VALUE"""),"Piston")</f>
        <v>Piston</v>
      </c>
      <c r="F238" s="5">
        <f ca="1">IFERROR(__xludf.DUMMYFUNCTION("""COMPUTED_VALUE"""),1)</f>
        <v>1</v>
      </c>
    </row>
    <row r="239" spans="1:6" ht="15" customHeight="1" x14ac:dyDescent="0.2">
      <c r="A239" s="5" t="str">
        <f ca="1">IFERROR(__xludf.DUMMYFUNCTION("""COMPUTED_VALUE"""),"ATG1")</f>
        <v>ATG1</v>
      </c>
      <c r="B239" s="5" t="str">
        <f ca="1">IFERROR(__xludf.DUMMYFUNCTION("""COMPUTED_VALUE"""),"ATG")</f>
        <v>ATG</v>
      </c>
      <c r="C239" s="5" t="str">
        <f ca="1">IFERROR(__xludf.DUMMYFUNCTION("""COMPUTED_VALUE"""),"ATG-1 Javelin")</f>
        <v>ATG-1 Javelin</v>
      </c>
      <c r="D239" s="5" t="str">
        <f ca="1">IFERROR(__xludf.DUMMYFUNCTION("""COMPUTED_VALUE"""),"LandPlane")</f>
        <v>LandPlane</v>
      </c>
      <c r="E239" s="5" t="str">
        <f ca="1">IFERROR(__xludf.DUMMYFUNCTION("""COMPUTED_VALUE"""),"Jet")</f>
        <v>Jet</v>
      </c>
      <c r="F239" s="5">
        <f ca="1">IFERROR(__xludf.DUMMYFUNCTION("""COMPUTED_VALUE"""),2)</f>
        <v>2</v>
      </c>
    </row>
    <row r="240" spans="1:6" ht="15" customHeight="1" x14ac:dyDescent="0.2">
      <c r="A240" s="5" t="str">
        <f ca="1">IFERROR(__xludf.DUMMYFUNCTION("""COMPUTED_VALUE"""),"ATIS")</f>
        <v>ATIS</v>
      </c>
      <c r="B240" s="5" t="str">
        <f ca="1">IFERROR(__xludf.DUMMYFUNCTION("""COMPUTED_VALUE"""),"AIRCRAFT TECHNOLOGIES")</f>
        <v>AIRCRAFT TECHNOLOGIES</v>
      </c>
      <c r="C240" s="5" t="str">
        <f ca="1">IFERROR(__xludf.DUMMYFUNCTION("""COMPUTED_VALUE"""),"Atlantis")</f>
        <v>Atlantis</v>
      </c>
      <c r="D240" s="5" t="str">
        <f ca="1">IFERROR(__xludf.DUMMYFUNCTION("""COMPUTED_VALUE"""),"LandPlane")</f>
        <v>LandPlane</v>
      </c>
      <c r="E240" s="5" t="str">
        <f ca="1">IFERROR(__xludf.DUMMYFUNCTION("""COMPUTED_VALUE"""),"Piston")</f>
        <v>Piston</v>
      </c>
      <c r="F240" s="5">
        <f ca="1">IFERROR(__xludf.DUMMYFUNCTION("""COMPUTED_VALUE"""),1)</f>
        <v>1</v>
      </c>
    </row>
    <row r="241" spans="1:6" ht="15" customHeight="1" x14ac:dyDescent="0.2">
      <c r="A241" s="5" t="str">
        <f ca="1">IFERROR(__xludf.DUMMYFUNCTION("""COMPUTED_VALUE"""),"ATL")</f>
        <v>ATL</v>
      </c>
      <c r="B241" s="5" t="str">
        <f ca="1">IFERROR(__xludf.DUMMYFUNCTION("""COMPUTED_VALUE"""),"ROBIN")</f>
        <v>ROBIN</v>
      </c>
      <c r="C241" s="5" t="str">
        <f ca="1">IFERROR(__xludf.DUMMYFUNCTION("""COMPUTED_VALUE"""),"ATL")</f>
        <v>ATL</v>
      </c>
      <c r="D241" s="5" t="str">
        <f ca="1">IFERROR(__xludf.DUMMYFUNCTION("""COMPUTED_VALUE"""),"LandPlane")</f>
        <v>LandPlane</v>
      </c>
      <c r="E241" s="5" t="str">
        <f ca="1">IFERROR(__xludf.DUMMYFUNCTION("""COMPUTED_VALUE"""),"Piston")</f>
        <v>Piston</v>
      </c>
      <c r="F241" s="5">
        <f ca="1">IFERROR(__xludf.DUMMYFUNCTION("""COMPUTED_VALUE"""),1)</f>
        <v>1</v>
      </c>
    </row>
    <row r="242" spans="1:6" ht="15" customHeight="1" x14ac:dyDescent="0.2">
      <c r="A242" s="5" t="str">
        <f ca="1">IFERROR(__xludf.DUMMYFUNCTION("""COMPUTED_VALUE"""),"ATLA")</f>
        <v>ATLA</v>
      </c>
      <c r="B242" s="5" t="str">
        <f ca="1">IFERROR(__xludf.DUMMYFUNCTION("""COMPUTED_VALUE"""),"DASSAULT")</f>
        <v>DASSAULT</v>
      </c>
      <c r="C242" s="5" t="str">
        <f ca="1">IFERROR(__xludf.DUMMYFUNCTION("""COMPUTED_VALUE"""),"Atlantique 2")</f>
        <v>Atlantique 2</v>
      </c>
      <c r="D242" s="5" t="str">
        <f ca="1">IFERROR(__xludf.DUMMYFUNCTION("""COMPUTED_VALUE"""),"LandPlane")</f>
        <v>LandPlane</v>
      </c>
      <c r="E242" s="5" t="str">
        <f ca="1">IFERROR(__xludf.DUMMYFUNCTION("""COMPUTED_VALUE"""),"Turboprop/Turboshaft")</f>
        <v>Turboprop/Turboshaft</v>
      </c>
      <c r="F242" s="5">
        <f ca="1">IFERROR(__xludf.DUMMYFUNCTION("""COMPUTED_VALUE"""),2)</f>
        <v>2</v>
      </c>
    </row>
    <row r="243" spans="1:6" ht="15" customHeight="1" x14ac:dyDescent="0.2">
      <c r="A243" s="5" t="str">
        <f ca="1">IFERROR(__xludf.DUMMYFUNCTION("""COMPUTED_VALUE"""),"ATP")</f>
        <v>ATP</v>
      </c>
      <c r="B243" s="5" t="str">
        <f ca="1">IFERROR(__xludf.DUMMYFUNCTION("""COMPUTED_VALUE"""),"BRITISH AEROSPACE")</f>
        <v>BRITISH AEROSPACE</v>
      </c>
      <c r="C243" s="5" t="str">
        <f ca="1">IFERROR(__xludf.DUMMYFUNCTION("""COMPUTED_VALUE"""),"ATP")</f>
        <v>ATP</v>
      </c>
      <c r="D243" s="5" t="str">
        <f ca="1">IFERROR(__xludf.DUMMYFUNCTION("""COMPUTED_VALUE"""),"LandPlane")</f>
        <v>LandPlane</v>
      </c>
      <c r="E243" s="5" t="str">
        <f ca="1">IFERROR(__xludf.DUMMYFUNCTION("""COMPUTED_VALUE"""),"Turboprop/Turboshaft")</f>
        <v>Turboprop/Turboshaft</v>
      </c>
      <c r="F243" s="5">
        <f ca="1">IFERROR(__xludf.DUMMYFUNCTION("""COMPUTED_VALUE"""),2)</f>
        <v>2</v>
      </c>
    </row>
    <row r="244" spans="1:6" ht="15" customHeight="1" x14ac:dyDescent="0.2">
      <c r="A244" s="5" t="str">
        <f ca="1">IFERROR(__xludf.DUMMYFUNCTION("""COMPUTED_VALUE"""),"AU11")</f>
        <v>AU11</v>
      </c>
      <c r="B244" s="5" t="str">
        <f ca="1">IFERROR(__xludf.DUMMYFUNCTION("""COMPUTED_VALUE"""),"BEAGLE-AUSTER")</f>
        <v>BEAGLE-AUSTER</v>
      </c>
      <c r="C244" s="5" t="str">
        <f ca="1">IFERROR(__xludf.DUMMYFUNCTION("""COMPUTED_VALUE"""),"Auster AOP11")</f>
        <v>Auster AOP11</v>
      </c>
      <c r="D244" s="5" t="str">
        <f ca="1">IFERROR(__xludf.DUMMYFUNCTION("""COMPUTED_VALUE"""),"LandPlane")</f>
        <v>LandPlane</v>
      </c>
      <c r="E244" s="5" t="str">
        <f ca="1">IFERROR(__xludf.DUMMYFUNCTION("""COMPUTED_VALUE"""),"Piston")</f>
        <v>Piston</v>
      </c>
      <c r="F244" s="5">
        <f ca="1">IFERROR(__xludf.DUMMYFUNCTION("""COMPUTED_VALUE"""),1)</f>
        <v>1</v>
      </c>
    </row>
    <row r="245" spans="1:6" ht="15" customHeight="1" x14ac:dyDescent="0.2">
      <c r="A245" s="5" t="str">
        <f ca="1">IFERROR(__xludf.DUMMYFUNCTION("""COMPUTED_VALUE"""),"AUJ2")</f>
        <v>AUJ2</v>
      </c>
      <c r="B245" s="5" t="str">
        <f ca="1">IFERROR(__xludf.DUMMYFUNCTION("""COMPUTED_VALUE"""),"AUSTER")</f>
        <v>AUSTER</v>
      </c>
      <c r="C245" s="5" t="str">
        <f ca="1">IFERROR(__xludf.DUMMYFUNCTION("""COMPUTED_VALUE"""),"J-2 Arrow")</f>
        <v>J-2 Arrow</v>
      </c>
      <c r="D245" s="5" t="str">
        <f ca="1">IFERROR(__xludf.DUMMYFUNCTION("""COMPUTED_VALUE"""),"LandPlane")</f>
        <v>LandPlane</v>
      </c>
      <c r="E245" s="5" t="str">
        <f ca="1">IFERROR(__xludf.DUMMYFUNCTION("""COMPUTED_VALUE"""),"Piston")</f>
        <v>Piston</v>
      </c>
      <c r="F245" s="5">
        <f ca="1">IFERROR(__xludf.DUMMYFUNCTION("""COMPUTED_VALUE"""),1)</f>
        <v>1</v>
      </c>
    </row>
    <row r="246" spans="1:6" ht="15" customHeight="1" x14ac:dyDescent="0.2">
      <c r="A246" s="5" t="str">
        <f ca="1">IFERROR(__xludf.DUMMYFUNCTION("""COMPUTED_VALUE"""),"AUJ4")</f>
        <v>AUJ4</v>
      </c>
      <c r="B246" s="5" t="str">
        <f ca="1">IFERROR(__xludf.DUMMYFUNCTION("""COMPUTED_VALUE"""),"AUSTER")</f>
        <v>AUSTER</v>
      </c>
      <c r="C246" s="5" t="str">
        <f ca="1">IFERROR(__xludf.DUMMYFUNCTION("""COMPUTED_VALUE"""),"J-4 Archer")</f>
        <v>J-4 Archer</v>
      </c>
      <c r="D246" s="5" t="str">
        <f ca="1">IFERROR(__xludf.DUMMYFUNCTION("""COMPUTED_VALUE"""),"LandPlane")</f>
        <v>LandPlane</v>
      </c>
      <c r="E246" s="5" t="str">
        <f ca="1">IFERROR(__xludf.DUMMYFUNCTION("""COMPUTED_VALUE"""),"Piston")</f>
        <v>Piston</v>
      </c>
      <c r="F246" s="5">
        <f ca="1">IFERROR(__xludf.DUMMYFUNCTION("""COMPUTED_VALUE"""),1)</f>
        <v>1</v>
      </c>
    </row>
    <row r="247" spans="1:6" ht="15" customHeight="1" x14ac:dyDescent="0.2">
      <c r="A247" s="5" t="str">
        <f ca="1">IFERROR(__xludf.DUMMYFUNCTION("""COMPUTED_VALUE"""),"AUS3")</f>
        <v>AUS3</v>
      </c>
      <c r="B247" s="5" t="str">
        <f ca="1">IFERROR(__xludf.DUMMYFUNCTION("""COMPUTED_VALUE"""),"TAYLORCRAFT (2)")</f>
        <v>TAYLORCRAFT (2)</v>
      </c>
      <c r="C247" s="5" t="str">
        <f ca="1">IFERROR(__xludf.DUMMYFUNCTION("""COMPUTED_VALUE"""),"Auster 3")</f>
        <v>Auster 3</v>
      </c>
      <c r="D247" s="5" t="str">
        <f ca="1">IFERROR(__xludf.DUMMYFUNCTION("""COMPUTED_VALUE"""),"LandPlane")</f>
        <v>LandPlane</v>
      </c>
      <c r="E247" s="5" t="str">
        <f ca="1">IFERROR(__xludf.DUMMYFUNCTION("""COMPUTED_VALUE"""),"Piston")</f>
        <v>Piston</v>
      </c>
      <c r="F247" s="5">
        <f ca="1">IFERROR(__xludf.DUMMYFUNCTION("""COMPUTED_VALUE"""),1)</f>
        <v>1</v>
      </c>
    </row>
    <row r="248" spans="1:6" ht="15" customHeight="1" x14ac:dyDescent="0.2">
      <c r="A248" s="5" t="str">
        <f ca="1">IFERROR(__xludf.DUMMYFUNCTION("""COMPUTED_VALUE"""),"AUS4")</f>
        <v>AUS4</v>
      </c>
      <c r="B248" s="5" t="str">
        <f ca="1">IFERROR(__xludf.DUMMYFUNCTION("""COMPUTED_VALUE"""),"TAYLORCRAFT (2)")</f>
        <v>TAYLORCRAFT (2)</v>
      </c>
      <c r="C248" s="5" t="str">
        <f ca="1">IFERROR(__xludf.DUMMYFUNCTION("""COMPUTED_VALUE"""),"Auster 4")</f>
        <v>Auster 4</v>
      </c>
      <c r="D248" s="5" t="str">
        <f ca="1">IFERROR(__xludf.DUMMYFUNCTION("""COMPUTED_VALUE"""),"LandPlane")</f>
        <v>LandPlane</v>
      </c>
      <c r="E248" s="5" t="str">
        <f ca="1">IFERROR(__xludf.DUMMYFUNCTION("""COMPUTED_VALUE"""),"Piston")</f>
        <v>Piston</v>
      </c>
      <c r="F248" s="5">
        <f ca="1">IFERROR(__xludf.DUMMYFUNCTION("""COMPUTED_VALUE"""),1)</f>
        <v>1</v>
      </c>
    </row>
    <row r="249" spans="1:6" ht="15" customHeight="1" x14ac:dyDescent="0.2">
      <c r="A249" s="5" t="str">
        <f ca="1">IFERROR(__xludf.DUMMYFUNCTION("""COMPUTED_VALUE"""),"AUS5")</f>
        <v>AUS5</v>
      </c>
      <c r="B249" s="5" t="str">
        <f ca="1">IFERROR(__xludf.DUMMYFUNCTION("""COMPUTED_VALUE"""),"AUSTER")</f>
        <v>AUSTER</v>
      </c>
      <c r="C249" s="5" t="str">
        <f ca="1">IFERROR(__xludf.DUMMYFUNCTION("""COMPUTED_VALUE"""),"Auster 5")</f>
        <v>Auster 5</v>
      </c>
      <c r="D249" s="5" t="str">
        <f ca="1">IFERROR(__xludf.DUMMYFUNCTION("""COMPUTED_VALUE"""),"LandPlane")</f>
        <v>LandPlane</v>
      </c>
      <c r="E249" s="5" t="str">
        <f ca="1">IFERROR(__xludf.DUMMYFUNCTION("""COMPUTED_VALUE"""),"Piston")</f>
        <v>Piston</v>
      </c>
      <c r="F249" s="5">
        <f ca="1">IFERROR(__xludf.DUMMYFUNCTION("""COMPUTED_VALUE"""),1)</f>
        <v>1</v>
      </c>
    </row>
    <row r="250" spans="1:6" ht="15" customHeight="1" x14ac:dyDescent="0.2">
      <c r="A250" s="5" t="str">
        <f ca="1">IFERROR(__xludf.DUMMYFUNCTION("""COMPUTED_VALUE"""),"AUS5")</f>
        <v>AUS5</v>
      </c>
      <c r="B250" s="5" t="str">
        <f ca="1">IFERROR(__xludf.DUMMYFUNCTION("""COMPUTED_VALUE"""),"TAYLORCRAFT (2)")</f>
        <v>TAYLORCRAFT (2)</v>
      </c>
      <c r="C250" s="5" t="str">
        <f ca="1">IFERROR(__xludf.DUMMYFUNCTION("""COMPUTED_VALUE"""),"Auster 5")</f>
        <v>Auster 5</v>
      </c>
      <c r="D250" s="5" t="str">
        <f ca="1">IFERROR(__xludf.DUMMYFUNCTION("""COMPUTED_VALUE"""),"LandPlane")</f>
        <v>LandPlane</v>
      </c>
      <c r="E250" s="5" t="str">
        <f ca="1">IFERROR(__xludf.DUMMYFUNCTION("""COMPUTED_VALUE"""),"Piston")</f>
        <v>Piston</v>
      </c>
      <c r="F250" s="5">
        <f ca="1">IFERROR(__xludf.DUMMYFUNCTION("""COMPUTED_VALUE"""),1)</f>
        <v>1</v>
      </c>
    </row>
    <row r="251" spans="1:6" ht="15" customHeight="1" x14ac:dyDescent="0.2">
      <c r="A251" s="5" t="str">
        <f ca="1">IFERROR(__xludf.DUMMYFUNCTION("""COMPUTED_VALUE"""),"AUS6")</f>
        <v>AUS6</v>
      </c>
      <c r="B251" s="5" t="str">
        <f ca="1">IFERROR(__xludf.DUMMYFUNCTION("""COMPUTED_VALUE"""),"AUSTER")</f>
        <v>AUSTER</v>
      </c>
      <c r="C251" s="5" t="str">
        <f ca="1">IFERROR(__xludf.DUMMYFUNCTION("""COMPUTED_VALUE"""),"Auster AOP6")</f>
        <v>Auster AOP6</v>
      </c>
      <c r="D251" s="5" t="str">
        <f ca="1">IFERROR(__xludf.DUMMYFUNCTION("""COMPUTED_VALUE"""),"LandPlane")</f>
        <v>LandPlane</v>
      </c>
      <c r="E251" s="5" t="str">
        <f ca="1">IFERROR(__xludf.DUMMYFUNCTION("""COMPUTED_VALUE"""),"Piston")</f>
        <v>Piston</v>
      </c>
      <c r="F251" s="5">
        <f ca="1">IFERROR(__xludf.DUMMYFUNCTION("""COMPUTED_VALUE"""),1)</f>
        <v>1</v>
      </c>
    </row>
    <row r="252" spans="1:6" ht="15" customHeight="1" x14ac:dyDescent="0.2">
      <c r="A252" s="5" t="str">
        <f ca="1">IFERROR(__xludf.DUMMYFUNCTION("""COMPUTED_VALUE"""),"AUS7")</f>
        <v>AUS7</v>
      </c>
      <c r="B252" s="5" t="str">
        <f ca="1">IFERROR(__xludf.DUMMYFUNCTION("""COMPUTED_VALUE"""),"AUSTER")</f>
        <v>AUSTER</v>
      </c>
      <c r="C252" s="5" t="str">
        <f ca="1">IFERROR(__xludf.DUMMYFUNCTION("""COMPUTED_VALUE"""),"Auster T7")</f>
        <v>Auster T7</v>
      </c>
      <c r="D252" s="5" t="str">
        <f ca="1">IFERROR(__xludf.DUMMYFUNCTION("""COMPUTED_VALUE"""),"LandPlane")</f>
        <v>LandPlane</v>
      </c>
      <c r="E252" s="5" t="str">
        <f ca="1">IFERROR(__xludf.DUMMYFUNCTION("""COMPUTED_VALUE"""),"Piston")</f>
        <v>Piston</v>
      </c>
      <c r="F252" s="5">
        <f ca="1">IFERROR(__xludf.DUMMYFUNCTION("""COMPUTED_VALUE"""),1)</f>
        <v>1</v>
      </c>
    </row>
    <row r="253" spans="1:6" ht="15" customHeight="1" x14ac:dyDescent="0.2">
      <c r="A253" s="5" t="str">
        <f ca="1">IFERROR(__xludf.DUMMYFUNCTION("""COMPUTED_VALUE"""),"AUS9")</f>
        <v>AUS9</v>
      </c>
      <c r="B253" s="5" t="str">
        <f ca="1">IFERROR(__xludf.DUMMYFUNCTION("""COMPUTED_VALUE"""),"AUSTER")</f>
        <v>AUSTER</v>
      </c>
      <c r="C253" s="5" t="str">
        <f ca="1">IFERROR(__xludf.DUMMYFUNCTION("""COMPUTED_VALUE"""),"Auster AOP9")</f>
        <v>Auster AOP9</v>
      </c>
      <c r="D253" s="5" t="str">
        <f ca="1">IFERROR(__xludf.DUMMYFUNCTION("""COMPUTED_VALUE"""),"LandPlane")</f>
        <v>LandPlane</v>
      </c>
      <c r="E253" s="5" t="str">
        <f ca="1">IFERROR(__xludf.DUMMYFUNCTION("""COMPUTED_VALUE"""),"Piston")</f>
        <v>Piston</v>
      </c>
      <c r="F253" s="5">
        <f ca="1">IFERROR(__xludf.DUMMYFUNCTION("""COMPUTED_VALUE"""),1)</f>
        <v>1</v>
      </c>
    </row>
    <row r="254" spans="1:6" ht="15" customHeight="1" x14ac:dyDescent="0.2">
      <c r="A254" s="5" t="str">
        <f ca="1">IFERROR(__xludf.DUMMYFUNCTION("""COMPUTED_VALUE"""),"AV68")</f>
        <v>AV68</v>
      </c>
      <c r="B254" s="5" t="str">
        <f ca="1">IFERROR(__xludf.DUMMYFUNCTION("""COMPUTED_VALUE"""),"ALPLA")</f>
        <v>ALPLA</v>
      </c>
      <c r="C254" s="5" t="str">
        <f ca="1">IFERROR(__xludf.DUMMYFUNCTION("""COMPUTED_VALUE"""),"AVO-68 Samburo")</f>
        <v>AVO-68 Samburo</v>
      </c>
      <c r="D254" s="5" t="str">
        <f ca="1">IFERROR(__xludf.DUMMYFUNCTION("""COMPUTED_VALUE"""),"LandPlane")</f>
        <v>LandPlane</v>
      </c>
      <c r="E254" s="5" t="str">
        <f ca="1">IFERROR(__xludf.DUMMYFUNCTION("""COMPUTED_VALUE"""),"Piston")</f>
        <v>Piston</v>
      </c>
      <c r="F254" s="5">
        <f ca="1">IFERROR(__xludf.DUMMYFUNCTION("""COMPUTED_VALUE"""),1)</f>
        <v>1</v>
      </c>
    </row>
    <row r="255" spans="1:6" ht="15" customHeight="1" x14ac:dyDescent="0.2">
      <c r="A255" s="5" t="str">
        <f ca="1">IFERROR(__xludf.DUMMYFUNCTION("""COMPUTED_VALUE"""),"AVAM")</f>
        <v>AVAM</v>
      </c>
      <c r="B255" s="5" t="str">
        <f ca="1">IFERROR(__xludf.DUMMYFUNCTION("""COMPUTED_VALUE"""),"AVID")</f>
        <v>AVID</v>
      </c>
      <c r="C255" s="5" t="str">
        <f ca="1">IFERROR(__xludf.DUMMYFUNCTION("""COMPUTED_VALUE"""),"Avid Amphibian")</f>
        <v>Avid Amphibian</v>
      </c>
      <c r="D255" s="5" t="str">
        <f ca="1">IFERROR(__xludf.DUMMYFUNCTION("""COMPUTED_VALUE"""),"Amphibian")</f>
        <v>Amphibian</v>
      </c>
      <c r="E255" s="5" t="str">
        <f ca="1">IFERROR(__xludf.DUMMYFUNCTION("""COMPUTED_VALUE"""),"Piston")</f>
        <v>Piston</v>
      </c>
      <c r="F255" s="5">
        <f ca="1">IFERROR(__xludf.DUMMYFUNCTION("""COMPUTED_VALUE"""),1)</f>
        <v>1</v>
      </c>
    </row>
    <row r="256" spans="1:6" ht="15" customHeight="1" x14ac:dyDescent="0.2">
      <c r="A256" s="5" t="str">
        <f ca="1">IFERROR(__xludf.DUMMYFUNCTION("""COMPUTED_VALUE"""),"AVID")</f>
        <v>AVID</v>
      </c>
      <c r="B256" s="5" t="str">
        <f ca="1">IFERROR(__xludf.DUMMYFUNCTION("""COMPUTED_VALUE"""),"LIGHT AERO")</f>
        <v>LIGHT AERO</v>
      </c>
      <c r="C256" s="5" t="str">
        <f ca="1">IFERROR(__xludf.DUMMYFUNCTION("""COMPUTED_VALUE"""),"Avid Flyer")</f>
        <v>Avid Flyer</v>
      </c>
      <c r="D256" s="5" t="str">
        <f ca="1">IFERROR(__xludf.DUMMYFUNCTION("""COMPUTED_VALUE"""),"LandPlane")</f>
        <v>LandPlane</v>
      </c>
      <c r="E256" s="5" t="str">
        <f ca="1">IFERROR(__xludf.DUMMYFUNCTION("""COMPUTED_VALUE"""),"Piston")</f>
        <v>Piston</v>
      </c>
      <c r="F256" s="5">
        <f ca="1">IFERROR(__xludf.DUMMYFUNCTION("""COMPUTED_VALUE"""),1)</f>
        <v>1</v>
      </c>
    </row>
    <row r="257" spans="1:6" ht="15" customHeight="1" x14ac:dyDescent="0.2">
      <c r="A257" s="5" t="str">
        <f ca="1">IFERROR(__xludf.DUMMYFUNCTION("""COMPUTED_VALUE"""),"AVIN")</f>
        <v>AVIN</v>
      </c>
      <c r="B257" s="5" t="str">
        <f ca="1">IFERROR(__xludf.DUMMYFUNCTION("""COMPUTED_VALUE"""),"AVRO")</f>
        <v>AVRO</v>
      </c>
      <c r="C257" s="5" t="str">
        <f ca="1">IFERROR(__xludf.DUMMYFUNCTION("""COMPUTED_VALUE"""),"594 Avian")</f>
        <v>594 Avian</v>
      </c>
      <c r="D257" s="5" t="str">
        <f ca="1">IFERROR(__xludf.DUMMYFUNCTION("""COMPUTED_VALUE"""),"LandPlane")</f>
        <v>LandPlane</v>
      </c>
      <c r="E257" s="5" t="str">
        <f ca="1">IFERROR(__xludf.DUMMYFUNCTION("""COMPUTED_VALUE"""),"Piston")</f>
        <v>Piston</v>
      </c>
      <c r="F257" s="5">
        <f ca="1">IFERROR(__xludf.DUMMYFUNCTION("""COMPUTED_VALUE"""),1)</f>
        <v>1</v>
      </c>
    </row>
    <row r="258" spans="1:6" ht="15" customHeight="1" x14ac:dyDescent="0.2">
      <c r="A258" s="5" t="str">
        <f ca="1">IFERROR(__xludf.DUMMYFUNCTION("""COMPUTED_VALUE"""),"AVK4")</f>
        <v>AVK4</v>
      </c>
      <c r="B258" s="5" t="str">
        <f ca="1">IFERROR(__xludf.DUMMYFUNCTION("""COMPUTED_VALUE"""),"AVTEK")</f>
        <v>AVTEK</v>
      </c>
      <c r="C258" s="5" t="str">
        <f ca="1">IFERROR(__xludf.DUMMYFUNCTION("""COMPUTED_VALUE"""),"400")</f>
        <v>400</v>
      </c>
      <c r="D258" s="5" t="str">
        <f ca="1">IFERROR(__xludf.DUMMYFUNCTION("""COMPUTED_VALUE"""),"LandPlane")</f>
        <v>LandPlane</v>
      </c>
      <c r="E258" s="5" t="str">
        <f ca="1">IFERROR(__xludf.DUMMYFUNCTION("""COMPUTED_VALUE"""),"Turboprop/Turboshaft")</f>
        <v>Turboprop/Turboshaft</v>
      </c>
      <c r="F258" s="5">
        <f ca="1">IFERROR(__xludf.DUMMYFUNCTION("""COMPUTED_VALUE"""),2)</f>
        <v>2</v>
      </c>
    </row>
    <row r="259" spans="1:6" ht="15" customHeight="1" x14ac:dyDescent="0.2">
      <c r="A259" s="5" t="str">
        <f ca="1">IFERROR(__xludf.DUMMYFUNCTION("""COMPUTED_VALUE"""),"AVLN")</f>
        <v>AVLN</v>
      </c>
      <c r="B259" s="5" t="str">
        <f ca="1">IFERROR(__xludf.DUMMYFUNCTION("""COMPUTED_VALUE"""),"AIRMASTER")</f>
        <v>AIRMASTER</v>
      </c>
      <c r="C259" s="5" t="str">
        <f ca="1">IFERROR(__xludf.DUMMYFUNCTION("""COMPUTED_VALUE"""),"Avalon 680")</f>
        <v>Avalon 680</v>
      </c>
      <c r="D259" s="5" t="str">
        <f ca="1">IFERROR(__xludf.DUMMYFUNCTION("""COMPUTED_VALUE"""),"Amphibian")</f>
        <v>Amphibian</v>
      </c>
      <c r="E259" s="5" t="str">
        <f ca="1">IFERROR(__xludf.DUMMYFUNCTION("""COMPUTED_VALUE"""),"Turboprop/Turboshaft")</f>
        <v>Turboprop/Turboshaft</v>
      </c>
      <c r="F259" s="5">
        <f ca="1">IFERROR(__xludf.DUMMYFUNCTION("""COMPUTED_VALUE"""),1)</f>
        <v>1</v>
      </c>
    </row>
    <row r="260" spans="1:6" ht="15" customHeight="1" x14ac:dyDescent="0.2">
      <c r="A260" s="5" t="str">
        <f ca="1">IFERROR(__xludf.DUMMYFUNCTION("""COMPUTED_VALUE"""),"AVTR")</f>
        <v>AVTR</v>
      </c>
      <c r="B260" s="5" t="str">
        <f ca="1">IFERROR(__xludf.DUMMYFUNCTION("""COMPUTED_VALUE"""),"AERO ADVENTURE")</f>
        <v>AERO ADVENTURE</v>
      </c>
      <c r="C260" s="5" t="str">
        <f ca="1">IFERROR(__xludf.DUMMYFUNCTION("""COMPUTED_VALUE"""),"Aventura 2")</f>
        <v>Aventura 2</v>
      </c>
      <c r="D260" s="5" t="str">
        <f ca="1">IFERROR(__xludf.DUMMYFUNCTION("""COMPUTED_VALUE"""),"Amphibian")</f>
        <v>Amphibian</v>
      </c>
      <c r="E260" s="5" t="str">
        <f ca="1">IFERROR(__xludf.DUMMYFUNCTION("""COMPUTED_VALUE"""),"Piston")</f>
        <v>Piston</v>
      </c>
      <c r="F260" s="5">
        <f ca="1">IFERROR(__xludf.DUMMYFUNCTION("""COMPUTED_VALUE"""),1)</f>
        <v>1</v>
      </c>
    </row>
    <row r="261" spans="1:6" ht="15" customHeight="1" x14ac:dyDescent="0.2">
      <c r="A261" s="5" t="str">
        <f ca="1">IFERROR(__xludf.DUMMYFUNCTION("""COMPUTED_VALUE"""),"B06")</f>
        <v>B06</v>
      </c>
      <c r="B261" s="5" t="str">
        <f ca="1">IFERROR(__xludf.DUMMYFUNCTION("""COMPUTED_VALUE"""),"BELL")</f>
        <v>BELL</v>
      </c>
      <c r="C261" s="5" t="str">
        <f ca="1">IFERROR(__xludf.DUMMYFUNCTION("""COMPUTED_VALUE"""),"206B JetRanger")</f>
        <v>206B JetRanger</v>
      </c>
      <c r="D261" s="5" t="str">
        <f ca="1">IFERROR(__xludf.DUMMYFUNCTION("""COMPUTED_VALUE"""),"Helicopter")</f>
        <v>Helicopter</v>
      </c>
      <c r="E261" s="5" t="str">
        <f ca="1">IFERROR(__xludf.DUMMYFUNCTION("""COMPUTED_VALUE"""),"Turboprop/Turboshaft")</f>
        <v>Turboprop/Turboshaft</v>
      </c>
      <c r="F261" s="5">
        <f ca="1">IFERROR(__xludf.DUMMYFUNCTION("""COMPUTED_VALUE"""),1)</f>
        <v>1</v>
      </c>
    </row>
    <row r="262" spans="1:6" ht="15" customHeight="1" x14ac:dyDescent="0.2">
      <c r="A262" s="5" t="str">
        <f ca="1">IFERROR(__xludf.DUMMYFUNCTION("""COMPUTED_VALUE"""),"B06T")</f>
        <v>B06T</v>
      </c>
      <c r="B262" s="5" t="str">
        <f ca="1">IFERROR(__xludf.DUMMYFUNCTION("""COMPUTED_VALUE"""),"BELL")</f>
        <v>BELL</v>
      </c>
      <c r="C262" s="5" t="str">
        <f ca="1">IFERROR(__xludf.DUMMYFUNCTION("""COMPUTED_VALUE"""),"206LT TwinRanger")</f>
        <v>206LT TwinRanger</v>
      </c>
      <c r="D262" s="5" t="str">
        <f ca="1">IFERROR(__xludf.DUMMYFUNCTION("""COMPUTED_VALUE"""),"Helicopter")</f>
        <v>Helicopter</v>
      </c>
      <c r="E262" s="5" t="str">
        <f ca="1">IFERROR(__xludf.DUMMYFUNCTION("""COMPUTED_VALUE"""),"Turboprop/Turboshaft")</f>
        <v>Turboprop/Turboshaft</v>
      </c>
      <c r="F262" s="5">
        <f ca="1">IFERROR(__xludf.DUMMYFUNCTION("""COMPUTED_VALUE"""),2)</f>
        <v>2</v>
      </c>
    </row>
    <row r="263" spans="1:6" ht="15" customHeight="1" x14ac:dyDescent="0.2">
      <c r="A263" s="5" t="str">
        <f ca="1">IFERROR(__xludf.DUMMYFUNCTION("""COMPUTED_VALUE"""),"B1")</f>
        <v>B1</v>
      </c>
      <c r="B263" s="5" t="str">
        <f ca="1">IFERROR(__xludf.DUMMYFUNCTION("""COMPUTED_VALUE"""),"ROCKWELL")</f>
        <v>ROCKWELL</v>
      </c>
      <c r="C263" s="5" t="str">
        <f ca="1">IFERROR(__xludf.DUMMYFUNCTION("""COMPUTED_VALUE"""),"B-1 Lancer")</f>
        <v>B-1 Lancer</v>
      </c>
      <c r="D263" s="5" t="str">
        <f ca="1">IFERROR(__xludf.DUMMYFUNCTION("""COMPUTED_VALUE"""),"LandPlane")</f>
        <v>LandPlane</v>
      </c>
      <c r="E263" s="5" t="str">
        <f ca="1">IFERROR(__xludf.DUMMYFUNCTION("""COMPUTED_VALUE"""),"Jet")</f>
        <v>Jet</v>
      </c>
      <c r="F263" s="5">
        <f ca="1">IFERROR(__xludf.DUMMYFUNCTION("""COMPUTED_VALUE"""),4)</f>
        <v>4</v>
      </c>
    </row>
    <row r="264" spans="1:6" ht="15" customHeight="1" x14ac:dyDescent="0.2">
      <c r="A264" s="5" t="str">
        <f ca="1">IFERROR(__xludf.DUMMYFUNCTION("""COMPUTED_VALUE"""),"B103")</f>
        <v>B103</v>
      </c>
      <c r="B264" s="5" t="str">
        <f ca="1">IFERROR(__xludf.DUMMYFUNCTION("""COMPUTED_VALUE"""),"BERIEV")</f>
        <v>BERIEV</v>
      </c>
      <c r="C264" s="5" t="str">
        <f ca="1">IFERROR(__xludf.DUMMYFUNCTION("""COMPUTED_VALUE"""),"Be-103 Bekas")</f>
        <v>Be-103 Bekas</v>
      </c>
      <c r="D264" s="5" t="str">
        <f ca="1">IFERROR(__xludf.DUMMYFUNCTION("""COMPUTED_VALUE"""),"Amphibian")</f>
        <v>Amphibian</v>
      </c>
      <c r="E264" s="5" t="str">
        <f ca="1">IFERROR(__xludf.DUMMYFUNCTION("""COMPUTED_VALUE"""),"Piston")</f>
        <v>Piston</v>
      </c>
      <c r="F264" s="5">
        <f ca="1">IFERROR(__xludf.DUMMYFUNCTION("""COMPUTED_VALUE"""),2)</f>
        <v>2</v>
      </c>
    </row>
    <row r="265" spans="1:6" ht="15" customHeight="1" x14ac:dyDescent="0.2">
      <c r="A265" s="5" t="str">
        <f ca="1">IFERROR(__xludf.DUMMYFUNCTION("""COMPUTED_VALUE"""),"B105")</f>
        <v>B105</v>
      </c>
      <c r="B265" s="5" t="str">
        <f ca="1">IFERROR(__xludf.DUMMYFUNCTION("""COMPUTED_VALUE"""),"MBB")</f>
        <v>MBB</v>
      </c>
      <c r="C265" s="5" t="str">
        <f ca="1">IFERROR(__xludf.DUMMYFUNCTION("""COMPUTED_VALUE"""),"BO-105")</f>
        <v>BO-105</v>
      </c>
      <c r="D265" s="5" t="str">
        <f ca="1">IFERROR(__xludf.DUMMYFUNCTION("""COMPUTED_VALUE"""),"Helicopter")</f>
        <v>Helicopter</v>
      </c>
      <c r="E265" s="5" t="str">
        <f ca="1">IFERROR(__xludf.DUMMYFUNCTION("""COMPUTED_VALUE"""),"Turboprop/Turboshaft")</f>
        <v>Turboprop/Turboshaft</v>
      </c>
      <c r="F265" s="5">
        <f ca="1">IFERROR(__xludf.DUMMYFUNCTION("""COMPUTED_VALUE"""),2)</f>
        <v>2</v>
      </c>
    </row>
    <row r="266" spans="1:6" ht="15" customHeight="1" x14ac:dyDescent="0.2">
      <c r="A266" s="5" t="str">
        <f ca="1">IFERROR(__xludf.DUMMYFUNCTION("""COMPUTED_VALUE"""),"B13")</f>
        <v>B13</v>
      </c>
      <c r="B266" s="5" t="str">
        <f ca="1">IFERROR(__xludf.DUMMYFUNCTION("""COMPUTED_VALUE"""),"AKAFLIEG BERLIN")</f>
        <v>AKAFLIEG BERLIN</v>
      </c>
      <c r="C266" s="5" t="str">
        <f ca="1">IFERROR(__xludf.DUMMYFUNCTION("""COMPUTED_VALUE"""),"B-13")</f>
        <v>B-13</v>
      </c>
      <c r="D266" s="5" t="str">
        <f ca="1">IFERROR(__xludf.DUMMYFUNCTION("""COMPUTED_VALUE"""),"LandPlane")</f>
        <v>LandPlane</v>
      </c>
      <c r="E266" s="5" t="str">
        <f ca="1">IFERROR(__xludf.DUMMYFUNCTION("""COMPUTED_VALUE"""),"Piston")</f>
        <v>Piston</v>
      </c>
      <c r="F266" s="5">
        <f ca="1">IFERROR(__xludf.DUMMYFUNCTION("""COMPUTED_VALUE"""),1)</f>
        <v>1</v>
      </c>
    </row>
    <row r="267" spans="1:6" ht="15" customHeight="1" x14ac:dyDescent="0.2">
      <c r="A267" s="5" t="str">
        <f ca="1">IFERROR(__xludf.DUMMYFUNCTION("""COMPUTED_VALUE"""),"B14A")</f>
        <v>B14A</v>
      </c>
      <c r="B267" s="5" t="str">
        <f ca="1">IFERROR(__xludf.DUMMYFUNCTION("""COMPUTED_VALUE"""),"BELLANCA")</f>
        <v>BELLANCA</v>
      </c>
      <c r="C267" s="5" t="str">
        <f ca="1">IFERROR(__xludf.DUMMYFUNCTION("""COMPUTED_VALUE"""),"14 Cruisair")</f>
        <v>14 Cruisair</v>
      </c>
      <c r="D267" s="5" t="str">
        <f ca="1">IFERROR(__xludf.DUMMYFUNCTION("""COMPUTED_VALUE"""),"LandPlane")</f>
        <v>LandPlane</v>
      </c>
      <c r="E267" s="5" t="str">
        <f ca="1">IFERROR(__xludf.DUMMYFUNCTION("""COMPUTED_VALUE"""),"Piston")</f>
        <v>Piston</v>
      </c>
      <c r="F267" s="5">
        <f ca="1">IFERROR(__xludf.DUMMYFUNCTION("""COMPUTED_VALUE"""),1)</f>
        <v>1</v>
      </c>
    </row>
    <row r="268" spans="1:6" ht="15" customHeight="1" x14ac:dyDescent="0.2">
      <c r="A268" s="5" t="str">
        <f ca="1">IFERROR(__xludf.DUMMYFUNCTION("""COMPUTED_VALUE"""),"B14B")</f>
        <v>B14B</v>
      </c>
      <c r="B268" s="5" t="str">
        <f ca="1">IFERROR(__xludf.DUMMYFUNCTION("""COMPUTED_VALUE"""),"DOWNER")</f>
        <v>DOWNER</v>
      </c>
      <c r="C268" s="5" t="str">
        <f ca="1">IFERROR(__xludf.DUMMYFUNCTION("""COMPUTED_VALUE"""),"14 Bellanca 260")</f>
        <v>14 Bellanca 260</v>
      </c>
      <c r="D268" s="5" t="str">
        <f ca="1">IFERROR(__xludf.DUMMYFUNCTION("""COMPUTED_VALUE"""),"LandPlane")</f>
        <v>LandPlane</v>
      </c>
      <c r="E268" s="5" t="str">
        <f ca="1">IFERROR(__xludf.DUMMYFUNCTION("""COMPUTED_VALUE"""),"Piston")</f>
        <v>Piston</v>
      </c>
      <c r="F268" s="5">
        <f ca="1">IFERROR(__xludf.DUMMYFUNCTION("""COMPUTED_VALUE"""),1)</f>
        <v>1</v>
      </c>
    </row>
    <row r="269" spans="1:6" ht="15" customHeight="1" x14ac:dyDescent="0.2">
      <c r="A269" s="5" t="str">
        <f ca="1">IFERROR(__xludf.DUMMYFUNCTION("""COMPUTED_VALUE"""),"B14C")</f>
        <v>B14C</v>
      </c>
      <c r="B269" s="5" t="str">
        <f ca="1">IFERROR(__xludf.DUMMYFUNCTION("""COMPUTED_VALUE"""),"BELLANCA")</f>
        <v>BELLANCA</v>
      </c>
      <c r="C269" s="5" t="str">
        <f ca="1">IFERROR(__xludf.DUMMYFUNCTION("""COMPUTED_VALUE"""),"14 Bellanca 260C")</f>
        <v>14 Bellanca 260C</v>
      </c>
      <c r="D269" s="5" t="str">
        <f ca="1">IFERROR(__xludf.DUMMYFUNCTION("""COMPUTED_VALUE"""),"LandPlane")</f>
        <v>LandPlane</v>
      </c>
      <c r="E269" s="5" t="str">
        <f ca="1">IFERROR(__xludf.DUMMYFUNCTION("""COMPUTED_VALUE"""),"Piston")</f>
        <v>Piston</v>
      </c>
      <c r="F269" s="5">
        <f ca="1">IFERROR(__xludf.DUMMYFUNCTION("""COMPUTED_VALUE"""),1)</f>
        <v>1</v>
      </c>
    </row>
    <row r="270" spans="1:6" ht="15" customHeight="1" x14ac:dyDescent="0.2">
      <c r="A270" s="5" t="str">
        <f ca="1">IFERROR(__xludf.DUMMYFUNCTION("""COMPUTED_VALUE"""),"B150")</f>
        <v>B150</v>
      </c>
      <c r="B270" s="5" t="str">
        <f ca="1">IFERROR(__xludf.DUMMYFUNCTION("""COMPUTED_VALUE"""),"WINNER")</f>
        <v>WINNER</v>
      </c>
      <c r="C270" s="5" t="str">
        <f ca="1">IFERROR(__xludf.DUMMYFUNCTION("""COMPUTED_VALUE"""),"B-150")</f>
        <v>B-150</v>
      </c>
      <c r="D270" s="5" t="str">
        <f ca="1">IFERROR(__xludf.DUMMYFUNCTION("""COMPUTED_VALUE"""),"Helicopter")</f>
        <v>Helicopter</v>
      </c>
      <c r="E270" s="5" t="str">
        <f ca="1">IFERROR(__xludf.DUMMYFUNCTION("""COMPUTED_VALUE"""),"Turboprop/Turboshaft")</f>
        <v>Turboprop/Turboshaft</v>
      </c>
      <c r="F270" s="5">
        <f ca="1">IFERROR(__xludf.DUMMYFUNCTION("""COMPUTED_VALUE"""),1)</f>
        <v>1</v>
      </c>
    </row>
    <row r="271" spans="1:6" ht="15" customHeight="1" x14ac:dyDescent="0.2">
      <c r="A271" s="5" t="str">
        <f ca="1">IFERROR(__xludf.DUMMYFUNCTION("""COMPUTED_VALUE"""),"B17")</f>
        <v>B17</v>
      </c>
      <c r="B271" s="5" t="str">
        <f ca="1">IFERROR(__xludf.DUMMYFUNCTION("""COMPUTED_VALUE"""),"BOEING")</f>
        <v>BOEING</v>
      </c>
      <c r="C271" s="5" t="str">
        <f ca="1">IFERROR(__xludf.DUMMYFUNCTION("""COMPUTED_VALUE"""),"B-17 Flying Fortress")</f>
        <v>B-17 Flying Fortress</v>
      </c>
      <c r="D271" s="5" t="str">
        <f ca="1">IFERROR(__xludf.DUMMYFUNCTION("""COMPUTED_VALUE"""),"LandPlane")</f>
        <v>LandPlane</v>
      </c>
      <c r="E271" s="5" t="str">
        <f ca="1">IFERROR(__xludf.DUMMYFUNCTION("""COMPUTED_VALUE"""),"Piston")</f>
        <v>Piston</v>
      </c>
      <c r="F271" s="5">
        <f ca="1">IFERROR(__xludf.DUMMYFUNCTION("""COMPUTED_VALUE"""),4)</f>
        <v>4</v>
      </c>
    </row>
    <row r="272" spans="1:6" ht="15" customHeight="1" x14ac:dyDescent="0.2">
      <c r="A272" s="5" t="str">
        <f ca="1">IFERROR(__xludf.DUMMYFUNCTION("""COMPUTED_VALUE"""),"B18T")</f>
        <v>B18T</v>
      </c>
      <c r="B272" s="5" t="str">
        <f ca="1">IFERROR(__xludf.DUMMYFUNCTION("""COMPUTED_VALUE"""),"BEECH")</f>
        <v>BEECH</v>
      </c>
      <c r="C272" s="5" t="str">
        <f ca="1">IFERROR(__xludf.DUMMYFUNCTION("""COMPUTED_VALUE"""),"18 (turbine)")</f>
        <v>18 (turbine)</v>
      </c>
      <c r="D272" s="5" t="str">
        <f ca="1">IFERROR(__xludf.DUMMYFUNCTION("""COMPUTED_VALUE"""),"LandPlane")</f>
        <v>LandPlane</v>
      </c>
      <c r="E272" s="5" t="str">
        <f ca="1">IFERROR(__xludf.DUMMYFUNCTION("""COMPUTED_VALUE"""),"Turboprop/Turboshaft")</f>
        <v>Turboprop/Turboshaft</v>
      </c>
      <c r="F272" s="5">
        <f ca="1">IFERROR(__xludf.DUMMYFUNCTION("""COMPUTED_VALUE"""),2)</f>
        <v>2</v>
      </c>
    </row>
    <row r="273" spans="1:6" ht="15" customHeight="1" x14ac:dyDescent="0.2">
      <c r="A273" s="5" t="str">
        <f ca="1">IFERROR(__xludf.DUMMYFUNCTION("""COMPUTED_VALUE"""),"B190")</f>
        <v>B190</v>
      </c>
      <c r="B273" s="5" t="str">
        <f ca="1">IFERROR(__xludf.DUMMYFUNCTION("""COMPUTED_VALUE"""),"BEECH")</f>
        <v>BEECH</v>
      </c>
      <c r="C273" s="5" t="str">
        <f ca="1">IFERROR(__xludf.DUMMYFUNCTION("""COMPUTED_VALUE"""),"1900")</f>
        <v>1900</v>
      </c>
      <c r="D273" s="5" t="str">
        <f ca="1">IFERROR(__xludf.DUMMYFUNCTION("""COMPUTED_VALUE"""),"LandPlane")</f>
        <v>LandPlane</v>
      </c>
      <c r="E273" s="5" t="str">
        <f ca="1">IFERROR(__xludf.DUMMYFUNCTION("""COMPUTED_VALUE"""),"Turboprop/Turboshaft")</f>
        <v>Turboprop/Turboshaft</v>
      </c>
      <c r="F273" s="5">
        <f ca="1">IFERROR(__xludf.DUMMYFUNCTION("""COMPUTED_VALUE"""),2)</f>
        <v>2</v>
      </c>
    </row>
    <row r="274" spans="1:6" ht="15" customHeight="1" x14ac:dyDescent="0.2">
      <c r="A274" s="5" t="str">
        <f ca="1">IFERROR(__xludf.DUMMYFUNCTION("""COMPUTED_VALUE"""),"B2")</f>
        <v>B2</v>
      </c>
      <c r="B274" s="5" t="str">
        <f ca="1">IFERROR(__xludf.DUMMYFUNCTION("""COMPUTED_VALUE"""),"NORTHROP GRUMMAN")</f>
        <v>NORTHROP GRUMMAN</v>
      </c>
      <c r="C274" s="5" t="str">
        <f ca="1">IFERROR(__xludf.DUMMYFUNCTION("""COMPUTED_VALUE"""),"B-2 Spirit")</f>
        <v>B-2 Spirit</v>
      </c>
      <c r="D274" s="5" t="str">
        <f ca="1">IFERROR(__xludf.DUMMYFUNCTION("""COMPUTED_VALUE"""),"LandPlane")</f>
        <v>LandPlane</v>
      </c>
      <c r="E274" s="5" t="str">
        <f ca="1">IFERROR(__xludf.DUMMYFUNCTION("""COMPUTED_VALUE"""),"Jet")</f>
        <v>Jet</v>
      </c>
      <c r="F274" s="5">
        <f ca="1">IFERROR(__xludf.DUMMYFUNCTION("""COMPUTED_VALUE"""),4)</f>
        <v>4</v>
      </c>
    </row>
    <row r="275" spans="1:6" ht="15" customHeight="1" x14ac:dyDescent="0.2">
      <c r="A275" s="5" t="str">
        <f ca="1">IFERROR(__xludf.DUMMYFUNCTION("""COMPUTED_VALUE"""),"B209")</f>
        <v>B209</v>
      </c>
      <c r="B275" s="5" t="str">
        <f ca="1">IFERROR(__xludf.DUMMYFUNCTION("""COMPUTED_VALUE"""),"MBB")</f>
        <v>MBB</v>
      </c>
      <c r="C275" s="5" t="str">
        <f ca="1">IFERROR(__xludf.DUMMYFUNCTION("""COMPUTED_VALUE"""),"BO-209 Monsun")</f>
        <v>BO-209 Monsun</v>
      </c>
      <c r="D275" s="5" t="str">
        <f ca="1">IFERROR(__xludf.DUMMYFUNCTION("""COMPUTED_VALUE"""),"LandPlane")</f>
        <v>LandPlane</v>
      </c>
      <c r="E275" s="5" t="str">
        <f ca="1">IFERROR(__xludf.DUMMYFUNCTION("""COMPUTED_VALUE"""),"Piston")</f>
        <v>Piston</v>
      </c>
      <c r="F275" s="5">
        <f ca="1">IFERROR(__xludf.DUMMYFUNCTION("""COMPUTED_VALUE"""),1)</f>
        <v>1</v>
      </c>
    </row>
    <row r="276" spans="1:6" ht="15" customHeight="1" x14ac:dyDescent="0.2">
      <c r="A276" s="5" t="str">
        <f ca="1">IFERROR(__xludf.DUMMYFUNCTION("""COMPUTED_VALUE"""),"B214")</f>
        <v>B214</v>
      </c>
      <c r="B276" s="5" t="str">
        <f ca="1">IFERROR(__xludf.DUMMYFUNCTION("""COMPUTED_VALUE"""),"BELL")</f>
        <v>BELL</v>
      </c>
      <c r="C276" s="5" t="str">
        <f ca="1">IFERROR(__xludf.DUMMYFUNCTION("""COMPUTED_VALUE"""),"214B")</f>
        <v>214B</v>
      </c>
      <c r="D276" s="5" t="str">
        <f ca="1">IFERROR(__xludf.DUMMYFUNCTION("""COMPUTED_VALUE"""),"Helicopter")</f>
        <v>Helicopter</v>
      </c>
      <c r="E276" s="5" t="str">
        <f ca="1">IFERROR(__xludf.DUMMYFUNCTION("""COMPUTED_VALUE"""),"Turboprop/Turboshaft")</f>
        <v>Turboprop/Turboshaft</v>
      </c>
      <c r="F276" s="5">
        <f ca="1">IFERROR(__xludf.DUMMYFUNCTION("""COMPUTED_VALUE"""),1)</f>
        <v>1</v>
      </c>
    </row>
    <row r="277" spans="1:6" ht="15" customHeight="1" x14ac:dyDescent="0.2">
      <c r="A277" s="5" t="str">
        <f ca="1">IFERROR(__xludf.DUMMYFUNCTION("""COMPUTED_VALUE"""),"B23")</f>
        <v>B23</v>
      </c>
      <c r="B277" s="5" t="str">
        <f ca="1">IFERROR(__xludf.DUMMYFUNCTION("""COMPUTED_VALUE"""),"DOUGLAS")</f>
        <v>DOUGLAS</v>
      </c>
      <c r="C277" s="5" t="str">
        <f ca="1">IFERROR(__xludf.DUMMYFUNCTION("""COMPUTED_VALUE"""),"B-23 Dragon")</f>
        <v>B-23 Dragon</v>
      </c>
      <c r="D277" s="5" t="str">
        <f ca="1">IFERROR(__xludf.DUMMYFUNCTION("""COMPUTED_VALUE"""),"LandPlane")</f>
        <v>LandPlane</v>
      </c>
      <c r="E277" s="5" t="str">
        <f ca="1">IFERROR(__xludf.DUMMYFUNCTION("""COMPUTED_VALUE"""),"Piston")</f>
        <v>Piston</v>
      </c>
      <c r="F277" s="5">
        <f ca="1">IFERROR(__xludf.DUMMYFUNCTION("""COMPUTED_VALUE"""),2)</f>
        <v>2</v>
      </c>
    </row>
    <row r="278" spans="1:6" ht="15" customHeight="1" x14ac:dyDescent="0.2">
      <c r="A278" s="5" t="str">
        <f ca="1">IFERROR(__xludf.DUMMYFUNCTION("""COMPUTED_VALUE"""),"B230")</f>
        <v>B230</v>
      </c>
      <c r="B278" s="5" t="str">
        <f ca="1">IFERROR(__xludf.DUMMYFUNCTION("""COMPUTED_VALUE"""),"BELL")</f>
        <v>BELL</v>
      </c>
      <c r="C278" s="5" t="str">
        <f ca="1">IFERROR(__xludf.DUMMYFUNCTION("""COMPUTED_VALUE"""),"230")</f>
        <v>230</v>
      </c>
      <c r="D278" s="5" t="str">
        <f ca="1">IFERROR(__xludf.DUMMYFUNCTION("""COMPUTED_VALUE"""),"Helicopter")</f>
        <v>Helicopter</v>
      </c>
      <c r="E278" s="5" t="str">
        <f ca="1">IFERROR(__xludf.DUMMYFUNCTION("""COMPUTED_VALUE"""),"Turboprop/Turboshaft")</f>
        <v>Turboprop/Turboshaft</v>
      </c>
      <c r="F278" s="5">
        <f ca="1">IFERROR(__xludf.DUMMYFUNCTION("""COMPUTED_VALUE"""),2)</f>
        <v>2</v>
      </c>
    </row>
    <row r="279" spans="1:6" ht="15" customHeight="1" x14ac:dyDescent="0.2">
      <c r="A279" s="5" t="str">
        <f ca="1">IFERROR(__xludf.DUMMYFUNCTION("""COMPUTED_VALUE"""),"B23E")</f>
        <v>B23E</v>
      </c>
      <c r="B279" s="5" t="str">
        <f ca="1">IFERROR(__xludf.DUMMYFUNCTION("""COMPUTED_VALUE"""),"BRM AERO")</f>
        <v>BRM AERO</v>
      </c>
      <c r="C279" s="5" t="str">
        <f ca="1">IFERROR(__xludf.DUMMYFUNCTION("""COMPUTED_VALUE"""),"Bristell B23 Energic")</f>
        <v>Bristell B23 Energic</v>
      </c>
      <c r="D279" s="5" t="str">
        <f ca="1">IFERROR(__xludf.DUMMYFUNCTION("""COMPUTED_VALUE"""),"LandPlane")</f>
        <v>LandPlane</v>
      </c>
      <c r="E279" s="5" t="str">
        <f ca="1">IFERROR(__xludf.DUMMYFUNCTION("""COMPUTED_VALUE"""),"Electric")</f>
        <v>Electric</v>
      </c>
      <c r="F279" s="5">
        <f ca="1">IFERROR(__xludf.DUMMYFUNCTION("""COMPUTED_VALUE"""),1)</f>
        <v>1</v>
      </c>
    </row>
    <row r="280" spans="1:6" ht="15" customHeight="1" x14ac:dyDescent="0.2">
      <c r="A280" s="5" t="str">
        <f ca="1">IFERROR(__xludf.DUMMYFUNCTION("""COMPUTED_VALUE"""),"B24")</f>
        <v>B24</v>
      </c>
      <c r="B280" s="5" t="str">
        <f ca="1">IFERROR(__xludf.DUMMYFUNCTION("""COMPUTED_VALUE"""),"CONSOLIDATED")</f>
        <v>CONSOLIDATED</v>
      </c>
      <c r="C280" s="5" t="str">
        <f ca="1">IFERROR(__xludf.DUMMYFUNCTION("""COMPUTED_VALUE"""),"B-24 Liberator")</f>
        <v>B-24 Liberator</v>
      </c>
      <c r="D280" s="5" t="str">
        <f ca="1">IFERROR(__xludf.DUMMYFUNCTION("""COMPUTED_VALUE"""),"LandPlane")</f>
        <v>LandPlane</v>
      </c>
      <c r="E280" s="5" t="str">
        <f ca="1">IFERROR(__xludf.DUMMYFUNCTION("""COMPUTED_VALUE"""),"Piston")</f>
        <v>Piston</v>
      </c>
      <c r="F280" s="5">
        <f ca="1">IFERROR(__xludf.DUMMYFUNCTION("""COMPUTED_VALUE"""),4)</f>
        <v>4</v>
      </c>
    </row>
    <row r="281" spans="1:6" ht="15" customHeight="1" x14ac:dyDescent="0.2">
      <c r="A281" s="5" t="str">
        <f ca="1">IFERROR(__xludf.DUMMYFUNCTION("""COMPUTED_VALUE"""),"B25")</f>
        <v>B25</v>
      </c>
      <c r="B281" s="5" t="str">
        <f ca="1">IFERROR(__xludf.DUMMYFUNCTION("""COMPUTED_VALUE"""),"NORTH AMERICAN")</f>
        <v>NORTH AMERICAN</v>
      </c>
      <c r="C281" s="5" t="str">
        <f ca="1">IFERROR(__xludf.DUMMYFUNCTION("""COMPUTED_VALUE"""),"B-25 Mitchell")</f>
        <v>B-25 Mitchell</v>
      </c>
      <c r="D281" s="5" t="str">
        <f ca="1">IFERROR(__xludf.DUMMYFUNCTION("""COMPUTED_VALUE"""),"LandPlane")</f>
        <v>LandPlane</v>
      </c>
      <c r="E281" s="5" t="str">
        <f ca="1">IFERROR(__xludf.DUMMYFUNCTION("""COMPUTED_VALUE"""),"Piston")</f>
        <v>Piston</v>
      </c>
      <c r="F281" s="5">
        <f ca="1">IFERROR(__xludf.DUMMYFUNCTION("""COMPUTED_VALUE"""),2)</f>
        <v>2</v>
      </c>
    </row>
    <row r="282" spans="1:6" ht="15" customHeight="1" x14ac:dyDescent="0.2">
      <c r="A282" s="5" t="str">
        <f ca="1">IFERROR(__xludf.DUMMYFUNCTION("""COMPUTED_VALUE"""),"B26")</f>
        <v>B26</v>
      </c>
      <c r="B282" s="5" t="str">
        <f ca="1">IFERROR(__xludf.DUMMYFUNCTION("""COMPUTED_VALUE"""),"DOUGLAS")</f>
        <v>DOUGLAS</v>
      </c>
      <c r="C282" s="5" t="str">
        <f ca="1">IFERROR(__xludf.DUMMYFUNCTION("""COMPUTED_VALUE"""),"B-26 Invader")</f>
        <v>B-26 Invader</v>
      </c>
      <c r="D282" s="5" t="str">
        <f ca="1">IFERROR(__xludf.DUMMYFUNCTION("""COMPUTED_VALUE"""),"LandPlane")</f>
        <v>LandPlane</v>
      </c>
      <c r="E282" s="5" t="str">
        <f ca="1">IFERROR(__xludf.DUMMYFUNCTION("""COMPUTED_VALUE"""),"Piston")</f>
        <v>Piston</v>
      </c>
      <c r="F282" s="5">
        <f ca="1">IFERROR(__xludf.DUMMYFUNCTION("""COMPUTED_VALUE"""),2)</f>
        <v>2</v>
      </c>
    </row>
    <row r="283" spans="1:6" ht="15" customHeight="1" x14ac:dyDescent="0.2">
      <c r="A283" s="5" t="str">
        <f ca="1">IFERROR(__xludf.DUMMYFUNCTION("""COMPUTED_VALUE"""),"B26M")</f>
        <v>B26M</v>
      </c>
      <c r="B283" s="5" t="str">
        <f ca="1">IFERROR(__xludf.DUMMYFUNCTION("""COMPUTED_VALUE"""),"MARTIN")</f>
        <v>MARTIN</v>
      </c>
      <c r="C283" s="5" t="str">
        <f ca="1">IFERROR(__xludf.DUMMYFUNCTION("""COMPUTED_VALUE"""),"B-26 Marauder")</f>
        <v>B-26 Marauder</v>
      </c>
      <c r="D283" s="5" t="str">
        <f ca="1">IFERROR(__xludf.DUMMYFUNCTION("""COMPUTED_VALUE"""),"LandPlane")</f>
        <v>LandPlane</v>
      </c>
      <c r="E283" s="5" t="str">
        <f ca="1">IFERROR(__xludf.DUMMYFUNCTION("""COMPUTED_VALUE"""),"Piston")</f>
        <v>Piston</v>
      </c>
      <c r="F283" s="5">
        <f ca="1">IFERROR(__xludf.DUMMYFUNCTION("""COMPUTED_VALUE"""),2)</f>
        <v>2</v>
      </c>
    </row>
    <row r="284" spans="1:6" ht="15" customHeight="1" x14ac:dyDescent="0.2">
      <c r="A284" s="5" t="str">
        <f ca="1">IFERROR(__xludf.DUMMYFUNCTION("""COMPUTED_VALUE"""),"B29")</f>
        <v>B29</v>
      </c>
      <c r="B284" s="5" t="str">
        <f ca="1">IFERROR(__xludf.DUMMYFUNCTION("""COMPUTED_VALUE"""),"BOEING")</f>
        <v>BOEING</v>
      </c>
      <c r="C284" s="5" t="str">
        <f ca="1">IFERROR(__xludf.DUMMYFUNCTION("""COMPUTED_VALUE"""),"B-29 Superfortress")</f>
        <v>B-29 Superfortress</v>
      </c>
      <c r="D284" s="5" t="str">
        <f ca="1">IFERROR(__xludf.DUMMYFUNCTION("""COMPUTED_VALUE"""),"LandPlane")</f>
        <v>LandPlane</v>
      </c>
      <c r="E284" s="5" t="str">
        <f ca="1">IFERROR(__xludf.DUMMYFUNCTION("""COMPUTED_VALUE"""),"Piston")</f>
        <v>Piston</v>
      </c>
      <c r="F284" s="5">
        <f ca="1">IFERROR(__xludf.DUMMYFUNCTION("""COMPUTED_VALUE"""),4)</f>
        <v>4</v>
      </c>
    </row>
    <row r="285" spans="1:6" ht="15" customHeight="1" x14ac:dyDescent="0.2">
      <c r="A285" s="5" t="str">
        <f ca="1">IFERROR(__xludf.DUMMYFUNCTION("""COMPUTED_VALUE"""),"B305")</f>
        <v>B305</v>
      </c>
      <c r="B285" s="5" t="str">
        <f ca="1">IFERROR(__xludf.DUMMYFUNCTION("""COMPUTED_VALUE"""),"BRANTLY")</f>
        <v>BRANTLY</v>
      </c>
      <c r="C285" s="5" t="str">
        <f ca="1">IFERROR(__xludf.DUMMYFUNCTION("""COMPUTED_VALUE"""),"305")</f>
        <v>305</v>
      </c>
      <c r="D285" s="5" t="str">
        <f ca="1">IFERROR(__xludf.DUMMYFUNCTION("""COMPUTED_VALUE"""),"Helicopter")</f>
        <v>Helicopter</v>
      </c>
      <c r="E285" s="5" t="str">
        <f ca="1">IFERROR(__xludf.DUMMYFUNCTION("""COMPUTED_VALUE"""),"Piston")</f>
        <v>Piston</v>
      </c>
      <c r="F285" s="5">
        <f ca="1">IFERROR(__xludf.DUMMYFUNCTION("""COMPUTED_VALUE"""),1)</f>
        <v>1</v>
      </c>
    </row>
    <row r="286" spans="1:6" ht="15" customHeight="1" x14ac:dyDescent="0.2">
      <c r="A286" s="5" t="str">
        <f ca="1">IFERROR(__xludf.DUMMYFUNCTION("""COMPUTED_VALUE"""),"B350")</f>
        <v>B350</v>
      </c>
      <c r="B286" s="5" t="str">
        <f ca="1">IFERROR(__xludf.DUMMYFUNCTION("""COMPUTED_VALUE"""),"BEECH")</f>
        <v>BEECH</v>
      </c>
      <c r="C286" s="5" t="str">
        <f ca="1">IFERROR(__xludf.DUMMYFUNCTION("""COMPUTED_VALUE"""),"Super King Air 350")</f>
        <v>Super King Air 350</v>
      </c>
      <c r="D286" s="5" t="str">
        <f ca="1">IFERROR(__xludf.DUMMYFUNCTION("""COMPUTED_VALUE"""),"LandPlane")</f>
        <v>LandPlane</v>
      </c>
      <c r="E286" s="5" t="str">
        <f ca="1">IFERROR(__xludf.DUMMYFUNCTION("""COMPUTED_VALUE"""),"Turboprop/Turboshaft")</f>
        <v>Turboprop/Turboshaft</v>
      </c>
      <c r="F286" s="5">
        <f ca="1">IFERROR(__xludf.DUMMYFUNCTION("""COMPUTED_VALUE"""),2)</f>
        <v>2</v>
      </c>
    </row>
    <row r="287" spans="1:6" ht="15" customHeight="1" x14ac:dyDescent="0.2">
      <c r="A287" s="5" t="str">
        <f ca="1">IFERROR(__xludf.DUMMYFUNCTION("""COMPUTED_VALUE"""),"B360")</f>
        <v>B360</v>
      </c>
      <c r="B287" s="5" t="str">
        <f ca="1">IFERROR(__xludf.DUMMYFUNCTION("""COMPUTED_VALUE"""),"YAKOVLEV AIRCRAFT")</f>
        <v>YAKOVLEV AIRCRAFT</v>
      </c>
      <c r="C287" s="5" t="str">
        <f ca="1">IFERROR(__xludf.DUMMYFUNCTION("""COMPUTED_VALUE"""),"Bear 360")</f>
        <v>Bear 360</v>
      </c>
      <c r="D287" s="5" t="str">
        <f ca="1">IFERROR(__xludf.DUMMYFUNCTION("""COMPUTED_VALUE"""),"LandPlane")</f>
        <v>LandPlane</v>
      </c>
      <c r="E287" s="5" t="str">
        <f ca="1">IFERROR(__xludf.DUMMYFUNCTION("""COMPUTED_VALUE"""),"Piston")</f>
        <v>Piston</v>
      </c>
      <c r="F287" s="5">
        <f ca="1">IFERROR(__xludf.DUMMYFUNCTION("""COMPUTED_VALUE"""),1)</f>
        <v>1</v>
      </c>
    </row>
    <row r="288" spans="1:6" ht="15" customHeight="1" x14ac:dyDescent="0.2">
      <c r="A288" s="5" t="str">
        <f ca="1">IFERROR(__xludf.DUMMYFUNCTION("""COMPUTED_VALUE"""),"B36T")</f>
        <v>B36T</v>
      </c>
      <c r="B288" s="5" t="str">
        <f ca="1">IFERROR(__xludf.DUMMYFUNCTION("""COMPUTED_VALUE"""),"BEECH")</f>
        <v>BEECH</v>
      </c>
      <c r="C288" s="5" t="str">
        <f ca="1">IFERROR(__xludf.DUMMYFUNCTION("""COMPUTED_VALUE"""),"36 Bonanza (turbine)")</f>
        <v>36 Bonanza (turbine)</v>
      </c>
      <c r="D288" s="5" t="str">
        <f ca="1">IFERROR(__xludf.DUMMYFUNCTION("""COMPUTED_VALUE"""),"LandPlane")</f>
        <v>LandPlane</v>
      </c>
      <c r="E288" s="5" t="str">
        <f ca="1">IFERROR(__xludf.DUMMYFUNCTION("""COMPUTED_VALUE"""),"Turboprop/Turboshaft")</f>
        <v>Turboprop/Turboshaft</v>
      </c>
      <c r="F288" s="5">
        <f ca="1">IFERROR(__xludf.DUMMYFUNCTION("""COMPUTED_VALUE"""),1)</f>
        <v>1</v>
      </c>
    </row>
    <row r="289" spans="1:6" ht="15" customHeight="1" x14ac:dyDescent="0.2">
      <c r="A289" s="5" t="str">
        <f ca="1">IFERROR(__xludf.DUMMYFUNCTION("""COMPUTED_VALUE"""),"B37M")</f>
        <v>B37M</v>
      </c>
      <c r="B289" s="5" t="str">
        <f ca="1">IFERROR(__xludf.DUMMYFUNCTION("""COMPUTED_VALUE"""),"BOEING")</f>
        <v>BOEING</v>
      </c>
      <c r="C289" s="5" t="str">
        <f ca="1">IFERROR(__xludf.DUMMYFUNCTION("""COMPUTED_VALUE"""),"737 MAX 7")</f>
        <v>737 MAX 7</v>
      </c>
      <c r="D289" s="5" t="str">
        <f ca="1">IFERROR(__xludf.DUMMYFUNCTION("""COMPUTED_VALUE"""),"LandPlane")</f>
        <v>LandPlane</v>
      </c>
      <c r="E289" s="5" t="str">
        <f ca="1">IFERROR(__xludf.DUMMYFUNCTION("""COMPUTED_VALUE"""),"Jet")</f>
        <v>Jet</v>
      </c>
      <c r="F289" s="5">
        <f ca="1">IFERROR(__xludf.DUMMYFUNCTION("""COMPUTED_VALUE"""),2)</f>
        <v>2</v>
      </c>
    </row>
    <row r="290" spans="1:6" ht="15" customHeight="1" x14ac:dyDescent="0.2">
      <c r="A290" s="5" t="str">
        <f ca="1">IFERROR(__xludf.DUMMYFUNCTION("""COMPUTED_VALUE"""),"B38M")</f>
        <v>B38M</v>
      </c>
      <c r="B290" s="5" t="str">
        <f ca="1">IFERROR(__xludf.DUMMYFUNCTION("""COMPUTED_VALUE"""),"BOEING")</f>
        <v>BOEING</v>
      </c>
      <c r="C290" s="5" t="str">
        <f ca="1">IFERROR(__xludf.DUMMYFUNCTION("""COMPUTED_VALUE"""),"737 MAX 8")</f>
        <v>737 MAX 8</v>
      </c>
      <c r="D290" s="5" t="str">
        <f ca="1">IFERROR(__xludf.DUMMYFUNCTION("""COMPUTED_VALUE"""),"LandPlane")</f>
        <v>LandPlane</v>
      </c>
      <c r="E290" s="5" t="str">
        <f ca="1">IFERROR(__xludf.DUMMYFUNCTION("""COMPUTED_VALUE"""),"Jet")</f>
        <v>Jet</v>
      </c>
      <c r="F290" s="5">
        <f ca="1">IFERROR(__xludf.DUMMYFUNCTION("""COMPUTED_VALUE"""),2)</f>
        <v>2</v>
      </c>
    </row>
    <row r="291" spans="1:6" ht="15" customHeight="1" x14ac:dyDescent="0.2">
      <c r="A291" s="5" t="str">
        <f ca="1">IFERROR(__xludf.DUMMYFUNCTION("""COMPUTED_VALUE"""),"B39M")</f>
        <v>B39M</v>
      </c>
      <c r="B291" s="5" t="str">
        <f ca="1">IFERROR(__xludf.DUMMYFUNCTION("""COMPUTED_VALUE"""),"BOEING")</f>
        <v>BOEING</v>
      </c>
      <c r="C291" s="5" t="str">
        <f ca="1">IFERROR(__xludf.DUMMYFUNCTION("""COMPUTED_VALUE"""),"737 MAX 9")</f>
        <v>737 MAX 9</v>
      </c>
      <c r="D291" s="5" t="str">
        <f ca="1">IFERROR(__xludf.DUMMYFUNCTION("""COMPUTED_VALUE"""),"LandPlane")</f>
        <v>LandPlane</v>
      </c>
      <c r="E291" s="5" t="str">
        <f ca="1">IFERROR(__xludf.DUMMYFUNCTION("""COMPUTED_VALUE"""),"Jet")</f>
        <v>Jet</v>
      </c>
      <c r="F291" s="5">
        <f ca="1">IFERROR(__xludf.DUMMYFUNCTION("""COMPUTED_VALUE"""),2)</f>
        <v>2</v>
      </c>
    </row>
    <row r="292" spans="1:6" ht="15" customHeight="1" x14ac:dyDescent="0.2">
      <c r="A292" s="5" t="str">
        <f ca="1">IFERROR(__xludf.DUMMYFUNCTION("""COMPUTED_VALUE"""),"B3XM")</f>
        <v>B3XM</v>
      </c>
      <c r="B292" s="5" t="str">
        <f ca="1">IFERROR(__xludf.DUMMYFUNCTION("""COMPUTED_VALUE"""),"BOEING")</f>
        <v>BOEING</v>
      </c>
      <c r="C292" s="5" t="str">
        <f ca="1">IFERROR(__xludf.DUMMYFUNCTION("""COMPUTED_VALUE"""),"737 MAX 10")</f>
        <v>737 MAX 10</v>
      </c>
      <c r="D292" s="5" t="str">
        <f ca="1">IFERROR(__xludf.DUMMYFUNCTION("""COMPUTED_VALUE"""),"LandPlane")</f>
        <v>LandPlane</v>
      </c>
      <c r="E292" s="5" t="str">
        <f ca="1">IFERROR(__xludf.DUMMYFUNCTION("""COMPUTED_VALUE"""),"Jet")</f>
        <v>Jet</v>
      </c>
      <c r="F292" s="5">
        <f ca="1">IFERROR(__xludf.DUMMYFUNCTION("""COMPUTED_VALUE"""),2)</f>
        <v>2</v>
      </c>
    </row>
    <row r="293" spans="1:6" ht="15" customHeight="1" x14ac:dyDescent="0.2">
      <c r="A293" s="5" t="str">
        <f ca="1">IFERROR(__xludf.DUMMYFUNCTION("""COMPUTED_VALUE"""),"B407")</f>
        <v>B407</v>
      </c>
      <c r="B293" s="5" t="str">
        <f ca="1">IFERROR(__xludf.DUMMYFUNCTION("""COMPUTED_VALUE"""),"BELL")</f>
        <v>BELL</v>
      </c>
      <c r="C293" s="5" t="str">
        <f ca="1">IFERROR(__xludf.DUMMYFUNCTION("""COMPUTED_VALUE"""),"407")</f>
        <v>407</v>
      </c>
      <c r="D293" s="5" t="str">
        <f ca="1">IFERROR(__xludf.DUMMYFUNCTION("""COMPUTED_VALUE"""),"Helicopter")</f>
        <v>Helicopter</v>
      </c>
      <c r="E293" s="5" t="str">
        <f ca="1">IFERROR(__xludf.DUMMYFUNCTION("""COMPUTED_VALUE"""),"Turboprop/Turboshaft")</f>
        <v>Turboprop/Turboshaft</v>
      </c>
      <c r="F293" s="5">
        <f ca="1">IFERROR(__xludf.DUMMYFUNCTION("""COMPUTED_VALUE"""),1)</f>
        <v>1</v>
      </c>
    </row>
    <row r="294" spans="1:6" ht="15" customHeight="1" x14ac:dyDescent="0.2">
      <c r="A294" s="5" t="str">
        <f ca="1">IFERROR(__xludf.DUMMYFUNCTION("""COMPUTED_VALUE"""),"B412")</f>
        <v>B412</v>
      </c>
      <c r="B294" s="5" t="str">
        <f ca="1">IFERROR(__xludf.DUMMYFUNCTION("""COMPUTED_VALUE"""),"BELL")</f>
        <v>BELL</v>
      </c>
      <c r="C294" s="5" t="str">
        <f ca="1">IFERROR(__xludf.DUMMYFUNCTION("""COMPUTED_VALUE"""),"412")</f>
        <v>412</v>
      </c>
      <c r="D294" s="5" t="str">
        <f ca="1">IFERROR(__xludf.DUMMYFUNCTION("""COMPUTED_VALUE"""),"Helicopter")</f>
        <v>Helicopter</v>
      </c>
      <c r="E294" s="5" t="str">
        <f ca="1">IFERROR(__xludf.DUMMYFUNCTION("""COMPUTED_VALUE"""),"Turboprop/Turboshaft")</f>
        <v>Turboprop/Turboshaft</v>
      </c>
      <c r="F294" s="5">
        <f ca="1">IFERROR(__xludf.DUMMYFUNCTION("""COMPUTED_VALUE"""),2)</f>
        <v>2</v>
      </c>
    </row>
    <row r="295" spans="1:6" ht="15" customHeight="1" x14ac:dyDescent="0.2">
      <c r="A295" s="5" t="str">
        <f ca="1">IFERROR(__xludf.DUMMYFUNCTION("""COMPUTED_VALUE"""),"B427")</f>
        <v>B427</v>
      </c>
      <c r="B295" s="5" t="str">
        <f ca="1">IFERROR(__xludf.DUMMYFUNCTION("""COMPUTED_VALUE"""),"BELL")</f>
        <v>BELL</v>
      </c>
      <c r="C295" s="5" t="str">
        <f ca="1">IFERROR(__xludf.DUMMYFUNCTION("""COMPUTED_VALUE"""),"427")</f>
        <v>427</v>
      </c>
      <c r="D295" s="5" t="str">
        <f ca="1">IFERROR(__xludf.DUMMYFUNCTION("""COMPUTED_VALUE"""),"Helicopter")</f>
        <v>Helicopter</v>
      </c>
      <c r="E295" s="5" t="str">
        <f ca="1">IFERROR(__xludf.DUMMYFUNCTION("""COMPUTED_VALUE"""),"Turboprop/Turboshaft")</f>
        <v>Turboprop/Turboshaft</v>
      </c>
      <c r="F295" s="5">
        <f ca="1">IFERROR(__xludf.DUMMYFUNCTION("""COMPUTED_VALUE"""),2)</f>
        <v>2</v>
      </c>
    </row>
    <row r="296" spans="1:6" ht="15" customHeight="1" x14ac:dyDescent="0.2">
      <c r="A296" s="5" t="str">
        <f ca="1">IFERROR(__xludf.DUMMYFUNCTION("""COMPUTED_VALUE"""),"B429")</f>
        <v>B429</v>
      </c>
      <c r="B296" s="5" t="str">
        <f ca="1">IFERROR(__xludf.DUMMYFUNCTION("""COMPUTED_VALUE"""),"BELL")</f>
        <v>BELL</v>
      </c>
      <c r="C296" s="5" t="str">
        <f ca="1">IFERROR(__xludf.DUMMYFUNCTION("""COMPUTED_VALUE"""),"429 GlobalRanger")</f>
        <v>429 GlobalRanger</v>
      </c>
      <c r="D296" s="5" t="str">
        <f ca="1">IFERROR(__xludf.DUMMYFUNCTION("""COMPUTED_VALUE"""),"Helicopter")</f>
        <v>Helicopter</v>
      </c>
      <c r="E296" s="5" t="str">
        <f ca="1">IFERROR(__xludf.DUMMYFUNCTION("""COMPUTED_VALUE"""),"Turboprop/Turboshaft")</f>
        <v>Turboprop/Turboshaft</v>
      </c>
      <c r="F296" s="5">
        <f ca="1">IFERROR(__xludf.DUMMYFUNCTION("""COMPUTED_VALUE"""),2)</f>
        <v>2</v>
      </c>
    </row>
    <row r="297" spans="1:6" ht="15" customHeight="1" x14ac:dyDescent="0.2">
      <c r="A297" s="5" t="str">
        <f ca="1">IFERROR(__xludf.DUMMYFUNCTION("""COMPUTED_VALUE"""),"B430")</f>
        <v>B430</v>
      </c>
      <c r="B297" s="5" t="str">
        <f ca="1">IFERROR(__xludf.DUMMYFUNCTION("""COMPUTED_VALUE"""),"BELL")</f>
        <v>BELL</v>
      </c>
      <c r="C297" s="5" t="str">
        <f ca="1">IFERROR(__xludf.DUMMYFUNCTION("""COMPUTED_VALUE"""),"430")</f>
        <v>430</v>
      </c>
      <c r="D297" s="5" t="str">
        <f ca="1">IFERROR(__xludf.DUMMYFUNCTION("""COMPUTED_VALUE"""),"Helicopter")</f>
        <v>Helicopter</v>
      </c>
      <c r="E297" s="5" t="str">
        <f ca="1">IFERROR(__xludf.DUMMYFUNCTION("""COMPUTED_VALUE"""),"Turboprop/Turboshaft")</f>
        <v>Turboprop/Turboshaft</v>
      </c>
      <c r="F297" s="5">
        <f ca="1">IFERROR(__xludf.DUMMYFUNCTION("""COMPUTED_VALUE"""),2)</f>
        <v>2</v>
      </c>
    </row>
    <row r="298" spans="1:6" ht="15" customHeight="1" x14ac:dyDescent="0.2">
      <c r="A298" s="5" t="str">
        <f ca="1">IFERROR(__xludf.DUMMYFUNCTION("""COMPUTED_VALUE"""),"B461")</f>
        <v>B461</v>
      </c>
      <c r="B298" s="5" t="str">
        <f ca="1">IFERROR(__xludf.DUMMYFUNCTION("""COMPUTED_VALUE"""),"BRITISH AEROSPACE")</f>
        <v>BRITISH AEROSPACE</v>
      </c>
      <c r="C298" s="5" t="str">
        <f ca="1">IFERROR(__xludf.DUMMYFUNCTION("""COMPUTED_VALUE"""),"BAe-146-100")</f>
        <v>BAe-146-100</v>
      </c>
      <c r="D298" s="5" t="str">
        <f ca="1">IFERROR(__xludf.DUMMYFUNCTION("""COMPUTED_VALUE"""),"LandPlane")</f>
        <v>LandPlane</v>
      </c>
      <c r="E298" s="5" t="str">
        <f ca="1">IFERROR(__xludf.DUMMYFUNCTION("""COMPUTED_VALUE"""),"Jet")</f>
        <v>Jet</v>
      </c>
      <c r="F298" s="5">
        <f ca="1">IFERROR(__xludf.DUMMYFUNCTION("""COMPUTED_VALUE"""),4)</f>
        <v>4</v>
      </c>
    </row>
    <row r="299" spans="1:6" ht="15" customHeight="1" x14ac:dyDescent="0.2">
      <c r="A299" s="5" t="str">
        <f ca="1">IFERROR(__xludf.DUMMYFUNCTION("""COMPUTED_VALUE"""),"B462")</f>
        <v>B462</v>
      </c>
      <c r="B299" s="5" t="str">
        <f ca="1">IFERROR(__xludf.DUMMYFUNCTION("""COMPUTED_VALUE"""),"BRITISH AEROSPACE")</f>
        <v>BRITISH AEROSPACE</v>
      </c>
      <c r="C299" s="5" t="str">
        <f ca="1">IFERROR(__xludf.DUMMYFUNCTION("""COMPUTED_VALUE"""),"BAe-146-200")</f>
        <v>BAe-146-200</v>
      </c>
      <c r="D299" s="5" t="str">
        <f ca="1">IFERROR(__xludf.DUMMYFUNCTION("""COMPUTED_VALUE"""),"LandPlane")</f>
        <v>LandPlane</v>
      </c>
      <c r="E299" s="5" t="str">
        <f ca="1">IFERROR(__xludf.DUMMYFUNCTION("""COMPUTED_VALUE"""),"Jet")</f>
        <v>Jet</v>
      </c>
      <c r="F299" s="5">
        <f ca="1">IFERROR(__xludf.DUMMYFUNCTION("""COMPUTED_VALUE"""),4)</f>
        <v>4</v>
      </c>
    </row>
    <row r="300" spans="1:6" ht="15" customHeight="1" x14ac:dyDescent="0.2">
      <c r="A300" s="5" t="str">
        <f ca="1">IFERROR(__xludf.DUMMYFUNCTION("""COMPUTED_VALUE"""),"B463")</f>
        <v>B463</v>
      </c>
      <c r="B300" s="5" t="str">
        <f ca="1">IFERROR(__xludf.DUMMYFUNCTION("""COMPUTED_VALUE"""),"BRITISH AEROSPACE")</f>
        <v>BRITISH AEROSPACE</v>
      </c>
      <c r="C300" s="5" t="str">
        <f ca="1">IFERROR(__xludf.DUMMYFUNCTION("""COMPUTED_VALUE"""),"BAe-146-300")</f>
        <v>BAe-146-300</v>
      </c>
      <c r="D300" s="5" t="str">
        <f ca="1">IFERROR(__xludf.DUMMYFUNCTION("""COMPUTED_VALUE"""),"LandPlane")</f>
        <v>LandPlane</v>
      </c>
      <c r="E300" s="5" t="str">
        <f ca="1">IFERROR(__xludf.DUMMYFUNCTION("""COMPUTED_VALUE"""),"Jet")</f>
        <v>Jet</v>
      </c>
      <c r="F300" s="5">
        <f ca="1">IFERROR(__xludf.DUMMYFUNCTION("""COMPUTED_VALUE"""),4)</f>
        <v>4</v>
      </c>
    </row>
    <row r="301" spans="1:6" ht="15" customHeight="1" x14ac:dyDescent="0.2">
      <c r="A301" s="5" t="str">
        <f ca="1">IFERROR(__xludf.DUMMYFUNCTION("""COMPUTED_VALUE"""),"B47G")</f>
        <v>B47G</v>
      </c>
      <c r="B301" s="5" t="str">
        <f ca="1">IFERROR(__xludf.DUMMYFUNCTION("""COMPUTED_VALUE"""),"BELL")</f>
        <v>BELL</v>
      </c>
      <c r="C301" s="5" t="str">
        <f ca="1">IFERROR(__xludf.DUMMYFUNCTION("""COMPUTED_VALUE"""),"47G")</f>
        <v>47G</v>
      </c>
      <c r="D301" s="5" t="str">
        <f ca="1">IFERROR(__xludf.DUMMYFUNCTION("""COMPUTED_VALUE"""),"Helicopter")</f>
        <v>Helicopter</v>
      </c>
      <c r="E301" s="5" t="str">
        <f ca="1">IFERROR(__xludf.DUMMYFUNCTION("""COMPUTED_VALUE"""),"Piston")</f>
        <v>Piston</v>
      </c>
      <c r="F301" s="5">
        <f ca="1">IFERROR(__xludf.DUMMYFUNCTION("""COMPUTED_VALUE"""),1)</f>
        <v>1</v>
      </c>
    </row>
    <row r="302" spans="1:6" ht="15" customHeight="1" x14ac:dyDescent="0.2">
      <c r="A302" s="5" t="str">
        <f ca="1">IFERROR(__xludf.DUMMYFUNCTION("""COMPUTED_VALUE"""),"B47J")</f>
        <v>B47J</v>
      </c>
      <c r="B302" s="5" t="str">
        <f ca="1">IFERROR(__xludf.DUMMYFUNCTION("""COMPUTED_VALUE"""),"BELL")</f>
        <v>BELL</v>
      </c>
      <c r="C302" s="5" t="str">
        <f ca="1">IFERROR(__xludf.DUMMYFUNCTION("""COMPUTED_VALUE"""),"47J Ranger")</f>
        <v>47J Ranger</v>
      </c>
      <c r="D302" s="5" t="str">
        <f ca="1">IFERROR(__xludf.DUMMYFUNCTION("""COMPUTED_VALUE"""),"Helicopter")</f>
        <v>Helicopter</v>
      </c>
      <c r="E302" s="5" t="str">
        <f ca="1">IFERROR(__xludf.DUMMYFUNCTION("""COMPUTED_VALUE"""),"Piston")</f>
        <v>Piston</v>
      </c>
      <c r="F302" s="5">
        <f ca="1">IFERROR(__xludf.DUMMYFUNCTION("""COMPUTED_VALUE"""),1)</f>
        <v>1</v>
      </c>
    </row>
    <row r="303" spans="1:6" ht="15" customHeight="1" x14ac:dyDescent="0.2">
      <c r="A303" s="5" t="str">
        <f ca="1">IFERROR(__xludf.DUMMYFUNCTION("""COMPUTED_VALUE"""),"B47T")</f>
        <v>B47T</v>
      </c>
      <c r="B303" s="5" t="str">
        <f ca="1">IFERROR(__xludf.DUMMYFUNCTION("""COMPUTED_VALUE"""),"SOLOY")</f>
        <v>SOLOY</v>
      </c>
      <c r="C303" s="5" t="str">
        <f ca="1">IFERROR(__xludf.DUMMYFUNCTION("""COMPUTED_VALUE"""),"Bell 47")</f>
        <v>Bell 47</v>
      </c>
      <c r="D303" s="5" t="str">
        <f ca="1">IFERROR(__xludf.DUMMYFUNCTION("""COMPUTED_VALUE"""),"Helicopter")</f>
        <v>Helicopter</v>
      </c>
      <c r="E303" s="5" t="str">
        <f ca="1">IFERROR(__xludf.DUMMYFUNCTION("""COMPUTED_VALUE"""),"Turboprop/Turboshaft")</f>
        <v>Turboprop/Turboshaft</v>
      </c>
      <c r="F303" s="5">
        <f ca="1">IFERROR(__xludf.DUMMYFUNCTION("""COMPUTED_VALUE"""),1)</f>
        <v>1</v>
      </c>
    </row>
    <row r="304" spans="1:6" ht="15" customHeight="1" x14ac:dyDescent="0.2">
      <c r="A304" s="5" t="str">
        <f ca="1">IFERROR(__xludf.DUMMYFUNCTION("""COMPUTED_VALUE"""),"B505")</f>
        <v>B505</v>
      </c>
      <c r="B304" s="5" t="str">
        <f ca="1">IFERROR(__xludf.DUMMYFUNCTION("""COMPUTED_VALUE"""),"BELL")</f>
        <v>BELL</v>
      </c>
      <c r="C304" s="5" t="str">
        <f ca="1">IFERROR(__xludf.DUMMYFUNCTION("""COMPUTED_VALUE"""),"505 Jet Ranger X")</f>
        <v>505 Jet Ranger X</v>
      </c>
      <c r="D304" s="5" t="str">
        <f ca="1">IFERROR(__xludf.DUMMYFUNCTION("""COMPUTED_VALUE"""),"Helicopter")</f>
        <v>Helicopter</v>
      </c>
      <c r="E304" s="5" t="str">
        <f ca="1">IFERROR(__xludf.DUMMYFUNCTION("""COMPUTED_VALUE"""),"Turboprop/Turboshaft")</f>
        <v>Turboprop/Turboshaft</v>
      </c>
      <c r="F304" s="5">
        <f ca="1">IFERROR(__xludf.DUMMYFUNCTION("""COMPUTED_VALUE"""),1)</f>
        <v>1</v>
      </c>
    </row>
    <row r="305" spans="1:6" ht="15" customHeight="1" x14ac:dyDescent="0.2">
      <c r="A305" s="5" t="str">
        <f ca="1">IFERROR(__xludf.DUMMYFUNCTION("""COMPUTED_VALUE"""),"B52")</f>
        <v>B52</v>
      </c>
      <c r="B305" s="5" t="str">
        <f ca="1">IFERROR(__xludf.DUMMYFUNCTION("""COMPUTED_VALUE"""),"BOEING")</f>
        <v>BOEING</v>
      </c>
      <c r="C305" s="5" t="str">
        <f ca="1">IFERROR(__xludf.DUMMYFUNCTION("""COMPUTED_VALUE"""),"B-52 Stratofortress")</f>
        <v>B-52 Stratofortress</v>
      </c>
      <c r="D305" s="5" t="str">
        <f ca="1">IFERROR(__xludf.DUMMYFUNCTION("""COMPUTED_VALUE"""),"LandPlane")</f>
        <v>LandPlane</v>
      </c>
      <c r="E305" s="5" t="str">
        <f ca="1">IFERROR(__xludf.DUMMYFUNCTION("""COMPUTED_VALUE"""),"Jet")</f>
        <v>Jet</v>
      </c>
      <c r="F305" s="5">
        <f ca="1">IFERROR(__xludf.DUMMYFUNCTION("""COMPUTED_VALUE"""),8)</f>
        <v>8</v>
      </c>
    </row>
    <row r="306" spans="1:6" ht="15" customHeight="1" x14ac:dyDescent="0.2">
      <c r="A306" s="5" t="str">
        <f ca="1">IFERROR(__xludf.DUMMYFUNCTION("""COMPUTED_VALUE"""),"B525")</f>
        <v>B525</v>
      </c>
      <c r="B306" s="5" t="str">
        <f ca="1">IFERROR(__xludf.DUMMYFUNCTION("""COMPUTED_VALUE"""),"BELL")</f>
        <v>BELL</v>
      </c>
      <c r="C306" s="5" t="str">
        <f ca="1">IFERROR(__xludf.DUMMYFUNCTION("""COMPUTED_VALUE"""),"525 Relentless")</f>
        <v>525 Relentless</v>
      </c>
      <c r="D306" s="5" t="str">
        <f ca="1">IFERROR(__xludf.DUMMYFUNCTION("""COMPUTED_VALUE"""),"Helicopter")</f>
        <v>Helicopter</v>
      </c>
      <c r="E306" s="5" t="str">
        <f ca="1">IFERROR(__xludf.DUMMYFUNCTION("""COMPUTED_VALUE"""),"Turboprop/Turboshaft")</f>
        <v>Turboprop/Turboshaft</v>
      </c>
      <c r="F306" s="5">
        <f ca="1">IFERROR(__xludf.DUMMYFUNCTION("""COMPUTED_VALUE"""),2)</f>
        <v>2</v>
      </c>
    </row>
    <row r="307" spans="1:6" ht="15" customHeight="1" x14ac:dyDescent="0.2">
      <c r="A307" s="5" t="str">
        <f ca="1">IFERROR(__xludf.DUMMYFUNCTION("""COMPUTED_VALUE"""),"B58T")</f>
        <v>B58T</v>
      </c>
      <c r="B307" s="5" t="str">
        <f ca="1">IFERROR(__xludf.DUMMYFUNCTION("""COMPUTED_VALUE"""),"BEECH")</f>
        <v>BEECH</v>
      </c>
      <c r="C307" s="5" t="str">
        <f ca="1">IFERROR(__xludf.DUMMYFUNCTION("""COMPUTED_VALUE"""),"58P Pressurized Baron")</f>
        <v>58P Pressurized Baron</v>
      </c>
      <c r="D307" s="5" t="str">
        <f ca="1">IFERROR(__xludf.DUMMYFUNCTION("""COMPUTED_VALUE"""),"LandPlane")</f>
        <v>LandPlane</v>
      </c>
      <c r="E307" s="5" t="str">
        <f ca="1">IFERROR(__xludf.DUMMYFUNCTION("""COMPUTED_VALUE"""),"Piston")</f>
        <v>Piston</v>
      </c>
      <c r="F307" s="5">
        <f ca="1">IFERROR(__xludf.DUMMYFUNCTION("""COMPUTED_VALUE"""),2)</f>
        <v>2</v>
      </c>
    </row>
    <row r="308" spans="1:6" ht="15" customHeight="1" x14ac:dyDescent="0.2">
      <c r="A308" s="5" t="str">
        <f ca="1">IFERROR(__xludf.DUMMYFUNCTION("""COMPUTED_VALUE"""),"B60")</f>
        <v>B60</v>
      </c>
      <c r="B308" s="5" t="str">
        <f ca="1">IFERROR(__xludf.DUMMYFUNCTION("""COMPUTED_VALUE"""),"BOISAVIA")</f>
        <v>BOISAVIA</v>
      </c>
      <c r="C308" s="5" t="str">
        <f ca="1">IFERROR(__xludf.DUMMYFUNCTION("""COMPUTED_VALUE"""),"B-60 Mercurey")</f>
        <v>B-60 Mercurey</v>
      </c>
      <c r="D308" s="5" t="str">
        <f ca="1">IFERROR(__xludf.DUMMYFUNCTION("""COMPUTED_VALUE"""),"LandPlane")</f>
        <v>LandPlane</v>
      </c>
      <c r="E308" s="5" t="str">
        <f ca="1">IFERROR(__xludf.DUMMYFUNCTION("""COMPUTED_VALUE"""),"Piston")</f>
        <v>Piston</v>
      </c>
      <c r="F308" s="5">
        <f ca="1">IFERROR(__xludf.DUMMYFUNCTION("""COMPUTED_VALUE"""),1)</f>
        <v>1</v>
      </c>
    </row>
    <row r="309" spans="1:6" ht="15" customHeight="1" x14ac:dyDescent="0.2">
      <c r="A309" s="5" t="str">
        <f ca="1">IFERROR(__xludf.DUMMYFUNCTION("""COMPUTED_VALUE"""),"B609")</f>
        <v>B609</v>
      </c>
      <c r="B309" s="5" t="str">
        <f ca="1">IFERROR(__xludf.DUMMYFUNCTION("""COMPUTED_VALUE"""),"BELL-AGUSTA")</f>
        <v>BELL-AGUSTA</v>
      </c>
      <c r="C309" s="5" t="str">
        <f ca="1">IFERROR(__xludf.DUMMYFUNCTION("""COMPUTED_VALUE"""),"BA-609")</f>
        <v>BA-609</v>
      </c>
      <c r="D309" s="5" t="str">
        <f ca="1">IFERROR(__xludf.DUMMYFUNCTION("""COMPUTED_VALUE"""),"Tiltrotor")</f>
        <v>Tiltrotor</v>
      </c>
      <c r="E309" s="5" t="str">
        <f ca="1">IFERROR(__xludf.DUMMYFUNCTION("""COMPUTED_VALUE"""),"Turboprop/Turboshaft")</f>
        <v>Turboprop/Turboshaft</v>
      </c>
      <c r="F309" s="5">
        <f ca="1">IFERROR(__xludf.DUMMYFUNCTION("""COMPUTED_VALUE"""),2)</f>
        <v>2</v>
      </c>
    </row>
    <row r="310" spans="1:6" ht="15" customHeight="1" x14ac:dyDescent="0.2">
      <c r="A310" s="5" t="str">
        <f ca="1">IFERROR(__xludf.DUMMYFUNCTION("""COMPUTED_VALUE"""),"B60T")</f>
        <v>B60T</v>
      </c>
      <c r="B310" s="5" t="str">
        <f ca="1">IFERROR(__xludf.DUMMYFUNCTION("""COMPUTED_VALUE"""),"BEECH")</f>
        <v>BEECH</v>
      </c>
      <c r="C310" s="5" t="str">
        <f ca="1">IFERROR(__xludf.DUMMYFUNCTION("""COMPUTED_VALUE"""),"60 Royal Turbine Duke")</f>
        <v>60 Royal Turbine Duke</v>
      </c>
      <c r="D310" s="5" t="str">
        <f ca="1">IFERROR(__xludf.DUMMYFUNCTION("""COMPUTED_VALUE"""),"LandPlane")</f>
        <v>LandPlane</v>
      </c>
      <c r="E310" s="5" t="str">
        <f ca="1">IFERROR(__xludf.DUMMYFUNCTION("""COMPUTED_VALUE"""),"Turboprop/Turboshaft")</f>
        <v>Turboprop/Turboshaft</v>
      </c>
      <c r="F310" s="5">
        <f ca="1">IFERROR(__xludf.DUMMYFUNCTION("""COMPUTED_VALUE"""),2)</f>
        <v>2</v>
      </c>
    </row>
    <row r="311" spans="1:6" ht="15" customHeight="1" x14ac:dyDescent="0.2">
      <c r="A311" s="5" t="str">
        <f ca="1">IFERROR(__xludf.DUMMYFUNCTION("""COMPUTED_VALUE"""),"B701")</f>
        <v>B701</v>
      </c>
      <c r="B311" s="5" t="str">
        <f ca="1">IFERROR(__xludf.DUMMYFUNCTION("""COMPUTED_VALUE"""),"BOEING")</f>
        <v>BOEING</v>
      </c>
      <c r="C311" s="5" t="str">
        <f ca="1">IFERROR(__xludf.DUMMYFUNCTION("""COMPUTED_VALUE"""),"707-100")</f>
        <v>707-100</v>
      </c>
      <c r="D311" s="5" t="str">
        <f ca="1">IFERROR(__xludf.DUMMYFUNCTION("""COMPUTED_VALUE"""),"LandPlane")</f>
        <v>LandPlane</v>
      </c>
      <c r="E311" s="5" t="str">
        <f ca="1">IFERROR(__xludf.DUMMYFUNCTION("""COMPUTED_VALUE"""),"Jet")</f>
        <v>Jet</v>
      </c>
      <c r="F311" s="5">
        <f ca="1">IFERROR(__xludf.DUMMYFUNCTION("""COMPUTED_VALUE"""),4)</f>
        <v>4</v>
      </c>
    </row>
    <row r="312" spans="1:6" ht="15" customHeight="1" x14ac:dyDescent="0.2">
      <c r="A312" s="5" t="str">
        <f ca="1">IFERROR(__xludf.DUMMYFUNCTION("""COMPUTED_VALUE"""),"B703")</f>
        <v>B703</v>
      </c>
      <c r="B312" s="5" t="str">
        <f ca="1">IFERROR(__xludf.DUMMYFUNCTION("""COMPUTED_VALUE"""),"BOEING")</f>
        <v>BOEING</v>
      </c>
      <c r="C312" s="5" t="str">
        <f ca="1">IFERROR(__xludf.DUMMYFUNCTION("""COMPUTED_VALUE"""),"707-300")</f>
        <v>707-300</v>
      </c>
      <c r="D312" s="5" t="str">
        <f ca="1">IFERROR(__xludf.DUMMYFUNCTION("""COMPUTED_VALUE"""),"LandPlane")</f>
        <v>LandPlane</v>
      </c>
      <c r="E312" s="5" t="str">
        <f ca="1">IFERROR(__xludf.DUMMYFUNCTION("""COMPUTED_VALUE"""),"Jet")</f>
        <v>Jet</v>
      </c>
      <c r="F312" s="5">
        <f ca="1">IFERROR(__xludf.DUMMYFUNCTION("""COMPUTED_VALUE"""),4)</f>
        <v>4</v>
      </c>
    </row>
    <row r="313" spans="1:6" ht="15" customHeight="1" x14ac:dyDescent="0.2">
      <c r="A313" s="5" t="str">
        <f ca="1">IFERROR(__xludf.DUMMYFUNCTION("""COMPUTED_VALUE"""),"B712")</f>
        <v>B712</v>
      </c>
      <c r="B313" s="5" t="str">
        <f ca="1">IFERROR(__xludf.DUMMYFUNCTION("""COMPUTED_VALUE"""),"BOEING")</f>
        <v>BOEING</v>
      </c>
      <c r="C313" s="5" t="str">
        <f ca="1">IFERROR(__xludf.DUMMYFUNCTION("""COMPUTED_VALUE"""),"717-200")</f>
        <v>717-200</v>
      </c>
      <c r="D313" s="5" t="str">
        <f ca="1">IFERROR(__xludf.DUMMYFUNCTION("""COMPUTED_VALUE"""),"LandPlane")</f>
        <v>LandPlane</v>
      </c>
      <c r="E313" s="5" t="str">
        <f ca="1">IFERROR(__xludf.DUMMYFUNCTION("""COMPUTED_VALUE"""),"Jet")</f>
        <v>Jet</v>
      </c>
      <c r="F313" s="5">
        <f ca="1">IFERROR(__xludf.DUMMYFUNCTION("""COMPUTED_VALUE"""),2)</f>
        <v>2</v>
      </c>
    </row>
    <row r="314" spans="1:6" ht="15" customHeight="1" x14ac:dyDescent="0.2">
      <c r="A314" s="5" t="str">
        <f ca="1">IFERROR(__xludf.DUMMYFUNCTION("""COMPUTED_VALUE"""),"B720")</f>
        <v>B720</v>
      </c>
      <c r="B314" s="5" t="str">
        <f ca="1">IFERROR(__xludf.DUMMYFUNCTION("""COMPUTED_VALUE"""),"BOEING")</f>
        <v>BOEING</v>
      </c>
      <c r="C314" s="5" t="str">
        <f ca="1">IFERROR(__xludf.DUMMYFUNCTION("""COMPUTED_VALUE"""),"720")</f>
        <v>720</v>
      </c>
      <c r="D314" s="5" t="str">
        <f ca="1">IFERROR(__xludf.DUMMYFUNCTION("""COMPUTED_VALUE"""),"LandPlane")</f>
        <v>LandPlane</v>
      </c>
      <c r="E314" s="5" t="str">
        <f ca="1">IFERROR(__xludf.DUMMYFUNCTION("""COMPUTED_VALUE"""),"Jet")</f>
        <v>Jet</v>
      </c>
      <c r="F314" s="5">
        <f ca="1">IFERROR(__xludf.DUMMYFUNCTION("""COMPUTED_VALUE"""),4)</f>
        <v>4</v>
      </c>
    </row>
    <row r="315" spans="1:6" ht="15" customHeight="1" x14ac:dyDescent="0.2">
      <c r="A315" s="5" t="str">
        <f ca="1">IFERROR(__xludf.DUMMYFUNCTION("""COMPUTED_VALUE"""),"B721")</f>
        <v>B721</v>
      </c>
      <c r="B315" s="5" t="str">
        <f ca="1">IFERROR(__xludf.DUMMYFUNCTION("""COMPUTED_VALUE"""),"BOEING")</f>
        <v>BOEING</v>
      </c>
      <c r="C315" s="5" t="str">
        <f ca="1">IFERROR(__xludf.DUMMYFUNCTION("""COMPUTED_VALUE"""),"727-100")</f>
        <v>727-100</v>
      </c>
      <c r="D315" s="5" t="str">
        <f ca="1">IFERROR(__xludf.DUMMYFUNCTION("""COMPUTED_VALUE"""),"LandPlane")</f>
        <v>LandPlane</v>
      </c>
      <c r="E315" s="5" t="str">
        <f ca="1">IFERROR(__xludf.DUMMYFUNCTION("""COMPUTED_VALUE"""),"Jet")</f>
        <v>Jet</v>
      </c>
      <c r="F315" s="5">
        <f ca="1">IFERROR(__xludf.DUMMYFUNCTION("""COMPUTED_VALUE"""),3)</f>
        <v>3</v>
      </c>
    </row>
    <row r="316" spans="1:6" ht="15" customHeight="1" x14ac:dyDescent="0.2">
      <c r="A316" s="5" t="str">
        <f ca="1">IFERROR(__xludf.DUMMYFUNCTION("""COMPUTED_VALUE"""),"B722")</f>
        <v>B722</v>
      </c>
      <c r="B316" s="5" t="str">
        <f ca="1">IFERROR(__xludf.DUMMYFUNCTION("""COMPUTED_VALUE"""),"BOEING")</f>
        <v>BOEING</v>
      </c>
      <c r="C316" s="5" t="str">
        <f ca="1">IFERROR(__xludf.DUMMYFUNCTION("""COMPUTED_VALUE"""),"727-200")</f>
        <v>727-200</v>
      </c>
      <c r="D316" s="5" t="str">
        <f ca="1">IFERROR(__xludf.DUMMYFUNCTION("""COMPUTED_VALUE"""),"LandPlane")</f>
        <v>LandPlane</v>
      </c>
      <c r="E316" s="5" t="str">
        <f ca="1">IFERROR(__xludf.DUMMYFUNCTION("""COMPUTED_VALUE"""),"Jet")</f>
        <v>Jet</v>
      </c>
      <c r="F316" s="5">
        <f ca="1">IFERROR(__xludf.DUMMYFUNCTION("""COMPUTED_VALUE"""),3)</f>
        <v>3</v>
      </c>
    </row>
    <row r="317" spans="1:6" ht="15" customHeight="1" x14ac:dyDescent="0.2">
      <c r="A317" s="5" t="str">
        <f ca="1">IFERROR(__xludf.DUMMYFUNCTION("""COMPUTED_VALUE"""),"B732")</f>
        <v>B732</v>
      </c>
      <c r="B317" s="5" t="str">
        <f ca="1">IFERROR(__xludf.DUMMYFUNCTION("""COMPUTED_VALUE"""),"BOEING")</f>
        <v>BOEING</v>
      </c>
      <c r="C317" s="5" t="str">
        <f ca="1">IFERROR(__xludf.DUMMYFUNCTION("""COMPUTED_VALUE"""),"737-200")</f>
        <v>737-200</v>
      </c>
      <c r="D317" s="5" t="str">
        <f ca="1">IFERROR(__xludf.DUMMYFUNCTION("""COMPUTED_VALUE"""),"LandPlane")</f>
        <v>LandPlane</v>
      </c>
      <c r="E317" s="5" t="str">
        <f ca="1">IFERROR(__xludf.DUMMYFUNCTION("""COMPUTED_VALUE"""),"Jet")</f>
        <v>Jet</v>
      </c>
      <c r="F317" s="5">
        <f ca="1">IFERROR(__xludf.DUMMYFUNCTION("""COMPUTED_VALUE"""),2)</f>
        <v>2</v>
      </c>
    </row>
    <row r="318" spans="1:6" ht="15" customHeight="1" x14ac:dyDescent="0.2">
      <c r="A318" s="5" t="str">
        <f ca="1">IFERROR(__xludf.DUMMYFUNCTION("""COMPUTED_VALUE"""),"B733")</f>
        <v>B733</v>
      </c>
      <c r="B318" s="5" t="str">
        <f ca="1">IFERROR(__xludf.DUMMYFUNCTION("""COMPUTED_VALUE"""),"BOEING")</f>
        <v>BOEING</v>
      </c>
      <c r="C318" s="5" t="str">
        <f ca="1">IFERROR(__xludf.DUMMYFUNCTION("""COMPUTED_VALUE"""),"737-300")</f>
        <v>737-300</v>
      </c>
      <c r="D318" s="5" t="str">
        <f ca="1">IFERROR(__xludf.DUMMYFUNCTION("""COMPUTED_VALUE"""),"LandPlane")</f>
        <v>LandPlane</v>
      </c>
      <c r="E318" s="5" t="str">
        <f ca="1">IFERROR(__xludf.DUMMYFUNCTION("""COMPUTED_VALUE"""),"Jet")</f>
        <v>Jet</v>
      </c>
      <c r="F318" s="5">
        <f ca="1">IFERROR(__xludf.DUMMYFUNCTION("""COMPUTED_VALUE"""),2)</f>
        <v>2</v>
      </c>
    </row>
    <row r="319" spans="1:6" ht="15" customHeight="1" x14ac:dyDescent="0.2">
      <c r="A319" s="5" t="str">
        <f ca="1">IFERROR(__xludf.DUMMYFUNCTION("""COMPUTED_VALUE"""),"B734")</f>
        <v>B734</v>
      </c>
      <c r="B319" s="5" t="str">
        <f ca="1">IFERROR(__xludf.DUMMYFUNCTION("""COMPUTED_VALUE"""),"BOEING")</f>
        <v>BOEING</v>
      </c>
      <c r="C319" s="5" t="str">
        <f ca="1">IFERROR(__xludf.DUMMYFUNCTION("""COMPUTED_VALUE"""),"737-400")</f>
        <v>737-400</v>
      </c>
      <c r="D319" s="5" t="str">
        <f ca="1">IFERROR(__xludf.DUMMYFUNCTION("""COMPUTED_VALUE"""),"LandPlane")</f>
        <v>LandPlane</v>
      </c>
      <c r="E319" s="5" t="str">
        <f ca="1">IFERROR(__xludf.DUMMYFUNCTION("""COMPUTED_VALUE"""),"Jet")</f>
        <v>Jet</v>
      </c>
      <c r="F319" s="5">
        <f ca="1">IFERROR(__xludf.DUMMYFUNCTION("""COMPUTED_VALUE"""),2)</f>
        <v>2</v>
      </c>
    </row>
    <row r="320" spans="1:6" ht="15" customHeight="1" x14ac:dyDescent="0.2">
      <c r="A320" s="5" t="str">
        <f ca="1">IFERROR(__xludf.DUMMYFUNCTION("""COMPUTED_VALUE"""),"B735")</f>
        <v>B735</v>
      </c>
      <c r="B320" s="5" t="str">
        <f ca="1">IFERROR(__xludf.DUMMYFUNCTION("""COMPUTED_VALUE"""),"BOEING")</f>
        <v>BOEING</v>
      </c>
      <c r="C320" s="5" t="str">
        <f ca="1">IFERROR(__xludf.DUMMYFUNCTION("""COMPUTED_VALUE"""),"737-500")</f>
        <v>737-500</v>
      </c>
      <c r="D320" s="5" t="str">
        <f ca="1">IFERROR(__xludf.DUMMYFUNCTION("""COMPUTED_VALUE"""),"LandPlane")</f>
        <v>LandPlane</v>
      </c>
      <c r="E320" s="5" t="str">
        <f ca="1">IFERROR(__xludf.DUMMYFUNCTION("""COMPUTED_VALUE"""),"Jet")</f>
        <v>Jet</v>
      </c>
      <c r="F320" s="5">
        <f ca="1">IFERROR(__xludf.DUMMYFUNCTION("""COMPUTED_VALUE"""),2)</f>
        <v>2</v>
      </c>
    </row>
    <row r="321" spans="1:6" ht="15" customHeight="1" x14ac:dyDescent="0.2">
      <c r="A321" s="5" t="str">
        <f ca="1">IFERROR(__xludf.DUMMYFUNCTION("""COMPUTED_VALUE"""),"B736")</f>
        <v>B736</v>
      </c>
      <c r="B321" s="5" t="str">
        <f ca="1">IFERROR(__xludf.DUMMYFUNCTION("""COMPUTED_VALUE"""),"BOEING")</f>
        <v>BOEING</v>
      </c>
      <c r="C321" s="5" t="str">
        <f ca="1">IFERROR(__xludf.DUMMYFUNCTION("""COMPUTED_VALUE"""),"737-600")</f>
        <v>737-600</v>
      </c>
      <c r="D321" s="5" t="str">
        <f ca="1">IFERROR(__xludf.DUMMYFUNCTION("""COMPUTED_VALUE"""),"LandPlane")</f>
        <v>LandPlane</v>
      </c>
      <c r="E321" s="5" t="str">
        <f ca="1">IFERROR(__xludf.DUMMYFUNCTION("""COMPUTED_VALUE"""),"Jet")</f>
        <v>Jet</v>
      </c>
      <c r="F321" s="5">
        <f ca="1">IFERROR(__xludf.DUMMYFUNCTION("""COMPUTED_VALUE"""),2)</f>
        <v>2</v>
      </c>
    </row>
    <row r="322" spans="1:6" ht="15" customHeight="1" x14ac:dyDescent="0.2">
      <c r="A322" s="5" t="str">
        <f ca="1">IFERROR(__xludf.DUMMYFUNCTION("""COMPUTED_VALUE"""),"B737")</f>
        <v>B737</v>
      </c>
      <c r="B322" s="5" t="str">
        <f ca="1">IFERROR(__xludf.DUMMYFUNCTION("""COMPUTED_VALUE"""),"BOEING")</f>
        <v>BOEING</v>
      </c>
      <c r="C322" s="5" t="str">
        <f ca="1">IFERROR(__xludf.DUMMYFUNCTION("""COMPUTED_VALUE"""),"737-700")</f>
        <v>737-700</v>
      </c>
      <c r="D322" s="5" t="str">
        <f ca="1">IFERROR(__xludf.DUMMYFUNCTION("""COMPUTED_VALUE"""),"LandPlane")</f>
        <v>LandPlane</v>
      </c>
      <c r="E322" s="5" t="str">
        <f ca="1">IFERROR(__xludf.DUMMYFUNCTION("""COMPUTED_VALUE"""),"Jet")</f>
        <v>Jet</v>
      </c>
      <c r="F322" s="5">
        <f ca="1">IFERROR(__xludf.DUMMYFUNCTION("""COMPUTED_VALUE"""),2)</f>
        <v>2</v>
      </c>
    </row>
    <row r="323" spans="1:6" ht="15" customHeight="1" x14ac:dyDescent="0.2">
      <c r="A323" s="5" t="str">
        <f ca="1">IFERROR(__xludf.DUMMYFUNCTION("""COMPUTED_VALUE"""),"B738")</f>
        <v>B738</v>
      </c>
      <c r="B323" s="5" t="str">
        <f ca="1">IFERROR(__xludf.DUMMYFUNCTION("""COMPUTED_VALUE"""),"BOEING")</f>
        <v>BOEING</v>
      </c>
      <c r="C323" s="5" t="str">
        <f ca="1">IFERROR(__xludf.DUMMYFUNCTION("""COMPUTED_VALUE"""),"737-800")</f>
        <v>737-800</v>
      </c>
      <c r="D323" s="5" t="str">
        <f ca="1">IFERROR(__xludf.DUMMYFUNCTION("""COMPUTED_VALUE"""),"LandPlane")</f>
        <v>LandPlane</v>
      </c>
      <c r="E323" s="5" t="str">
        <f ca="1">IFERROR(__xludf.DUMMYFUNCTION("""COMPUTED_VALUE"""),"Jet")</f>
        <v>Jet</v>
      </c>
      <c r="F323" s="5">
        <f ca="1">IFERROR(__xludf.DUMMYFUNCTION("""COMPUTED_VALUE"""),2)</f>
        <v>2</v>
      </c>
    </row>
    <row r="324" spans="1:6" ht="15" customHeight="1" x14ac:dyDescent="0.2">
      <c r="A324" s="5" t="str">
        <f ca="1">IFERROR(__xludf.DUMMYFUNCTION("""COMPUTED_VALUE"""),"B739")</f>
        <v>B739</v>
      </c>
      <c r="B324" s="5" t="str">
        <f ca="1">IFERROR(__xludf.DUMMYFUNCTION("""COMPUTED_VALUE"""),"BOEING")</f>
        <v>BOEING</v>
      </c>
      <c r="C324" s="5" t="str">
        <f ca="1">IFERROR(__xludf.DUMMYFUNCTION("""COMPUTED_VALUE"""),"737-900")</f>
        <v>737-900</v>
      </c>
      <c r="D324" s="5" t="str">
        <f ca="1">IFERROR(__xludf.DUMMYFUNCTION("""COMPUTED_VALUE"""),"LandPlane")</f>
        <v>LandPlane</v>
      </c>
      <c r="E324" s="5" t="str">
        <f ca="1">IFERROR(__xludf.DUMMYFUNCTION("""COMPUTED_VALUE"""),"Jet")</f>
        <v>Jet</v>
      </c>
      <c r="F324" s="5">
        <f ca="1">IFERROR(__xludf.DUMMYFUNCTION("""COMPUTED_VALUE"""),2)</f>
        <v>2</v>
      </c>
    </row>
    <row r="325" spans="1:6" ht="15" customHeight="1" x14ac:dyDescent="0.2">
      <c r="A325" s="5" t="str">
        <f ca="1">IFERROR(__xludf.DUMMYFUNCTION("""COMPUTED_VALUE"""),"B741")</f>
        <v>B741</v>
      </c>
      <c r="B325" s="5" t="str">
        <f ca="1">IFERROR(__xludf.DUMMYFUNCTION("""COMPUTED_VALUE"""),"BOEING")</f>
        <v>BOEING</v>
      </c>
      <c r="C325" s="5" t="str">
        <f ca="1">IFERROR(__xludf.DUMMYFUNCTION("""COMPUTED_VALUE"""),"747-100")</f>
        <v>747-100</v>
      </c>
      <c r="D325" s="5" t="str">
        <f ca="1">IFERROR(__xludf.DUMMYFUNCTION("""COMPUTED_VALUE"""),"LandPlane")</f>
        <v>LandPlane</v>
      </c>
      <c r="E325" s="5" t="str">
        <f ca="1">IFERROR(__xludf.DUMMYFUNCTION("""COMPUTED_VALUE"""),"Jet")</f>
        <v>Jet</v>
      </c>
      <c r="F325" s="5">
        <f ca="1">IFERROR(__xludf.DUMMYFUNCTION("""COMPUTED_VALUE"""),4)</f>
        <v>4</v>
      </c>
    </row>
    <row r="326" spans="1:6" ht="15" customHeight="1" x14ac:dyDescent="0.2">
      <c r="A326" s="5" t="str">
        <f ca="1">IFERROR(__xludf.DUMMYFUNCTION("""COMPUTED_VALUE"""),"B742")</f>
        <v>B742</v>
      </c>
      <c r="B326" s="5" t="str">
        <f ca="1">IFERROR(__xludf.DUMMYFUNCTION("""COMPUTED_VALUE"""),"BOEING")</f>
        <v>BOEING</v>
      </c>
      <c r="C326" s="5" t="str">
        <f ca="1">IFERROR(__xludf.DUMMYFUNCTION("""COMPUTED_VALUE"""),"747-200")</f>
        <v>747-200</v>
      </c>
      <c r="D326" s="5" t="str">
        <f ca="1">IFERROR(__xludf.DUMMYFUNCTION("""COMPUTED_VALUE"""),"LandPlane")</f>
        <v>LandPlane</v>
      </c>
      <c r="E326" s="5" t="str">
        <f ca="1">IFERROR(__xludf.DUMMYFUNCTION("""COMPUTED_VALUE"""),"Jet")</f>
        <v>Jet</v>
      </c>
      <c r="F326" s="5">
        <f ca="1">IFERROR(__xludf.DUMMYFUNCTION("""COMPUTED_VALUE"""),4)</f>
        <v>4</v>
      </c>
    </row>
    <row r="327" spans="1:6" ht="15" customHeight="1" x14ac:dyDescent="0.2">
      <c r="A327" s="5" t="str">
        <f ca="1">IFERROR(__xludf.DUMMYFUNCTION("""COMPUTED_VALUE"""),"B743")</f>
        <v>B743</v>
      </c>
      <c r="B327" s="5" t="str">
        <f ca="1">IFERROR(__xludf.DUMMYFUNCTION("""COMPUTED_VALUE"""),"BOEING")</f>
        <v>BOEING</v>
      </c>
      <c r="C327" s="5" t="str">
        <f ca="1">IFERROR(__xludf.DUMMYFUNCTION("""COMPUTED_VALUE"""),"747-300")</f>
        <v>747-300</v>
      </c>
      <c r="D327" s="5" t="str">
        <f ca="1">IFERROR(__xludf.DUMMYFUNCTION("""COMPUTED_VALUE"""),"LandPlane")</f>
        <v>LandPlane</v>
      </c>
      <c r="E327" s="5" t="str">
        <f ca="1">IFERROR(__xludf.DUMMYFUNCTION("""COMPUTED_VALUE"""),"Jet")</f>
        <v>Jet</v>
      </c>
      <c r="F327" s="5">
        <f ca="1">IFERROR(__xludf.DUMMYFUNCTION("""COMPUTED_VALUE"""),4)</f>
        <v>4</v>
      </c>
    </row>
    <row r="328" spans="1:6" ht="15" customHeight="1" x14ac:dyDescent="0.2">
      <c r="A328" s="5" t="str">
        <f ca="1">IFERROR(__xludf.DUMMYFUNCTION("""COMPUTED_VALUE"""),"B744")</f>
        <v>B744</v>
      </c>
      <c r="B328" s="5" t="str">
        <f ca="1">IFERROR(__xludf.DUMMYFUNCTION("""COMPUTED_VALUE"""),"BOEING")</f>
        <v>BOEING</v>
      </c>
      <c r="C328" s="5" t="str">
        <f ca="1">IFERROR(__xludf.DUMMYFUNCTION("""COMPUTED_VALUE"""),"747-400")</f>
        <v>747-400</v>
      </c>
      <c r="D328" s="5" t="str">
        <f ca="1">IFERROR(__xludf.DUMMYFUNCTION("""COMPUTED_VALUE"""),"LandPlane")</f>
        <v>LandPlane</v>
      </c>
      <c r="E328" s="5" t="str">
        <f ca="1">IFERROR(__xludf.DUMMYFUNCTION("""COMPUTED_VALUE"""),"Jet")</f>
        <v>Jet</v>
      </c>
      <c r="F328" s="5">
        <f ca="1">IFERROR(__xludf.DUMMYFUNCTION("""COMPUTED_VALUE"""),4)</f>
        <v>4</v>
      </c>
    </row>
    <row r="329" spans="1:6" ht="15" customHeight="1" x14ac:dyDescent="0.2">
      <c r="A329" s="5" t="str">
        <f ca="1">IFERROR(__xludf.DUMMYFUNCTION("""COMPUTED_VALUE"""),"B748")</f>
        <v>B748</v>
      </c>
      <c r="B329" s="5" t="str">
        <f ca="1">IFERROR(__xludf.DUMMYFUNCTION("""COMPUTED_VALUE"""),"BOEING")</f>
        <v>BOEING</v>
      </c>
      <c r="C329" s="5" t="str">
        <f ca="1">IFERROR(__xludf.DUMMYFUNCTION("""COMPUTED_VALUE"""),"747-8")</f>
        <v>747-8</v>
      </c>
      <c r="D329" s="5" t="str">
        <f ca="1">IFERROR(__xludf.DUMMYFUNCTION("""COMPUTED_VALUE"""),"LandPlane")</f>
        <v>LandPlane</v>
      </c>
      <c r="E329" s="5" t="str">
        <f ca="1">IFERROR(__xludf.DUMMYFUNCTION("""COMPUTED_VALUE"""),"Jet")</f>
        <v>Jet</v>
      </c>
      <c r="F329" s="5">
        <f ca="1">IFERROR(__xludf.DUMMYFUNCTION("""COMPUTED_VALUE"""),4)</f>
        <v>4</v>
      </c>
    </row>
    <row r="330" spans="1:6" ht="15" customHeight="1" x14ac:dyDescent="0.2">
      <c r="A330" s="5" t="str">
        <f ca="1">IFERROR(__xludf.DUMMYFUNCTION("""COMPUTED_VALUE"""),"B74R")</f>
        <v>B74R</v>
      </c>
      <c r="B330" s="5" t="str">
        <f ca="1">IFERROR(__xludf.DUMMYFUNCTION("""COMPUTED_VALUE"""),"BOEING")</f>
        <v>BOEING</v>
      </c>
      <c r="C330" s="5" t="str">
        <f ca="1">IFERROR(__xludf.DUMMYFUNCTION("""COMPUTED_VALUE"""),"747SR")</f>
        <v>747SR</v>
      </c>
      <c r="D330" s="5" t="str">
        <f ca="1">IFERROR(__xludf.DUMMYFUNCTION("""COMPUTED_VALUE"""),"LandPlane")</f>
        <v>LandPlane</v>
      </c>
      <c r="E330" s="5" t="str">
        <f ca="1">IFERROR(__xludf.DUMMYFUNCTION("""COMPUTED_VALUE"""),"Jet")</f>
        <v>Jet</v>
      </c>
      <c r="F330" s="5">
        <f ca="1">IFERROR(__xludf.DUMMYFUNCTION("""COMPUTED_VALUE"""),4)</f>
        <v>4</v>
      </c>
    </row>
    <row r="331" spans="1:6" ht="15" customHeight="1" x14ac:dyDescent="0.2">
      <c r="A331" s="5" t="str">
        <f ca="1">IFERROR(__xludf.DUMMYFUNCTION("""COMPUTED_VALUE"""),"B74S")</f>
        <v>B74S</v>
      </c>
      <c r="B331" s="5" t="str">
        <f ca="1">IFERROR(__xludf.DUMMYFUNCTION("""COMPUTED_VALUE"""),"BOEING")</f>
        <v>BOEING</v>
      </c>
      <c r="C331" s="5" t="str">
        <f ca="1">IFERROR(__xludf.DUMMYFUNCTION("""COMPUTED_VALUE"""),"747SP")</f>
        <v>747SP</v>
      </c>
      <c r="D331" s="5" t="str">
        <f ca="1">IFERROR(__xludf.DUMMYFUNCTION("""COMPUTED_VALUE"""),"LandPlane")</f>
        <v>LandPlane</v>
      </c>
      <c r="E331" s="5" t="str">
        <f ca="1">IFERROR(__xludf.DUMMYFUNCTION("""COMPUTED_VALUE"""),"Jet")</f>
        <v>Jet</v>
      </c>
      <c r="F331" s="5">
        <f ca="1">IFERROR(__xludf.DUMMYFUNCTION("""COMPUTED_VALUE"""),4)</f>
        <v>4</v>
      </c>
    </row>
    <row r="332" spans="1:6" ht="15" customHeight="1" x14ac:dyDescent="0.2">
      <c r="A332" s="5" t="str">
        <f ca="1">IFERROR(__xludf.DUMMYFUNCTION("""COMPUTED_VALUE"""),"B752")</f>
        <v>B752</v>
      </c>
      <c r="B332" s="5" t="str">
        <f ca="1">IFERROR(__xludf.DUMMYFUNCTION("""COMPUTED_VALUE"""),"BOEING")</f>
        <v>BOEING</v>
      </c>
      <c r="C332" s="5" t="str">
        <f ca="1">IFERROR(__xludf.DUMMYFUNCTION("""COMPUTED_VALUE"""),"757-200")</f>
        <v>757-200</v>
      </c>
      <c r="D332" s="5" t="str">
        <f ca="1">IFERROR(__xludf.DUMMYFUNCTION("""COMPUTED_VALUE"""),"LandPlane")</f>
        <v>LandPlane</v>
      </c>
      <c r="E332" s="5" t="str">
        <f ca="1">IFERROR(__xludf.DUMMYFUNCTION("""COMPUTED_VALUE"""),"Jet")</f>
        <v>Jet</v>
      </c>
      <c r="F332" s="5">
        <f ca="1">IFERROR(__xludf.DUMMYFUNCTION("""COMPUTED_VALUE"""),2)</f>
        <v>2</v>
      </c>
    </row>
    <row r="333" spans="1:6" ht="15" customHeight="1" x14ac:dyDescent="0.2">
      <c r="A333" s="5" t="str">
        <f ca="1">IFERROR(__xludf.DUMMYFUNCTION("""COMPUTED_VALUE"""),"B753")</f>
        <v>B753</v>
      </c>
      <c r="B333" s="5" t="str">
        <f ca="1">IFERROR(__xludf.DUMMYFUNCTION("""COMPUTED_VALUE"""),"BOEING")</f>
        <v>BOEING</v>
      </c>
      <c r="C333" s="5" t="str">
        <f ca="1">IFERROR(__xludf.DUMMYFUNCTION("""COMPUTED_VALUE"""),"757-300")</f>
        <v>757-300</v>
      </c>
      <c r="D333" s="5" t="str">
        <f ca="1">IFERROR(__xludf.DUMMYFUNCTION("""COMPUTED_VALUE"""),"LandPlane")</f>
        <v>LandPlane</v>
      </c>
      <c r="E333" s="5" t="str">
        <f ca="1">IFERROR(__xludf.DUMMYFUNCTION("""COMPUTED_VALUE"""),"Jet")</f>
        <v>Jet</v>
      </c>
      <c r="F333" s="5">
        <f ca="1">IFERROR(__xludf.DUMMYFUNCTION("""COMPUTED_VALUE"""),2)</f>
        <v>2</v>
      </c>
    </row>
    <row r="334" spans="1:6" ht="15" customHeight="1" x14ac:dyDescent="0.2">
      <c r="A334" s="5" t="str">
        <f ca="1">IFERROR(__xludf.DUMMYFUNCTION("""COMPUTED_VALUE"""),"B762")</f>
        <v>B762</v>
      </c>
      <c r="B334" s="5" t="str">
        <f ca="1">IFERROR(__xludf.DUMMYFUNCTION("""COMPUTED_VALUE"""),"BOEING")</f>
        <v>BOEING</v>
      </c>
      <c r="C334" s="5" t="str">
        <f ca="1">IFERROR(__xludf.DUMMYFUNCTION("""COMPUTED_VALUE"""),"767-200")</f>
        <v>767-200</v>
      </c>
      <c r="D334" s="5" t="str">
        <f ca="1">IFERROR(__xludf.DUMMYFUNCTION("""COMPUTED_VALUE"""),"LandPlane")</f>
        <v>LandPlane</v>
      </c>
      <c r="E334" s="5" t="str">
        <f ca="1">IFERROR(__xludf.DUMMYFUNCTION("""COMPUTED_VALUE"""),"Jet")</f>
        <v>Jet</v>
      </c>
      <c r="F334" s="5">
        <f ca="1">IFERROR(__xludf.DUMMYFUNCTION("""COMPUTED_VALUE"""),2)</f>
        <v>2</v>
      </c>
    </row>
    <row r="335" spans="1:6" ht="15" customHeight="1" x14ac:dyDescent="0.2">
      <c r="A335" s="5" t="str">
        <f ca="1">IFERROR(__xludf.DUMMYFUNCTION("""COMPUTED_VALUE"""),"B763")</f>
        <v>B763</v>
      </c>
      <c r="B335" s="5" t="str">
        <f ca="1">IFERROR(__xludf.DUMMYFUNCTION("""COMPUTED_VALUE"""),"BOEING")</f>
        <v>BOEING</v>
      </c>
      <c r="C335" s="5" t="str">
        <f ca="1">IFERROR(__xludf.DUMMYFUNCTION("""COMPUTED_VALUE"""),"767-300")</f>
        <v>767-300</v>
      </c>
      <c r="D335" s="5" t="str">
        <f ca="1">IFERROR(__xludf.DUMMYFUNCTION("""COMPUTED_VALUE"""),"LandPlane")</f>
        <v>LandPlane</v>
      </c>
      <c r="E335" s="5" t="str">
        <f ca="1">IFERROR(__xludf.DUMMYFUNCTION("""COMPUTED_VALUE"""),"Jet")</f>
        <v>Jet</v>
      </c>
      <c r="F335" s="5">
        <f ca="1">IFERROR(__xludf.DUMMYFUNCTION("""COMPUTED_VALUE"""),2)</f>
        <v>2</v>
      </c>
    </row>
    <row r="336" spans="1:6" ht="15" customHeight="1" x14ac:dyDescent="0.2">
      <c r="A336" s="5" t="str">
        <f ca="1">IFERROR(__xludf.DUMMYFUNCTION("""COMPUTED_VALUE"""),"B764")</f>
        <v>B764</v>
      </c>
      <c r="B336" s="5" t="str">
        <f ca="1">IFERROR(__xludf.DUMMYFUNCTION("""COMPUTED_VALUE"""),"BOEING")</f>
        <v>BOEING</v>
      </c>
      <c r="C336" s="5" t="str">
        <f ca="1">IFERROR(__xludf.DUMMYFUNCTION("""COMPUTED_VALUE"""),"767-400")</f>
        <v>767-400</v>
      </c>
      <c r="D336" s="5" t="str">
        <f ca="1">IFERROR(__xludf.DUMMYFUNCTION("""COMPUTED_VALUE"""),"LandPlane")</f>
        <v>LandPlane</v>
      </c>
      <c r="E336" s="5" t="str">
        <f ca="1">IFERROR(__xludf.DUMMYFUNCTION("""COMPUTED_VALUE"""),"Jet")</f>
        <v>Jet</v>
      </c>
      <c r="F336" s="5">
        <f ca="1">IFERROR(__xludf.DUMMYFUNCTION("""COMPUTED_VALUE"""),2)</f>
        <v>2</v>
      </c>
    </row>
    <row r="337" spans="1:6" ht="15" customHeight="1" x14ac:dyDescent="0.2">
      <c r="A337" s="5" t="str">
        <f ca="1">IFERROR(__xludf.DUMMYFUNCTION("""COMPUTED_VALUE"""),"B772")</f>
        <v>B772</v>
      </c>
      <c r="B337" s="5" t="str">
        <f ca="1">IFERROR(__xludf.DUMMYFUNCTION("""COMPUTED_VALUE"""),"BOEING")</f>
        <v>BOEING</v>
      </c>
      <c r="C337" s="5" t="str">
        <f ca="1">IFERROR(__xludf.DUMMYFUNCTION("""COMPUTED_VALUE"""),"777-200ER")</f>
        <v>777-200ER</v>
      </c>
      <c r="D337" s="5" t="str">
        <f ca="1">IFERROR(__xludf.DUMMYFUNCTION("""COMPUTED_VALUE"""),"LandPlane")</f>
        <v>LandPlane</v>
      </c>
      <c r="E337" s="5" t="str">
        <f ca="1">IFERROR(__xludf.DUMMYFUNCTION("""COMPUTED_VALUE"""),"Jet")</f>
        <v>Jet</v>
      </c>
      <c r="F337" s="5">
        <f ca="1">IFERROR(__xludf.DUMMYFUNCTION("""COMPUTED_VALUE"""),2)</f>
        <v>2</v>
      </c>
    </row>
    <row r="338" spans="1:6" ht="15" customHeight="1" x14ac:dyDescent="0.2">
      <c r="A338" s="5" t="str">
        <f ca="1">IFERROR(__xludf.DUMMYFUNCTION("""COMPUTED_VALUE"""),"B773")</f>
        <v>B773</v>
      </c>
      <c r="B338" s="5" t="str">
        <f ca="1">IFERROR(__xludf.DUMMYFUNCTION("""COMPUTED_VALUE"""),"BOEING")</f>
        <v>BOEING</v>
      </c>
      <c r="C338" s="5" t="str">
        <f ca="1">IFERROR(__xludf.DUMMYFUNCTION("""COMPUTED_VALUE"""),"777-300")</f>
        <v>777-300</v>
      </c>
      <c r="D338" s="5" t="str">
        <f ca="1">IFERROR(__xludf.DUMMYFUNCTION("""COMPUTED_VALUE"""),"LandPlane")</f>
        <v>LandPlane</v>
      </c>
      <c r="E338" s="5" t="str">
        <f ca="1">IFERROR(__xludf.DUMMYFUNCTION("""COMPUTED_VALUE"""),"Jet")</f>
        <v>Jet</v>
      </c>
      <c r="F338" s="5">
        <f ca="1">IFERROR(__xludf.DUMMYFUNCTION("""COMPUTED_VALUE"""),2)</f>
        <v>2</v>
      </c>
    </row>
    <row r="339" spans="1:6" ht="15" customHeight="1" x14ac:dyDescent="0.2">
      <c r="A339" s="5" t="str">
        <f ca="1">IFERROR(__xludf.DUMMYFUNCTION("""COMPUTED_VALUE"""),"B778")</f>
        <v>B778</v>
      </c>
      <c r="B339" s="5" t="str">
        <f ca="1">IFERROR(__xludf.DUMMYFUNCTION("""COMPUTED_VALUE"""),"BOEING")</f>
        <v>BOEING</v>
      </c>
      <c r="C339" s="5" t="str">
        <f ca="1">IFERROR(__xludf.DUMMYFUNCTION("""COMPUTED_VALUE"""),"777-8")</f>
        <v>777-8</v>
      </c>
      <c r="D339" s="5" t="str">
        <f ca="1">IFERROR(__xludf.DUMMYFUNCTION("""COMPUTED_VALUE"""),"LandPlane")</f>
        <v>LandPlane</v>
      </c>
      <c r="E339" s="5" t="str">
        <f ca="1">IFERROR(__xludf.DUMMYFUNCTION("""COMPUTED_VALUE"""),"Jet")</f>
        <v>Jet</v>
      </c>
      <c r="F339" s="5">
        <f ca="1">IFERROR(__xludf.DUMMYFUNCTION("""COMPUTED_VALUE"""),2)</f>
        <v>2</v>
      </c>
    </row>
    <row r="340" spans="1:6" ht="15" customHeight="1" x14ac:dyDescent="0.2">
      <c r="A340" s="5" t="str">
        <f ca="1">IFERROR(__xludf.DUMMYFUNCTION("""COMPUTED_VALUE"""),"B779")</f>
        <v>B779</v>
      </c>
      <c r="B340" s="5" t="str">
        <f ca="1">IFERROR(__xludf.DUMMYFUNCTION("""COMPUTED_VALUE"""),"BOEING")</f>
        <v>BOEING</v>
      </c>
      <c r="C340" s="5" t="str">
        <f ca="1">IFERROR(__xludf.DUMMYFUNCTION("""COMPUTED_VALUE"""),"777-9")</f>
        <v>777-9</v>
      </c>
      <c r="D340" s="5" t="str">
        <f ca="1">IFERROR(__xludf.DUMMYFUNCTION("""COMPUTED_VALUE"""),"LandPlane")</f>
        <v>LandPlane</v>
      </c>
      <c r="E340" s="5" t="str">
        <f ca="1">IFERROR(__xludf.DUMMYFUNCTION("""COMPUTED_VALUE"""),"Jet")</f>
        <v>Jet</v>
      </c>
      <c r="F340" s="5">
        <f ca="1">IFERROR(__xludf.DUMMYFUNCTION("""COMPUTED_VALUE"""),2)</f>
        <v>2</v>
      </c>
    </row>
    <row r="341" spans="1:6" ht="15" customHeight="1" x14ac:dyDescent="0.2">
      <c r="A341" s="5" t="str">
        <f ca="1">IFERROR(__xludf.DUMMYFUNCTION("""COMPUTED_VALUE"""),"B77L")</f>
        <v>B77L</v>
      </c>
      <c r="B341" s="5" t="str">
        <f ca="1">IFERROR(__xludf.DUMMYFUNCTION("""COMPUTED_VALUE"""),"BOEING")</f>
        <v>BOEING</v>
      </c>
      <c r="C341" s="5" t="str">
        <f ca="1">IFERROR(__xludf.DUMMYFUNCTION("""COMPUTED_VALUE"""),"777-200LR")</f>
        <v>777-200LR</v>
      </c>
      <c r="D341" s="5" t="str">
        <f ca="1">IFERROR(__xludf.DUMMYFUNCTION("""COMPUTED_VALUE"""),"LandPlane")</f>
        <v>LandPlane</v>
      </c>
      <c r="E341" s="5" t="str">
        <f ca="1">IFERROR(__xludf.DUMMYFUNCTION("""COMPUTED_VALUE"""),"Jet")</f>
        <v>Jet</v>
      </c>
      <c r="F341" s="5">
        <f ca="1">IFERROR(__xludf.DUMMYFUNCTION("""COMPUTED_VALUE"""),2)</f>
        <v>2</v>
      </c>
    </row>
    <row r="342" spans="1:6" ht="15" customHeight="1" x14ac:dyDescent="0.2">
      <c r="A342" s="5" t="str">
        <f ca="1">IFERROR(__xludf.DUMMYFUNCTION("""COMPUTED_VALUE"""),"B77W")</f>
        <v>B77W</v>
      </c>
      <c r="B342" s="5" t="str">
        <f ca="1">IFERROR(__xludf.DUMMYFUNCTION("""COMPUTED_VALUE"""),"BOEING")</f>
        <v>BOEING</v>
      </c>
      <c r="C342" s="5" t="str">
        <f ca="1">IFERROR(__xludf.DUMMYFUNCTION("""COMPUTED_VALUE"""),"777-300ER")</f>
        <v>777-300ER</v>
      </c>
      <c r="D342" s="5" t="str">
        <f ca="1">IFERROR(__xludf.DUMMYFUNCTION("""COMPUTED_VALUE"""),"LandPlane")</f>
        <v>LandPlane</v>
      </c>
      <c r="E342" s="5" t="str">
        <f ca="1">IFERROR(__xludf.DUMMYFUNCTION("""COMPUTED_VALUE"""),"Jet")</f>
        <v>Jet</v>
      </c>
      <c r="F342" s="5">
        <f ca="1">IFERROR(__xludf.DUMMYFUNCTION("""COMPUTED_VALUE"""),2)</f>
        <v>2</v>
      </c>
    </row>
    <row r="343" spans="1:6" ht="15" customHeight="1" x14ac:dyDescent="0.2">
      <c r="A343" s="5" t="str">
        <f ca="1">IFERROR(__xludf.DUMMYFUNCTION("""COMPUTED_VALUE"""),"B788")</f>
        <v>B788</v>
      </c>
      <c r="B343" s="5" t="str">
        <f ca="1">IFERROR(__xludf.DUMMYFUNCTION("""COMPUTED_VALUE"""),"BOEING")</f>
        <v>BOEING</v>
      </c>
      <c r="C343" s="5" t="str">
        <f ca="1">IFERROR(__xludf.DUMMYFUNCTION("""COMPUTED_VALUE"""),"787-8 Dreamliner")</f>
        <v>787-8 Dreamliner</v>
      </c>
      <c r="D343" s="5" t="str">
        <f ca="1">IFERROR(__xludf.DUMMYFUNCTION("""COMPUTED_VALUE"""),"LandPlane")</f>
        <v>LandPlane</v>
      </c>
      <c r="E343" s="5" t="str">
        <f ca="1">IFERROR(__xludf.DUMMYFUNCTION("""COMPUTED_VALUE"""),"Jet")</f>
        <v>Jet</v>
      </c>
      <c r="F343" s="5">
        <f ca="1">IFERROR(__xludf.DUMMYFUNCTION("""COMPUTED_VALUE"""),2)</f>
        <v>2</v>
      </c>
    </row>
    <row r="344" spans="1:6" ht="15" customHeight="1" x14ac:dyDescent="0.2">
      <c r="A344" s="5" t="str">
        <f ca="1">IFERROR(__xludf.DUMMYFUNCTION("""COMPUTED_VALUE"""),"B789")</f>
        <v>B789</v>
      </c>
      <c r="B344" s="5" t="str">
        <f ca="1">IFERROR(__xludf.DUMMYFUNCTION("""COMPUTED_VALUE"""),"BOEING")</f>
        <v>BOEING</v>
      </c>
      <c r="C344" s="5" t="str">
        <f ca="1">IFERROR(__xludf.DUMMYFUNCTION("""COMPUTED_VALUE"""),"787-9 Dreamliner")</f>
        <v>787-9 Dreamliner</v>
      </c>
      <c r="D344" s="5" t="str">
        <f ca="1">IFERROR(__xludf.DUMMYFUNCTION("""COMPUTED_VALUE"""),"LandPlane")</f>
        <v>LandPlane</v>
      </c>
      <c r="E344" s="5" t="str">
        <f ca="1">IFERROR(__xludf.DUMMYFUNCTION("""COMPUTED_VALUE"""),"Jet")</f>
        <v>Jet</v>
      </c>
      <c r="F344" s="5">
        <f ca="1">IFERROR(__xludf.DUMMYFUNCTION("""COMPUTED_VALUE"""),2)</f>
        <v>2</v>
      </c>
    </row>
    <row r="345" spans="1:6" ht="15" customHeight="1" x14ac:dyDescent="0.2">
      <c r="A345" s="5" t="str">
        <f ca="1">IFERROR(__xludf.DUMMYFUNCTION("""COMPUTED_VALUE"""),"B78X")</f>
        <v>B78X</v>
      </c>
      <c r="B345" s="5" t="str">
        <f ca="1">IFERROR(__xludf.DUMMYFUNCTION("""COMPUTED_VALUE"""),"BOEING")</f>
        <v>BOEING</v>
      </c>
      <c r="C345" s="5" t="str">
        <f ca="1">IFERROR(__xludf.DUMMYFUNCTION("""COMPUTED_VALUE"""),"787-10 Dreamliner")</f>
        <v>787-10 Dreamliner</v>
      </c>
      <c r="D345" s="5" t="str">
        <f ca="1">IFERROR(__xludf.DUMMYFUNCTION("""COMPUTED_VALUE"""),"LandPlane")</f>
        <v>LandPlane</v>
      </c>
      <c r="E345" s="5" t="str">
        <f ca="1">IFERROR(__xludf.DUMMYFUNCTION("""COMPUTED_VALUE"""),"Jet")</f>
        <v>Jet</v>
      </c>
      <c r="F345" s="5">
        <f ca="1">IFERROR(__xludf.DUMMYFUNCTION("""COMPUTED_VALUE"""),2)</f>
        <v>2</v>
      </c>
    </row>
    <row r="346" spans="1:6" ht="15" customHeight="1" x14ac:dyDescent="0.2">
      <c r="A346" s="5" t="str">
        <f ca="1">IFERROR(__xludf.DUMMYFUNCTION("""COMPUTED_VALUE"""),"BA11")</f>
        <v>BA11</v>
      </c>
      <c r="B346" s="5" t="str">
        <f ca="1">IFERROR(__xludf.DUMMYFUNCTION("""COMPUTED_VALUE"""),"BAC")</f>
        <v>BAC</v>
      </c>
      <c r="C346" s="5" t="str">
        <f ca="1">IFERROR(__xludf.DUMMYFUNCTION("""COMPUTED_VALUE"""),"111 One-Eleven")</f>
        <v>111 One-Eleven</v>
      </c>
      <c r="D346" s="5" t="str">
        <f ca="1">IFERROR(__xludf.DUMMYFUNCTION("""COMPUTED_VALUE"""),"LandPlane")</f>
        <v>LandPlane</v>
      </c>
      <c r="E346" s="5" t="str">
        <f ca="1">IFERROR(__xludf.DUMMYFUNCTION("""COMPUTED_VALUE"""),"Jet")</f>
        <v>Jet</v>
      </c>
      <c r="F346" s="5">
        <f ca="1">IFERROR(__xludf.DUMMYFUNCTION("""COMPUTED_VALUE"""),2)</f>
        <v>2</v>
      </c>
    </row>
    <row r="347" spans="1:6" ht="15" customHeight="1" x14ac:dyDescent="0.2">
      <c r="A347" s="5" t="str">
        <f ca="1">IFERROR(__xludf.DUMMYFUNCTION("""COMPUTED_VALUE"""),"BABY")</f>
        <v>BABY</v>
      </c>
      <c r="B347" s="5" t="str">
        <f ca="1">IFERROR(__xludf.DUMMYFUNCTION("""COMPUTED_VALUE"""),"CANADIAN HOME ROTORS")</f>
        <v>CANADIAN HOME ROTORS</v>
      </c>
      <c r="C347" s="5" t="str">
        <f ca="1">IFERROR(__xludf.DUMMYFUNCTION("""COMPUTED_VALUE"""),"Baby Belle")</f>
        <v>Baby Belle</v>
      </c>
      <c r="D347" s="5" t="str">
        <f ca="1">IFERROR(__xludf.DUMMYFUNCTION("""COMPUTED_VALUE"""),"Helicopter")</f>
        <v>Helicopter</v>
      </c>
      <c r="E347" s="5" t="str">
        <f ca="1">IFERROR(__xludf.DUMMYFUNCTION("""COMPUTED_VALUE"""),"Piston")</f>
        <v>Piston</v>
      </c>
      <c r="F347" s="5">
        <f ca="1">IFERROR(__xludf.DUMMYFUNCTION("""COMPUTED_VALUE"""),1)</f>
        <v>1</v>
      </c>
    </row>
    <row r="348" spans="1:6" ht="15" customHeight="1" x14ac:dyDescent="0.2">
      <c r="A348" s="5" t="str">
        <f ca="1">IFERROR(__xludf.DUMMYFUNCTION("""COMPUTED_VALUE"""),"BAR6")</f>
        <v>BAR6</v>
      </c>
      <c r="B348" s="5" t="str">
        <f ca="1">IFERROR(__xludf.DUMMYFUNCTION("""COMPUTED_VALUE"""),"BARR")</f>
        <v>BARR</v>
      </c>
      <c r="C348" s="5" t="str">
        <f ca="1">IFERROR(__xludf.DUMMYFUNCTION("""COMPUTED_VALUE"""),"BarrSix")</f>
        <v>BarrSix</v>
      </c>
      <c r="D348" s="5" t="str">
        <f ca="1">IFERROR(__xludf.DUMMYFUNCTION("""COMPUTED_VALUE"""),"LandPlane")</f>
        <v>LandPlane</v>
      </c>
      <c r="E348" s="5" t="str">
        <f ca="1">IFERROR(__xludf.DUMMYFUNCTION("""COMPUTED_VALUE"""),"Piston")</f>
        <v>Piston</v>
      </c>
      <c r="F348" s="5">
        <f ca="1">IFERROR(__xludf.DUMMYFUNCTION("""COMPUTED_VALUE"""),1)</f>
        <v>1</v>
      </c>
    </row>
    <row r="349" spans="1:6" ht="15" customHeight="1" x14ac:dyDescent="0.2">
      <c r="A349" s="5" t="str">
        <f ca="1">IFERROR(__xludf.DUMMYFUNCTION("""COMPUTED_VALUE"""),"BARC")</f>
        <v>BARC</v>
      </c>
      <c r="B349" s="5" t="str">
        <f ca="1">IFERROR(__xludf.DUMMYFUNCTION("""COMPUTED_VALUE"""),"BUETHE")</f>
        <v>BUETHE</v>
      </c>
      <c r="C349" s="5" t="str">
        <f ca="1">IFERROR(__xludf.DUMMYFUNCTION("""COMPUTED_VALUE"""),"Barracuda")</f>
        <v>Barracuda</v>
      </c>
      <c r="D349" s="5" t="str">
        <f ca="1">IFERROR(__xludf.DUMMYFUNCTION("""COMPUTED_VALUE"""),"LandPlane")</f>
        <v>LandPlane</v>
      </c>
      <c r="E349" s="5" t="str">
        <f ca="1">IFERROR(__xludf.DUMMYFUNCTION("""COMPUTED_VALUE"""),"Piston")</f>
        <v>Piston</v>
      </c>
      <c r="F349" s="5">
        <f ca="1">IFERROR(__xludf.DUMMYFUNCTION("""COMPUTED_VALUE"""),1)</f>
        <v>1</v>
      </c>
    </row>
    <row r="350" spans="1:6" ht="15" customHeight="1" x14ac:dyDescent="0.2">
      <c r="A350" s="5" t="str">
        <f ca="1">IFERROR(__xludf.DUMMYFUNCTION("""COMPUTED_VALUE"""),"BASS")</f>
        <v>BASS</v>
      </c>
      <c r="B350" s="5" t="str">
        <f ca="1">IFERROR(__xludf.DUMMYFUNCTION("""COMPUTED_VALUE"""),"BEAGLE")</f>
        <v>BEAGLE</v>
      </c>
      <c r="C350" s="5" t="str">
        <f ca="1">IFERROR(__xludf.DUMMYFUNCTION("""COMPUTED_VALUE"""),"B-206")</f>
        <v>B-206</v>
      </c>
      <c r="D350" s="5" t="str">
        <f ca="1">IFERROR(__xludf.DUMMYFUNCTION("""COMPUTED_VALUE"""),"LandPlane")</f>
        <v>LandPlane</v>
      </c>
      <c r="E350" s="5" t="str">
        <f ca="1">IFERROR(__xludf.DUMMYFUNCTION("""COMPUTED_VALUE"""),"Piston")</f>
        <v>Piston</v>
      </c>
      <c r="F350" s="5">
        <f ca="1">IFERROR(__xludf.DUMMYFUNCTION("""COMPUTED_VALUE"""),2)</f>
        <v>2</v>
      </c>
    </row>
    <row r="351" spans="1:6" ht="15" customHeight="1" x14ac:dyDescent="0.2">
      <c r="A351" s="5" t="str">
        <f ca="1">IFERROR(__xludf.DUMMYFUNCTION("""COMPUTED_VALUE"""),"BBAT")</f>
        <v>BBAT</v>
      </c>
      <c r="B351" s="5" t="str">
        <f ca="1">IFERROR(__xludf.DUMMYFUNCTION("""COMPUTED_VALUE"""),"BRADLEY")</f>
        <v>BRADLEY</v>
      </c>
      <c r="C351" s="5" t="str">
        <f ca="1">IFERROR(__xludf.DUMMYFUNCTION("""COMPUTED_VALUE"""),"BA-100 Aerobat")</f>
        <v>BA-100 Aerobat</v>
      </c>
      <c r="D351" s="5" t="str">
        <f ca="1">IFERROR(__xludf.DUMMYFUNCTION("""COMPUTED_VALUE"""),"LandPlane")</f>
        <v>LandPlane</v>
      </c>
      <c r="E351" s="5" t="str">
        <f ca="1">IFERROR(__xludf.DUMMYFUNCTION("""COMPUTED_VALUE"""),"Piston")</f>
        <v>Piston</v>
      </c>
      <c r="F351" s="5">
        <f ca="1">IFERROR(__xludf.DUMMYFUNCTION("""COMPUTED_VALUE"""),1)</f>
        <v>1</v>
      </c>
    </row>
    <row r="352" spans="1:6" ht="15" customHeight="1" x14ac:dyDescent="0.2">
      <c r="A352" s="5" t="str">
        <f ca="1">IFERROR(__xludf.DUMMYFUNCTION("""COMPUTED_VALUE"""),"BBIR")</f>
        <v>BBIR</v>
      </c>
      <c r="B352" s="5" t="str">
        <f ca="1">IFERROR(__xludf.DUMMYFUNCTION("""COMPUTED_VALUE"""),"HOVEY")</f>
        <v>HOVEY</v>
      </c>
      <c r="C352" s="5" t="str">
        <f ca="1">IFERROR(__xludf.DUMMYFUNCTION("""COMPUTED_VALUE"""),"Beta Bird")</f>
        <v>Beta Bird</v>
      </c>
      <c r="D352" s="5" t="str">
        <f ca="1">IFERROR(__xludf.DUMMYFUNCTION("""COMPUTED_VALUE"""),"LandPlane")</f>
        <v>LandPlane</v>
      </c>
      <c r="E352" s="5" t="str">
        <f ca="1">IFERROR(__xludf.DUMMYFUNCTION("""COMPUTED_VALUE"""),"Piston")</f>
        <v>Piston</v>
      </c>
      <c r="F352" s="5">
        <f ca="1">IFERROR(__xludf.DUMMYFUNCTION("""COMPUTED_VALUE"""),1)</f>
        <v>1</v>
      </c>
    </row>
    <row r="353" spans="1:6" ht="15" customHeight="1" x14ac:dyDescent="0.2">
      <c r="A353" s="5" t="str">
        <f ca="1">IFERROR(__xludf.DUMMYFUNCTION("""COMPUTED_VALUE"""),"BCA3")</f>
        <v>BCA3</v>
      </c>
      <c r="B353" s="5" t="str">
        <f ca="1">IFERROR(__xludf.DUMMYFUNCTION("""COMPUTED_VALUE"""),"BUHL")</f>
        <v>BUHL</v>
      </c>
      <c r="C353" s="5" t="str">
        <f ca="1">IFERROR(__xludf.DUMMYFUNCTION("""COMPUTED_VALUE"""),"CA-3 Sport Airsedan")</f>
        <v>CA-3 Sport Airsedan</v>
      </c>
      <c r="D353" s="5" t="str">
        <f ca="1">IFERROR(__xludf.DUMMYFUNCTION("""COMPUTED_VALUE"""),"LandPlane")</f>
        <v>LandPlane</v>
      </c>
      <c r="E353" s="5" t="str">
        <f ca="1">IFERROR(__xludf.DUMMYFUNCTION("""COMPUTED_VALUE"""),"Piston")</f>
        <v>Piston</v>
      </c>
      <c r="F353" s="5">
        <f ca="1">IFERROR(__xludf.DUMMYFUNCTION("""COMPUTED_VALUE"""),1)</f>
        <v>1</v>
      </c>
    </row>
    <row r="354" spans="1:6" ht="15" customHeight="1" x14ac:dyDescent="0.2">
      <c r="A354" s="5" t="str">
        <f ca="1">IFERROR(__xludf.DUMMYFUNCTION("""COMPUTED_VALUE"""),"BCAT")</f>
        <v>BCAT</v>
      </c>
      <c r="B354" s="5" t="str">
        <f ca="1">IFERROR(__xludf.DUMMYFUNCTION("""COMPUTED_VALUE"""),"GRUMMAN")</f>
        <v>GRUMMAN</v>
      </c>
      <c r="C354" s="5" t="str">
        <f ca="1">IFERROR(__xludf.DUMMYFUNCTION("""COMPUTED_VALUE"""),"F8F Bearcat")</f>
        <v>F8F Bearcat</v>
      </c>
      <c r="D354" s="5" t="str">
        <f ca="1">IFERROR(__xludf.DUMMYFUNCTION("""COMPUTED_VALUE"""),"LandPlane")</f>
        <v>LandPlane</v>
      </c>
      <c r="E354" s="5" t="str">
        <f ca="1">IFERROR(__xludf.DUMMYFUNCTION("""COMPUTED_VALUE"""),"Piston")</f>
        <v>Piston</v>
      </c>
      <c r="F354" s="5">
        <f ca="1">IFERROR(__xludf.DUMMYFUNCTION("""COMPUTED_VALUE"""),1)</f>
        <v>1</v>
      </c>
    </row>
    <row r="355" spans="1:6" ht="15" customHeight="1" x14ac:dyDescent="0.2">
      <c r="A355" s="5" t="str">
        <f ca="1">IFERROR(__xludf.DUMMYFUNCTION("""COMPUTED_VALUE"""),"BCS1")</f>
        <v>BCS1</v>
      </c>
      <c r="B355" s="5" t="str">
        <f ca="1">IFERROR(__xludf.DUMMYFUNCTION("""COMPUTED_VALUE"""),"AIRBUS")</f>
        <v>AIRBUS</v>
      </c>
      <c r="C355" s="5" t="str">
        <f ca="1">IFERROR(__xludf.DUMMYFUNCTION("""COMPUTED_VALUE"""),"A-220-100")</f>
        <v>A-220-100</v>
      </c>
      <c r="D355" s="5" t="str">
        <f ca="1">IFERROR(__xludf.DUMMYFUNCTION("""COMPUTED_VALUE"""),"LandPlane")</f>
        <v>LandPlane</v>
      </c>
      <c r="E355" s="5" t="str">
        <f ca="1">IFERROR(__xludf.DUMMYFUNCTION("""COMPUTED_VALUE"""),"Jet")</f>
        <v>Jet</v>
      </c>
      <c r="F355" s="5">
        <f ca="1">IFERROR(__xludf.DUMMYFUNCTION("""COMPUTED_VALUE"""),2)</f>
        <v>2</v>
      </c>
    </row>
    <row r="356" spans="1:6" ht="15" customHeight="1" x14ac:dyDescent="0.2">
      <c r="A356" s="5" t="str">
        <f ca="1">IFERROR(__xludf.DUMMYFUNCTION("""COMPUTED_VALUE"""),"BCS3")</f>
        <v>BCS3</v>
      </c>
      <c r="B356" s="5" t="str">
        <f ca="1">IFERROR(__xludf.DUMMYFUNCTION("""COMPUTED_VALUE"""),"AIRBUS")</f>
        <v>AIRBUS</v>
      </c>
      <c r="C356" s="5" t="str">
        <f ca="1">IFERROR(__xludf.DUMMYFUNCTION("""COMPUTED_VALUE"""),"A-220-300")</f>
        <v>A-220-300</v>
      </c>
      <c r="D356" s="5" t="str">
        <f ca="1">IFERROR(__xludf.DUMMYFUNCTION("""COMPUTED_VALUE"""),"LandPlane")</f>
        <v>LandPlane</v>
      </c>
      <c r="E356" s="5" t="str">
        <f ca="1">IFERROR(__xludf.DUMMYFUNCTION("""COMPUTED_VALUE"""),"Jet")</f>
        <v>Jet</v>
      </c>
      <c r="F356" s="5">
        <f ca="1">IFERROR(__xludf.DUMMYFUNCTION("""COMPUTED_VALUE"""),2)</f>
        <v>2</v>
      </c>
    </row>
    <row r="357" spans="1:6" ht="15" customHeight="1" x14ac:dyDescent="0.2">
      <c r="A357" s="5" t="str">
        <f ca="1">IFERROR(__xludf.DUMMYFUNCTION("""COMPUTED_VALUE"""),"BD10")</f>
        <v>BD10</v>
      </c>
      <c r="B357" s="5" t="str">
        <f ca="1">IFERROR(__xludf.DUMMYFUNCTION("""COMPUTED_VALUE"""),"BEDE")</f>
        <v>BEDE</v>
      </c>
      <c r="C357" s="5" t="str">
        <f ca="1">IFERROR(__xludf.DUMMYFUNCTION("""COMPUTED_VALUE"""),"BD-10")</f>
        <v>BD-10</v>
      </c>
      <c r="D357" s="5" t="str">
        <f ca="1">IFERROR(__xludf.DUMMYFUNCTION("""COMPUTED_VALUE"""),"LandPlane")</f>
        <v>LandPlane</v>
      </c>
      <c r="E357" s="5" t="str">
        <f ca="1">IFERROR(__xludf.DUMMYFUNCTION("""COMPUTED_VALUE"""),"Jet")</f>
        <v>Jet</v>
      </c>
      <c r="F357" s="5">
        <f ca="1">IFERROR(__xludf.DUMMYFUNCTION("""COMPUTED_VALUE"""),1)</f>
        <v>1</v>
      </c>
    </row>
    <row r="358" spans="1:6" ht="15" customHeight="1" x14ac:dyDescent="0.2">
      <c r="A358" s="5" t="str">
        <f ca="1">IFERROR(__xludf.DUMMYFUNCTION("""COMPUTED_VALUE"""),"BD12")</f>
        <v>BD12</v>
      </c>
      <c r="B358" s="5" t="str">
        <f ca="1">IFERROR(__xludf.DUMMYFUNCTION("""COMPUTED_VALUE"""),"BEDE")</f>
        <v>BEDE</v>
      </c>
      <c r="C358" s="5" t="str">
        <f ca="1">IFERROR(__xludf.DUMMYFUNCTION("""COMPUTED_VALUE"""),"BD-12")</f>
        <v>BD-12</v>
      </c>
      <c r="D358" s="5" t="str">
        <f ca="1">IFERROR(__xludf.DUMMYFUNCTION("""COMPUTED_VALUE"""),"LandPlane")</f>
        <v>LandPlane</v>
      </c>
      <c r="E358" s="5" t="str">
        <f ca="1">IFERROR(__xludf.DUMMYFUNCTION("""COMPUTED_VALUE"""),"Piston")</f>
        <v>Piston</v>
      </c>
      <c r="F358" s="5">
        <f ca="1">IFERROR(__xludf.DUMMYFUNCTION("""COMPUTED_VALUE"""),1)</f>
        <v>1</v>
      </c>
    </row>
    <row r="359" spans="1:6" ht="15" customHeight="1" x14ac:dyDescent="0.2">
      <c r="A359" s="5" t="str">
        <f ca="1">IFERROR(__xludf.DUMMYFUNCTION("""COMPUTED_VALUE"""),"BD17")</f>
        <v>BD17</v>
      </c>
      <c r="B359" s="5" t="str">
        <f ca="1">IFERROR(__xludf.DUMMYFUNCTION("""COMPUTED_VALUE"""),"BEDE")</f>
        <v>BEDE</v>
      </c>
      <c r="C359" s="5" t="str">
        <f ca="1">IFERROR(__xludf.DUMMYFUNCTION("""COMPUTED_VALUE"""),"BD-17 Nuggett")</f>
        <v>BD-17 Nuggett</v>
      </c>
      <c r="D359" s="5" t="str">
        <f ca="1">IFERROR(__xludf.DUMMYFUNCTION("""COMPUTED_VALUE"""),"LandPlane")</f>
        <v>LandPlane</v>
      </c>
      <c r="E359" s="5" t="str">
        <f ca="1">IFERROR(__xludf.DUMMYFUNCTION("""COMPUTED_VALUE"""),"Piston")</f>
        <v>Piston</v>
      </c>
      <c r="F359" s="5">
        <f ca="1">IFERROR(__xludf.DUMMYFUNCTION("""COMPUTED_VALUE"""),1)</f>
        <v>1</v>
      </c>
    </row>
    <row r="360" spans="1:6" ht="15" customHeight="1" x14ac:dyDescent="0.2">
      <c r="A360" s="5" t="str">
        <f ca="1">IFERROR(__xludf.DUMMYFUNCTION("""COMPUTED_VALUE"""),"BD4")</f>
        <v>BD4</v>
      </c>
      <c r="B360" s="5" t="str">
        <f ca="1">IFERROR(__xludf.DUMMYFUNCTION("""COMPUTED_VALUE"""),"BEDE")</f>
        <v>BEDE</v>
      </c>
      <c r="C360" s="5" t="str">
        <f ca="1">IFERROR(__xludf.DUMMYFUNCTION("""COMPUTED_VALUE"""),"BD-4")</f>
        <v>BD-4</v>
      </c>
      <c r="D360" s="5" t="str">
        <f ca="1">IFERROR(__xludf.DUMMYFUNCTION("""COMPUTED_VALUE"""),"LandPlane")</f>
        <v>LandPlane</v>
      </c>
      <c r="E360" s="5" t="str">
        <f ca="1">IFERROR(__xludf.DUMMYFUNCTION("""COMPUTED_VALUE"""),"Piston")</f>
        <v>Piston</v>
      </c>
      <c r="F360" s="5">
        <f ca="1">IFERROR(__xludf.DUMMYFUNCTION("""COMPUTED_VALUE"""),1)</f>
        <v>1</v>
      </c>
    </row>
    <row r="361" spans="1:6" ht="15" customHeight="1" x14ac:dyDescent="0.2">
      <c r="A361" s="5" t="str">
        <f ca="1">IFERROR(__xludf.DUMMYFUNCTION("""COMPUTED_VALUE"""),"BD5")</f>
        <v>BD5</v>
      </c>
      <c r="B361" s="5" t="str">
        <f ca="1">IFERROR(__xludf.DUMMYFUNCTION("""COMPUTED_VALUE"""),"BEDE")</f>
        <v>BEDE</v>
      </c>
      <c r="C361" s="5" t="str">
        <f ca="1">IFERROR(__xludf.DUMMYFUNCTION("""COMPUTED_VALUE"""),"Micro (BD-5B/D/G)")</f>
        <v>Micro (BD-5B/D/G)</v>
      </c>
      <c r="D361" s="5" t="str">
        <f ca="1">IFERROR(__xludf.DUMMYFUNCTION("""COMPUTED_VALUE"""),"LandPlane")</f>
        <v>LandPlane</v>
      </c>
      <c r="E361" s="5" t="str">
        <f ca="1">IFERROR(__xludf.DUMMYFUNCTION("""COMPUTED_VALUE"""),"Piston")</f>
        <v>Piston</v>
      </c>
      <c r="F361" s="5">
        <f ca="1">IFERROR(__xludf.DUMMYFUNCTION("""COMPUTED_VALUE"""),1)</f>
        <v>1</v>
      </c>
    </row>
    <row r="362" spans="1:6" ht="15" customHeight="1" x14ac:dyDescent="0.2">
      <c r="A362" s="5" t="str">
        <f ca="1">IFERROR(__xludf.DUMMYFUNCTION("""COMPUTED_VALUE"""),"BD5J")</f>
        <v>BD5J</v>
      </c>
      <c r="B362" s="5" t="str">
        <f ca="1">IFERROR(__xludf.DUMMYFUNCTION("""COMPUTED_VALUE"""),"BEDE")</f>
        <v>BEDE</v>
      </c>
      <c r="C362" s="5" t="str">
        <f ca="1">IFERROR(__xludf.DUMMYFUNCTION("""COMPUTED_VALUE"""),"BD-5J Micro")</f>
        <v>BD-5J Micro</v>
      </c>
      <c r="D362" s="5" t="str">
        <f ca="1">IFERROR(__xludf.DUMMYFUNCTION("""COMPUTED_VALUE"""),"LandPlane")</f>
        <v>LandPlane</v>
      </c>
      <c r="E362" s="5" t="str">
        <f ca="1">IFERROR(__xludf.DUMMYFUNCTION("""COMPUTED_VALUE"""),"Jet")</f>
        <v>Jet</v>
      </c>
      <c r="F362" s="5">
        <f ca="1">IFERROR(__xludf.DUMMYFUNCTION("""COMPUTED_VALUE"""),1)</f>
        <v>1</v>
      </c>
    </row>
    <row r="363" spans="1:6" ht="15" customHeight="1" x14ac:dyDescent="0.2">
      <c r="A363" s="5" t="str">
        <f ca="1">IFERROR(__xludf.DUMMYFUNCTION("""COMPUTED_VALUE"""),"BD5T")</f>
        <v>BD5T</v>
      </c>
      <c r="B363" s="5" t="str">
        <f ca="1">IFERROR(__xludf.DUMMYFUNCTION("""COMPUTED_VALUE"""),"BEDE")</f>
        <v>BEDE</v>
      </c>
      <c r="C363" s="5" t="str">
        <f ca="1">IFERROR(__xludf.DUMMYFUNCTION("""COMPUTED_VALUE"""),"BD-5TP Micro")</f>
        <v>BD-5TP Micro</v>
      </c>
      <c r="D363" s="5" t="str">
        <f ca="1">IFERROR(__xludf.DUMMYFUNCTION("""COMPUTED_VALUE"""),"LandPlane")</f>
        <v>LandPlane</v>
      </c>
      <c r="E363" s="5" t="str">
        <f ca="1">IFERROR(__xludf.DUMMYFUNCTION("""COMPUTED_VALUE"""),"Turboprop/Turboshaft")</f>
        <v>Turboprop/Turboshaft</v>
      </c>
      <c r="F363" s="5">
        <f ca="1">IFERROR(__xludf.DUMMYFUNCTION("""COMPUTED_VALUE"""),1)</f>
        <v>1</v>
      </c>
    </row>
    <row r="364" spans="1:6" ht="15" customHeight="1" x14ac:dyDescent="0.2">
      <c r="A364" s="5" t="str">
        <f ca="1">IFERROR(__xludf.DUMMYFUNCTION("""COMPUTED_VALUE"""),"BDOG")</f>
        <v>BDOG</v>
      </c>
      <c r="B364" s="5" t="str">
        <f ca="1">IFERROR(__xludf.DUMMYFUNCTION("""COMPUTED_VALUE"""),"SCOTTISH AVIATION")</f>
        <v>SCOTTISH AVIATION</v>
      </c>
      <c r="C364" s="5" t="str">
        <f ca="1">IFERROR(__xludf.DUMMYFUNCTION("""COMPUTED_VALUE"""),"SA-3 Bulldog")</f>
        <v>SA-3 Bulldog</v>
      </c>
      <c r="D364" s="5" t="str">
        <f ca="1">IFERROR(__xludf.DUMMYFUNCTION("""COMPUTED_VALUE"""),"LandPlane")</f>
        <v>LandPlane</v>
      </c>
      <c r="E364" s="5" t="str">
        <f ca="1">IFERROR(__xludf.DUMMYFUNCTION("""COMPUTED_VALUE"""),"Piston")</f>
        <v>Piston</v>
      </c>
      <c r="F364" s="5">
        <f ca="1">IFERROR(__xludf.DUMMYFUNCTION("""COMPUTED_VALUE"""),1)</f>
        <v>1</v>
      </c>
    </row>
    <row r="365" spans="1:6" ht="15" customHeight="1" x14ac:dyDescent="0.2">
      <c r="A365" s="5" t="str">
        <f ca="1">IFERROR(__xludf.DUMMYFUNCTION("""COMPUTED_VALUE"""),"BE10")</f>
        <v>BE10</v>
      </c>
      <c r="B365" s="5" t="str">
        <f ca="1">IFERROR(__xludf.DUMMYFUNCTION("""COMPUTED_VALUE"""),"BEECH")</f>
        <v>BEECH</v>
      </c>
      <c r="C365" s="5" t="str">
        <f ca="1">IFERROR(__xludf.DUMMYFUNCTION("""COMPUTED_VALUE"""),"100 King Air")</f>
        <v>100 King Air</v>
      </c>
      <c r="D365" s="5" t="str">
        <f ca="1">IFERROR(__xludf.DUMMYFUNCTION("""COMPUTED_VALUE"""),"LandPlane")</f>
        <v>LandPlane</v>
      </c>
      <c r="E365" s="5" t="str">
        <f ca="1">IFERROR(__xludf.DUMMYFUNCTION("""COMPUTED_VALUE"""),"Turboprop/Turboshaft")</f>
        <v>Turboprop/Turboshaft</v>
      </c>
      <c r="F365" s="5">
        <f ca="1">IFERROR(__xludf.DUMMYFUNCTION("""COMPUTED_VALUE"""),2)</f>
        <v>2</v>
      </c>
    </row>
    <row r="366" spans="1:6" ht="15" customHeight="1" x14ac:dyDescent="0.2">
      <c r="A366" s="5" t="str">
        <f ca="1">IFERROR(__xludf.DUMMYFUNCTION("""COMPUTED_VALUE"""),"BE12")</f>
        <v>BE12</v>
      </c>
      <c r="B366" s="5" t="str">
        <f ca="1">IFERROR(__xludf.DUMMYFUNCTION("""COMPUTED_VALUE"""),"BERIEV")</f>
        <v>BERIEV</v>
      </c>
      <c r="C366" s="5" t="str">
        <f ca="1">IFERROR(__xludf.DUMMYFUNCTION("""COMPUTED_VALUE"""),"Be-12 Tchaika")</f>
        <v>Be-12 Tchaika</v>
      </c>
      <c r="D366" s="5" t="str">
        <f ca="1">IFERROR(__xludf.DUMMYFUNCTION("""COMPUTED_VALUE"""),"Amphibian")</f>
        <v>Amphibian</v>
      </c>
      <c r="E366" s="5" t="str">
        <f ca="1">IFERROR(__xludf.DUMMYFUNCTION("""COMPUTED_VALUE"""),"Turboprop/Turboshaft")</f>
        <v>Turboprop/Turboshaft</v>
      </c>
      <c r="F366" s="5">
        <f ca="1">IFERROR(__xludf.DUMMYFUNCTION("""COMPUTED_VALUE"""),2)</f>
        <v>2</v>
      </c>
    </row>
    <row r="367" spans="1:6" ht="15" customHeight="1" x14ac:dyDescent="0.2">
      <c r="A367" s="5" t="str">
        <f ca="1">IFERROR(__xludf.DUMMYFUNCTION("""COMPUTED_VALUE"""),"BE17")</f>
        <v>BE17</v>
      </c>
      <c r="B367" s="5" t="str">
        <f ca="1">IFERROR(__xludf.DUMMYFUNCTION("""COMPUTED_VALUE"""),"BEECH")</f>
        <v>BEECH</v>
      </c>
      <c r="C367" s="5" t="str">
        <f ca="1">IFERROR(__xludf.DUMMYFUNCTION("""COMPUTED_VALUE"""),"17 Staggerwing")</f>
        <v>17 Staggerwing</v>
      </c>
      <c r="D367" s="5" t="str">
        <f ca="1">IFERROR(__xludf.DUMMYFUNCTION("""COMPUTED_VALUE"""),"LandPlane")</f>
        <v>LandPlane</v>
      </c>
      <c r="E367" s="5" t="str">
        <f ca="1">IFERROR(__xludf.DUMMYFUNCTION("""COMPUTED_VALUE"""),"Piston")</f>
        <v>Piston</v>
      </c>
      <c r="F367" s="5">
        <f ca="1">IFERROR(__xludf.DUMMYFUNCTION("""COMPUTED_VALUE"""),1)</f>
        <v>1</v>
      </c>
    </row>
    <row r="368" spans="1:6" ht="15" customHeight="1" x14ac:dyDescent="0.2">
      <c r="A368" s="5" t="str">
        <f ca="1">IFERROR(__xludf.DUMMYFUNCTION("""COMPUTED_VALUE"""),"BE18")</f>
        <v>BE18</v>
      </c>
      <c r="B368" s="5" t="str">
        <f ca="1">IFERROR(__xludf.DUMMYFUNCTION("""COMPUTED_VALUE"""),"BEECH")</f>
        <v>BEECH</v>
      </c>
      <c r="C368" s="5" t="str">
        <f ca="1">IFERROR(__xludf.DUMMYFUNCTION("""COMPUTED_VALUE"""),"18 (piston)")</f>
        <v>18 (piston)</v>
      </c>
      <c r="D368" s="5" t="str">
        <f ca="1">IFERROR(__xludf.DUMMYFUNCTION("""COMPUTED_VALUE"""),"LandPlane")</f>
        <v>LandPlane</v>
      </c>
      <c r="E368" s="5" t="str">
        <f ca="1">IFERROR(__xludf.DUMMYFUNCTION("""COMPUTED_VALUE"""),"Piston")</f>
        <v>Piston</v>
      </c>
      <c r="F368" s="5">
        <f ca="1">IFERROR(__xludf.DUMMYFUNCTION("""COMPUTED_VALUE"""),2)</f>
        <v>2</v>
      </c>
    </row>
    <row r="369" spans="1:6" ht="15" customHeight="1" x14ac:dyDescent="0.2">
      <c r="A369" s="5" t="str">
        <f ca="1">IFERROR(__xludf.DUMMYFUNCTION("""COMPUTED_VALUE"""),"BE19")</f>
        <v>BE19</v>
      </c>
      <c r="B369" s="5" t="str">
        <f ca="1">IFERROR(__xludf.DUMMYFUNCTION("""COMPUTED_VALUE"""),"BEECH")</f>
        <v>BEECH</v>
      </c>
      <c r="C369" s="5" t="str">
        <f ca="1">IFERROR(__xludf.DUMMYFUNCTION("""COMPUTED_VALUE"""),"19 Musketeer Sport")</f>
        <v>19 Musketeer Sport</v>
      </c>
      <c r="D369" s="5" t="str">
        <f ca="1">IFERROR(__xludf.DUMMYFUNCTION("""COMPUTED_VALUE"""),"LandPlane")</f>
        <v>LandPlane</v>
      </c>
      <c r="E369" s="5" t="str">
        <f ca="1">IFERROR(__xludf.DUMMYFUNCTION("""COMPUTED_VALUE"""),"Piston")</f>
        <v>Piston</v>
      </c>
      <c r="F369" s="5">
        <f ca="1">IFERROR(__xludf.DUMMYFUNCTION("""COMPUTED_VALUE"""),1)</f>
        <v>1</v>
      </c>
    </row>
    <row r="370" spans="1:6" ht="15" customHeight="1" x14ac:dyDescent="0.2">
      <c r="A370" s="5" t="str">
        <f ca="1">IFERROR(__xludf.DUMMYFUNCTION("""COMPUTED_VALUE"""),"BE20")</f>
        <v>BE20</v>
      </c>
      <c r="B370" s="5" t="str">
        <f ca="1">IFERROR(__xludf.DUMMYFUNCTION("""COMPUTED_VALUE"""),"BEECHCRAFT")</f>
        <v>BEECHCRAFT</v>
      </c>
      <c r="C370" s="5" t="str">
        <f ca="1">IFERROR(__xludf.DUMMYFUNCTION("""COMPUTED_VALUE"""),"200 King Air 250")</f>
        <v>200 King Air 250</v>
      </c>
      <c r="D370" s="5" t="str">
        <f ca="1">IFERROR(__xludf.DUMMYFUNCTION("""COMPUTED_VALUE"""),"LandPlane")</f>
        <v>LandPlane</v>
      </c>
      <c r="E370" s="5" t="str">
        <f ca="1">IFERROR(__xludf.DUMMYFUNCTION("""COMPUTED_VALUE"""),"Turboprop/Turboshaft")</f>
        <v>Turboprop/Turboshaft</v>
      </c>
      <c r="F370" s="5">
        <f ca="1">IFERROR(__xludf.DUMMYFUNCTION("""COMPUTED_VALUE"""),2)</f>
        <v>2</v>
      </c>
    </row>
    <row r="371" spans="1:6" ht="15" customHeight="1" x14ac:dyDescent="0.2">
      <c r="A371" s="5" t="str">
        <f ca="1">IFERROR(__xludf.DUMMYFUNCTION("""COMPUTED_VALUE"""),"BE22")</f>
        <v>BE22</v>
      </c>
      <c r="B371" s="5" t="str">
        <f ca="1">IFERROR(__xludf.DUMMYFUNCTION("""COMPUTED_VALUE"""),"BEECHCRAFT")</f>
        <v>BEECHCRAFT</v>
      </c>
      <c r="C371" s="5" t="str">
        <f ca="1">IFERROR(__xludf.DUMMYFUNCTION("""COMPUTED_VALUE"""),"220 Denali")</f>
        <v>220 Denali</v>
      </c>
      <c r="D371" s="5" t="str">
        <f ca="1">IFERROR(__xludf.DUMMYFUNCTION("""COMPUTED_VALUE"""),"LandPlane")</f>
        <v>LandPlane</v>
      </c>
      <c r="E371" s="5" t="str">
        <f ca="1">IFERROR(__xludf.DUMMYFUNCTION("""COMPUTED_VALUE"""),"Turboprop/Turboshaft")</f>
        <v>Turboprop/Turboshaft</v>
      </c>
      <c r="F371" s="5">
        <f ca="1">IFERROR(__xludf.DUMMYFUNCTION("""COMPUTED_VALUE"""),1)</f>
        <v>1</v>
      </c>
    </row>
    <row r="372" spans="1:6" ht="15" customHeight="1" x14ac:dyDescent="0.2">
      <c r="A372" s="5" t="str">
        <f ca="1">IFERROR(__xludf.DUMMYFUNCTION("""COMPUTED_VALUE"""),"BE23")</f>
        <v>BE23</v>
      </c>
      <c r="B372" s="5" t="str">
        <f ca="1">IFERROR(__xludf.DUMMYFUNCTION("""COMPUTED_VALUE"""),"BEECH")</f>
        <v>BEECH</v>
      </c>
      <c r="C372" s="5" t="str">
        <f ca="1">IFERROR(__xludf.DUMMYFUNCTION("""COMPUTED_VALUE"""),"23 Musketeer")</f>
        <v>23 Musketeer</v>
      </c>
      <c r="D372" s="5" t="str">
        <f ca="1">IFERROR(__xludf.DUMMYFUNCTION("""COMPUTED_VALUE"""),"LandPlane")</f>
        <v>LandPlane</v>
      </c>
      <c r="E372" s="5" t="str">
        <f ca="1">IFERROR(__xludf.DUMMYFUNCTION("""COMPUTED_VALUE"""),"Piston")</f>
        <v>Piston</v>
      </c>
      <c r="F372" s="5">
        <f ca="1">IFERROR(__xludf.DUMMYFUNCTION("""COMPUTED_VALUE"""),1)</f>
        <v>1</v>
      </c>
    </row>
    <row r="373" spans="1:6" ht="15" customHeight="1" x14ac:dyDescent="0.2">
      <c r="A373" s="5" t="str">
        <f ca="1">IFERROR(__xludf.DUMMYFUNCTION("""COMPUTED_VALUE"""),"BE24")</f>
        <v>BE24</v>
      </c>
      <c r="B373" s="5" t="str">
        <f ca="1">IFERROR(__xludf.DUMMYFUNCTION("""COMPUTED_VALUE"""),"BEECH")</f>
        <v>BEECH</v>
      </c>
      <c r="C373" s="5" t="str">
        <f ca="1">IFERROR(__xludf.DUMMYFUNCTION("""COMPUTED_VALUE"""),"24 Musketeer Super")</f>
        <v>24 Musketeer Super</v>
      </c>
      <c r="D373" s="5" t="str">
        <f ca="1">IFERROR(__xludf.DUMMYFUNCTION("""COMPUTED_VALUE"""),"LandPlane")</f>
        <v>LandPlane</v>
      </c>
      <c r="E373" s="5" t="str">
        <f ca="1">IFERROR(__xludf.DUMMYFUNCTION("""COMPUTED_VALUE"""),"Piston")</f>
        <v>Piston</v>
      </c>
      <c r="F373" s="5">
        <f ca="1">IFERROR(__xludf.DUMMYFUNCTION("""COMPUTED_VALUE"""),1)</f>
        <v>1</v>
      </c>
    </row>
    <row r="374" spans="1:6" ht="15" customHeight="1" x14ac:dyDescent="0.2">
      <c r="A374" s="5" t="str">
        <f ca="1">IFERROR(__xludf.DUMMYFUNCTION("""COMPUTED_VALUE"""),"BE30")</f>
        <v>BE30</v>
      </c>
      <c r="B374" s="5" t="str">
        <f ca="1">IFERROR(__xludf.DUMMYFUNCTION("""COMPUTED_VALUE"""),"RAYTHEON")</f>
        <v>RAYTHEON</v>
      </c>
      <c r="C374" s="5" t="str">
        <f ca="1">IFERROR(__xludf.DUMMYFUNCTION("""COMPUTED_VALUE"""),"300 Super King Air")</f>
        <v>300 Super King Air</v>
      </c>
      <c r="D374" s="5" t="str">
        <f ca="1">IFERROR(__xludf.DUMMYFUNCTION("""COMPUTED_VALUE"""),"LandPlane")</f>
        <v>LandPlane</v>
      </c>
      <c r="E374" s="5" t="str">
        <f ca="1">IFERROR(__xludf.DUMMYFUNCTION("""COMPUTED_VALUE"""),"Turboprop/Turboshaft")</f>
        <v>Turboprop/Turboshaft</v>
      </c>
      <c r="F374" s="5">
        <f ca="1">IFERROR(__xludf.DUMMYFUNCTION("""COMPUTED_VALUE"""),2)</f>
        <v>2</v>
      </c>
    </row>
    <row r="375" spans="1:6" ht="15" customHeight="1" x14ac:dyDescent="0.2">
      <c r="A375" s="5" t="str">
        <f ca="1">IFERROR(__xludf.DUMMYFUNCTION("""COMPUTED_VALUE"""),"BE32")</f>
        <v>BE32</v>
      </c>
      <c r="B375" s="5" t="str">
        <f ca="1">IFERROR(__xludf.DUMMYFUNCTION("""COMPUTED_VALUE"""),"BERIEV")</f>
        <v>BERIEV</v>
      </c>
      <c r="C375" s="5" t="str">
        <f ca="1">IFERROR(__xludf.DUMMYFUNCTION("""COMPUTED_VALUE"""),"Be-32")</f>
        <v>Be-32</v>
      </c>
      <c r="D375" s="5" t="str">
        <f ca="1">IFERROR(__xludf.DUMMYFUNCTION("""COMPUTED_VALUE"""),"LandPlane")</f>
        <v>LandPlane</v>
      </c>
      <c r="E375" s="5" t="str">
        <f ca="1">IFERROR(__xludf.DUMMYFUNCTION("""COMPUTED_VALUE"""),"Turboprop/Turboshaft")</f>
        <v>Turboprop/Turboshaft</v>
      </c>
      <c r="F375" s="5">
        <f ca="1">IFERROR(__xludf.DUMMYFUNCTION("""COMPUTED_VALUE"""),2)</f>
        <v>2</v>
      </c>
    </row>
    <row r="376" spans="1:6" ht="15" customHeight="1" x14ac:dyDescent="0.2">
      <c r="A376" s="5" t="str">
        <f ca="1">IFERROR(__xludf.DUMMYFUNCTION("""COMPUTED_VALUE"""),"BE33")</f>
        <v>BE33</v>
      </c>
      <c r="B376" s="5" t="str">
        <f ca="1">IFERROR(__xludf.DUMMYFUNCTION("""COMPUTED_VALUE"""),"BEECH")</f>
        <v>BEECH</v>
      </c>
      <c r="C376" s="5" t="str">
        <f ca="1">IFERROR(__xludf.DUMMYFUNCTION("""COMPUTED_VALUE"""),"33 Bonanza")</f>
        <v>33 Bonanza</v>
      </c>
      <c r="D376" s="5" t="str">
        <f ca="1">IFERROR(__xludf.DUMMYFUNCTION("""COMPUTED_VALUE"""),"LandPlane")</f>
        <v>LandPlane</v>
      </c>
      <c r="E376" s="5" t="str">
        <f ca="1">IFERROR(__xludf.DUMMYFUNCTION("""COMPUTED_VALUE"""),"Piston")</f>
        <v>Piston</v>
      </c>
      <c r="F376" s="5">
        <f ca="1">IFERROR(__xludf.DUMMYFUNCTION("""COMPUTED_VALUE"""),1)</f>
        <v>1</v>
      </c>
    </row>
    <row r="377" spans="1:6" ht="15" customHeight="1" x14ac:dyDescent="0.2">
      <c r="A377" s="5" t="str">
        <f ca="1">IFERROR(__xludf.DUMMYFUNCTION("""COMPUTED_VALUE"""),"BE35")</f>
        <v>BE35</v>
      </c>
      <c r="B377" s="5" t="str">
        <f ca="1">IFERROR(__xludf.DUMMYFUNCTION("""COMPUTED_VALUE"""),"BEECH")</f>
        <v>BEECH</v>
      </c>
      <c r="C377" s="5" t="str">
        <f ca="1">IFERROR(__xludf.DUMMYFUNCTION("""COMPUTED_VALUE"""),"35 Bonanza")</f>
        <v>35 Bonanza</v>
      </c>
      <c r="D377" s="5" t="str">
        <f ca="1">IFERROR(__xludf.DUMMYFUNCTION("""COMPUTED_VALUE"""),"LandPlane")</f>
        <v>LandPlane</v>
      </c>
      <c r="E377" s="5" t="str">
        <f ca="1">IFERROR(__xludf.DUMMYFUNCTION("""COMPUTED_VALUE"""),"Piston")</f>
        <v>Piston</v>
      </c>
      <c r="F377" s="5">
        <f ca="1">IFERROR(__xludf.DUMMYFUNCTION("""COMPUTED_VALUE"""),1)</f>
        <v>1</v>
      </c>
    </row>
    <row r="378" spans="1:6" ht="15" customHeight="1" x14ac:dyDescent="0.2">
      <c r="A378" s="5" t="str">
        <f ca="1">IFERROR(__xludf.DUMMYFUNCTION("""COMPUTED_VALUE"""),"BE36")</f>
        <v>BE36</v>
      </c>
      <c r="B378" s="5" t="str">
        <f ca="1">IFERROR(__xludf.DUMMYFUNCTION("""COMPUTED_VALUE"""),"BEECH")</f>
        <v>BEECH</v>
      </c>
      <c r="C378" s="5" t="str">
        <f ca="1">IFERROR(__xludf.DUMMYFUNCTION("""COMPUTED_VALUE"""),"36 Bonanza 36")</f>
        <v>36 Bonanza 36</v>
      </c>
      <c r="D378" s="5" t="str">
        <f ca="1">IFERROR(__xludf.DUMMYFUNCTION("""COMPUTED_VALUE"""),"LandPlane")</f>
        <v>LandPlane</v>
      </c>
      <c r="E378" s="5" t="str">
        <f ca="1">IFERROR(__xludf.DUMMYFUNCTION("""COMPUTED_VALUE"""),"Piston")</f>
        <v>Piston</v>
      </c>
      <c r="F378" s="5">
        <f ca="1">IFERROR(__xludf.DUMMYFUNCTION("""COMPUTED_VALUE"""),1)</f>
        <v>1</v>
      </c>
    </row>
    <row r="379" spans="1:6" ht="15" customHeight="1" x14ac:dyDescent="0.2">
      <c r="A379" s="5" t="str">
        <f ca="1">IFERROR(__xludf.DUMMYFUNCTION("""COMPUTED_VALUE"""),"BE40")</f>
        <v>BE40</v>
      </c>
      <c r="B379" s="5" t="str">
        <f ca="1">IFERROR(__xludf.DUMMYFUNCTION("""COMPUTED_VALUE"""),"RAYTHEON")</f>
        <v>RAYTHEON</v>
      </c>
      <c r="C379" s="5" t="str">
        <f ca="1">IFERROR(__xludf.DUMMYFUNCTION("""COMPUTED_VALUE"""),"Hawker 400XP")</f>
        <v>Hawker 400XP</v>
      </c>
      <c r="D379" s="5" t="str">
        <f ca="1">IFERROR(__xludf.DUMMYFUNCTION("""COMPUTED_VALUE"""),"LandPlane")</f>
        <v>LandPlane</v>
      </c>
      <c r="E379" s="5" t="str">
        <f ca="1">IFERROR(__xludf.DUMMYFUNCTION("""COMPUTED_VALUE"""),"Jet")</f>
        <v>Jet</v>
      </c>
      <c r="F379" s="5">
        <f ca="1">IFERROR(__xludf.DUMMYFUNCTION("""COMPUTED_VALUE"""),2)</f>
        <v>2</v>
      </c>
    </row>
    <row r="380" spans="1:6" ht="15" customHeight="1" x14ac:dyDescent="0.2">
      <c r="A380" s="5" t="str">
        <f ca="1">IFERROR(__xludf.DUMMYFUNCTION("""COMPUTED_VALUE"""),"BE4W")</f>
        <v>BE4W</v>
      </c>
      <c r="B380" s="5" t="str">
        <f ca="1">IFERROR(__xludf.DUMMYFUNCTION("""COMPUTED_VALUE"""),"RAYTHEON")</f>
        <v>RAYTHEON</v>
      </c>
      <c r="C380" s="5" t="str">
        <f ca="1">IFERROR(__xludf.DUMMYFUNCTION("""COMPUTED_VALUE"""),"Hawker 400XT")</f>
        <v>Hawker 400XT</v>
      </c>
      <c r="D380" s="5" t="str">
        <f ca="1">IFERROR(__xludf.DUMMYFUNCTION("""COMPUTED_VALUE"""),"LandPlane")</f>
        <v>LandPlane</v>
      </c>
      <c r="E380" s="5" t="str">
        <f ca="1">IFERROR(__xludf.DUMMYFUNCTION("""COMPUTED_VALUE"""),"Jet")</f>
        <v>Jet</v>
      </c>
      <c r="F380" s="5">
        <f ca="1">IFERROR(__xludf.DUMMYFUNCTION("""COMPUTED_VALUE"""),2)</f>
        <v>2</v>
      </c>
    </row>
    <row r="381" spans="1:6" ht="15" customHeight="1" x14ac:dyDescent="0.2">
      <c r="A381" s="5" t="str">
        <f ca="1">IFERROR(__xludf.DUMMYFUNCTION("""COMPUTED_VALUE"""),"BE50")</f>
        <v>BE50</v>
      </c>
      <c r="B381" s="5" t="str">
        <f ca="1">IFERROR(__xludf.DUMMYFUNCTION("""COMPUTED_VALUE"""),"BEECH")</f>
        <v>BEECH</v>
      </c>
      <c r="C381" s="5" t="str">
        <f ca="1">IFERROR(__xludf.DUMMYFUNCTION("""COMPUTED_VALUE"""),"50 Twin Bonanza")</f>
        <v>50 Twin Bonanza</v>
      </c>
      <c r="D381" s="5" t="str">
        <f ca="1">IFERROR(__xludf.DUMMYFUNCTION("""COMPUTED_VALUE"""),"LandPlane")</f>
        <v>LandPlane</v>
      </c>
      <c r="E381" s="5" t="str">
        <f ca="1">IFERROR(__xludf.DUMMYFUNCTION("""COMPUTED_VALUE"""),"Piston")</f>
        <v>Piston</v>
      </c>
      <c r="F381" s="5">
        <f ca="1">IFERROR(__xludf.DUMMYFUNCTION("""COMPUTED_VALUE"""),2)</f>
        <v>2</v>
      </c>
    </row>
    <row r="382" spans="1:6" ht="15" customHeight="1" x14ac:dyDescent="0.2">
      <c r="A382" s="5" t="str">
        <f ca="1">IFERROR(__xludf.DUMMYFUNCTION("""COMPUTED_VALUE"""),"BE55")</f>
        <v>BE55</v>
      </c>
      <c r="B382" s="5" t="str">
        <f ca="1">IFERROR(__xludf.DUMMYFUNCTION("""COMPUTED_VALUE"""),"BEECH")</f>
        <v>BEECH</v>
      </c>
      <c r="C382" s="5" t="str">
        <f ca="1">IFERROR(__xludf.DUMMYFUNCTION("""COMPUTED_VALUE"""),"55 Baron")</f>
        <v>55 Baron</v>
      </c>
      <c r="D382" s="5" t="str">
        <f ca="1">IFERROR(__xludf.DUMMYFUNCTION("""COMPUTED_VALUE"""),"LandPlane")</f>
        <v>LandPlane</v>
      </c>
      <c r="E382" s="5" t="str">
        <f ca="1">IFERROR(__xludf.DUMMYFUNCTION("""COMPUTED_VALUE"""),"Piston")</f>
        <v>Piston</v>
      </c>
      <c r="F382" s="5">
        <f ca="1">IFERROR(__xludf.DUMMYFUNCTION("""COMPUTED_VALUE"""),2)</f>
        <v>2</v>
      </c>
    </row>
    <row r="383" spans="1:6" ht="15" customHeight="1" x14ac:dyDescent="0.2">
      <c r="A383" s="5" t="str">
        <f ca="1">IFERROR(__xludf.DUMMYFUNCTION("""COMPUTED_VALUE"""),"BE56")</f>
        <v>BE56</v>
      </c>
      <c r="B383" s="5" t="str">
        <f ca="1">IFERROR(__xludf.DUMMYFUNCTION("""COMPUTED_VALUE"""),"BEECH")</f>
        <v>BEECH</v>
      </c>
      <c r="C383" s="5" t="str">
        <f ca="1">IFERROR(__xludf.DUMMYFUNCTION("""COMPUTED_VALUE"""),"56 Turbo Baron")</f>
        <v>56 Turbo Baron</v>
      </c>
      <c r="D383" s="5" t="str">
        <f ca="1">IFERROR(__xludf.DUMMYFUNCTION("""COMPUTED_VALUE"""),"LandPlane")</f>
        <v>LandPlane</v>
      </c>
      <c r="E383" s="5" t="str">
        <f ca="1">IFERROR(__xludf.DUMMYFUNCTION("""COMPUTED_VALUE"""),"Piston")</f>
        <v>Piston</v>
      </c>
      <c r="F383" s="5">
        <f ca="1">IFERROR(__xludf.DUMMYFUNCTION("""COMPUTED_VALUE"""),2)</f>
        <v>2</v>
      </c>
    </row>
    <row r="384" spans="1:6" ht="15" customHeight="1" x14ac:dyDescent="0.2">
      <c r="A384" s="5" t="str">
        <f ca="1">IFERROR(__xludf.DUMMYFUNCTION("""COMPUTED_VALUE"""),"BE58")</f>
        <v>BE58</v>
      </c>
      <c r="B384" s="5" t="str">
        <f ca="1">IFERROR(__xludf.DUMMYFUNCTION("""COMPUTED_VALUE"""),"RAYTHEON")</f>
        <v>RAYTHEON</v>
      </c>
      <c r="C384" s="5" t="str">
        <f ca="1">IFERROR(__xludf.DUMMYFUNCTION("""COMPUTED_VALUE"""),"58 Baron")</f>
        <v>58 Baron</v>
      </c>
      <c r="D384" s="5" t="str">
        <f ca="1">IFERROR(__xludf.DUMMYFUNCTION("""COMPUTED_VALUE"""),"LandPlane")</f>
        <v>LandPlane</v>
      </c>
      <c r="E384" s="5" t="str">
        <f ca="1">IFERROR(__xludf.DUMMYFUNCTION("""COMPUTED_VALUE"""),"Piston")</f>
        <v>Piston</v>
      </c>
      <c r="F384" s="5">
        <f ca="1">IFERROR(__xludf.DUMMYFUNCTION("""COMPUTED_VALUE"""),2)</f>
        <v>2</v>
      </c>
    </row>
    <row r="385" spans="1:6" ht="15" customHeight="1" x14ac:dyDescent="0.2">
      <c r="A385" s="5" t="str">
        <f ca="1">IFERROR(__xludf.DUMMYFUNCTION("""COMPUTED_VALUE"""),"BE60")</f>
        <v>BE60</v>
      </c>
      <c r="B385" s="5" t="str">
        <f ca="1">IFERROR(__xludf.DUMMYFUNCTION("""COMPUTED_VALUE"""),"BEECH")</f>
        <v>BEECH</v>
      </c>
      <c r="C385" s="5" t="str">
        <f ca="1">IFERROR(__xludf.DUMMYFUNCTION("""COMPUTED_VALUE"""),"60 Duke")</f>
        <v>60 Duke</v>
      </c>
      <c r="D385" s="5" t="str">
        <f ca="1">IFERROR(__xludf.DUMMYFUNCTION("""COMPUTED_VALUE"""),"LandPlane")</f>
        <v>LandPlane</v>
      </c>
      <c r="E385" s="5" t="str">
        <f ca="1">IFERROR(__xludf.DUMMYFUNCTION("""COMPUTED_VALUE"""),"Piston")</f>
        <v>Piston</v>
      </c>
      <c r="F385" s="5">
        <f ca="1">IFERROR(__xludf.DUMMYFUNCTION("""COMPUTED_VALUE"""),2)</f>
        <v>2</v>
      </c>
    </row>
    <row r="386" spans="1:6" ht="15" customHeight="1" x14ac:dyDescent="0.2">
      <c r="A386" s="5" t="str">
        <f ca="1">IFERROR(__xludf.DUMMYFUNCTION("""COMPUTED_VALUE"""),"BE65")</f>
        <v>BE65</v>
      </c>
      <c r="B386" s="5" t="str">
        <f ca="1">IFERROR(__xludf.DUMMYFUNCTION("""COMPUTED_VALUE"""),"BEECH")</f>
        <v>BEECH</v>
      </c>
      <c r="C386" s="5" t="str">
        <f ca="1">IFERROR(__xludf.DUMMYFUNCTION("""COMPUTED_VALUE"""),"65 Queen Air")</f>
        <v>65 Queen Air</v>
      </c>
      <c r="D386" s="5" t="str">
        <f ca="1">IFERROR(__xludf.DUMMYFUNCTION("""COMPUTED_VALUE"""),"LandPlane")</f>
        <v>LandPlane</v>
      </c>
      <c r="E386" s="5" t="str">
        <f ca="1">IFERROR(__xludf.DUMMYFUNCTION("""COMPUTED_VALUE"""),"Piston")</f>
        <v>Piston</v>
      </c>
      <c r="F386" s="5">
        <f ca="1">IFERROR(__xludf.DUMMYFUNCTION("""COMPUTED_VALUE"""),2)</f>
        <v>2</v>
      </c>
    </row>
    <row r="387" spans="1:6" ht="15" customHeight="1" x14ac:dyDescent="0.2">
      <c r="A387" s="5" t="str">
        <f ca="1">IFERROR(__xludf.DUMMYFUNCTION("""COMPUTED_VALUE"""),"BE70")</f>
        <v>BE70</v>
      </c>
      <c r="B387" s="5" t="str">
        <f ca="1">IFERROR(__xludf.DUMMYFUNCTION("""COMPUTED_VALUE"""),"BEECH")</f>
        <v>BEECH</v>
      </c>
      <c r="C387" s="5" t="str">
        <f ca="1">IFERROR(__xludf.DUMMYFUNCTION("""COMPUTED_VALUE"""),"70 Queen Air")</f>
        <v>70 Queen Air</v>
      </c>
      <c r="D387" s="5" t="str">
        <f ca="1">IFERROR(__xludf.DUMMYFUNCTION("""COMPUTED_VALUE"""),"LandPlane")</f>
        <v>LandPlane</v>
      </c>
      <c r="E387" s="5" t="str">
        <f ca="1">IFERROR(__xludf.DUMMYFUNCTION("""COMPUTED_VALUE"""),"Piston")</f>
        <v>Piston</v>
      </c>
      <c r="F387" s="5">
        <f ca="1">IFERROR(__xludf.DUMMYFUNCTION("""COMPUTED_VALUE"""),2)</f>
        <v>2</v>
      </c>
    </row>
    <row r="388" spans="1:6" ht="15" customHeight="1" x14ac:dyDescent="0.2">
      <c r="A388" s="5" t="str">
        <f ca="1">IFERROR(__xludf.DUMMYFUNCTION("""COMPUTED_VALUE"""),"BE76")</f>
        <v>BE76</v>
      </c>
      <c r="B388" s="5" t="str">
        <f ca="1">IFERROR(__xludf.DUMMYFUNCTION("""COMPUTED_VALUE"""),"BEECH")</f>
        <v>BEECH</v>
      </c>
      <c r="C388" s="5" t="str">
        <f ca="1">IFERROR(__xludf.DUMMYFUNCTION("""COMPUTED_VALUE"""),"76 Duchess")</f>
        <v>76 Duchess</v>
      </c>
      <c r="D388" s="5" t="str">
        <f ca="1">IFERROR(__xludf.DUMMYFUNCTION("""COMPUTED_VALUE"""),"LandPlane")</f>
        <v>LandPlane</v>
      </c>
      <c r="E388" s="5" t="str">
        <f ca="1">IFERROR(__xludf.DUMMYFUNCTION("""COMPUTED_VALUE"""),"Piston")</f>
        <v>Piston</v>
      </c>
      <c r="F388" s="5">
        <f ca="1">IFERROR(__xludf.DUMMYFUNCTION("""COMPUTED_VALUE"""),2)</f>
        <v>2</v>
      </c>
    </row>
    <row r="389" spans="1:6" ht="15" customHeight="1" x14ac:dyDescent="0.2">
      <c r="A389" s="5" t="str">
        <f ca="1">IFERROR(__xludf.DUMMYFUNCTION("""COMPUTED_VALUE"""),"BE77")</f>
        <v>BE77</v>
      </c>
      <c r="B389" s="5" t="str">
        <f ca="1">IFERROR(__xludf.DUMMYFUNCTION("""COMPUTED_VALUE"""),"BEECH")</f>
        <v>BEECH</v>
      </c>
      <c r="C389" s="5" t="str">
        <f ca="1">IFERROR(__xludf.DUMMYFUNCTION("""COMPUTED_VALUE"""),"77 Skipper")</f>
        <v>77 Skipper</v>
      </c>
      <c r="D389" s="5" t="str">
        <f ca="1">IFERROR(__xludf.DUMMYFUNCTION("""COMPUTED_VALUE"""),"LandPlane")</f>
        <v>LandPlane</v>
      </c>
      <c r="E389" s="5" t="str">
        <f ca="1">IFERROR(__xludf.DUMMYFUNCTION("""COMPUTED_VALUE"""),"Piston")</f>
        <v>Piston</v>
      </c>
      <c r="F389" s="5">
        <f ca="1">IFERROR(__xludf.DUMMYFUNCTION("""COMPUTED_VALUE"""),1)</f>
        <v>1</v>
      </c>
    </row>
    <row r="390" spans="1:6" ht="15" customHeight="1" x14ac:dyDescent="0.2">
      <c r="A390" s="5" t="str">
        <f ca="1">IFERROR(__xludf.DUMMYFUNCTION("""COMPUTED_VALUE"""),"BE80")</f>
        <v>BE80</v>
      </c>
      <c r="B390" s="5" t="str">
        <f ca="1">IFERROR(__xludf.DUMMYFUNCTION("""COMPUTED_VALUE"""),"BEECH")</f>
        <v>BEECH</v>
      </c>
      <c r="C390" s="5" t="str">
        <f ca="1">IFERROR(__xludf.DUMMYFUNCTION("""COMPUTED_VALUE"""),"80 Queen Air")</f>
        <v>80 Queen Air</v>
      </c>
      <c r="D390" s="5" t="str">
        <f ca="1">IFERROR(__xludf.DUMMYFUNCTION("""COMPUTED_VALUE"""),"LandPlane")</f>
        <v>LandPlane</v>
      </c>
      <c r="E390" s="5" t="str">
        <f ca="1">IFERROR(__xludf.DUMMYFUNCTION("""COMPUTED_VALUE"""),"Piston")</f>
        <v>Piston</v>
      </c>
      <c r="F390" s="5">
        <f ca="1">IFERROR(__xludf.DUMMYFUNCTION("""COMPUTED_VALUE"""),2)</f>
        <v>2</v>
      </c>
    </row>
    <row r="391" spans="1:6" ht="15" customHeight="1" x14ac:dyDescent="0.2">
      <c r="A391" s="5" t="str">
        <f ca="1">IFERROR(__xludf.DUMMYFUNCTION("""COMPUTED_VALUE"""),"BE88")</f>
        <v>BE88</v>
      </c>
      <c r="B391" s="5" t="str">
        <f ca="1">IFERROR(__xludf.DUMMYFUNCTION("""COMPUTED_VALUE"""),"BEECH")</f>
        <v>BEECH</v>
      </c>
      <c r="C391" s="5" t="str">
        <f ca="1">IFERROR(__xludf.DUMMYFUNCTION("""COMPUTED_VALUE"""),"88 Queen Air")</f>
        <v>88 Queen Air</v>
      </c>
      <c r="D391" s="5" t="str">
        <f ca="1">IFERROR(__xludf.DUMMYFUNCTION("""COMPUTED_VALUE"""),"LandPlane")</f>
        <v>LandPlane</v>
      </c>
      <c r="E391" s="5" t="str">
        <f ca="1">IFERROR(__xludf.DUMMYFUNCTION("""COMPUTED_VALUE"""),"Piston")</f>
        <v>Piston</v>
      </c>
      <c r="F391" s="5">
        <f ca="1">IFERROR(__xludf.DUMMYFUNCTION("""COMPUTED_VALUE"""),2)</f>
        <v>2</v>
      </c>
    </row>
    <row r="392" spans="1:6" ht="15" customHeight="1" x14ac:dyDescent="0.2">
      <c r="A392" s="5" t="str">
        <f ca="1">IFERROR(__xludf.DUMMYFUNCTION("""COMPUTED_VALUE"""),"BE95")</f>
        <v>BE95</v>
      </c>
      <c r="B392" s="5" t="str">
        <f ca="1">IFERROR(__xludf.DUMMYFUNCTION("""COMPUTED_VALUE"""),"BEECH")</f>
        <v>BEECH</v>
      </c>
      <c r="C392" s="5" t="str">
        <f ca="1">IFERROR(__xludf.DUMMYFUNCTION("""COMPUTED_VALUE"""),"95 Travel Air")</f>
        <v>95 Travel Air</v>
      </c>
      <c r="D392" s="5" t="str">
        <f ca="1">IFERROR(__xludf.DUMMYFUNCTION("""COMPUTED_VALUE"""),"LandPlane")</f>
        <v>LandPlane</v>
      </c>
      <c r="E392" s="5" t="str">
        <f ca="1">IFERROR(__xludf.DUMMYFUNCTION("""COMPUTED_VALUE"""),"Piston")</f>
        <v>Piston</v>
      </c>
      <c r="F392" s="5">
        <f ca="1">IFERROR(__xludf.DUMMYFUNCTION("""COMPUTED_VALUE"""),2)</f>
        <v>2</v>
      </c>
    </row>
    <row r="393" spans="1:6" ht="15" customHeight="1" x14ac:dyDescent="0.2">
      <c r="A393" s="5" t="str">
        <f ca="1">IFERROR(__xludf.DUMMYFUNCTION("""COMPUTED_VALUE"""),"BE99")</f>
        <v>BE99</v>
      </c>
      <c r="B393" s="5" t="str">
        <f ca="1">IFERROR(__xludf.DUMMYFUNCTION("""COMPUTED_VALUE"""),"BEECH")</f>
        <v>BEECH</v>
      </c>
      <c r="C393" s="5" t="str">
        <f ca="1">IFERROR(__xludf.DUMMYFUNCTION("""COMPUTED_VALUE"""),"99 Airliner")</f>
        <v>99 Airliner</v>
      </c>
      <c r="D393" s="5" t="str">
        <f ca="1">IFERROR(__xludf.DUMMYFUNCTION("""COMPUTED_VALUE"""),"LandPlane")</f>
        <v>LandPlane</v>
      </c>
      <c r="E393" s="5" t="str">
        <f ca="1">IFERROR(__xludf.DUMMYFUNCTION("""COMPUTED_VALUE"""),"Turboprop/Turboshaft")</f>
        <v>Turboprop/Turboshaft</v>
      </c>
      <c r="F393" s="5">
        <f ca="1">IFERROR(__xludf.DUMMYFUNCTION("""COMPUTED_VALUE"""),2)</f>
        <v>2</v>
      </c>
    </row>
    <row r="394" spans="1:6" ht="15" customHeight="1" x14ac:dyDescent="0.2">
      <c r="A394" s="5" t="str">
        <f ca="1">IFERROR(__xludf.DUMMYFUNCTION("""COMPUTED_VALUE"""),"BE9L")</f>
        <v>BE9L</v>
      </c>
      <c r="B394" s="5" t="str">
        <f ca="1">IFERROR(__xludf.DUMMYFUNCTION("""COMPUTED_VALUE"""),"BEECH")</f>
        <v>BEECH</v>
      </c>
      <c r="C394" s="5" t="str">
        <f ca="1">IFERROR(__xludf.DUMMYFUNCTION("""COMPUTED_VALUE"""),"90 King Air")</f>
        <v>90 King Air</v>
      </c>
      <c r="D394" s="5" t="str">
        <f ca="1">IFERROR(__xludf.DUMMYFUNCTION("""COMPUTED_VALUE"""),"LandPlane")</f>
        <v>LandPlane</v>
      </c>
      <c r="E394" s="5" t="str">
        <f ca="1">IFERROR(__xludf.DUMMYFUNCTION("""COMPUTED_VALUE"""),"Turboprop/Turboshaft")</f>
        <v>Turboprop/Turboshaft</v>
      </c>
      <c r="F394" s="5">
        <f ca="1">IFERROR(__xludf.DUMMYFUNCTION("""COMPUTED_VALUE"""),2)</f>
        <v>2</v>
      </c>
    </row>
    <row r="395" spans="1:6" ht="15" customHeight="1" x14ac:dyDescent="0.2">
      <c r="A395" s="5" t="str">
        <f ca="1">IFERROR(__xludf.DUMMYFUNCTION("""COMPUTED_VALUE"""),"BE9T")</f>
        <v>BE9T</v>
      </c>
      <c r="B395" s="5" t="str">
        <f ca="1">IFERROR(__xludf.DUMMYFUNCTION("""COMPUTED_VALUE"""),"BEECH")</f>
        <v>BEECH</v>
      </c>
      <c r="C395" s="5" t="str">
        <f ca="1">IFERROR(__xludf.DUMMYFUNCTION("""COMPUTED_VALUE"""),"90 (F90) King Air")</f>
        <v>90 (F90) King Air</v>
      </c>
      <c r="D395" s="5" t="str">
        <f ca="1">IFERROR(__xludf.DUMMYFUNCTION("""COMPUTED_VALUE"""),"LandPlane")</f>
        <v>LandPlane</v>
      </c>
      <c r="E395" s="5" t="str">
        <f ca="1">IFERROR(__xludf.DUMMYFUNCTION("""COMPUTED_VALUE"""),"Turboprop/Turboshaft")</f>
        <v>Turboprop/Turboshaft</v>
      </c>
      <c r="F395" s="5">
        <f ca="1">IFERROR(__xludf.DUMMYFUNCTION("""COMPUTED_VALUE"""),2)</f>
        <v>2</v>
      </c>
    </row>
    <row r="396" spans="1:6" ht="15" customHeight="1" x14ac:dyDescent="0.2">
      <c r="A396" s="5" t="str">
        <f ca="1">IFERROR(__xludf.DUMMYFUNCTION("""COMPUTED_VALUE"""),"BEAR")</f>
        <v>BEAR</v>
      </c>
      <c r="B396" s="5" t="str">
        <f ca="1">IFERROR(__xludf.DUMMYFUNCTION("""COMPUTED_VALUE"""),"AVIPRO")</f>
        <v>AVIPRO</v>
      </c>
      <c r="C396" s="5" t="str">
        <f ca="1">IFERROR(__xludf.DUMMYFUNCTION("""COMPUTED_VALUE"""),"RB-4 Bearhawk")</f>
        <v>RB-4 Bearhawk</v>
      </c>
      <c r="D396" s="5" t="str">
        <f ca="1">IFERROR(__xludf.DUMMYFUNCTION("""COMPUTED_VALUE"""),"LandPlane")</f>
        <v>LandPlane</v>
      </c>
      <c r="E396" s="5" t="str">
        <f ca="1">IFERROR(__xludf.DUMMYFUNCTION("""COMPUTED_VALUE"""),"Piston")</f>
        <v>Piston</v>
      </c>
      <c r="F396" s="5">
        <f ca="1">IFERROR(__xludf.DUMMYFUNCTION("""COMPUTED_VALUE"""),1)</f>
        <v>1</v>
      </c>
    </row>
    <row r="397" spans="1:6" ht="15" customHeight="1" x14ac:dyDescent="0.2">
      <c r="A397" s="5" t="str">
        <f ca="1">IFERROR(__xludf.DUMMYFUNCTION("""COMPUTED_VALUE"""),"BELF")</f>
        <v>BELF</v>
      </c>
      <c r="B397" s="5" t="str">
        <f ca="1">IFERROR(__xludf.DUMMYFUNCTION("""COMPUTED_VALUE"""),"SHORT")</f>
        <v>SHORT</v>
      </c>
      <c r="C397" s="5" t="str">
        <f ca="1">IFERROR(__xludf.DUMMYFUNCTION("""COMPUTED_VALUE"""),"SC-5 Belfast")</f>
        <v>SC-5 Belfast</v>
      </c>
      <c r="D397" s="5" t="str">
        <f ca="1">IFERROR(__xludf.DUMMYFUNCTION("""COMPUTED_VALUE"""),"LandPlane")</f>
        <v>LandPlane</v>
      </c>
      <c r="E397" s="5" t="str">
        <f ca="1">IFERROR(__xludf.DUMMYFUNCTION("""COMPUTED_VALUE"""),"Turboprop/Turboshaft")</f>
        <v>Turboprop/Turboshaft</v>
      </c>
      <c r="F397" s="5">
        <f ca="1">IFERROR(__xludf.DUMMYFUNCTION("""COMPUTED_VALUE"""),4)</f>
        <v>4</v>
      </c>
    </row>
    <row r="398" spans="1:6" ht="15" customHeight="1" x14ac:dyDescent="0.2">
      <c r="A398" s="5" t="str">
        <f ca="1">IFERROR(__xludf.DUMMYFUNCTION("""COMPUTED_VALUE"""),"BER2")</f>
        <v>BER2</v>
      </c>
      <c r="B398" s="5" t="str">
        <f ca="1">IFERROR(__xludf.DUMMYFUNCTION("""COMPUTED_VALUE"""),"BERIEV")</f>
        <v>BERIEV</v>
      </c>
      <c r="C398" s="5" t="str">
        <f ca="1">IFERROR(__xludf.DUMMYFUNCTION("""COMPUTED_VALUE"""),"Be-200 Altair")</f>
        <v>Be-200 Altair</v>
      </c>
      <c r="D398" s="5" t="str">
        <f ca="1">IFERROR(__xludf.DUMMYFUNCTION("""COMPUTED_VALUE"""),"Amphibian")</f>
        <v>Amphibian</v>
      </c>
      <c r="E398" s="5" t="str">
        <f ca="1">IFERROR(__xludf.DUMMYFUNCTION("""COMPUTED_VALUE"""),"Jet")</f>
        <v>Jet</v>
      </c>
      <c r="F398" s="5">
        <f ca="1">IFERROR(__xludf.DUMMYFUNCTION("""COMPUTED_VALUE"""),2)</f>
        <v>2</v>
      </c>
    </row>
    <row r="399" spans="1:6" ht="15" customHeight="1" x14ac:dyDescent="0.2">
      <c r="A399" s="5" t="str">
        <f ca="1">IFERROR(__xludf.DUMMYFUNCTION("""COMPUTED_VALUE"""),"BER4")</f>
        <v>BER4</v>
      </c>
      <c r="B399" s="5" t="str">
        <f ca="1">IFERROR(__xludf.DUMMYFUNCTION("""COMPUTED_VALUE"""),"BERIEV")</f>
        <v>BERIEV</v>
      </c>
      <c r="C399" s="5" t="str">
        <f ca="1">IFERROR(__xludf.DUMMYFUNCTION("""COMPUTED_VALUE"""),"A-40 Albatross")</f>
        <v>A-40 Albatross</v>
      </c>
      <c r="D399" s="5" t="str">
        <f ca="1">IFERROR(__xludf.DUMMYFUNCTION("""COMPUTED_VALUE"""),"Amphibian")</f>
        <v>Amphibian</v>
      </c>
      <c r="E399" s="5" t="str">
        <f ca="1">IFERROR(__xludf.DUMMYFUNCTION("""COMPUTED_VALUE"""),"Jet")</f>
        <v>Jet</v>
      </c>
      <c r="F399" s="5">
        <f ca="1">IFERROR(__xludf.DUMMYFUNCTION("""COMPUTED_VALUE"""),2)</f>
        <v>2</v>
      </c>
    </row>
    <row r="400" spans="1:6" ht="15" customHeight="1" x14ac:dyDescent="0.2">
      <c r="A400" s="5" t="str">
        <f ca="1">IFERROR(__xludf.DUMMYFUNCTION("""COMPUTED_VALUE"""),"BETA")</f>
        <v>BETA</v>
      </c>
      <c r="B400" s="5" t="str">
        <f ca="1">IFERROR(__xludf.DUMMYFUNCTION("""COMPUTED_VALUE"""),"ROLLASON")</f>
        <v>ROLLASON</v>
      </c>
      <c r="C400" s="5" t="str">
        <f ca="1">IFERROR(__xludf.DUMMYFUNCTION("""COMPUTED_VALUE"""),"Beta")</f>
        <v>Beta</v>
      </c>
      <c r="D400" s="5" t="str">
        <f ca="1">IFERROR(__xludf.DUMMYFUNCTION("""COMPUTED_VALUE"""),"LandPlane")</f>
        <v>LandPlane</v>
      </c>
      <c r="E400" s="5" t="str">
        <f ca="1">IFERROR(__xludf.DUMMYFUNCTION("""COMPUTED_VALUE"""),"Piston")</f>
        <v>Piston</v>
      </c>
      <c r="F400" s="5">
        <f ca="1">IFERROR(__xludf.DUMMYFUNCTION("""COMPUTED_VALUE"""),1)</f>
        <v>1</v>
      </c>
    </row>
    <row r="401" spans="1:6" ht="15" customHeight="1" x14ac:dyDescent="0.2">
      <c r="A401" s="5" t="str">
        <f ca="1">IFERROR(__xludf.DUMMYFUNCTION("""COMPUTED_VALUE"""),"BEVR")</f>
        <v>BEVR</v>
      </c>
      <c r="B401" s="5" t="str">
        <f ca="1">IFERROR(__xludf.DUMMYFUNCTION("""COMPUTED_VALUE"""),"ASAP")</f>
        <v>ASAP</v>
      </c>
      <c r="C401" s="5" t="str">
        <f ca="1">IFERROR(__xludf.DUMMYFUNCTION("""COMPUTED_VALUE"""),"Beaver")</f>
        <v>Beaver</v>
      </c>
      <c r="D401" s="5" t="str">
        <f ca="1">IFERROR(__xludf.DUMMYFUNCTION("""COMPUTED_VALUE"""),"LandPlane")</f>
        <v>LandPlane</v>
      </c>
      <c r="E401" s="5" t="str">
        <f ca="1">IFERROR(__xludf.DUMMYFUNCTION("""COMPUTED_VALUE"""),"Piston")</f>
        <v>Piston</v>
      </c>
      <c r="F401" s="5">
        <f ca="1">IFERROR(__xludf.DUMMYFUNCTION("""COMPUTED_VALUE"""),1)</f>
        <v>1</v>
      </c>
    </row>
    <row r="402" spans="1:6" ht="15" customHeight="1" x14ac:dyDescent="0.2">
      <c r="A402" s="5" t="str">
        <f ca="1">IFERROR(__xludf.DUMMYFUNCTION("""COMPUTED_VALUE"""),"BF19")</f>
        <v>BF19</v>
      </c>
      <c r="B402" s="5" t="str">
        <f ca="1">IFERROR(__xludf.DUMMYFUNCTION("""COMPUTED_VALUE"""),"PODESVA")</f>
        <v>PODESVA</v>
      </c>
      <c r="C402" s="5" t="str">
        <f ca="1">IFERROR(__xludf.DUMMYFUNCTION("""COMPUTED_VALUE"""),"Bf-109G-2")</f>
        <v>Bf-109G-2</v>
      </c>
      <c r="D402" s="5" t="str">
        <f ca="1">IFERROR(__xludf.DUMMYFUNCTION("""COMPUTED_VALUE"""),"LandPlane")</f>
        <v>LandPlane</v>
      </c>
      <c r="E402" s="5" t="str">
        <f ca="1">IFERROR(__xludf.DUMMYFUNCTION("""COMPUTED_VALUE"""),"Piston")</f>
        <v>Piston</v>
      </c>
      <c r="F402" s="5">
        <f ca="1">IFERROR(__xludf.DUMMYFUNCTION("""COMPUTED_VALUE"""),1)</f>
        <v>1</v>
      </c>
    </row>
    <row r="403" spans="1:6" ht="15" customHeight="1" x14ac:dyDescent="0.2">
      <c r="A403" s="5" t="str">
        <f ca="1">IFERROR(__xludf.DUMMYFUNCTION("""COMPUTED_VALUE"""),"BFIT")</f>
        <v>BFIT</v>
      </c>
      <c r="B403" s="5" t="str">
        <f ca="1">IFERROR(__xludf.DUMMYFUNCTION("""COMPUTED_VALUE"""),"BRISTOL")</f>
        <v>BRISTOL</v>
      </c>
      <c r="C403" s="5" t="str">
        <f ca="1">IFERROR(__xludf.DUMMYFUNCTION("""COMPUTED_VALUE"""),"F-2B Fighter Replica")</f>
        <v>F-2B Fighter Replica</v>
      </c>
      <c r="D403" s="5" t="str">
        <f ca="1">IFERROR(__xludf.DUMMYFUNCTION("""COMPUTED_VALUE"""),"LandPlane")</f>
        <v>LandPlane</v>
      </c>
      <c r="E403" s="5" t="str">
        <f ca="1">IFERROR(__xludf.DUMMYFUNCTION("""COMPUTED_VALUE"""),"Piston")</f>
        <v>Piston</v>
      </c>
      <c r="F403" s="5">
        <f ca="1">IFERROR(__xludf.DUMMYFUNCTION("""COMPUTED_VALUE"""),1)</f>
        <v>1</v>
      </c>
    </row>
    <row r="404" spans="1:6" ht="15" customHeight="1" x14ac:dyDescent="0.2">
      <c r="A404" s="5" t="str">
        <f ca="1">IFERROR(__xludf.DUMMYFUNCTION("""COMPUTED_VALUE"""),"BILO")</f>
        <v>BILO</v>
      </c>
      <c r="B404" s="5" t="str">
        <f ca="1">IFERROR(__xludf.DUMMYFUNCTION("""COMPUTED_VALUE"""),"PENA")</f>
        <v>PENA</v>
      </c>
      <c r="C404" s="5" t="str">
        <f ca="1">IFERROR(__xludf.DUMMYFUNCTION("""COMPUTED_VALUE"""),"Bilouis")</f>
        <v>Bilouis</v>
      </c>
      <c r="D404" s="5" t="str">
        <f ca="1">IFERROR(__xludf.DUMMYFUNCTION("""COMPUTED_VALUE"""),"LandPlane")</f>
        <v>LandPlane</v>
      </c>
      <c r="E404" s="5" t="str">
        <f ca="1">IFERROR(__xludf.DUMMYFUNCTION("""COMPUTED_VALUE"""),"Piston")</f>
        <v>Piston</v>
      </c>
      <c r="F404" s="5">
        <f ca="1">IFERROR(__xludf.DUMMYFUNCTION("""COMPUTED_VALUE"""),1)</f>
        <v>1</v>
      </c>
    </row>
    <row r="405" spans="1:6" ht="15" customHeight="1" x14ac:dyDescent="0.2">
      <c r="A405" s="5" t="str">
        <f ca="1">IFERROR(__xludf.DUMMYFUNCTION("""COMPUTED_VALUE"""),"BIPL")</f>
        <v>BIPL</v>
      </c>
      <c r="B405" s="5" t="str">
        <f ca="1">IFERROR(__xludf.DUMMYFUNCTION("""COMPUTED_VALUE"""),"EAA")</f>
        <v>EAA</v>
      </c>
      <c r="C405" s="5" t="str">
        <f ca="1">IFERROR(__xludf.DUMMYFUNCTION("""COMPUTED_VALUE"""),"Biplane")</f>
        <v>Biplane</v>
      </c>
      <c r="D405" s="5" t="str">
        <f ca="1">IFERROR(__xludf.DUMMYFUNCTION("""COMPUTED_VALUE"""),"LandPlane")</f>
        <v>LandPlane</v>
      </c>
      <c r="E405" s="5" t="str">
        <f ca="1">IFERROR(__xludf.DUMMYFUNCTION("""COMPUTED_VALUE"""),"Piston")</f>
        <v>Piston</v>
      </c>
      <c r="F405" s="5">
        <f ca="1">IFERROR(__xludf.DUMMYFUNCTION("""COMPUTED_VALUE"""),1)</f>
        <v>1</v>
      </c>
    </row>
    <row r="406" spans="1:6" ht="15" customHeight="1" x14ac:dyDescent="0.2">
      <c r="A406" s="5" t="str">
        <f ca="1">IFERROR(__xludf.DUMMYFUNCTION("""COMPUTED_VALUE"""),"BIRD")</f>
        <v>BIRD</v>
      </c>
      <c r="B406" s="5" t="str">
        <f ca="1">IFERROR(__xludf.DUMMYFUNCTION("""COMPUTED_VALUE"""),"TAYLOR (3)")</f>
        <v>TAYLOR (3)</v>
      </c>
      <c r="C406" s="5" t="str">
        <f ca="1">IFERROR(__xludf.DUMMYFUNCTION("""COMPUTED_VALUE"""),"TA-2 Bird")</f>
        <v>TA-2 Bird</v>
      </c>
      <c r="D406" s="5" t="str">
        <f ca="1">IFERROR(__xludf.DUMMYFUNCTION("""COMPUTED_VALUE"""),"LandPlane")</f>
        <v>LandPlane</v>
      </c>
      <c r="E406" s="5" t="str">
        <f ca="1">IFERROR(__xludf.DUMMYFUNCTION("""COMPUTED_VALUE"""),"Piston")</f>
        <v>Piston</v>
      </c>
      <c r="F406" s="5">
        <f ca="1">IFERROR(__xludf.DUMMYFUNCTION("""COMPUTED_VALUE"""),1)</f>
        <v>1</v>
      </c>
    </row>
    <row r="407" spans="1:6" ht="15" customHeight="1" x14ac:dyDescent="0.2">
      <c r="A407" s="5" t="str">
        <f ca="1">IFERROR(__xludf.DUMMYFUNCTION("""COMPUTED_VALUE"""),"BISC")</f>
        <v>BISC</v>
      </c>
      <c r="B407" s="5" t="str">
        <f ca="1">IFERROR(__xludf.DUMMYFUNCTION("""COMPUTED_VALUE"""),"BILSAM")</f>
        <v>BILSAM</v>
      </c>
      <c r="C407" s="5" t="str">
        <f ca="1">IFERROR(__xludf.DUMMYFUNCTION("""COMPUTED_VALUE"""),"Sky Cruiser")</f>
        <v>Sky Cruiser</v>
      </c>
      <c r="D407" s="5" t="str">
        <f ca="1">IFERROR(__xludf.DUMMYFUNCTION("""COMPUTED_VALUE"""),"LandPlane")</f>
        <v>LandPlane</v>
      </c>
      <c r="E407" s="5" t="str">
        <f ca="1">IFERROR(__xludf.DUMMYFUNCTION("""COMPUTED_VALUE"""),"Piston")</f>
        <v>Piston</v>
      </c>
      <c r="F407" s="5">
        <f ca="1">IFERROR(__xludf.DUMMYFUNCTION("""COMPUTED_VALUE"""),1)</f>
        <v>1</v>
      </c>
    </row>
    <row r="408" spans="1:6" ht="15" customHeight="1" x14ac:dyDescent="0.2">
      <c r="A408" s="5" t="str">
        <f ca="1">IFERROR(__xludf.DUMMYFUNCTION("""COMPUTED_VALUE"""),"BK17")</f>
        <v>BK17</v>
      </c>
      <c r="B408" s="5" t="str">
        <f ca="1">IFERROR(__xludf.DUMMYFUNCTION("""COMPUTED_VALUE"""),"MBB-KAWASAKI")</f>
        <v>MBB-KAWASAKI</v>
      </c>
      <c r="C408" s="5" t="str">
        <f ca="1">IFERROR(__xludf.DUMMYFUNCTION("""COMPUTED_VALUE"""),"BK-117")</f>
        <v>BK-117</v>
      </c>
      <c r="D408" s="5" t="str">
        <f ca="1">IFERROR(__xludf.DUMMYFUNCTION("""COMPUTED_VALUE"""),"Helicopter")</f>
        <v>Helicopter</v>
      </c>
      <c r="E408" s="5" t="str">
        <f ca="1">IFERROR(__xludf.DUMMYFUNCTION("""COMPUTED_VALUE"""),"Turboprop/Turboshaft")</f>
        <v>Turboprop/Turboshaft</v>
      </c>
      <c r="F408" s="5">
        <f ca="1">IFERROR(__xludf.DUMMYFUNCTION("""COMPUTED_VALUE"""),2)</f>
        <v>2</v>
      </c>
    </row>
    <row r="409" spans="1:6" ht="15" customHeight="1" x14ac:dyDescent="0.2">
      <c r="A409" s="5" t="str">
        <f ca="1">IFERROR(__xludf.DUMMYFUNCTION("""COMPUTED_VALUE"""),"BKUT")</f>
        <v>BKUT</v>
      </c>
      <c r="B409" s="5" t="str">
        <f ca="1">IFERROR(__xludf.DUMMYFUNCTION("""COMPUTED_VALUE"""),"BERKUT")</f>
        <v>BERKUT</v>
      </c>
      <c r="C409" s="5" t="str">
        <f ca="1">IFERROR(__xludf.DUMMYFUNCTION("""COMPUTED_VALUE"""),"Berkut")</f>
        <v>Berkut</v>
      </c>
      <c r="D409" s="5" t="str">
        <f ca="1">IFERROR(__xludf.DUMMYFUNCTION("""COMPUTED_VALUE"""),"LandPlane")</f>
        <v>LandPlane</v>
      </c>
      <c r="E409" s="5" t="str">
        <f ca="1">IFERROR(__xludf.DUMMYFUNCTION("""COMPUTED_VALUE"""),"Piston")</f>
        <v>Piston</v>
      </c>
      <c r="F409" s="5">
        <f ca="1">IFERROR(__xludf.DUMMYFUNCTION("""COMPUTED_VALUE"""),1)</f>
        <v>1</v>
      </c>
    </row>
    <row r="410" spans="1:6" ht="15" customHeight="1" x14ac:dyDescent="0.2">
      <c r="A410" s="5" t="str">
        <f ca="1">IFERROR(__xludf.DUMMYFUNCTION("""COMPUTED_VALUE"""),"BL11")</f>
        <v>BL11</v>
      </c>
      <c r="B410" s="5" t="str">
        <f ca="1">IFERROR(__xludf.DUMMYFUNCTION("""COMPUTED_VALUE"""),"BLERIOT")</f>
        <v>BLERIOT</v>
      </c>
      <c r="C410" s="5" t="str">
        <f ca="1">IFERROR(__xludf.DUMMYFUNCTION("""COMPUTED_VALUE"""),"11 Replica")</f>
        <v>11 Replica</v>
      </c>
      <c r="D410" s="5" t="str">
        <f ca="1">IFERROR(__xludf.DUMMYFUNCTION("""COMPUTED_VALUE"""),"LandPlane")</f>
        <v>LandPlane</v>
      </c>
      <c r="E410" s="5" t="str">
        <f ca="1">IFERROR(__xludf.DUMMYFUNCTION("""COMPUTED_VALUE"""),"Piston")</f>
        <v>Piston</v>
      </c>
      <c r="F410" s="5">
        <f ca="1">IFERROR(__xludf.DUMMYFUNCTION("""COMPUTED_VALUE"""),1)</f>
        <v>1</v>
      </c>
    </row>
    <row r="411" spans="1:6" ht="15" customHeight="1" x14ac:dyDescent="0.2">
      <c r="A411" s="5" t="str">
        <f ca="1">IFERROR(__xludf.DUMMYFUNCTION("""COMPUTED_VALUE"""),"BL17")</f>
        <v>BL17</v>
      </c>
      <c r="B411" s="5" t="str">
        <f ca="1">IFERROR(__xludf.DUMMYFUNCTION("""COMPUTED_VALUE"""),"BELLANCA")</f>
        <v>BELLANCA</v>
      </c>
      <c r="C411" s="5" t="str">
        <f ca="1">IFERROR(__xludf.DUMMYFUNCTION("""COMPUTED_VALUE"""),"17 Viking")</f>
        <v>17 Viking</v>
      </c>
      <c r="D411" s="5" t="str">
        <f ca="1">IFERROR(__xludf.DUMMYFUNCTION("""COMPUTED_VALUE"""),"LandPlane")</f>
        <v>LandPlane</v>
      </c>
      <c r="E411" s="5" t="str">
        <f ca="1">IFERROR(__xludf.DUMMYFUNCTION("""COMPUTED_VALUE"""),"Piston")</f>
        <v>Piston</v>
      </c>
      <c r="F411" s="5">
        <f ca="1">IFERROR(__xludf.DUMMYFUNCTION("""COMPUTED_VALUE"""),1)</f>
        <v>1</v>
      </c>
    </row>
    <row r="412" spans="1:6" ht="15" customHeight="1" x14ac:dyDescent="0.2">
      <c r="A412" s="5" t="str">
        <f ca="1">IFERROR(__xludf.DUMMYFUNCTION("""COMPUTED_VALUE"""),"BL19")</f>
        <v>BL19</v>
      </c>
      <c r="B412" s="5" t="str">
        <f ca="1">IFERROR(__xludf.DUMMYFUNCTION("""COMPUTED_VALUE"""),"BELLANCA")</f>
        <v>BELLANCA</v>
      </c>
      <c r="C412" s="5" t="str">
        <f ca="1">IFERROR(__xludf.DUMMYFUNCTION("""COMPUTED_VALUE"""),"19 Skyrocket")</f>
        <v>19 Skyrocket</v>
      </c>
      <c r="D412" s="5" t="str">
        <f ca="1">IFERROR(__xludf.DUMMYFUNCTION("""COMPUTED_VALUE"""),"LandPlane")</f>
        <v>LandPlane</v>
      </c>
      <c r="E412" s="5" t="str">
        <f ca="1">IFERROR(__xludf.DUMMYFUNCTION("""COMPUTED_VALUE"""),"Piston")</f>
        <v>Piston</v>
      </c>
      <c r="F412" s="5">
        <f ca="1">IFERROR(__xludf.DUMMYFUNCTION("""COMPUTED_VALUE"""),1)</f>
        <v>1</v>
      </c>
    </row>
    <row r="413" spans="1:6" ht="15" customHeight="1" x14ac:dyDescent="0.2">
      <c r="A413" s="5" t="str">
        <f ca="1">IFERROR(__xludf.DUMMYFUNCTION("""COMPUTED_VALUE"""),"BL8")</f>
        <v>BL8</v>
      </c>
      <c r="B413" s="5" t="str">
        <f ca="1">IFERROR(__xludf.DUMMYFUNCTION("""COMPUTED_VALUE"""),"BELLANCA")</f>
        <v>BELLANCA</v>
      </c>
      <c r="C413" s="5" t="str">
        <f ca="1">IFERROR(__xludf.DUMMYFUNCTION("""COMPUTED_VALUE"""),"8 Scout")</f>
        <v>8 Scout</v>
      </c>
      <c r="D413" s="5" t="str">
        <f ca="1">IFERROR(__xludf.DUMMYFUNCTION("""COMPUTED_VALUE"""),"LandPlane")</f>
        <v>LandPlane</v>
      </c>
      <c r="E413" s="5" t="str">
        <f ca="1">IFERROR(__xludf.DUMMYFUNCTION("""COMPUTED_VALUE"""),"Piston")</f>
        <v>Piston</v>
      </c>
      <c r="F413" s="5">
        <f ca="1">IFERROR(__xludf.DUMMYFUNCTION("""COMPUTED_VALUE"""),1)</f>
        <v>1</v>
      </c>
    </row>
    <row r="414" spans="1:6" ht="15" customHeight="1" x14ac:dyDescent="0.2">
      <c r="A414" s="5" t="str">
        <f ca="1">IFERROR(__xludf.DUMMYFUNCTION("""COMPUTED_VALUE"""),"BLBU")</f>
        <v>BLBU</v>
      </c>
      <c r="B414" s="5" t="str">
        <f ca="1">IFERROR(__xludf.DUMMYFUNCTION("""COMPUTED_VALUE"""),"AMEUR")</f>
        <v>AMEUR</v>
      </c>
      <c r="C414" s="5" t="str">
        <f ca="1">IFERROR(__xludf.DUMMYFUNCTION("""COMPUTED_VALUE"""),"Altania")</f>
        <v>Altania</v>
      </c>
      <c r="D414" s="5" t="str">
        <f ca="1">IFERROR(__xludf.DUMMYFUNCTION("""COMPUTED_VALUE"""),"LandPlane")</f>
        <v>LandPlane</v>
      </c>
      <c r="E414" s="5" t="str">
        <f ca="1">IFERROR(__xludf.DUMMYFUNCTION("""COMPUTED_VALUE"""),"Piston")</f>
        <v>Piston</v>
      </c>
      <c r="F414" s="5">
        <f ca="1">IFERROR(__xludf.DUMMYFUNCTION("""COMPUTED_VALUE"""),1)</f>
        <v>1</v>
      </c>
    </row>
    <row r="415" spans="1:6" ht="15" customHeight="1" x14ac:dyDescent="0.2">
      <c r="A415" s="5" t="str">
        <f ca="1">IFERROR(__xludf.DUMMYFUNCTION("""COMPUTED_VALUE"""),"BLCF")</f>
        <v>BLCF</v>
      </c>
      <c r="B415" s="5" t="str">
        <f ca="1">IFERROR(__xludf.DUMMYFUNCTION("""COMPUTED_VALUE"""),"BOEING")</f>
        <v>BOEING</v>
      </c>
      <c r="C415" s="5" t="str">
        <f ca="1">IFERROR(__xludf.DUMMYFUNCTION("""COMPUTED_VALUE"""),"747-400LCF Dreamlifter")</f>
        <v>747-400LCF Dreamlifter</v>
      </c>
      <c r="D415" s="5" t="str">
        <f ca="1">IFERROR(__xludf.DUMMYFUNCTION("""COMPUTED_VALUE"""),"LandPlane")</f>
        <v>LandPlane</v>
      </c>
      <c r="E415" s="5" t="str">
        <f ca="1">IFERROR(__xludf.DUMMYFUNCTION("""COMPUTED_VALUE"""),"Jet")</f>
        <v>Jet</v>
      </c>
      <c r="F415" s="5">
        <f ca="1">IFERROR(__xludf.DUMMYFUNCTION("""COMPUTED_VALUE"""),4)</f>
        <v>4</v>
      </c>
    </row>
    <row r="416" spans="1:6" ht="15" customHeight="1" x14ac:dyDescent="0.2">
      <c r="A416" s="5" t="str">
        <f ca="1">IFERROR(__xludf.DUMMYFUNCTION("""COMPUTED_VALUE"""),"BLEN")</f>
        <v>BLEN</v>
      </c>
      <c r="B416" s="5" t="str">
        <f ca="1">IFERROR(__xludf.DUMMYFUNCTION("""COMPUTED_VALUE"""),"BRISTOL")</f>
        <v>BRISTOL</v>
      </c>
      <c r="C416" s="5" t="str">
        <f ca="1">IFERROR(__xludf.DUMMYFUNCTION("""COMPUTED_VALUE"""),"149 Blenheim")</f>
        <v>149 Blenheim</v>
      </c>
      <c r="D416" s="5" t="str">
        <f ca="1">IFERROR(__xludf.DUMMYFUNCTION("""COMPUTED_VALUE"""),"LandPlane")</f>
        <v>LandPlane</v>
      </c>
      <c r="E416" s="5" t="str">
        <f ca="1">IFERROR(__xludf.DUMMYFUNCTION("""COMPUTED_VALUE"""),"Piston")</f>
        <v>Piston</v>
      </c>
      <c r="F416" s="5">
        <f ca="1">IFERROR(__xludf.DUMMYFUNCTION("""COMPUTED_VALUE"""),2)</f>
        <v>2</v>
      </c>
    </row>
    <row r="417" spans="1:6" ht="15" customHeight="1" x14ac:dyDescent="0.2">
      <c r="A417" s="5" t="str">
        <f ca="1">IFERROR(__xludf.DUMMYFUNCTION("""COMPUTED_VALUE"""),"BLKS")</f>
        <v>BLKS</v>
      </c>
      <c r="B417" s="5" t="str">
        <f ca="1">IFERROR(__xludf.DUMMYFUNCTION("""COMPUTED_VALUE"""),"AIRCRAFT SPRUCE")</f>
        <v>AIRCRAFT SPRUCE</v>
      </c>
      <c r="C417" s="5" t="str">
        <f ca="1">IFERROR(__xludf.DUMMYFUNCTION("""COMPUTED_VALUE"""),"Baby Lakes")</f>
        <v>Baby Lakes</v>
      </c>
      <c r="D417" s="5" t="str">
        <f ca="1">IFERROR(__xludf.DUMMYFUNCTION("""COMPUTED_VALUE"""),"LandPlane")</f>
        <v>LandPlane</v>
      </c>
      <c r="E417" s="5" t="str">
        <f ca="1">IFERROR(__xludf.DUMMYFUNCTION("""COMPUTED_VALUE"""),"Piston")</f>
        <v>Piston</v>
      </c>
      <c r="F417" s="5">
        <f ca="1">IFERROR(__xludf.DUMMYFUNCTION("""COMPUTED_VALUE"""),1)</f>
        <v>1</v>
      </c>
    </row>
    <row r="418" spans="1:6" ht="15" customHeight="1" x14ac:dyDescent="0.2">
      <c r="A418" s="5" t="str">
        <f ca="1">IFERROR(__xludf.DUMMYFUNCTION("""COMPUTED_VALUE"""),"BM6")</f>
        <v>BM6</v>
      </c>
      <c r="B418" s="5" t="str">
        <f ca="1">IFERROR(__xludf.DUMMYFUNCTION("""COMPUTED_VALUE"""),"MARANDA")</f>
        <v>MARANDA</v>
      </c>
      <c r="C418" s="5" t="str">
        <f ca="1">IFERROR(__xludf.DUMMYFUNCTION("""COMPUTED_VALUE"""),"BM-6 Lark")</f>
        <v>BM-6 Lark</v>
      </c>
      <c r="D418" s="5" t="str">
        <f ca="1">IFERROR(__xludf.DUMMYFUNCTION("""COMPUTED_VALUE"""),"LandPlane")</f>
        <v>LandPlane</v>
      </c>
      <c r="E418" s="5" t="str">
        <f ca="1">IFERROR(__xludf.DUMMYFUNCTION("""COMPUTED_VALUE"""),"Piston")</f>
        <v>Piston</v>
      </c>
      <c r="F418" s="5">
        <f ca="1">IFERROR(__xludf.DUMMYFUNCTION("""COMPUTED_VALUE"""),1)</f>
        <v>1</v>
      </c>
    </row>
    <row r="419" spans="1:6" ht="15" customHeight="1" x14ac:dyDescent="0.2">
      <c r="A419" s="5" t="str">
        <f ca="1">IFERROR(__xludf.DUMMYFUNCTION("""COMPUTED_VALUE"""),"BMAN")</f>
        <v>BMAN</v>
      </c>
      <c r="B419" s="5" t="str">
        <f ca="1">IFERROR(__xludf.DUMMYFUNCTION("""COMPUTED_VALUE"""),"AAK")</f>
        <v>AAK</v>
      </c>
      <c r="C419" s="5" t="str">
        <f ca="1">IFERROR(__xludf.DUMMYFUNCTION("""COMPUTED_VALUE"""),"Bushman")</f>
        <v>Bushman</v>
      </c>
      <c r="D419" s="5" t="str">
        <f ca="1">IFERROR(__xludf.DUMMYFUNCTION("""COMPUTED_VALUE"""),"LandPlane")</f>
        <v>LandPlane</v>
      </c>
      <c r="E419" s="5" t="str">
        <f ca="1">IFERROR(__xludf.DUMMYFUNCTION("""COMPUTED_VALUE"""),"Piston")</f>
        <v>Piston</v>
      </c>
      <c r="F419" s="5">
        <f ca="1">IFERROR(__xludf.DUMMYFUNCTION("""COMPUTED_VALUE"""),1)</f>
        <v>1</v>
      </c>
    </row>
    <row r="420" spans="1:6" ht="15" customHeight="1" x14ac:dyDescent="0.2">
      <c r="A420" s="5" t="str">
        <f ca="1">IFERROR(__xludf.DUMMYFUNCTION("""COMPUTED_VALUE"""),"BN2P")</f>
        <v>BN2P</v>
      </c>
      <c r="B420" s="5" t="str">
        <f ca="1">IFERROR(__xludf.DUMMYFUNCTION("""COMPUTED_VALUE"""),"BRITTEN-NORMAN")</f>
        <v>BRITTEN-NORMAN</v>
      </c>
      <c r="C420" s="5" t="str">
        <f ca="1">IFERROR(__xludf.DUMMYFUNCTION("""COMPUTED_VALUE"""),"BN-2 Islander")</f>
        <v>BN-2 Islander</v>
      </c>
      <c r="D420" s="5" t="str">
        <f ca="1">IFERROR(__xludf.DUMMYFUNCTION("""COMPUTED_VALUE"""),"LandPlane")</f>
        <v>LandPlane</v>
      </c>
      <c r="E420" s="5" t="str">
        <f ca="1">IFERROR(__xludf.DUMMYFUNCTION("""COMPUTED_VALUE"""),"Piston")</f>
        <v>Piston</v>
      </c>
      <c r="F420" s="5">
        <f ca="1">IFERROR(__xludf.DUMMYFUNCTION("""COMPUTED_VALUE"""),2)</f>
        <v>2</v>
      </c>
    </row>
    <row r="421" spans="1:6" ht="15" customHeight="1" x14ac:dyDescent="0.2">
      <c r="A421" s="5" t="str">
        <f ca="1">IFERROR(__xludf.DUMMYFUNCTION("""COMPUTED_VALUE"""),"BN2T")</f>
        <v>BN2T</v>
      </c>
      <c r="B421" s="5" t="str">
        <f ca="1">IFERROR(__xludf.DUMMYFUNCTION("""COMPUTED_VALUE"""),"BRITTEN-NORMAN")</f>
        <v>BRITTEN-NORMAN</v>
      </c>
      <c r="C421" s="5" t="str">
        <f ca="1">IFERROR(__xludf.DUMMYFUNCTION("""COMPUTED_VALUE"""),"BN-2T Turbine Islander")</f>
        <v>BN-2T Turbine Islander</v>
      </c>
      <c r="D421" s="5" t="str">
        <f ca="1">IFERROR(__xludf.DUMMYFUNCTION("""COMPUTED_VALUE"""),"LandPlane")</f>
        <v>LandPlane</v>
      </c>
      <c r="E421" s="5" t="str">
        <f ca="1">IFERROR(__xludf.DUMMYFUNCTION("""COMPUTED_VALUE"""),"Turboprop/Turboshaft")</f>
        <v>Turboprop/Turboshaft</v>
      </c>
      <c r="F421" s="5">
        <f ca="1">IFERROR(__xludf.DUMMYFUNCTION("""COMPUTED_VALUE"""),2)</f>
        <v>2</v>
      </c>
    </row>
    <row r="422" spans="1:6" ht="15" customHeight="1" x14ac:dyDescent="0.2">
      <c r="A422" s="5" t="str">
        <f ca="1">IFERROR(__xludf.DUMMYFUNCTION("""COMPUTED_VALUE"""),"BO40")</f>
        <v>BO40</v>
      </c>
      <c r="B422" s="5" t="str">
        <f ca="1">IFERROR(__xludf.DUMMYFUNCTION("""COMPUTED_VALUE"""),"BOEING")</f>
        <v>BOEING</v>
      </c>
      <c r="C422" s="5" t="str">
        <f ca="1">IFERROR(__xludf.DUMMYFUNCTION("""COMPUTED_VALUE"""),"40")</f>
        <v>40</v>
      </c>
      <c r="D422" s="5" t="str">
        <f ca="1">IFERROR(__xludf.DUMMYFUNCTION("""COMPUTED_VALUE"""),"LandPlane")</f>
        <v>LandPlane</v>
      </c>
      <c r="E422" s="5" t="str">
        <f ca="1">IFERROR(__xludf.DUMMYFUNCTION("""COMPUTED_VALUE"""),"Piston")</f>
        <v>Piston</v>
      </c>
      <c r="F422" s="5">
        <f ca="1">IFERROR(__xludf.DUMMYFUNCTION("""COMPUTED_VALUE"""),1)</f>
        <v>1</v>
      </c>
    </row>
    <row r="423" spans="1:6" ht="15" customHeight="1" x14ac:dyDescent="0.2">
      <c r="A423" s="5" t="str">
        <f ca="1">IFERROR(__xludf.DUMMYFUNCTION("""COMPUTED_VALUE"""),"BOLT")</f>
        <v>BOLT</v>
      </c>
      <c r="B423" s="5" t="str">
        <f ca="1">IFERROR(__xludf.DUMMYFUNCTION("""COMPUTED_VALUE"""),"STEEN")</f>
        <v>STEEN</v>
      </c>
      <c r="C423" s="5" t="str">
        <f ca="1">IFERROR(__xludf.DUMMYFUNCTION("""COMPUTED_VALUE"""),"Skybolt")</f>
        <v>Skybolt</v>
      </c>
      <c r="D423" s="5" t="str">
        <f ca="1">IFERROR(__xludf.DUMMYFUNCTION("""COMPUTED_VALUE"""),"LandPlane")</f>
        <v>LandPlane</v>
      </c>
      <c r="E423" s="5" t="str">
        <f ca="1">IFERROR(__xludf.DUMMYFUNCTION("""COMPUTED_VALUE"""),"Piston")</f>
        <v>Piston</v>
      </c>
      <c r="F423" s="5">
        <f ca="1">IFERROR(__xludf.DUMMYFUNCTION("""COMPUTED_VALUE"""),1)</f>
        <v>1</v>
      </c>
    </row>
    <row r="424" spans="1:6" ht="15" customHeight="1" x14ac:dyDescent="0.2">
      <c r="A424" s="5" t="str">
        <f ca="1">IFERROR(__xludf.DUMMYFUNCTION("""COMPUTED_VALUE"""),"BOOM")</f>
        <v>BOOM</v>
      </c>
      <c r="B424" s="5" t="str">
        <f ca="1">IFERROR(__xludf.DUMMYFUNCTION("""COMPUTED_VALUE"""),"RUTAN")</f>
        <v>RUTAN</v>
      </c>
      <c r="C424" s="5" t="str">
        <f ca="1">IFERROR(__xludf.DUMMYFUNCTION("""COMPUTED_VALUE"""),"202 Boomerang")</f>
        <v>202 Boomerang</v>
      </c>
      <c r="D424" s="5" t="str">
        <f ca="1">IFERROR(__xludf.DUMMYFUNCTION("""COMPUTED_VALUE"""),"LandPlane")</f>
        <v>LandPlane</v>
      </c>
      <c r="E424" s="5" t="str">
        <f ca="1">IFERROR(__xludf.DUMMYFUNCTION("""COMPUTED_VALUE"""),"Piston")</f>
        <v>Piston</v>
      </c>
      <c r="F424" s="5">
        <f ca="1">IFERROR(__xludf.DUMMYFUNCTION("""COMPUTED_VALUE"""),2)</f>
        <v>2</v>
      </c>
    </row>
    <row r="425" spans="1:6" ht="15" customHeight="1" x14ac:dyDescent="0.2">
      <c r="A425" s="5" t="str">
        <f ca="1">IFERROR(__xludf.DUMMYFUNCTION("""COMPUTED_VALUE"""),"BPAT")</f>
        <v>BPAT</v>
      </c>
      <c r="B425" s="5" t="str">
        <f ca="1">IFERROR(__xludf.DUMMYFUNCTION("""COMPUTED_VALUE"""),"R &amp; B")</f>
        <v>R &amp; B</v>
      </c>
      <c r="C425" s="5" t="str">
        <f ca="1">IFERROR(__xludf.DUMMYFUNCTION("""COMPUTED_VALUE"""),"Bearhawk Patrol")</f>
        <v>Bearhawk Patrol</v>
      </c>
      <c r="D425" s="5" t="str">
        <f ca="1">IFERROR(__xludf.DUMMYFUNCTION("""COMPUTED_VALUE"""),"LandPlane")</f>
        <v>LandPlane</v>
      </c>
      <c r="E425" s="5" t="str">
        <f ca="1">IFERROR(__xludf.DUMMYFUNCTION("""COMPUTED_VALUE"""),"Piston")</f>
        <v>Piston</v>
      </c>
      <c r="F425" s="5">
        <f ca="1">IFERROR(__xludf.DUMMYFUNCTION("""COMPUTED_VALUE"""),1)</f>
        <v>1</v>
      </c>
    </row>
    <row r="426" spans="1:6" ht="15" customHeight="1" x14ac:dyDescent="0.2">
      <c r="A426" s="5" t="str">
        <f ca="1">IFERROR(__xludf.DUMMYFUNCTION("""COMPUTED_VALUE"""),"BPOD")</f>
        <v>BPOD</v>
      </c>
      <c r="B426" s="5" t="str">
        <f ca="1">IFERROR(__xludf.DUMMYFUNCTION("""COMPUTED_VALUE"""),"SCALED")</f>
        <v>SCALED</v>
      </c>
      <c r="C426" s="5" t="str">
        <f ca="1">IFERROR(__xludf.DUMMYFUNCTION("""COMPUTED_VALUE"""),"367 BiPod")</f>
        <v>367 BiPod</v>
      </c>
      <c r="D426" s="5" t="str">
        <f ca="1">IFERROR(__xludf.DUMMYFUNCTION("""COMPUTED_VALUE"""),"LandPlane")</f>
        <v>LandPlane</v>
      </c>
      <c r="E426" s="5" t="str">
        <f ca="1">IFERROR(__xludf.DUMMYFUNCTION("""COMPUTED_VALUE"""),"Electric")</f>
        <v>Electric</v>
      </c>
      <c r="F426" s="5">
        <f ca="1">IFERROR(__xludf.DUMMYFUNCTION("""COMPUTED_VALUE"""),4)</f>
        <v>4</v>
      </c>
    </row>
    <row r="427" spans="1:6" ht="15" customHeight="1" x14ac:dyDescent="0.2">
      <c r="A427" s="5" t="str">
        <f ca="1">IFERROR(__xludf.DUMMYFUNCTION("""COMPUTED_VALUE"""),"BR14")</f>
        <v>BR14</v>
      </c>
      <c r="B427" s="5" t="str">
        <f ca="1">IFERROR(__xludf.DUMMYFUNCTION("""COMPUTED_VALUE"""),"BREGUET")</f>
        <v>BREGUET</v>
      </c>
      <c r="C427" s="5" t="str">
        <f ca="1">IFERROR(__xludf.DUMMYFUNCTION("""COMPUTED_VALUE"""),"14 Replica")</f>
        <v>14 Replica</v>
      </c>
      <c r="D427" s="5" t="str">
        <f ca="1">IFERROR(__xludf.DUMMYFUNCTION("""COMPUTED_VALUE"""),"LandPlane")</f>
        <v>LandPlane</v>
      </c>
      <c r="E427" s="5" t="str">
        <f ca="1">IFERROR(__xludf.DUMMYFUNCTION("""COMPUTED_VALUE"""),"Piston")</f>
        <v>Piston</v>
      </c>
      <c r="F427" s="5">
        <f ca="1">IFERROR(__xludf.DUMMYFUNCTION("""COMPUTED_VALUE"""),1)</f>
        <v>1</v>
      </c>
    </row>
    <row r="428" spans="1:6" ht="15" customHeight="1" x14ac:dyDescent="0.2">
      <c r="A428" s="5" t="str">
        <f ca="1">IFERROR(__xludf.DUMMYFUNCTION("""COMPUTED_VALUE"""),"BR23")</f>
        <v>BR23</v>
      </c>
      <c r="B428" s="5" t="str">
        <f ca="1">IFERROR(__xludf.DUMMYFUNCTION("""COMPUTED_VALUE"""),"BRM AERO")</f>
        <v>BRM AERO</v>
      </c>
      <c r="C428" s="5" t="str">
        <f ca="1">IFERROR(__xludf.DUMMYFUNCTION("""COMPUTED_VALUE"""),"Bristell B23")</f>
        <v>Bristell B23</v>
      </c>
      <c r="D428" s="5" t="str">
        <f ca="1">IFERROR(__xludf.DUMMYFUNCTION("""COMPUTED_VALUE"""),"LandPlane")</f>
        <v>LandPlane</v>
      </c>
      <c r="E428" s="5" t="str">
        <f ca="1">IFERROR(__xludf.DUMMYFUNCTION("""COMPUTED_VALUE"""),"Piston")</f>
        <v>Piston</v>
      </c>
      <c r="F428" s="5">
        <f ca="1">IFERROR(__xludf.DUMMYFUNCTION("""COMPUTED_VALUE"""),1)</f>
        <v>1</v>
      </c>
    </row>
    <row r="429" spans="1:6" ht="15" customHeight="1" x14ac:dyDescent="0.2">
      <c r="A429" s="5" t="str">
        <f ca="1">IFERROR(__xludf.DUMMYFUNCTION("""COMPUTED_VALUE"""),"BR54")</f>
        <v>BR54</v>
      </c>
      <c r="B429" s="5" t="str">
        <f ca="1">IFERROR(__xludf.DUMMYFUNCTION("""COMPUTED_VALUE"""),"BARNETT")</f>
        <v>BARNETT</v>
      </c>
      <c r="C429" s="5" t="str">
        <f ca="1">IFERROR(__xludf.DUMMYFUNCTION("""COMPUTED_VALUE"""),"BRC-540")</f>
        <v>BRC-540</v>
      </c>
      <c r="D429" s="5" t="str">
        <f ca="1">IFERROR(__xludf.DUMMYFUNCTION("""COMPUTED_VALUE"""),"Gyrocopter")</f>
        <v>Gyrocopter</v>
      </c>
      <c r="E429" s="5" t="str">
        <f ca="1">IFERROR(__xludf.DUMMYFUNCTION("""COMPUTED_VALUE"""),"Piston")</f>
        <v>Piston</v>
      </c>
      <c r="F429" s="5">
        <f ca="1">IFERROR(__xludf.DUMMYFUNCTION("""COMPUTED_VALUE"""),1)</f>
        <v>1</v>
      </c>
    </row>
    <row r="430" spans="1:6" ht="15" customHeight="1" x14ac:dyDescent="0.2">
      <c r="A430" s="5" t="str">
        <f ca="1">IFERROR(__xludf.DUMMYFUNCTION("""COMPUTED_VALUE"""),"BR60")</f>
        <v>BR60</v>
      </c>
      <c r="B430" s="5" t="str">
        <f ca="1">IFERROR(__xludf.DUMMYFUNCTION("""COMPUTED_VALUE"""),"BRUMBY")</f>
        <v>BRUMBY</v>
      </c>
      <c r="C430" s="5" t="str">
        <f ca="1">IFERROR(__xludf.DUMMYFUNCTION("""COMPUTED_VALUE"""),"600")</f>
        <v>600</v>
      </c>
      <c r="D430" s="5" t="str">
        <f ca="1">IFERROR(__xludf.DUMMYFUNCTION("""COMPUTED_VALUE"""),"LandPlane")</f>
        <v>LandPlane</v>
      </c>
      <c r="E430" s="5" t="str">
        <f ca="1">IFERROR(__xludf.DUMMYFUNCTION("""COMPUTED_VALUE"""),"Piston")</f>
        <v>Piston</v>
      </c>
      <c r="F430" s="5">
        <f ca="1">IFERROR(__xludf.DUMMYFUNCTION("""COMPUTED_VALUE"""),1)</f>
        <v>1</v>
      </c>
    </row>
    <row r="431" spans="1:6" ht="15" customHeight="1" x14ac:dyDescent="0.2">
      <c r="A431" s="5" t="str">
        <f ca="1">IFERROR(__xludf.DUMMYFUNCTION("""COMPUTED_VALUE"""),"BR61")</f>
        <v>BR61</v>
      </c>
      <c r="B431" s="5" t="str">
        <f ca="1">IFERROR(__xludf.DUMMYFUNCTION("""COMPUTED_VALUE"""),"BRUMBY")</f>
        <v>BRUMBY</v>
      </c>
      <c r="C431" s="5" t="str">
        <f ca="1">IFERROR(__xludf.DUMMYFUNCTION("""COMPUTED_VALUE"""),"610 Evolution")</f>
        <v>610 Evolution</v>
      </c>
      <c r="D431" s="5" t="str">
        <f ca="1">IFERROR(__xludf.DUMMYFUNCTION("""COMPUTED_VALUE"""),"LandPlane")</f>
        <v>LandPlane</v>
      </c>
      <c r="E431" s="5" t="str">
        <f ca="1">IFERROR(__xludf.DUMMYFUNCTION("""COMPUTED_VALUE"""),"Piston")</f>
        <v>Piston</v>
      </c>
      <c r="F431" s="5">
        <f ca="1">IFERROR(__xludf.DUMMYFUNCTION("""COMPUTED_VALUE"""),1)</f>
        <v>1</v>
      </c>
    </row>
    <row r="432" spans="1:6" ht="15" customHeight="1" x14ac:dyDescent="0.2">
      <c r="A432" s="5" t="str">
        <f ca="1">IFERROR(__xludf.DUMMYFUNCTION("""COMPUTED_VALUE"""),"BR8")</f>
        <v>BR8</v>
      </c>
      <c r="B432" s="5" t="str">
        <f ca="1">IFERROR(__xludf.DUMMYFUNCTION("""COMPUTED_VALUE"""),"BRM AERO")</f>
        <v>BRM AERO</v>
      </c>
      <c r="C432" s="5" t="str">
        <f ca="1">IFERROR(__xludf.DUMMYFUNCTION("""COMPUTED_VALUE"""),"Bristell B8")</f>
        <v>Bristell B8</v>
      </c>
      <c r="D432" s="5" t="str">
        <f ca="1">IFERROR(__xludf.DUMMYFUNCTION("""COMPUTED_VALUE"""),"LandPlane")</f>
        <v>LandPlane</v>
      </c>
      <c r="E432" s="5" t="str">
        <f ca="1">IFERROR(__xludf.DUMMYFUNCTION("""COMPUTED_VALUE"""),"Piston")</f>
        <v>Piston</v>
      </c>
      <c r="F432" s="5">
        <f ca="1">IFERROR(__xludf.DUMMYFUNCTION("""COMPUTED_VALUE"""),1)</f>
        <v>1</v>
      </c>
    </row>
    <row r="433" spans="1:6" ht="15" customHeight="1" x14ac:dyDescent="0.2">
      <c r="A433" s="5" t="str">
        <f ca="1">IFERROR(__xludf.DUMMYFUNCTION("""COMPUTED_VALUE"""),"BRAV")</f>
        <v>BRAV</v>
      </c>
      <c r="B433" s="5" t="str">
        <f ca="1">IFERROR(__xludf.DUMMYFUNCTION("""COMPUTED_VALUE"""),"TECNAM")</f>
        <v>TECNAM</v>
      </c>
      <c r="C433" s="5" t="str">
        <f ca="1">IFERROR(__xludf.DUMMYFUNCTION("""COMPUTED_VALUE"""),"P-2004 Bravo")</f>
        <v>P-2004 Bravo</v>
      </c>
      <c r="D433" s="5" t="str">
        <f ca="1">IFERROR(__xludf.DUMMYFUNCTION("""COMPUTED_VALUE"""),"LandPlane")</f>
        <v>LandPlane</v>
      </c>
      <c r="E433" s="5" t="str">
        <f ca="1">IFERROR(__xludf.DUMMYFUNCTION("""COMPUTED_VALUE"""),"Piston")</f>
        <v>Piston</v>
      </c>
      <c r="F433" s="5">
        <f ca="1">IFERROR(__xludf.DUMMYFUNCTION("""COMPUTED_VALUE"""),1)</f>
        <v>1</v>
      </c>
    </row>
    <row r="434" spans="1:6" ht="15" customHeight="1" x14ac:dyDescent="0.2">
      <c r="A434" s="5" t="str">
        <f ca="1">IFERROR(__xludf.DUMMYFUNCTION("""COMPUTED_VALUE"""),"BRB2")</f>
        <v>BRB2</v>
      </c>
      <c r="B434" s="5" t="str">
        <f ca="1">IFERROR(__xludf.DUMMYFUNCTION("""COMPUTED_VALUE"""),"BRANTLY")</f>
        <v>BRANTLY</v>
      </c>
      <c r="C434" s="5" t="str">
        <f ca="1">IFERROR(__xludf.DUMMYFUNCTION("""COMPUTED_VALUE"""),"B-2")</f>
        <v>B-2</v>
      </c>
      <c r="D434" s="5" t="str">
        <f ca="1">IFERROR(__xludf.DUMMYFUNCTION("""COMPUTED_VALUE"""),"Helicopter")</f>
        <v>Helicopter</v>
      </c>
      <c r="E434" s="5" t="str">
        <f ca="1">IFERROR(__xludf.DUMMYFUNCTION("""COMPUTED_VALUE"""),"Piston")</f>
        <v>Piston</v>
      </c>
      <c r="F434" s="5">
        <f ca="1">IFERROR(__xludf.DUMMYFUNCTION("""COMPUTED_VALUE"""),1)</f>
        <v>1</v>
      </c>
    </row>
    <row r="435" spans="1:6" ht="15" customHeight="1" x14ac:dyDescent="0.2">
      <c r="A435" s="5" t="str">
        <f ca="1">IFERROR(__xludf.DUMMYFUNCTION("""COMPUTED_VALUE"""),"BREZ")</f>
        <v>BREZ</v>
      </c>
      <c r="B435" s="5" t="str">
        <f ca="1">IFERROR(__xludf.DUMMYFUNCTION("""COMPUTED_VALUE"""),"AEROSTYLE")</f>
        <v>AEROSTYLE</v>
      </c>
      <c r="C435" s="5" t="str">
        <f ca="1">IFERROR(__xludf.DUMMYFUNCTION("""COMPUTED_VALUE"""),"Breezer")</f>
        <v>Breezer</v>
      </c>
      <c r="D435" s="5" t="str">
        <f ca="1">IFERROR(__xludf.DUMMYFUNCTION("""COMPUTED_VALUE"""),"LandPlane")</f>
        <v>LandPlane</v>
      </c>
      <c r="E435" s="5" t="str">
        <f ca="1">IFERROR(__xludf.DUMMYFUNCTION("""COMPUTED_VALUE"""),"Piston")</f>
        <v>Piston</v>
      </c>
      <c r="F435" s="5">
        <f ca="1">IFERROR(__xludf.DUMMYFUNCTION("""COMPUTED_VALUE"""),1)</f>
        <v>1</v>
      </c>
    </row>
    <row r="436" spans="1:6" ht="15" customHeight="1" x14ac:dyDescent="0.2">
      <c r="A436" s="5" t="str">
        <f ca="1">IFERROR(__xludf.DUMMYFUNCTION("""COMPUTED_VALUE"""),"BROU")</f>
        <v>BROU</v>
      </c>
      <c r="B436" s="5" t="str">
        <f ca="1">IFERROR(__xludf.DUMMYFUNCTION("""COMPUTED_VALUE"""),"MAX HOLSTE")</f>
        <v>MAX HOLSTE</v>
      </c>
      <c r="C436" s="5" t="str">
        <f ca="1">IFERROR(__xludf.DUMMYFUNCTION("""COMPUTED_VALUE"""),"MH-1521 Broussard")</f>
        <v>MH-1521 Broussard</v>
      </c>
      <c r="D436" s="5" t="str">
        <f ca="1">IFERROR(__xludf.DUMMYFUNCTION("""COMPUTED_VALUE"""),"LandPlane")</f>
        <v>LandPlane</v>
      </c>
      <c r="E436" s="5" t="str">
        <f ca="1">IFERROR(__xludf.DUMMYFUNCTION("""COMPUTED_VALUE"""),"Piston")</f>
        <v>Piston</v>
      </c>
      <c r="F436" s="5">
        <f ca="1">IFERROR(__xludf.DUMMYFUNCTION("""COMPUTED_VALUE"""),1)</f>
        <v>1</v>
      </c>
    </row>
    <row r="437" spans="1:6" ht="15" customHeight="1" x14ac:dyDescent="0.2">
      <c r="A437" s="5" t="str">
        <f ca="1">IFERROR(__xludf.DUMMYFUNCTION("""COMPUTED_VALUE"""),"BS60")</f>
        <v>BS60</v>
      </c>
      <c r="B437" s="5" t="str">
        <f ca="1">IFERROR(__xludf.DUMMYFUNCTION("""COMPUTED_VALUE"""),"BEECH-SFERMA")</f>
        <v>BEECH-SFERMA</v>
      </c>
      <c r="C437" s="5" t="str">
        <f ca="1">IFERROR(__xludf.DUMMYFUNCTION("""COMPUTED_VALUE"""),"60 Marquis")</f>
        <v>60 Marquis</v>
      </c>
      <c r="D437" s="5" t="str">
        <f ca="1">IFERROR(__xludf.DUMMYFUNCTION("""COMPUTED_VALUE"""),"LandPlane")</f>
        <v>LandPlane</v>
      </c>
      <c r="E437" s="5" t="str">
        <f ca="1">IFERROR(__xludf.DUMMYFUNCTION("""COMPUTED_VALUE"""),"Turboprop/Turboshaft")</f>
        <v>Turboprop/Turboshaft</v>
      </c>
      <c r="F437" s="5">
        <f ca="1">IFERROR(__xludf.DUMMYFUNCTION("""COMPUTED_VALUE"""),2)</f>
        <v>2</v>
      </c>
    </row>
    <row r="438" spans="1:6" ht="15" customHeight="1" x14ac:dyDescent="0.2">
      <c r="A438" s="5" t="str">
        <f ca="1">IFERROR(__xludf.DUMMYFUNCTION("""COMPUTED_VALUE"""),"BSTP")</f>
        <v>BSTP</v>
      </c>
      <c r="B438" s="5" t="str">
        <f ca="1">IFERROR(__xludf.DUMMYFUNCTION("""COMPUTED_VALUE"""),"BELL")</f>
        <v>BELL</v>
      </c>
      <c r="C438" s="5" t="str">
        <f ca="1">IFERROR(__xludf.DUMMYFUNCTION("""COMPUTED_VALUE"""),"214ST SuperTransport")</f>
        <v>214ST SuperTransport</v>
      </c>
      <c r="D438" s="5" t="str">
        <f ca="1">IFERROR(__xludf.DUMMYFUNCTION("""COMPUTED_VALUE"""),"Helicopter")</f>
        <v>Helicopter</v>
      </c>
      <c r="E438" s="5" t="str">
        <f ca="1">IFERROR(__xludf.DUMMYFUNCTION("""COMPUTED_VALUE"""),"Turboprop/Turboshaft")</f>
        <v>Turboprop/Turboshaft</v>
      </c>
      <c r="F438" s="5">
        <f ca="1">IFERROR(__xludf.DUMMYFUNCTION("""COMPUTED_VALUE"""),2)</f>
        <v>2</v>
      </c>
    </row>
    <row r="439" spans="1:6" ht="15" customHeight="1" x14ac:dyDescent="0.2">
      <c r="A439" s="5" t="str">
        <f ca="1">IFERROR(__xludf.DUMMYFUNCTION("""COMPUTED_VALUE"""),"BT36")</f>
        <v>BT36</v>
      </c>
      <c r="B439" s="5" t="str">
        <f ca="1">IFERROR(__xludf.DUMMYFUNCTION("""COMPUTED_VALUE"""),"BEECH")</f>
        <v>BEECH</v>
      </c>
      <c r="C439" s="5" t="str">
        <f ca="1">IFERROR(__xludf.DUMMYFUNCTION("""COMPUTED_VALUE"""),"B36TC Bonanza")</f>
        <v>B36TC Bonanza</v>
      </c>
      <c r="D439" s="5" t="str">
        <f ca="1">IFERROR(__xludf.DUMMYFUNCTION("""COMPUTED_VALUE"""),"LandPlane")</f>
        <v>LandPlane</v>
      </c>
      <c r="E439" s="5" t="str">
        <f ca="1">IFERROR(__xludf.DUMMYFUNCTION("""COMPUTED_VALUE"""),"Piston")</f>
        <v>Piston</v>
      </c>
      <c r="F439" s="5">
        <f ca="1">IFERROR(__xludf.DUMMYFUNCTION("""COMPUTED_VALUE"""),1)</f>
        <v>1</v>
      </c>
    </row>
    <row r="440" spans="1:6" ht="15" customHeight="1" x14ac:dyDescent="0.2">
      <c r="A440" s="5" t="str">
        <f ca="1">IFERROR(__xludf.DUMMYFUNCTION("""COMPUTED_VALUE"""),"BT7")</f>
        <v>BT7</v>
      </c>
      <c r="B440" s="5" t="str">
        <f ca="1">IFERROR(__xludf.DUMMYFUNCTION("""COMPUTED_VALUE"""),"BOEING")</f>
        <v>BOEING</v>
      </c>
      <c r="C440" s="5" t="str">
        <f ca="1">IFERROR(__xludf.DUMMYFUNCTION("""COMPUTED_VALUE"""),"T-7 Red Hawk")</f>
        <v>T-7 Red Hawk</v>
      </c>
      <c r="D440" s="5" t="str">
        <f ca="1">IFERROR(__xludf.DUMMYFUNCTION("""COMPUTED_VALUE"""),"LandPlane")</f>
        <v>LandPlane</v>
      </c>
      <c r="E440" s="5" t="str">
        <f ca="1">IFERROR(__xludf.DUMMYFUNCTION("""COMPUTED_VALUE"""),"Jet")</f>
        <v>Jet</v>
      </c>
      <c r="F440" s="5">
        <f ca="1">IFERROR(__xludf.DUMMYFUNCTION("""COMPUTED_VALUE"""),1)</f>
        <v>1</v>
      </c>
    </row>
    <row r="441" spans="1:6" ht="15" customHeight="1" x14ac:dyDescent="0.2">
      <c r="A441" s="5" t="str">
        <f ca="1">IFERROR(__xludf.DUMMYFUNCTION("""COMPUTED_VALUE"""),"BTUB")</f>
        <v>BTUB</v>
      </c>
      <c r="B441" s="5" t="str">
        <f ca="1">IFERROR(__xludf.DUMMYFUNCTION("""COMPUTED_VALUE"""),"KIMBREL")</f>
        <v>KIMBREL</v>
      </c>
      <c r="C441" s="5" t="str">
        <f ca="1">IFERROR(__xludf.DUMMYFUNCTION("""COMPUTED_VALUE"""),"Dormoy Bathtub")</f>
        <v>Dormoy Bathtub</v>
      </c>
      <c r="D441" s="5" t="str">
        <f ca="1">IFERROR(__xludf.DUMMYFUNCTION("""COMPUTED_VALUE"""),"LandPlane")</f>
        <v>LandPlane</v>
      </c>
      <c r="E441" s="5" t="str">
        <f ca="1">IFERROR(__xludf.DUMMYFUNCTION("""COMPUTED_VALUE"""),"Piston")</f>
        <v>Piston</v>
      </c>
      <c r="F441" s="5">
        <f ca="1">IFERROR(__xludf.DUMMYFUNCTION("""COMPUTED_VALUE"""),1)</f>
        <v>1</v>
      </c>
    </row>
    <row r="442" spans="1:6" ht="15" customHeight="1" x14ac:dyDescent="0.2">
      <c r="A442" s="5" t="str">
        <f ca="1">IFERROR(__xludf.DUMMYFUNCTION("""COMPUTED_VALUE"""),"BU20")</f>
        <v>BU20</v>
      </c>
      <c r="B442" s="5" t="str">
        <f ca="1">IFERROR(__xludf.DUMMYFUNCTION("""COMPUTED_VALUE"""),"AIRCRAFT HYDRO-FORMING")</f>
        <v>AIRCRAFT HYDRO-FORMING</v>
      </c>
      <c r="C442" s="5" t="str">
        <f ca="1">IFERROR(__xludf.DUMMYFUNCTION("""COMPUTED_VALUE"""),"Bushmaster 2000")</f>
        <v>Bushmaster 2000</v>
      </c>
      <c r="D442" s="5" t="str">
        <f ca="1">IFERROR(__xludf.DUMMYFUNCTION("""COMPUTED_VALUE"""),"LandPlane")</f>
        <v>LandPlane</v>
      </c>
      <c r="E442" s="5" t="str">
        <f ca="1">IFERROR(__xludf.DUMMYFUNCTION("""COMPUTED_VALUE"""),"Piston")</f>
        <v>Piston</v>
      </c>
      <c r="F442" s="5">
        <f ca="1">IFERROR(__xludf.DUMMYFUNCTION("""COMPUTED_VALUE"""),3)</f>
        <v>3</v>
      </c>
    </row>
    <row r="443" spans="1:6" ht="15" customHeight="1" x14ac:dyDescent="0.2">
      <c r="A443" s="5" t="str">
        <f ca="1">IFERROR(__xludf.DUMMYFUNCTION("""COMPUTED_VALUE"""),"BU31")</f>
        <v>BU31</v>
      </c>
      <c r="B443" s="5" t="str">
        <f ca="1">IFERROR(__xludf.DUMMYFUNCTION("""COMPUTED_VALUE"""),"BUCKER")</f>
        <v>BUCKER</v>
      </c>
      <c r="C443" s="5" t="str">
        <f ca="1">IFERROR(__xludf.DUMMYFUNCTION("""COMPUTED_VALUE"""),"Bü-131 Jungmann")</f>
        <v>Bü-131 Jungmann</v>
      </c>
      <c r="D443" s="5" t="str">
        <f ca="1">IFERROR(__xludf.DUMMYFUNCTION("""COMPUTED_VALUE"""),"LandPlane")</f>
        <v>LandPlane</v>
      </c>
      <c r="E443" s="5" t="str">
        <f ca="1">IFERROR(__xludf.DUMMYFUNCTION("""COMPUTED_VALUE"""),"Piston")</f>
        <v>Piston</v>
      </c>
      <c r="F443" s="5">
        <f ca="1">IFERROR(__xludf.DUMMYFUNCTION("""COMPUTED_VALUE"""),1)</f>
        <v>1</v>
      </c>
    </row>
    <row r="444" spans="1:6" ht="15" customHeight="1" x14ac:dyDescent="0.2">
      <c r="A444" s="5" t="str">
        <f ca="1">IFERROR(__xludf.DUMMYFUNCTION("""COMPUTED_VALUE"""),"BU33")</f>
        <v>BU33</v>
      </c>
      <c r="B444" s="5" t="str">
        <f ca="1">IFERROR(__xludf.DUMMYFUNCTION("""COMPUTED_VALUE"""),"BUCKER")</f>
        <v>BUCKER</v>
      </c>
      <c r="C444" s="5" t="str">
        <f ca="1">IFERROR(__xludf.DUMMYFUNCTION("""COMPUTED_VALUE"""),"Bü-133 Jungmeister")</f>
        <v>Bü-133 Jungmeister</v>
      </c>
      <c r="D444" s="5" t="str">
        <f ca="1">IFERROR(__xludf.DUMMYFUNCTION("""COMPUTED_VALUE"""),"LandPlane")</f>
        <v>LandPlane</v>
      </c>
      <c r="E444" s="5" t="str">
        <f ca="1">IFERROR(__xludf.DUMMYFUNCTION("""COMPUTED_VALUE"""),"Piston")</f>
        <v>Piston</v>
      </c>
      <c r="F444" s="5">
        <f ca="1">IFERROR(__xludf.DUMMYFUNCTION("""COMPUTED_VALUE"""),1)</f>
        <v>1</v>
      </c>
    </row>
    <row r="445" spans="1:6" ht="15" customHeight="1" x14ac:dyDescent="0.2">
      <c r="A445" s="5" t="str">
        <f ca="1">IFERROR(__xludf.DUMMYFUNCTION("""COMPUTED_VALUE"""),"BU81")</f>
        <v>BU81</v>
      </c>
      <c r="B445" s="5" t="str">
        <f ca="1">IFERROR(__xludf.DUMMYFUNCTION("""COMPUTED_VALUE"""),"BUCKER")</f>
        <v>BUCKER</v>
      </c>
      <c r="C445" s="5" t="str">
        <f ca="1">IFERROR(__xludf.DUMMYFUNCTION("""COMPUTED_VALUE"""),"Bü-181 Bestmann")</f>
        <v>Bü-181 Bestmann</v>
      </c>
      <c r="D445" s="5" t="str">
        <f ca="1">IFERROR(__xludf.DUMMYFUNCTION("""COMPUTED_VALUE"""),"LandPlane")</f>
        <v>LandPlane</v>
      </c>
      <c r="E445" s="5" t="str">
        <f ca="1">IFERROR(__xludf.DUMMYFUNCTION("""COMPUTED_VALUE"""),"Piston")</f>
        <v>Piston</v>
      </c>
      <c r="F445" s="5">
        <f ca="1">IFERROR(__xludf.DUMMYFUNCTION("""COMPUTED_VALUE"""),1)</f>
        <v>1</v>
      </c>
    </row>
    <row r="446" spans="1:6" ht="15" customHeight="1" x14ac:dyDescent="0.2">
      <c r="A446" s="5" t="str">
        <f ca="1">IFERROR(__xludf.DUMMYFUNCTION("""COMPUTED_VALUE"""),"BUC")</f>
        <v>BUC</v>
      </c>
      <c r="B446" s="5" t="str">
        <f ca="1">IFERROR(__xludf.DUMMYFUNCTION("""COMPUTED_VALUE"""),"HAWKER SIDDELEY")</f>
        <v>HAWKER SIDDELEY</v>
      </c>
      <c r="C446" s="5" t="str">
        <f ca="1">IFERROR(__xludf.DUMMYFUNCTION("""COMPUTED_VALUE"""),"Buccaneer")</f>
        <v>Buccaneer</v>
      </c>
      <c r="D446" s="5" t="str">
        <f ca="1">IFERROR(__xludf.DUMMYFUNCTION("""COMPUTED_VALUE"""),"LandPlane")</f>
        <v>LandPlane</v>
      </c>
      <c r="E446" s="5" t="str">
        <f ca="1">IFERROR(__xludf.DUMMYFUNCTION("""COMPUTED_VALUE"""),"Jet")</f>
        <v>Jet</v>
      </c>
      <c r="F446" s="5">
        <f ca="1">IFERROR(__xludf.DUMMYFUNCTION("""COMPUTED_VALUE"""),2)</f>
        <v>2</v>
      </c>
    </row>
    <row r="447" spans="1:6" ht="15" customHeight="1" x14ac:dyDescent="0.2">
      <c r="A447" s="5" t="str">
        <f ca="1">IFERROR(__xludf.DUMMYFUNCTION("""COMPUTED_VALUE"""),"BUCA")</f>
        <v>BUCA</v>
      </c>
      <c r="B447" s="5" t="str">
        <f ca="1">IFERROR(__xludf.DUMMYFUNCTION("""COMPUTED_VALUE"""),"ADVANCED AVIATION")</f>
        <v>ADVANCED AVIATION</v>
      </c>
      <c r="C447" s="5" t="str">
        <f ca="1">IFERROR(__xludf.DUMMYFUNCTION("""COMPUTED_VALUE"""),"Buccaneer")</f>
        <v>Buccaneer</v>
      </c>
      <c r="D447" s="5" t="str">
        <f ca="1">IFERROR(__xludf.DUMMYFUNCTION("""COMPUTED_VALUE"""),"Amphibian")</f>
        <v>Amphibian</v>
      </c>
      <c r="E447" s="5" t="str">
        <f ca="1">IFERROR(__xludf.DUMMYFUNCTION("""COMPUTED_VALUE"""),"Piston")</f>
        <v>Piston</v>
      </c>
      <c r="F447" s="5">
        <f ca="1">IFERROR(__xludf.DUMMYFUNCTION("""COMPUTED_VALUE"""),1)</f>
        <v>1</v>
      </c>
    </row>
    <row r="448" spans="1:6" ht="15" customHeight="1" x14ac:dyDescent="0.2">
      <c r="A448" s="5" t="str">
        <f ca="1">IFERROR(__xludf.DUMMYFUNCTION("""COMPUTED_VALUE"""),"BULT")</f>
        <v>BULT</v>
      </c>
      <c r="B448" s="5" t="str">
        <f ca="1">IFERROR(__xludf.DUMMYFUNCTION("""COMPUTED_VALUE"""),"BROKAW")</f>
        <v>BROKAW</v>
      </c>
      <c r="C448" s="5" t="str">
        <f ca="1">IFERROR(__xludf.DUMMYFUNCTION("""COMPUTED_VALUE"""),"BJ-520 Bullet")</f>
        <v>BJ-520 Bullet</v>
      </c>
      <c r="D448" s="5" t="str">
        <f ca="1">IFERROR(__xludf.DUMMYFUNCTION("""COMPUTED_VALUE"""),"LandPlane")</f>
        <v>LandPlane</v>
      </c>
      <c r="E448" s="5" t="str">
        <f ca="1">IFERROR(__xludf.DUMMYFUNCTION("""COMPUTED_VALUE"""),"Piston")</f>
        <v>Piston</v>
      </c>
      <c r="F448" s="5">
        <f ca="1">IFERROR(__xludf.DUMMYFUNCTION("""COMPUTED_VALUE"""),1)</f>
        <v>1</v>
      </c>
    </row>
    <row r="449" spans="1:6" ht="15" customHeight="1" x14ac:dyDescent="0.2">
      <c r="A449" s="5" t="str">
        <f ca="1">IFERROR(__xludf.DUMMYFUNCTION("""COMPUTED_VALUE"""),"BUSH")</f>
        <v>BUSH</v>
      </c>
      <c r="B449" s="5" t="str">
        <f ca="1">IFERROR(__xludf.DUMMYFUNCTION("""COMPUTED_VALUE"""),"RAINBOW SKYREACH")</f>
        <v>RAINBOW SKYREACH</v>
      </c>
      <c r="C449" s="5" t="str">
        <f ca="1">IFERROR(__xludf.DUMMYFUNCTION("""COMPUTED_VALUE"""),"BushCat")</f>
        <v>BushCat</v>
      </c>
      <c r="D449" s="5" t="str">
        <f ca="1">IFERROR(__xludf.DUMMYFUNCTION("""COMPUTED_VALUE"""),"LandPlane")</f>
        <v>LandPlane</v>
      </c>
      <c r="E449" s="5" t="str">
        <f ca="1">IFERROR(__xludf.DUMMYFUNCTION("""COMPUTED_VALUE"""),"Piston")</f>
        <v>Piston</v>
      </c>
      <c r="F449" s="5">
        <f ca="1">IFERROR(__xludf.DUMMYFUNCTION("""COMPUTED_VALUE"""),1)</f>
        <v>1</v>
      </c>
    </row>
    <row r="450" spans="1:6" ht="15" customHeight="1" x14ac:dyDescent="0.2">
      <c r="A450" s="5" t="str">
        <f ca="1">IFERROR(__xludf.DUMMYFUNCTION("""COMPUTED_VALUE"""),"BW60")</f>
        <v>BW60</v>
      </c>
      <c r="B450" s="5" t="str">
        <f ca="1">IFERROR(__xludf.DUMMYFUNCTION("""COMPUTED_VALUE"""),"BLACKWING")</f>
        <v>BLACKWING</v>
      </c>
      <c r="C450" s="5" t="str">
        <f ca="1">IFERROR(__xludf.DUMMYFUNCTION("""COMPUTED_VALUE"""),"BW-600")</f>
        <v>BW-600</v>
      </c>
      <c r="D450" s="5" t="str">
        <f ca="1">IFERROR(__xludf.DUMMYFUNCTION("""COMPUTED_VALUE"""),"LandPlane")</f>
        <v>LandPlane</v>
      </c>
      <c r="E450" s="5" t="str">
        <f ca="1">IFERROR(__xludf.DUMMYFUNCTION("""COMPUTED_VALUE"""),"Piston")</f>
        <v>Piston</v>
      </c>
      <c r="F450" s="5">
        <f ca="1">IFERROR(__xludf.DUMMYFUNCTION("""COMPUTED_VALUE"""),1)</f>
        <v>1</v>
      </c>
    </row>
    <row r="451" spans="1:6" ht="15" customHeight="1" x14ac:dyDescent="0.2">
      <c r="A451" s="5" t="str">
        <f ca="1">IFERROR(__xludf.DUMMYFUNCTION("""COMPUTED_VALUE"""),"BW6T")</f>
        <v>BW6T</v>
      </c>
      <c r="B451" s="5" t="str">
        <f ca="1">IFERROR(__xludf.DUMMYFUNCTION("""COMPUTED_VALUE"""),"BLACKWING")</f>
        <v>BLACKWING</v>
      </c>
      <c r="C451" s="5" t="str">
        <f ca="1">IFERROR(__xludf.DUMMYFUNCTION("""COMPUTED_VALUE"""),"BW-635")</f>
        <v>BW-635</v>
      </c>
      <c r="D451" s="5" t="str">
        <f ca="1">IFERROR(__xludf.DUMMYFUNCTION("""COMPUTED_VALUE"""),"LandPlane")</f>
        <v>LandPlane</v>
      </c>
      <c r="E451" s="5" t="str">
        <f ca="1">IFERROR(__xludf.DUMMYFUNCTION("""COMPUTED_VALUE"""),"Piston")</f>
        <v>Piston</v>
      </c>
      <c r="F451" s="5">
        <f ca="1">IFERROR(__xludf.DUMMYFUNCTION("""COMPUTED_VALUE"""),1)</f>
        <v>1</v>
      </c>
    </row>
    <row r="452" spans="1:6" ht="15" customHeight="1" x14ac:dyDescent="0.2">
      <c r="A452" s="5" t="str">
        <f ca="1">IFERROR(__xludf.DUMMYFUNCTION("""COMPUTED_VALUE"""),"BX2")</f>
        <v>BX2</v>
      </c>
      <c r="B452" s="5" t="str">
        <f ca="1">IFERROR(__xludf.DUMMYFUNCTION("""COMPUTED_VALUE"""),"BRANDLI")</f>
        <v>BRANDLI</v>
      </c>
      <c r="C452" s="5" t="str">
        <f ca="1">IFERROR(__xludf.DUMMYFUNCTION("""COMPUTED_VALUE"""),"BX-2 Cherry")</f>
        <v>BX-2 Cherry</v>
      </c>
      <c r="D452" s="5" t="str">
        <f ca="1">IFERROR(__xludf.DUMMYFUNCTION("""COMPUTED_VALUE"""),"LandPlane")</f>
        <v>LandPlane</v>
      </c>
      <c r="E452" s="5" t="str">
        <f ca="1">IFERROR(__xludf.DUMMYFUNCTION("""COMPUTED_VALUE"""),"Piston")</f>
        <v>Piston</v>
      </c>
      <c r="F452" s="5">
        <f ca="1">IFERROR(__xludf.DUMMYFUNCTION("""COMPUTED_VALUE"""),1)</f>
        <v>1</v>
      </c>
    </row>
    <row r="453" spans="1:6" ht="15" customHeight="1" x14ac:dyDescent="0.2">
      <c r="A453" s="5" t="str">
        <f ca="1">IFERROR(__xludf.DUMMYFUNCTION("""COMPUTED_VALUE"""),"C02T")</f>
        <v>C02T</v>
      </c>
      <c r="B453" s="5" t="str">
        <f ca="1">IFERROR(__xludf.DUMMYFUNCTION("""COMPUTED_VALUE"""),"CESSNA")</f>
        <v>CESSNA</v>
      </c>
      <c r="C453" s="5" t="str">
        <f ca="1">IFERROR(__xludf.DUMMYFUNCTION("""COMPUTED_VALUE"""),"402 (turbine)")</f>
        <v>402 (turbine)</v>
      </c>
      <c r="D453" s="5" t="str">
        <f ca="1">IFERROR(__xludf.DUMMYFUNCTION("""COMPUTED_VALUE"""),"LandPlane")</f>
        <v>LandPlane</v>
      </c>
      <c r="E453" s="5" t="str">
        <f ca="1">IFERROR(__xludf.DUMMYFUNCTION("""COMPUTED_VALUE"""),"Turboprop/Turboshaft")</f>
        <v>Turboprop/Turboshaft</v>
      </c>
      <c r="F453" s="5">
        <f ca="1">IFERROR(__xludf.DUMMYFUNCTION("""COMPUTED_VALUE"""),2)</f>
        <v>2</v>
      </c>
    </row>
    <row r="454" spans="1:6" ht="15" customHeight="1" x14ac:dyDescent="0.2">
      <c r="A454" s="5" t="str">
        <f ca="1">IFERROR(__xludf.DUMMYFUNCTION("""COMPUTED_VALUE"""),"C04T")</f>
        <v>C04T</v>
      </c>
      <c r="B454" s="5" t="str">
        <f ca="1">IFERROR(__xludf.DUMMYFUNCTION("""COMPUTED_VALUE"""),"CESSNA")</f>
        <v>CESSNA</v>
      </c>
      <c r="C454" s="5" t="str">
        <f ca="1">IFERROR(__xludf.DUMMYFUNCTION("""COMPUTED_VALUE"""),"404 (turbine)")</f>
        <v>404 (turbine)</v>
      </c>
      <c r="D454" s="5" t="str">
        <f ca="1">IFERROR(__xludf.DUMMYFUNCTION("""COMPUTED_VALUE"""),"LandPlane")</f>
        <v>LandPlane</v>
      </c>
      <c r="E454" s="5" t="str">
        <f ca="1">IFERROR(__xludf.DUMMYFUNCTION("""COMPUTED_VALUE"""),"Turboprop/Turboshaft")</f>
        <v>Turboprop/Turboshaft</v>
      </c>
      <c r="F454" s="5">
        <f ca="1">IFERROR(__xludf.DUMMYFUNCTION("""COMPUTED_VALUE"""),2)</f>
        <v>2</v>
      </c>
    </row>
    <row r="455" spans="1:6" ht="15" customHeight="1" x14ac:dyDescent="0.2">
      <c r="A455" s="5" t="str">
        <f ca="1">IFERROR(__xludf.DUMMYFUNCTION("""COMPUTED_VALUE"""),"C06T")</f>
        <v>C06T</v>
      </c>
      <c r="B455" s="5" t="str">
        <f ca="1">IFERROR(__xludf.DUMMYFUNCTION("""COMPUTED_VALUE"""),"CESSNA")</f>
        <v>CESSNA</v>
      </c>
      <c r="C455" s="5" t="str">
        <f ca="1">IFERROR(__xludf.DUMMYFUNCTION("""COMPUTED_VALUE"""),"206 (turbine)")</f>
        <v>206 (turbine)</v>
      </c>
      <c r="D455" s="5" t="str">
        <f ca="1">IFERROR(__xludf.DUMMYFUNCTION("""COMPUTED_VALUE"""),"LandPlane")</f>
        <v>LandPlane</v>
      </c>
      <c r="E455" s="5" t="str">
        <f ca="1">IFERROR(__xludf.DUMMYFUNCTION("""COMPUTED_VALUE"""),"Turboprop/Turboshaft")</f>
        <v>Turboprop/Turboshaft</v>
      </c>
      <c r="F455" s="5">
        <f ca="1">IFERROR(__xludf.DUMMYFUNCTION("""COMPUTED_VALUE"""),1)</f>
        <v>1</v>
      </c>
    </row>
    <row r="456" spans="1:6" ht="15" customHeight="1" x14ac:dyDescent="0.2">
      <c r="A456" s="5" t="str">
        <f ca="1">IFERROR(__xludf.DUMMYFUNCTION("""COMPUTED_VALUE"""),"C07T")</f>
        <v>C07T</v>
      </c>
      <c r="B456" s="5" t="str">
        <f ca="1">IFERROR(__xludf.DUMMYFUNCTION("""COMPUTED_VALUE"""),"CESSNA")</f>
        <v>CESSNA</v>
      </c>
      <c r="C456" s="5" t="str">
        <f ca="1">IFERROR(__xludf.DUMMYFUNCTION("""COMPUTED_VALUE"""),"207 (turbine)")</f>
        <v>207 (turbine)</v>
      </c>
      <c r="D456" s="5" t="str">
        <f ca="1">IFERROR(__xludf.DUMMYFUNCTION("""COMPUTED_VALUE"""),"LandPlane")</f>
        <v>LandPlane</v>
      </c>
      <c r="E456" s="5" t="str">
        <f ca="1">IFERROR(__xludf.DUMMYFUNCTION("""COMPUTED_VALUE"""),"Turboprop/Turboshaft")</f>
        <v>Turboprop/Turboshaft</v>
      </c>
      <c r="F456" s="5">
        <f ca="1">IFERROR(__xludf.DUMMYFUNCTION("""COMPUTED_VALUE"""),1)</f>
        <v>1</v>
      </c>
    </row>
    <row r="457" spans="1:6" ht="15" customHeight="1" x14ac:dyDescent="0.2">
      <c r="A457" s="5" t="str">
        <f ca="1">IFERROR(__xludf.DUMMYFUNCTION("""COMPUTED_VALUE"""),"C08T")</f>
        <v>C08T</v>
      </c>
      <c r="B457" s="5" t="str">
        <f ca="1">IFERROR(__xludf.DUMMYFUNCTION("""COMPUTED_VALUE"""),"SOLOY")</f>
        <v>SOLOY</v>
      </c>
      <c r="C457" s="5" t="str">
        <f ca="1">IFERROR(__xludf.DUMMYFUNCTION("""COMPUTED_VALUE"""),"208 Dual-Pac Caravan")</f>
        <v>208 Dual-Pac Caravan</v>
      </c>
      <c r="D457" s="5" t="str">
        <f ca="1">IFERROR(__xludf.DUMMYFUNCTION("""COMPUTED_VALUE"""),"LandPlane")</f>
        <v>LandPlane</v>
      </c>
      <c r="E457" s="5" t="str">
        <f ca="1">IFERROR(__xludf.DUMMYFUNCTION("""COMPUTED_VALUE"""),"Turboprop/Turboshaft")</f>
        <v>Turboprop/Turboshaft</v>
      </c>
      <c r="F457" s="5"/>
    </row>
    <row r="458" spans="1:6" ht="15" customHeight="1" x14ac:dyDescent="0.2">
      <c r="A458" s="5" t="str">
        <f ca="1">IFERROR(__xludf.DUMMYFUNCTION("""COMPUTED_VALUE"""),"C1")</f>
        <v>C1</v>
      </c>
      <c r="B458" s="5" t="str">
        <f ca="1">IFERROR(__xludf.DUMMYFUNCTION("""COMPUTED_VALUE"""),"KAWASAKI")</f>
        <v>KAWASAKI</v>
      </c>
      <c r="C458" s="5" t="str">
        <f ca="1">IFERROR(__xludf.DUMMYFUNCTION("""COMPUTED_VALUE"""),"C-1")</f>
        <v>C-1</v>
      </c>
      <c r="D458" s="5" t="str">
        <f ca="1">IFERROR(__xludf.DUMMYFUNCTION("""COMPUTED_VALUE"""),"LandPlane")</f>
        <v>LandPlane</v>
      </c>
      <c r="E458" s="5" t="str">
        <f ca="1">IFERROR(__xludf.DUMMYFUNCTION("""COMPUTED_VALUE"""),"Jet")</f>
        <v>Jet</v>
      </c>
      <c r="F458" s="5">
        <f ca="1">IFERROR(__xludf.DUMMYFUNCTION("""COMPUTED_VALUE"""),2)</f>
        <v>2</v>
      </c>
    </row>
    <row r="459" spans="1:6" ht="15" customHeight="1" x14ac:dyDescent="0.2">
      <c r="A459" s="5" t="str">
        <f ca="1">IFERROR(__xludf.DUMMYFUNCTION("""COMPUTED_VALUE"""),"C101")</f>
        <v>C101</v>
      </c>
      <c r="B459" s="5" t="str">
        <f ca="1">IFERROR(__xludf.DUMMYFUNCTION("""COMPUTED_VALUE"""),"CASA")</f>
        <v>CASA</v>
      </c>
      <c r="C459" s="5" t="str">
        <f ca="1">IFERROR(__xludf.DUMMYFUNCTION("""COMPUTED_VALUE"""),"C-101 Aviojet")</f>
        <v>C-101 Aviojet</v>
      </c>
      <c r="D459" s="5" t="str">
        <f ca="1">IFERROR(__xludf.DUMMYFUNCTION("""COMPUTED_VALUE"""),"LandPlane")</f>
        <v>LandPlane</v>
      </c>
      <c r="E459" s="5" t="str">
        <f ca="1">IFERROR(__xludf.DUMMYFUNCTION("""COMPUTED_VALUE"""),"Jet")</f>
        <v>Jet</v>
      </c>
      <c r="F459" s="5">
        <f ca="1">IFERROR(__xludf.DUMMYFUNCTION("""COMPUTED_VALUE"""),1)</f>
        <v>1</v>
      </c>
    </row>
    <row r="460" spans="1:6" ht="15" customHeight="1" x14ac:dyDescent="0.2">
      <c r="A460" s="5" t="str">
        <f ca="1">IFERROR(__xludf.DUMMYFUNCTION("""COMPUTED_VALUE"""),"C10T")</f>
        <v>C10T</v>
      </c>
      <c r="B460" s="5" t="str">
        <f ca="1">IFERROR(__xludf.DUMMYFUNCTION("""COMPUTED_VALUE"""),"CESSNA")</f>
        <v>CESSNA</v>
      </c>
      <c r="C460" s="5" t="str">
        <f ca="1">IFERROR(__xludf.DUMMYFUNCTION("""COMPUTED_VALUE"""),"P210 (turbine)")</f>
        <v>P210 (turbine)</v>
      </c>
      <c r="D460" s="5" t="str">
        <f ca="1">IFERROR(__xludf.DUMMYFUNCTION("""COMPUTED_VALUE"""),"LandPlane")</f>
        <v>LandPlane</v>
      </c>
      <c r="E460" s="5" t="str">
        <f ca="1">IFERROR(__xludf.DUMMYFUNCTION("""COMPUTED_VALUE"""),"Turboprop/Turboshaft")</f>
        <v>Turboprop/Turboshaft</v>
      </c>
      <c r="F460" s="5">
        <f ca="1">IFERROR(__xludf.DUMMYFUNCTION("""COMPUTED_VALUE"""),1)</f>
        <v>1</v>
      </c>
    </row>
    <row r="461" spans="1:6" ht="15" customHeight="1" x14ac:dyDescent="0.2">
      <c r="A461" s="5" t="str">
        <f ca="1">IFERROR(__xludf.DUMMYFUNCTION("""COMPUTED_VALUE"""),"C119")</f>
        <v>C119</v>
      </c>
      <c r="B461" s="5" t="str">
        <f ca="1">IFERROR(__xludf.DUMMYFUNCTION("""COMPUTED_VALUE"""),"FAIRCHILD (1)")</f>
        <v>FAIRCHILD (1)</v>
      </c>
      <c r="C461" s="5" t="str">
        <f ca="1">IFERROR(__xludf.DUMMYFUNCTION("""COMPUTED_VALUE"""),"C-119 Flying Boxcar")</f>
        <v>C-119 Flying Boxcar</v>
      </c>
      <c r="D461" s="5" t="str">
        <f ca="1">IFERROR(__xludf.DUMMYFUNCTION("""COMPUTED_VALUE"""),"LandPlane")</f>
        <v>LandPlane</v>
      </c>
      <c r="E461" s="5" t="str">
        <f ca="1">IFERROR(__xludf.DUMMYFUNCTION("""COMPUTED_VALUE"""),"Piston")</f>
        <v>Piston</v>
      </c>
      <c r="F461" s="5">
        <f ca="1">IFERROR(__xludf.DUMMYFUNCTION("""COMPUTED_VALUE"""),2)</f>
        <v>2</v>
      </c>
    </row>
    <row r="462" spans="1:6" ht="15" customHeight="1" x14ac:dyDescent="0.2">
      <c r="A462" s="5" t="str">
        <f ca="1">IFERROR(__xludf.DUMMYFUNCTION("""COMPUTED_VALUE"""),"C120")</f>
        <v>C120</v>
      </c>
      <c r="B462" s="5" t="str">
        <f ca="1">IFERROR(__xludf.DUMMYFUNCTION("""COMPUTED_VALUE"""),"CESSNA")</f>
        <v>CESSNA</v>
      </c>
      <c r="C462" s="5" t="str">
        <f ca="1">IFERROR(__xludf.DUMMYFUNCTION("""COMPUTED_VALUE"""),"120")</f>
        <v>120</v>
      </c>
      <c r="D462" s="5" t="str">
        <f ca="1">IFERROR(__xludf.DUMMYFUNCTION("""COMPUTED_VALUE"""),"LandPlane")</f>
        <v>LandPlane</v>
      </c>
      <c r="E462" s="5" t="str">
        <f ca="1">IFERROR(__xludf.DUMMYFUNCTION("""COMPUTED_VALUE"""),"Piston")</f>
        <v>Piston</v>
      </c>
      <c r="F462" s="5">
        <f ca="1">IFERROR(__xludf.DUMMYFUNCTION("""COMPUTED_VALUE"""),1)</f>
        <v>1</v>
      </c>
    </row>
    <row r="463" spans="1:6" ht="15" customHeight="1" x14ac:dyDescent="0.2">
      <c r="A463" s="5" t="str">
        <f ca="1">IFERROR(__xludf.DUMMYFUNCTION("""COMPUTED_VALUE"""),"C123")</f>
        <v>C123</v>
      </c>
      <c r="B463" s="5" t="str">
        <f ca="1">IFERROR(__xludf.DUMMYFUNCTION("""COMPUTED_VALUE"""),"FAIRCHILD (1)")</f>
        <v>FAIRCHILD (1)</v>
      </c>
      <c r="C463" s="5" t="str">
        <f ca="1">IFERROR(__xludf.DUMMYFUNCTION("""COMPUTED_VALUE"""),"C-123 Provider")</f>
        <v>C-123 Provider</v>
      </c>
      <c r="D463" s="5" t="str">
        <f ca="1">IFERROR(__xludf.DUMMYFUNCTION("""COMPUTED_VALUE"""),"LandPlane")</f>
        <v>LandPlane</v>
      </c>
      <c r="E463" s="5" t="str">
        <f ca="1">IFERROR(__xludf.DUMMYFUNCTION("""COMPUTED_VALUE"""),"Piston")</f>
        <v>Piston</v>
      </c>
      <c r="F463" s="5">
        <f ca="1">IFERROR(__xludf.DUMMYFUNCTION("""COMPUTED_VALUE"""),2)</f>
        <v>2</v>
      </c>
    </row>
    <row r="464" spans="1:6" ht="15" customHeight="1" x14ac:dyDescent="0.2">
      <c r="A464" s="5" t="str">
        <f ca="1">IFERROR(__xludf.DUMMYFUNCTION("""COMPUTED_VALUE"""),"C125")</f>
        <v>C125</v>
      </c>
      <c r="B464" s="5" t="str">
        <f ca="1">IFERROR(__xludf.DUMMYFUNCTION("""COMPUTED_VALUE"""),"NORTHROP")</f>
        <v>NORTHROP</v>
      </c>
      <c r="C464" s="5" t="str">
        <f ca="1">IFERROR(__xludf.DUMMYFUNCTION("""COMPUTED_VALUE"""),"C-125 Raider")</f>
        <v>C-125 Raider</v>
      </c>
      <c r="D464" s="5" t="str">
        <f ca="1">IFERROR(__xludf.DUMMYFUNCTION("""COMPUTED_VALUE"""),"LandPlane")</f>
        <v>LandPlane</v>
      </c>
      <c r="E464" s="5" t="str">
        <f ca="1">IFERROR(__xludf.DUMMYFUNCTION("""COMPUTED_VALUE"""),"Piston")</f>
        <v>Piston</v>
      </c>
      <c r="F464" s="5">
        <f ca="1">IFERROR(__xludf.DUMMYFUNCTION("""COMPUTED_VALUE"""),3)</f>
        <v>3</v>
      </c>
    </row>
    <row r="465" spans="1:6" ht="15" customHeight="1" x14ac:dyDescent="0.2">
      <c r="A465" s="5" t="str">
        <f ca="1">IFERROR(__xludf.DUMMYFUNCTION("""COMPUTED_VALUE"""),"C130")</f>
        <v>C130</v>
      </c>
      <c r="B465" s="5" t="str">
        <f ca="1">IFERROR(__xludf.DUMMYFUNCTION("""COMPUTED_VALUE"""),"LOCKHEED")</f>
        <v>LOCKHEED</v>
      </c>
      <c r="C465" s="5" t="str">
        <f ca="1">IFERROR(__xludf.DUMMYFUNCTION("""COMPUTED_VALUE"""),"C-130H Hercules")</f>
        <v>C-130H Hercules</v>
      </c>
      <c r="D465" s="5" t="str">
        <f ca="1">IFERROR(__xludf.DUMMYFUNCTION("""COMPUTED_VALUE"""),"LandPlane")</f>
        <v>LandPlane</v>
      </c>
      <c r="E465" s="5" t="str">
        <f ca="1">IFERROR(__xludf.DUMMYFUNCTION("""COMPUTED_VALUE"""),"Turboprop/Turboshaft")</f>
        <v>Turboprop/Turboshaft</v>
      </c>
      <c r="F465" s="5">
        <f ca="1">IFERROR(__xludf.DUMMYFUNCTION("""COMPUTED_VALUE"""),4)</f>
        <v>4</v>
      </c>
    </row>
    <row r="466" spans="1:6" ht="15" customHeight="1" x14ac:dyDescent="0.2">
      <c r="A466" s="5" t="str">
        <f ca="1">IFERROR(__xludf.DUMMYFUNCTION("""COMPUTED_VALUE"""),"C135")</f>
        <v>C135</v>
      </c>
      <c r="B466" s="5" t="str">
        <f ca="1">IFERROR(__xludf.DUMMYFUNCTION("""COMPUTED_VALUE"""),"BOEING")</f>
        <v>BOEING</v>
      </c>
      <c r="C466" s="5" t="str">
        <f ca="1">IFERROR(__xludf.DUMMYFUNCTION("""COMPUTED_VALUE"""),"WC-135")</f>
        <v>WC-135</v>
      </c>
      <c r="D466" s="5" t="str">
        <f ca="1">IFERROR(__xludf.DUMMYFUNCTION("""COMPUTED_VALUE"""),"LandPlane")</f>
        <v>LandPlane</v>
      </c>
      <c r="E466" s="5" t="str">
        <f ca="1">IFERROR(__xludf.DUMMYFUNCTION("""COMPUTED_VALUE"""),"Jet")</f>
        <v>Jet</v>
      </c>
      <c r="F466" s="5">
        <f ca="1">IFERROR(__xludf.DUMMYFUNCTION("""COMPUTED_VALUE"""),4)</f>
        <v>4</v>
      </c>
    </row>
    <row r="467" spans="1:6" ht="15" customHeight="1" x14ac:dyDescent="0.2">
      <c r="A467" s="5" t="str">
        <f ca="1">IFERROR(__xludf.DUMMYFUNCTION("""COMPUTED_VALUE"""),"C140")</f>
        <v>C140</v>
      </c>
      <c r="B467" s="5" t="str">
        <f ca="1">IFERROR(__xludf.DUMMYFUNCTION("""COMPUTED_VALUE"""),"CESSNA")</f>
        <v>CESSNA</v>
      </c>
      <c r="C467" s="5" t="str">
        <f ca="1">IFERROR(__xludf.DUMMYFUNCTION("""COMPUTED_VALUE"""),"140")</f>
        <v>140</v>
      </c>
      <c r="D467" s="5" t="str">
        <f ca="1">IFERROR(__xludf.DUMMYFUNCTION("""COMPUTED_VALUE"""),"LandPlane")</f>
        <v>LandPlane</v>
      </c>
      <c r="E467" s="5" t="str">
        <f ca="1">IFERROR(__xludf.DUMMYFUNCTION("""COMPUTED_VALUE"""),"Piston")</f>
        <v>Piston</v>
      </c>
      <c r="F467" s="5">
        <f ca="1">IFERROR(__xludf.DUMMYFUNCTION("""COMPUTED_VALUE"""),1)</f>
        <v>1</v>
      </c>
    </row>
    <row r="468" spans="1:6" ht="15" customHeight="1" x14ac:dyDescent="0.2">
      <c r="A468" s="5" t="str">
        <f ca="1">IFERROR(__xludf.DUMMYFUNCTION("""COMPUTED_VALUE"""),"C141")</f>
        <v>C141</v>
      </c>
      <c r="B468" s="5" t="str">
        <f ca="1">IFERROR(__xludf.DUMMYFUNCTION("""COMPUTED_VALUE"""),"LOCKHEED")</f>
        <v>LOCKHEED</v>
      </c>
      <c r="C468" s="5" t="str">
        <f ca="1">IFERROR(__xludf.DUMMYFUNCTION("""COMPUTED_VALUE"""),"C-141 Starlifter")</f>
        <v>C-141 Starlifter</v>
      </c>
      <c r="D468" s="5" t="str">
        <f ca="1">IFERROR(__xludf.DUMMYFUNCTION("""COMPUTED_VALUE"""),"LandPlane")</f>
        <v>LandPlane</v>
      </c>
      <c r="E468" s="5" t="str">
        <f ca="1">IFERROR(__xludf.DUMMYFUNCTION("""COMPUTED_VALUE"""),"Jet")</f>
        <v>Jet</v>
      </c>
      <c r="F468" s="5">
        <f ca="1">IFERROR(__xludf.DUMMYFUNCTION("""COMPUTED_VALUE"""),4)</f>
        <v>4</v>
      </c>
    </row>
    <row r="469" spans="1:6" ht="15" customHeight="1" x14ac:dyDescent="0.2">
      <c r="A469" s="5" t="str">
        <f ca="1">IFERROR(__xludf.DUMMYFUNCTION("""COMPUTED_VALUE"""),"C14T")</f>
        <v>C14T</v>
      </c>
      <c r="B469" s="5" t="str">
        <f ca="1">IFERROR(__xludf.DUMMYFUNCTION("""COMPUTED_VALUE"""),"CESSNA")</f>
        <v>CESSNA</v>
      </c>
      <c r="C469" s="5" t="str">
        <f ca="1">IFERROR(__xludf.DUMMYFUNCTION("""COMPUTED_VALUE"""),"414 (turbine)")</f>
        <v>414 (turbine)</v>
      </c>
      <c r="D469" s="5" t="str">
        <f ca="1">IFERROR(__xludf.DUMMYFUNCTION("""COMPUTED_VALUE"""),"LandPlane")</f>
        <v>LandPlane</v>
      </c>
      <c r="E469" s="5" t="str">
        <f ca="1">IFERROR(__xludf.DUMMYFUNCTION("""COMPUTED_VALUE"""),"Turboprop/Turboshaft")</f>
        <v>Turboprop/Turboshaft</v>
      </c>
      <c r="F469" s="5">
        <f ca="1">IFERROR(__xludf.DUMMYFUNCTION("""COMPUTED_VALUE"""),2)</f>
        <v>2</v>
      </c>
    </row>
    <row r="470" spans="1:6" ht="15" customHeight="1" x14ac:dyDescent="0.2">
      <c r="A470" s="5" t="str">
        <f ca="1">IFERROR(__xludf.DUMMYFUNCTION("""COMPUTED_VALUE"""),"C15")</f>
        <v>C15</v>
      </c>
      <c r="B470" s="5" t="str">
        <f ca="1">IFERROR(__xludf.DUMMYFUNCTION("""COMPUTED_VALUE"""),"MCDONNELL DOUGLAS")</f>
        <v>MCDONNELL DOUGLAS</v>
      </c>
      <c r="C470" s="5" t="str">
        <f ca="1">IFERROR(__xludf.DUMMYFUNCTION("""COMPUTED_VALUE"""),"YC-15")</f>
        <v>YC-15</v>
      </c>
      <c r="D470" s="5" t="str">
        <f ca="1">IFERROR(__xludf.DUMMYFUNCTION("""COMPUTED_VALUE"""),"LandPlane")</f>
        <v>LandPlane</v>
      </c>
      <c r="E470" s="5" t="str">
        <f ca="1">IFERROR(__xludf.DUMMYFUNCTION("""COMPUTED_VALUE"""),"Jet")</f>
        <v>Jet</v>
      </c>
      <c r="F470" s="5">
        <f ca="1">IFERROR(__xludf.DUMMYFUNCTION("""COMPUTED_VALUE"""),4)</f>
        <v>4</v>
      </c>
    </row>
    <row r="471" spans="1:6" ht="15" customHeight="1" x14ac:dyDescent="0.2">
      <c r="A471" s="5" t="str">
        <f ca="1">IFERROR(__xludf.DUMMYFUNCTION("""COMPUTED_VALUE"""),"C150")</f>
        <v>C150</v>
      </c>
      <c r="B471" s="5" t="str">
        <f ca="1">IFERROR(__xludf.DUMMYFUNCTION("""COMPUTED_VALUE"""),"CESSNA")</f>
        <v>CESSNA</v>
      </c>
      <c r="C471" s="5" t="str">
        <f ca="1">IFERROR(__xludf.DUMMYFUNCTION("""COMPUTED_VALUE"""),"A150 Aerobat")</f>
        <v>A150 Aerobat</v>
      </c>
      <c r="D471" s="5" t="str">
        <f ca="1">IFERROR(__xludf.DUMMYFUNCTION("""COMPUTED_VALUE"""),"LandPlane")</f>
        <v>LandPlane</v>
      </c>
      <c r="E471" s="5" t="str">
        <f ca="1">IFERROR(__xludf.DUMMYFUNCTION("""COMPUTED_VALUE"""),"Piston")</f>
        <v>Piston</v>
      </c>
      <c r="F471" s="5">
        <f ca="1">IFERROR(__xludf.DUMMYFUNCTION("""COMPUTED_VALUE"""),1)</f>
        <v>1</v>
      </c>
    </row>
    <row r="472" spans="1:6" ht="15" customHeight="1" x14ac:dyDescent="0.2">
      <c r="A472" s="5" t="str">
        <f ca="1">IFERROR(__xludf.DUMMYFUNCTION("""COMPUTED_VALUE"""),"C152")</f>
        <v>C152</v>
      </c>
      <c r="B472" s="5" t="str">
        <f ca="1">IFERROR(__xludf.DUMMYFUNCTION("""COMPUTED_VALUE"""),"CESSNA")</f>
        <v>CESSNA</v>
      </c>
      <c r="C472" s="5" t="str">
        <f ca="1">IFERROR(__xludf.DUMMYFUNCTION("""COMPUTED_VALUE"""),"A152 Aerobat")</f>
        <v>A152 Aerobat</v>
      </c>
      <c r="D472" s="5" t="str">
        <f ca="1">IFERROR(__xludf.DUMMYFUNCTION("""COMPUTED_VALUE"""),"LandPlane")</f>
        <v>LandPlane</v>
      </c>
      <c r="E472" s="5" t="str">
        <f ca="1">IFERROR(__xludf.DUMMYFUNCTION("""COMPUTED_VALUE"""),"Piston")</f>
        <v>Piston</v>
      </c>
      <c r="F472" s="5">
        <f ca="1">IFERROR(__xludf.DUMMYFUNCTION("""COMPUTED_VALUE"""),1)</f>
        <v>1</v>
      </c>
    </row>
    <row r="473" spans="1:6" ht="15" customHeight="1" x14ac:dyDescent="0.2">
      <c r="A473" s="5" t="str">
        <f ca="1">IFERROR(__xludf.DUMMYFUNCTION("""COMPUTED_VALUE"""),"C160")</f>
        <v>C160</v>
      </c>
      <c r="B473" s="5" t="str">
        <f ca="1">IFERROR(__xludf.DUMMYFUNCTION("""COMPUTED_VALUE"""),"TRANSALL")</f>
        <v>TRANSALL</v>
      </c>
      <c r="C473" s="5" t="str">
        <f ca="1">IFERROR(__xludf.DUMMYFUNCTION("""COMPUTED_VALUE"""),"C-160")</f>
        <v>C-160</v>
      </c>
      <c r="D473" s="5" t="str">
        <f ca="1">IFERROR(__xludf.DUMMYFUNCTION("""COMPUTED_VALUE"""),"LandPlane")</f>
        <v>LandPlane</v>
      </c>
      <c r="E473" s="5" t="str">
        <f ca="1">IFERROR(__xludf.DUMMYFUNCTION("""COMPUTED_VALUE"""),"Turboprop/Turboshaft")</f>
        <v>Turboprop/Turboshaft</v>
      </c>
      <c r="F473" s="5">
        <f ca="1">IFERROR(__xludf.DUMMYFUNCTION("""COMPUTED_VALUE"""),2)</f>
        <v>2</v>
      </c>
    </row>
    <row r="474" spans="1:6" ht="15" customHeight="1" x14ac:dyDescent="0.2">
      <c r="A474" s="5" t="str">
        <f ca="1">IFERROR(__xludf.DUMMYFUNCTION("""COMPUTED_VALUE"""),"C162")</f>
        <v>C162</v>
      </c>
      <c r="B474" s="5" t="str">
        <f ca="1">IFERROR(__xludf.DUMMYFUNCTION("""COMPUTED_VALUE"""),"CESSNA")</f>
        <v>CESSNA</v>
      </c>
      <c r="C474" s="5" t="str">
        <f ca="1">IFERROR(__xludf.DUMMYFUNCTION("""COMPUTED_VALUE"""),"162 Skycatcher")</f>
        <v>162 Skycatcher</v>
      </c>
      <c r="D474" s="5" t="str">
        <f ca="1">IFERROR(__xludf.DUMMYFUNCTION("""COMPUTED_VALUE"""),"LandPlane")</f>
        <v>LandPlane</v>
      </c>
      <c r="E474" s="5" t="str">
        <f ca="1">IFERROR(__xludf.DUMMYFUNCTION("""COMPUTED_VALUE"""),"Piston")</f>
        <v>Piston</v>
      </c>
      <c r="F474" s="5">
        <f ca="1">IFERROR(__xludf.DUMMYFUNCTION("""COMPUTED_VALUE"""),1)</f>
        <v>1</v>
      </c>
    </row>
    <row r="475" spans="1:6" ht="15" customHeight="1" x14ac:dyDescent="0.2">
      <c r="A475" s="5" t="str">
        <f ca="1">IFERROR(__xludf.DUMMYFUNCTION("""COMPUTED_VALUE"""),"C17")</f>
        <v>C17</v>
      </c>
      <c r="B475" s="5" t="str">
        <f ca="1">IFERROR(__xludf.DUMMYFUNCTION("""COMPUTED_VALUE"""),"BOEING")</f>
        <v>BOEING</v>
      </c>
      <c r="C475" s="5" t="str">
        <f ca="1">IFERROR(__xludf.DUMMYFUNCTION("""COMPUTED_VALUE"""),"C-17 Globemaster 3")</f>
        <v>C-17 Globemaster 3</v>
      </c>
      <c r="D475" s="5" t="str">
        <f ca="1">IFERROR(__xludf.DUMMYFUNCTION("""COMPUTED_VALUE"""),"LandPlane")</f>
        <v>LandPlane</v>
      </c>
      <c r="E475" s="5" t="str">
        <f ca="1">IFERROR(__xludf.DUMMYFUNCTION("""COMPUTED_VALUE"""),"Jet")</f>
        <v>Jet</v>
      </c>
      <c r="F475" s="5">
        <f ca="1">IFERROR(__xludf.DUMMYFUNCTION("""COMPUTED_VALUE"""),4)</f>
        <v>4</v>
      </c>
    </row>
    <row r="476" spans="1:6" ht="15" customHeight="1" x14ac:dyDescent="0.2">
      <c r="A476" s="5" t="str">
        <f ca="1">IFERROR(__xludf.DUMMYFUNCTION("""COMPUTED_VALUE"""),"C170")</f>
        <v>C170</v>
      </c>
      <c r="B476" s="5" t="str">
        <f ca="1">IFERROR(__xludf.DUMMYFUNCTION("""COMPUTED_VALUE"""),"CESSNA")</f>
        <v>CESSNA</v>
      </c>
      <c r="C476" s="5" t="str">
        <f ca="1">IFERROR(__xludf.DUMMYFUNCTION("""COMPUTED_VALUE"""),"170")</f>
        <v>170</v>
      </c>
      <c r="D476" s="5" t="str">
        <f ca="1">IFERROR(__xludf.DUMMYFUNCTION("""COMPUTED_VALUE"""),"LandPlane")</f>
        <v>LandPlane</v>
      </c>
      <c r="E476" s="5" t="str">
        <f ca="1">IFERROR(__xludf.DUMMYFUNCTION("""COMPUTED_VALUE"""),"Piston")</f>
        <v>Piston</v>
      </c>
      <c r="F476" s="5">
        <f ca="1">IFERROR(__xludf.DUMMYFUNCTION("""COMPUTED_VALUE"""),1)</f>
        <v>1</v>
      </c>
    </row>
    <row r="477" spans="1:6" ht="15" customHeight="1" x14ac:dyDescent="0.2">
      <c r="A477" s="5" t="str">
        <f ca="1">IFERROR(__xludf.DUMMYFUNCTION("""COMPUTED_VALUE"""),"C172")</f>
        <v>C172</v>
      </c>
      <c r="B477" s="5" t="str">
        <f ca="1">IFERROR(__xludf.DUMMYFUNCTION("""COMPUTED_VALUE"""),"CESSNA")</f>
        <v>CESSNA</v>
      </c>
      <c r="C477" s="5" t="str">
        <f ca="1">IFERROR(__xludf.DUMMYFUNCTION("""COMPUTED_VALUE"""),"172 Skyhawk")</f>
        <v>172 Skyhawk</v>
      </c>
      <c r="D477" s="5" t="str">
        <f ca="1">IFERROR(__xludf.DUMMYFUNCTION("""COMPUTED_VALUE"""),"LandPlane")</f>
        <v>LandPlane</v>
      </c>
      <c r="E477" s="5" t="str">
        <f ca="1">IFERROR(__xludf.DUMMYFUNCTION("""COMPUTED_VALUE"""),"Piston")</f>
        <v>Piston</v>
      </c>
      <c r="F477" s="5">
        <f ca="1">IFERROR(__xludf.DUMMYFUNCTION("""COMPUTED_VALUE"""),1)</f>
        <v>1</v>
      </c>
    </row>
    <row r="478" spans="1:6" ht="15" customHeight="1" x14ac:dyDescent="0.2">
      <c r="A478" s="5" t="str">
        <f ca="1">IFERROR(__xludf.DUMMYFUNCTION("""COMPUTED_VALUE"""),"C175")</f>
        <v>C175</v>
      </c>
      <c r="B478" s="5" t="str">
        <f ca="1">IFERROR(__xludf.DUMMYFUNCTION("""COMPUTED_VALUE"""),"CESSNA")</f>
        <v>CESSNA</v>
      </c>
      <c r="C478" s="5" t="str">
        <f ca="1">IFERROR(__xludf.DUMMYFUNCTION("""COMPUTED_VALUE"""),"175 Skylark")</f>
        <v>175 Skylark</v>
      </c>
      <c r="D478" s="5" t="str">
        <f ca="1">IFERROR(__xludf.DUMMYFUNCTION("""COMPUTED_VALUE"""),"LandPlane")</f>
        <v>LandPlane</v>
      </c>
      <c r="E478" s="5" t="str">
        <f ca="1">IFERROR(__xludf.DUMMYFUNCTION("""COMPUTED_VALUE"""),"Piston")</f>
        <v>Piston</v>
      </c>
      <c r="F478" s="5">
        <f ca="1">IFERROR(__xludf.DUMMYFUNCTION("""COMPUTED_VALUE"""),1)</f>
        <v>1</v>
      </c>
    </row>
    <row r="479" spans="1:6" ht="15" customHeight="1" x14ac:dyDescent="0.2">
      <c r="A479" s="5" t="str">
        <f ca="1">IFERROR(__xludf.DUMMYFUNCTION("""COMPUTED_VALUE"""),"C177")</f>
        <v>C177</v>
      </c>
      <c r="B479" s="5" t="str">
        <f ca="1">IFERROR(__xludf.DUMMYFUNCTION("""COMPUTED_VALUE"""),"CESSNA")</f>
        <v>CESSNA</v>
      </c>
      <c r="C479" s="5" t="str">
        <f ca="1">IFERROR(__xludf.DUMMYFUNCTION("""COMPUTED_VALUE"""),"177 Cardinal")</f>
        <v>177 Cardinal</v>
      </c>
      <c r="D479" s="5" t="str">
        <f ca="1">IFERROR(__xludf.DUMMYFUNCTION("""COMPUTED_VALUE"""),"LandPlane")</f>
        <v>LandPlane</v>
      </c>
      <c r="E479" s="5" t="str">
        <f ca="1">IFERROR(__xludf.DUMMYFUNCTION("""COMPUTED_VALUE"""),"Piston")</f>
        <v>Piston</v>
      </c>
      <c r="F479" s="5">
        <f ca="1">IFERROR(__xludf.DUMMYFUNCTION("""COMPUTED_VALUE"""),1)</f>
        <v>1</v>
      </c>
    </row>
    <row r="480" spans="1:6" ht="15" customHeight="1" x14ac:dyDescent="0.2">
      <c r="A480" s="5" t="str">
        <f ca="1">IFERROR(__xludf.DUMMYFUNCTION("""COMPUTED_VALUE"""),"C180")</f>
        <v>C180</v>
      </c>
      <c r="B480" s="5" t="str">
        <f ca="1">IFERROR(__xludf.DUMMYFUNCTION("""COMPUTED_VALUE"""),"CESSNA")</f>
        <v>CESSNA</v>
      </c>
      <c r="C480" s="5" t="str">
        <f ca="1">IFERROR(__xludf.DUMMYFUNCTION("""COMPUTED_VALUE"""),"180 Skywagon 180")</f>
        <v>180 Skywagon 180</v>
      </c>
      <c r="D480" s="5" t="str">
        <f ca="1">IFERROR(__xludf.DUMMYFUNCTION("""COMPUTED_VALUE"""),"LandPlane")</f>
        <v>LandPlane</v>
      </c>
      <c r="E480" s="5" t="str">
        <f ca="1">IFERROR(__xludf.DUMMYFUNCTION("""COMPUTED_VALUE"""),"Piston")</f>
        <v>Piston</v>
      </c>
      <c r="F480" s="5">
        <f ca="1">IFERROR(__xludf.DUMMYFUNCTION("""COMPUTED_VALUE"""),1)</f>
        <v>1</v>
      </c>
    </row>
    <row r="481" spans="1:6" ht="15" customHeight="1" x14ac:dyDescent="0.2">
      <c r="A481" s="5" t="str">
        <f ca="1">IFERROR(__xludf.DUMMYFUNCTION("""COMPUTED_VALUE"""),"C182")</f>
        <v>C182</v>
      </c>
      <c r="B481" s="5" t="str">
        <f ca="1">IFERROR(__xludf.DUMMYFUNCTION("""COMPUTED_VALUE"""),"CESSNA")</f>
        <v>CESSNA</v>
      </c>
      <c r="C481" s="5" t="str">
        <f ca="1">IFERROR(__xludf.DUMMYFUNCTION("""COMPUTED_VALUE"""),"182 Skylane")</f>
        <v>182 Skylane</v>
      </c>
      <c r="D481" s="5" t="str">
        <f ca="1">IFERROR(__xludf.DUMMYFUNCTION("""COMPUTED_VALUE"""),"LandPlane")</f>
        <v>LandPlane</v>
      </c>
      <c r="E481" s="5" t="str">
        <f ca="1">IFERROR(__xludf.DUMMYFUNCTION("""COMPUTED_VALUE"""),"Piston")</f>
        <v>Piston</v>
      </c>
      <c r="F481" s="5">
        <f ca="1">IFERROR(__xludf.DUMMYFUNCTION("""COMPUTED_VALUE"""),1)</f>
        <v>1</v>
      </c>
    </row>
    <row r="482" spans="1:6" ht="15" customHeight="1" x14ac:dyDescent="0.2">
      <c r="A482" s="5" t="str">
        <f ca="1">IFERROR(__xludf.DUMMYFUNCTION("""COMPUTED_VALUE"""),"C185")</f>
        <v>C185</v>
      </c>
      <c r="B482" s="5" t="str">
        <f ca="1">IFERROR(__xludf.DUMMYFUNCTION("""COMPUTED_VALUE"""),"CESSNA")</f>
        <v>CESSNA</v>
      </c>
      <c r="C482" s="5" t="str">
        <f ca="1">IFERROR(__xludf.DUMMYFUNCTION("""COMPUTED_VALUE"""),"185 Skywagon")</f>
        <v>185 Skywagon</v>
      </c>
      <c r="D482" s="5" t="str">
        <f ca="1">IFERROR(__xludf.DUMMYFUNCTION("""COMPUTED_VALUE"""),"LandPlane")</f>
        <v>LandPlane</v>
      </c>
      <c r="E482" s="5" t="str">
        <f ca="1">IFERROR(__xludf.DUMMYFUNCTION("""COMPUTED_VALUE"""),"Piston")</f>
        <v>Piston</v>
      </c>
      <c r="F482" s="5">
        <f ca="1">IFERROR(__xludf.DUMMYFUNCTION("""COMPUTED_VALUE"""),1)</f>
        <v>1</v>
      </c>
    </row>
    <row r="483" spans="1:6" ht="15" customHeight="1" x14ac:dyDescent="0.2">
      <c r="A483" s="5" t="str">
        <f ca="1">IFERROR(__xludf.DUMMYFUNCTION("""COMPUTED_VALUE"""),"C188")</f>
        <v>C188</v>
      </c>
      <c r="B483" s="5" t="str">
        <f ca="1">IFERROR(__xludf.DUMMYFUNCTION("""COMPUTED_VALUE"""),"CESSNA")</f>
        <v>CESSNA</v>
      </c>
      <c r="C483" s="5" t="str">
        <f ca="1">IFERROR(__xludf.DUMMYFUNCTION("""COMPUTED_VALUE"""),"188 AgWagon")</f>
        <v>188 AgWagon</v>
      </c>
      <c r="D483" s="5" t="str">
        <f ca="1">IFERROR(__xludf.DUMMYFUNCTION("""COMPUTED_VALUE"""),"LandPlane")</f>
        <v>LandPlane</v>
      </c>
      <c r="E483" s="5" t="str">
        <f ca="1">IFERROR(__xludf.DUMMYFUNCTION("""COMPUTED_VALUE"""),"Piston")</f>
        <v>Piston</v>
      </c>
      <c r="F483" s="5">
        <f ca="1">IFERROR(__xludf.DUMMYFUNCTION("""COMPUTED_VALUE"""),1)</f>
        <v>1</v>
      </c>
    </row>
    <row r="484" spans="1:6" ht="15" customHeight="1" x14ac:dyDescent="0.2">
      <c r="A484" s="5" t="str">
        <f ca="1">IFERROR(__xludf.DUMMYFUNCTION("""COMPUTED_VALUE"""),"C190")</f>
        <v>C190</v>
      </c>
      <c r="B484" s="5" t="str">
        <f ca="1">IFERROR(__xludf.DUMMYFUNCTION("""COMPUTED_VALUE"""),"CESSNA")</f>
        <v>CESSNA</v>
      </c>
      <c r="C484" s="5" t="str">
        <f ca="1">IFERROR(__xludf.DUMMYFUNCTION("""COMPUTED_VALUE"""),"190")</f>
        <v>190</v>
      </c>
      <c r="D484" s="5" t="str">
        <f ca="1">IFERROR(__xludf.DUMMYFUNCTION("""COMPUTED_VALUE"""),"LandPlane")</f>
        <v>LandPlane</v>
      </c>
      <c r="E484" s="5" t="str">
        <f ca="1">IFERROR(__xludf.DUMMYFUNCTION("""COMPUTED_VALUE"""),"Piston")</f>
        <v>Piston</v>
      </c>
      <c r="F484" s="5">
        <f ca="1">IFERROR(__xludf.DUMMYFUNCTION("""COMPUTED_VALUE"""),1)</f>
        <v>1</v>
      </c>
    </row>
    <row r="485" spans="1:6" ht="15" customHeight="1" x14ac:dyDescent="0.2">
      <c r="A485" s="5" t="str">
        <f ca="1">IFERROR(__xludf.DUMMYFUNCTION("""COMPUTED_VALUE"""),"C195")</f>
        <v>C195</v>
      </c>
      <c r="B485" s="5" t="str">
        <f ca="1">IFERROR(__xludf.DUMMYFUNCTION("""COMPUTED_VALUE"""),"CESSNA")</f>
        <v>CESSNA</v>
      </c>
      <c r="C485" s="5" t="str">
        <f ca="1">IFERROR(__xludf.DUMMYFUNCTION("""COMPUTED_VALUE"""),"195")</f>
        <v>195</v>
      </c>
      <c r="D485" s="5" t="str">
        <f ca="1">IFERROR(__xludf.DUMMYFUNCTION("""COMPUTED_VALUE"""),"LandPlane")</f>
        <v>LandPlane</v>
      </c>
      <c r="E485" s="5" t="str">
        <f ca="1">IFERROR(__xludf.DUMMYFUNCTION("""COMPUTED_VALUE"""),"Piston")</f>
        <v>Piston</v>
      </c>
      <c r="F485" s="5">
        <f ca="1">IFERROR(__xludf.DUMMYFUNCTION("""COMPUTED_VALUE"""),1)</f>
        <v>1</v>
      </c>
    </row>
    <row r="486" spans="1:6" s="7" customFormat="1" ht="15" customHeight="1" x14ac:dyDescent="0.2">
      <c r="A486" s="6" t="str">
        <f ca="1">IFERROR(__xludf.DUMMYFUNCTION("""COMPUTED_VALUE"""),"C2")</f>
        <v>C2</v>
      </c>
      <c r="B486" s="6" t="str">
        <f ca="1">IFERROR(__xludf.DUMMYFUNCTION("""COMPUTED_VALUE"""),"GRUMMAN")</f>
        <v>GRUMMAN</v>
      </c>
      <c r="C486" s="6" t="str">
        <f ca="1">IFERROR(__xludf.DUMMYFUNCTION("""COMPUTED_VALUE"""),"C-2 Greyhound")</f>
        <v>C-2 Greyhound</v>
      </c>
      <c r="D486" s="6" t="str">
        <f ca="1">IFERROR(__xludf.DUMMYFUNCTION("""COMPUTED_VALUE"""),"LandPlane")</f>
        <v>LandPlane</v>
      </c>
      <c r="E486" s="6" t="str">
        <f ca="1">IFERROR(__xludf.DUMMYFUNCTION("""COMPUTED_VALUE"""),"Turboprop/Turboshaft")</f>
        <v>Turboprop/Turboshaft</v>
      </c>
      <c r="F486" s="6">
        <f ca="1">IFERROR(__xludf.DUMMYFUNCTION("""COMPUTED_VALUE"""),2)</f>
        <v>2</v>
      </c>
    </row>
    <row r="487" spans="1:6" ht="15" customHeight="1" x14ac:dyDescent="0.2">
      <c r="A487" s="5" t="str">
        <f ca="1">IFERROR(__xludf.DUMMYFUNCTION("""COMPUTED_VALUE"""),"C205")</f>
        <v>C205</v>
      </c>
      <c r="B487" s="5" t="str">
        <f ca="1">IFERROR(__xludf.DUMMYFUNCTION("""COMPUTED_VALUE"""),"CESSNA")</f>
        <v>CESSNA</v>
      </c>
      <c r="C487" s="5" t="str">
        <f ca="1">IFERROR(__xludf.DUMMYFUNCTION("""COMPUTED_VALUE"""),"205")</f>
        <v>205</v>
      </c>
      <c r="D487" s="5" t="str">
        <f ca="1">IFERROR(__xludf.DUMMYFUNCTION("""COMPUTED_VALUE"""),"LandPlane")</f>
        <v>LandPlane</v>
      </c>
      <c r="E487" s="5" t="str">
        <f ca="1">IFERROR(__xludf.DUMMYFUNCTION("""COMPUTED_VALUE"""),"Piston")</f>
        <v>Piston</v>
      </c>
      <c r="F487" s="5">
        <f ca="1">IFERROR(__xludf.DUMMYFUNCTION("""COMPUTED_VALUE"""),1)</f>
        <v>1</v>
      </c>
    </row>
    <row r="488" spans="1:6" ht="15" customHeight="1" x14ac:dyDescent="0.2">
      <c r="A488" s="5" t="str">
        <f ca="1">IFERROR(__xludf.DUMMYFUNCTION("""COMPUTED_VALUE"""),"C206")</f>
        <v>C206</v>
      </c>
      <c r="B488" s="5" t="str">
        <f ca="1">IFERROR(__xludf.DUMMYFUNCTION("""COMPUTED_VALUE"""),"CESSNA")</f>
        <v>CESSNA</v>
      </c>
      <c r="C488" s="5" t="str">
        <f ca="1">IFERROR(__xludf.DUMMYFUNCTION("""COMPUTED_VALUE"""),"206 Stationair")</f>
        <v>206 Stationair</v>
      </c>
      <c r="D488" s="5" t="str">
        <f ca="1">IFERROR(__xludf.DUMMYFUNCTION("""COMPUTED_VALUE"""),"LandPlane")</f>
        <v>LandPlane</v>
      </c>
      <c r="E488" s="5" t="str">
        <f ca="1">IFERROR(__xludf.DUMMYFUNCTION("""COMPUTED_VALUE"""),"Piston")</f>
        <v>Piston</v>
      </c>
      <c r="F488" s="5">
        <f ca="1">IFERROR(__xludf.DUMMYFUNCTION("""COMPUTED_VALUE"""),1)</f>
        <v>1</v>
      </c>
    </row>
    <row r="489" spans="1:6" ht="15" customHeight="1" x14ac:dyDescent="0.2">
      <c r="A489" s="5" t="str">
        <f ca="1">IFERROR(__xludf.DUMMYFUNCTION("""COMPUTED_VALUE"""),"C207")</f>
        <v>C207</v>
      </c>
      <c r="B489" s="5" t="str">
        <f ca="1">IFERROR(__xludf.DUMMYFUNCTION("""COMPUTED_VALUE"""),"CESSNA")</f>
        <v>CESSNA</v>
      </c>
      <c r="C489" s="5" t="str">
        <f ca="1">IFERROR(__xludf.DUMMYFUNCTION("""COMPUTED_VALUE"""),"207 Stationair 7")</f>
        <v>207 Stationair 7</v>
      </c>
      <c r="D489" s="5" t="str">
        <f ca="1">IFERROR(__xludf.DUMMYFUNCTION("""COMPUTED_VALUE"""),"LandPlane")</f>
        <v>LandPlane</v>
      </c>
      <c r="E489" s="5" t="str">
        <f ca="1">IFERROR(__xludf.DUMMYFUNCTION("""COMPUTED_VALUE"""),"Piston")</f>
        <v>Piston</v>
      </c>
      <c r="F489" s="5">
        <f ca="1">IFERROR(__xludf.DUMMYFUNCTION("""COMPUTED_VALUE"""),1)</f>
        <v>1</v>
      </c>
    </row>
    <row r="490" spans="1:6" ht="15" customHeight="1" x14ac:dyDescent="0.2">
      <c r="A490" s="5" t="str">
        <f ca="1">IFERROR(__xludf.DUMMYFUNCTION("""COMPUTED_VALUE"""),"C208")</f>
        <v>C208</v>
      </c>
      <c r="B490" s="5" t="str">
        <f ca="1">IFERROR(__xludf.DUMMYFUNCTION("""COMPUTED_VALUE"""),"CESSNA")</f>
        <v>CESSNA</v>
      </c>
      <c r="C490" s="5" t="str">
        <f ca="1">IFERROR(__xludf.DUMMYFUNCTION("""COMPUTED_VALUE"""),"208 Caravan 1")</f>
        <v>208 Caravan 1</v>
      </c>
      <c r="D490" s="5" t="str">
        <f ca="1">IFERROR(__xludf.DUMMYFUNCTION("""COMPUTED_VALUE"""),"LandPlane")</f>
        <v>LandPlane</v>
      </c>
      <c r="E490" s="5" t="str">
        <f ca="1">IFERROR(__xludf.DUMMYFUNCTION("""COMPUTED_VALUE"""),"Turboprop/Turboshaft")</f>
        <v>Turboprop/Turboshaft</v>
      </c>
      <c r="F490" s="5">
        <f ca="1">IFERROR(__xludf.DUMMYFUNCTION("""COMPUTED_VALUE"""),1)</f>
        <v>1</v>
      </c>
    </row>
    <row r="491" spans="1:6" ht="15" customHeight="1" x14ac:dyDescent="0.2">
      <c r="A491" s="5" t="str">
        <f ca="1">IFERROR(__xludf.DUMMYFUNCTION("""COMPUTED_VALUE"""),"C210")</f>
        <v>C210</v>
      </c>
      <c r="B491" s="5" t="str">
        <f ca="1">IFERROR(__xludf.DUMMYFUNCTION("""COMPUTED_VALUE"""),"CESSNA")</f>
        <v>CESSNA</v>
      </c>
      <c r="C491" s="5" t="str">
        <f ca="1">IFERROR(__xludf.DUMMYFUNCTION("""COMPUTED_VALUE"""),"210 Centurion")</f>
        <v>210 Centurion</v>
      </c>
      <c r="D491" s="5" t="str">
        <f ca="1">IFERROR(__xludf.DUMMYFUNCTION("""COMPUTED_VALUE"""),"LandPlane")</f>
        <v>LandPlane</v>
      </c>
      <c r="E491" s="5" t="str">
        <f ca="1">IFERROR(__xludf.DUMMYFUNCTION("""COMPUTED_VALUE"""),"Piston")</f>
        <v>Piston</v>
      </c>
      <c r="F491" s="5">
        <f ca="1">IFERROR(__xludf.DUMMYFUNCTION("""COMPUTED_VALUE"""),1)</f>
        <v>1</v>
      </c>
    </row>
    <row r="492" spans="1:6" ht="15" customHeight="1" x14ac:dyDescent="0.2">
      <c r="A492" s="5" t="str">
        <f ca="1">IFERROR(__xludf.DUMMYFUNCTION("""COMPUTED_VALUE"""),"C212")</f>
        <v>C212</v>
      </c>
      <c r="B492" s="5" t="str">
        <f ca="1">IFERROR(__xludf.DUMMYFUNCTION("""COMPUTED_VALUE"""),"CASA")</f>
        <v>CASA</v>
      </c>
      <c r="C492" s="5" t="str">
        <f ca="1">IFERROR(__xludf.DUMMYFUNCTION("""COMPUTED_VALUE"""),"C-212 Aviocar")</f>
        <v>C-212 Aviocar</v>
      </c>
      <c r="D492" s="5" t="str">
        <f ca="1">IFERROR(__xludf.DUMMYFUNCTION("""COMPUTED_VALUE"""),"LandPlane")</f>
        <v>LandPlane</v>
      </c>
      <c r="E492" s="5" t="str">
        <f ca="1">IFERROR(__xludf.DUMMYFUNCTION("""COMPUTED_VALUE"""),"Turboprop/Turboshaft")</f>
        <v>Turboprop/Turboshaft</v>
      </c>
      <c r="F492" s="5">
        <f ca="1">IFERROR(__xludf.DUMMYFUNCTION("""COMPUTED_VALUE"""),2)</f>
        <v>2</v>
      </c>
    </row>
    <row r="493" spans="1:6" ht="15" customHeight="1" x14ac:dyDescent="0.2">
      <c r="A493" s="5" t="str">
        <f ca="1">IFERROR(__xludf.DUMMYFUNCTION("""COMPUTED_VALUE"""),"C21T")</f>
        <v>C21T</v>
      </c>
      <c r="B493" s="5" t="str">
        <f ca="1">IFERROR(__xludf.DUMMYFUNCTION("""COMPUTED_VALUE"""),"CESSNA")</f>
        <v>CESSNA</v>
      </c>
      <c r="C493" s="5" t="str">
        <f ca="1">IFERROR(__xludf.DUMMYFUNCTION("""COMPUTED_VALUE"""),"421 (turbine)")</f>
        <v>421 (turbine)</v>
      </c>
      <c r="D493" s="5" t="str">
        <f ca="1">IFERROR(__xludf.DUMMYFUNCTION("""COMPUTED_VALUE"""),"LandPlane")</f>
        <v>LandPlane</v>
      </c>
      <c r="E493" s="5" t="str">
        <f ca="1">IFERROR(__xludf.DUMMYFUNCTION("""COMPUTED_VALUE"""),"Turboprop/Turboshaft")</f>
        <v>Turboprop/Turboshaft</v>
      </c>
      <c r="F493" s="5">
        <f ca="1">IFERROR(__xludf.DUMMYFUNCTION("""COMPUTED_VALUE"""),2)</f>
        <v>2</v>
      </c>
    </row>
    <row r="494" spans="1:6" ht="15" customHeight="1" x14ac:dyDescent="0.2">
      <c r="A494" s="5" t="str">
        <f ca="1">IFERROR(__xludf.DUMMYFUNCTION("""COMPUTED_VALUE"""),"C22J")</f>
        <v>C22J</v>
      </c>
      <c r="B494" s="5" t="str">
        <f ca="1">IFERROR(__xludf.DUMMYFUNCTION("""COMPUTED_VALUE"""),"CAPRONI VIZZOLA")</f>
        <v>CAPRONI VIZZOLA</v>
      </c>
      <c r="C494" s="5" t="str">
        <f ca="1">IFERROR(__xludf.DUMMYFUNCTION("""COMPUTED_VALUE"""),"C-22J Ventura")</f>
        <v>C-22J Ventura</v>
      </c>
      <c r="D494" s="5" t="str">
        <f ca="1">IFERROR(__xludf.DUMMYFUNCTION("""COMPUTED_VALUE"""),"LandPlane")</f>
        <v>LandPlane</v>
      </c>
      <c r="E494" s="5" t="str">
        <f ca="1">IFERROR(__xludf.DUMMYFUNCTION("""COMPUTED_VALUE"""),"Jet")</f>
        <v>Jet</v>
      </c>
      <c r="F494" s="5">
        <f ca="1">IFERROR(__xludf.DUMMYFUNCTION("""COMPUTED_VALUE"""),2)</f>
        <v>2</v>
      </c>
    </row>
    <row r="495" spans="1:6" ht="15" customHeight="1" x14ac:dyDescent="0.2">
      <c r="A495" s="5" t="str">
        <f ca="1">IFERROR(__xludf.DUMMYFUNCTION("""COMPUTED_VALUE"""),"C240")</f>
        <v>C240</v>
      </c>
      <c r="B495" s="5" t="str">
        <f ca="1">IFERROR(__xludf.DUMMYFUNCTION("""COMPUTED_VALUE"""),"CESSNA")</f>
        <v>CESSNA</v>
      </c>
      <c r="C495" s="5" t="str">
        <f ca="1">IFERROR(__xludf.DUMMYFUNCTION("""COMPUTED_VALUE"""),"T240 Corvalis TTx")</f>
        <v>T240 Corvalis TTx</v>
      </c>
      <c r="D495" s="5" t="str">
        <f ca="1">IFERROR(__xludf.DUMMYFUNCTION("""COMPUTED_VALUE"""),"LandPlane")</f>
        <v>LandPlane</v>
      </c>
      <c r="E495" s="5" t="str">
        <f ca="1">IFERROR(__xludf.DUMMYFUNCTION("""COMPUTED_VALUE"""),"Piston")</f>
        <v>Piston</v>
      </c>
      <c r="F495" s="5">
        <f ca="1">IFERROR(__xludf.DUMMYFUNCTION("""COMPUTED_VALUE"""),1)</f>
        <v>1</v>
      </c>
    </row>
    <row r="496" spans="1:6" ht="15" customHeight="1" x14ac:dyDescent="0.2">
      <c r="A496" s="5" t="str">
        <f ca="1">IFERROR(__xludf.DUMMYFUNCTION("""COMPUTED_VALUE"""),"C25A")</f>
        <v>C25A</v>
      </c>
      <c r="B496" s="5" t="str">
        <f ca="1">IFERROR(__xludf.DUMMYFUNCTION("""COMPUTED_VALUE"""),"CESSNA")</f>
        <v>CESSNA</v>
      </c>
      <c r="C496" s="5" t="str">
        <f ca="1">IFERROR(__xludf.DUMMYFUNCTION("""COMPUTED_VALUE"""),"525A Citation CJ2")</f>
        <v>525A Citation CJ2</v>
      </c>
      <c r="D496" s="5" t="str">
        <f ca="1">IFERROR(__xludf.DUMMYFUNCTION("""COMPUTED_VALUE"""),"LandPlane")</f>
        <v>LandPlane</v>
      </c>
      <c r="E496" s="5" t="str">
        <f ca="1">IFERROR(__xludf.DUMMYFUNCTION("""COMPUTED_VALUE"""),"Jet")</f>
        <v>Jet</v>
      </c>
      <c r="F496" s="5">
        <f ca="1">IFERROR(__xludf.DUMMYFUNCTION("""COMPUTED_VALUE"""),2)</f>
        <v>2</v>
      </c>
    </row>
    <row r="497" spans="1:6" ht="15" customHeight="1" x14ac:dyDescent="0.2">
      <c r="A497" s="5" t="str">
        <f ca="1">IFERROR(__xludf.DUMMYFUNCTION("""COMPUTED_VALUE"""),"C25B")</f>
        <v>C25B</v>
      </c>
      <c r="B497" s="5" t="str">
        <f ca="1">IFERROR(__xludf.DUMMYFUNCTION("""COMPUTED_VALUE"""),"CESSNA")</f>
        <v>CESSNA</v>
      </c>
      <c r="C497" s="5" t="str">
        <f ca="1">IFERROR(__xludf.DUMMYFUNCTION("""COMPUTED_VALUE"""),"525B Citation CJ3")</f>
        <v>525B Citation CJ3</v>
      </c>
      <c r="D497" s="5" t="str">
        <f ca="1">IFERROR(__xludf.DUMMYFUNCTION("""COMPUTED_VALUE"""),"LandPlane")</f>
        <v>LandPlane</v>
      </c>
      <c r="E497" s="5" t="str">
        <f ca="1">IFERROR(__xludf.DUMMYFUNCTION("""COMPUTED_VALUE"""),"Jet")</f>
        <v>Jet</v>
      </c>
      <c r="F497" s="5">
        <f ca="1">IFERROR(__xludf.DUMMYFUNCTION("""COMPUTED_VALUE"""),2)</f>
        <v>2</v>
      </c>
    </row>
    <row r="498" spans="1:6" ht="15" customHeight="1" x14ac:dyDescent="0.2">
      <c r="A498" s="5" t="str">
        <f ca="1">IFERROR(__xludf.DUMMYFUNCTION("""COMPUTED_VALUE"""),"C25C")</f>
        <v>C25C</v>
      </c>
      <c r="B498" s="5" t="str">
        <f ca="1">IFERROR(__xludf.DUMMYFUNCTION("""COMPUTED_VALUE"""),"CESSNA")</f>
        <v>CESSNA</v>
      </c>
      <c r="C498" s="5" t="str">
        <f ca="1">IFERROR(__xludf.DUMMYFUNCTION("""COMPUTED_VALUE"""),"525C Citation CJ4")</f>
        <v>525C Citation CJ4</v>
      </c>
      <c r="D498" s="5" t="str">
        <f ca="1">IFERROR(__xludf.DUMMYFUNCTION("""COMPUTED_VALUE"""),"LandPlane")</f>
        <v>LandPlane</v>
      </c>
      <c r="E498" s="5" t="str">
        <f ca="1">IFERROR(__xludf.DUMMYFUNCTION("""COMPUTED_VALUE"""),"Jet")</f>
        <v>Jet</v>
      </c>
      <c r="F498" s="5">
        <f ca="1">IFERROR(__xludf.DUMMYFUNCTION("""COMPUTED_VALUE"""),2)</f>
        <v>2</v>
      </c>
    </row>
    <row r="499" spans="1:6" ht="15" customHeight="1" x14ac:dyDescent="0.2">
      <c r="A499" s="5" t="str">
        <f ca="1">IFERROR(__xludf.DUMMYFUNCTION("""COMPUTED_VALUE"""),"C25M")</f>
        <v>C25M</v>
      </c>
      <c r="B499" s="5" t="str">
        <f ca="1">IFERROR(__xludf.DUMMYFUNCTION("""COMPUTED_VALUE"""),"CESSNA")</f>
        <v>CESSNA</v>
      </c>
      <c r="C499" s="5" t="str">
        <f ca="1">IFERROR(__xludf.DUMMYFUNCTION("""COMPUTED_VALUE"""),"525 Citation M2")</f>
        <v>525 Citation M2</v>
      </c>
      <c r="D499" s="5" t="str">
        <f ca="1">IFERROR(__xludf.DUMMYFUNCTION("""COMPUTED_VALUE"""),"LandPlane")</f>
        <v>LandPlane</v>
      </c>
      <c r="E499" s="5" t="str">
        <f ca="1">IFERROR(__xludf.DUMMYFUNCTION("""COMPUTED_VALUE"""),"Jet")</f>
        <v>Jet</v>
      </c>
      <c r="F499" s="5">
        <f ca="1">IFERROR(__xludf.DUMMYFUNCTION("""COMPUTED_VALUE"""),2)</f>
        <v>2</v>
      </c>
    </row>
    <row r="500" spans="1:6" ht="15" customHeight="1" x14ac:dyDescent="0.2">
      <c r="A500" s="5" t="str">
        <f ca="1">IFERROR(__xludf.DUMMYFUNCTION("""COMPUTED_VALUE"""),"C270")</f>
        <v>C270</v>
      </c>
      <c r="B500" s="5" t="str">
        <f ca="1">IFERROR(__xludf.DUMMYFUNCTION("""COMPUTED_VALUE"""),"CAUDRON")</f>
        <v>CAUDRON</v>
      </c>
      <c r="C500" s="5" t="str">
        <f ca="1">IFERROR(__xludf.DUMMYFUNCTION("""COMPUTED_VALUE"""),"C-270 Luciole")</f>
        <v>C-270 Luciole</v>
      </c>
      <c r="D500" s="5" t="str">
        <f ca="1">IFERROR(__xludf.DUMMYFUNCTION("""COMPUTED_VALUE"""),"LandPlane")</f>
        <v>LandPlane</v>
      </c>
      <c r="E500" s="5" t="str">
        <f ca="1">IFERROR(__xludf.DUMMYFUNCTION("""COMPUTED_VALUE"""),"Piston")</f>
        <v>Piston</v>
      </c>
      <c r="F500" s="5">
        <f ca="1">IFERROR(__xludf.DUMMYFUNCTION("""COMPUTED_VALUE"""),1)</f>
        <v>1</v>
      </c>
    </row>
    <row r="501" spans="1:6" ht="15" customHeight="1" x14ac:dyDescent="0.2">
      <c r="A501" s="5" t="str">
        <f ca="1">IFERROR(__xludf.DUMMYFUNCTION("""COMPUTED_VALUE"""),"C27J")</f>
        <v>C27J</v>
      </c>
      <c r="B501" s="5" t="str">
        <f ca="1">IFERROR(__xludf.DUMMYFUNCTION("""COMPUTED_VALUE"""),"ALENIA")</f>
        <v>ALENIA</v>
      </c>
      <c r="C501" s="5" t="str">
        <f ca="1">IFERROR(__xludf.DUMMYFUNCTION("""COMPUTED_VALUE"""),"C-27J Spartan")</f>
        <v>C-27J Spartan</v>
      </c>
      <c r="D501" s="5" t="str">
        <f ca="1">IFERROR(__xludf.DUMMYFUNCTION("""COMPUTED_VALUE"""),"LandPlane")</f>
        <v>LandPlane</v>
      </c>
      <c r="E501" s="5" t="str">
        <f ca="1">IFERROR(__xludf.DUMMYFUNCTION("""COMPUTED_VALUE"""),"Turboprop/Turboshaft")</f>
        <v>Turboprop/Turboshaft</v>
      </c>
      <c r="F501" s="5">
        <f ca="1">IFERROR(__xludf.DUMMYFUNCTION("""COMPUTED_VALUE"""),2)</f>
        <v>2</v>
      </c>
    </row>
    <row r="502" spans="1:6" ht="15" customHeight="1" x14ac:dyDescent="0.2">
      <c r="A502" s="5" t="str">
        <f ca="1">IFERROR(__xludf.DUMMYFUNCTION("""COMPUTED_VALUE"""),"C295")</f>
        <v>C295</v>
      </c>
      <c r="B502" s="5" t="str">
        <f ca="1">IFERROR(__xludf.DUMMYFUNCTION("""COMPUTED_VALUE"""),"CASA")</f>
        <v>CASA</v>
      </c>
      <c r="C502" s="5" t="str">
        <f ca="1">IFERROR(__xludf.DUMMYFUNCTION("""COMPUTED_VALUE"""),"C-295 Persuader")</f>
        <v>C-295 Persuader</v>
      </c>
      <c r="D502" s="5" t="str">
        <f ca="1">IFERROR(__xludf.DUMMYFUNCTION("""COMPUTED_VALUE"""),"LandPlane")</f>
        <v>LandPlane</v>
      </c>
      <c r="E502" s="5" t="str">
        <f ca="1">IFERROR(__xludf.DUMMYFUNCTION("""COMPUTED_VALUE"""),"Turboprop/Turboshaft")</f>
        <v>Turboprop/Turboshaft</v>
      </c>
      <c r="F502" s="5">
        <f ca="1">IFERROR(__xludf.DUMMYFUNCTION("""COMPUTED_VALUE"""),2)</f>
        <v>2</v>
      </c>
    </row>
    <row r="503" spans="1:6" ht="15" customHeight="1" x14ac:dyDescent="0.2">
      <c r="A503" s="5" t="str">
        <f ca="1">IFERROR(__xludf.DUMMYFUNCTION("""COMPUTED_VALUE"""),"C303")</f>
        <v>C303</v>
      </c>
      <c r="B503" s="5" t="str">
        <f ca="1">IFERROR(__xludf.DUMMYFUNCTION("""COMPUTED_VALUE"""),"CESSNA")</f>
        <v>CESSNA</v>
      </c>
      <c r="C503" s="5" t="str">
        <f ca="1">IFERROR(__xludf.DUMMYFUNCTION("""COMPUTED_VALUE"""),"T303 Crusader")</f>
        <v>T303 Crusader</v>
      </c>
      <c r="D503" s="5" t="str">
        <f ca="1">IFERROR(__xludf.DUMMYFUNCTION("""COMPUTED_VALUE"""),"LandPlane")</f>
        <v>LandPlane</v>
      </c>
      <c r="E503" s="5" t="str">
        <f ca="1">IFERROR(__xludf.DUMMYFUNCTION("""COMPUTED_VALUE"""),"Piston")</f>
        <v>Piston</v>
      </c>
      <c r="F503" s="5">
        <f ca="1">IFERROR(__xludf.DUMMYFUNCTION("""COMPUTED_VALUE"""),2)</f>
        <v>2</v>
      </c>
    </row>
    <row r="504" spans="1:6" ht="15" customHeight="1" x14ac:dyDescent="0.2">
      <c r="A504" s="5" t="str">
        <f ca="1">IFERROR(__xludf.DUMMYFUNCTION("""COMPUTED_VALUE"""),"C306")</f>
        <v>C306</v>
      </c>
      <c r="B504" s="5" t="str">
        <f ca="1">IFERROR(__xludf.DUMMYFUNCTION("""COMPUTED_VALUE"""),"CEA-UFMG")</f>
        <v>CEA-UFMG</v>
      </c>
      <c r="C504" s="5" t="str">
        <f ca="1">IFERROR(__xludf.DUMMYFUNCTION("""COMPUTED_VALUE"""),"CEA-306 CB-10 Triathlon")</f>
        <v>CEA-306 CB-10 Triathlon</v>
      </c>
      <c r="D504" s="5" t="str">
        <f ca="1">IFERROR(__xludf.DUMMYFUNCTION("""COMPUTED_VALUE"""),"LandPlane")</f>
        <v>LandPlane</v>
      </c>
      <c r="E504" s="5" t="str">
        <f ca="1">IFERROR(__xludf.DUMMYFUNCTION("""COMPUTED_VALUE"""),"Piston")</f>
        <v>Piston</v>
      </c>
      <c r="F504" s="5">
        <f ca="1">IFERROR(__xludf.DUMMYFUNCTION("""COMPUTED_VALUE"""),1)</f>
        <v>1</v>
      </c>
    </row>
    <row r="505" spans="1:6" ht="15" customHeight="1" x14ac:dyDescent="0.2">
      <c r="A505" s="5" t="str">
        <f ca="1">IFERROR(__xludf.DUMMYFUNCTION("""COMPUTED_VALUE"""),"C309")</f>
        <v>C309</v>
      </c>
      <c r="B505" s="5" t="str">
        <f ca="1">IFERROR(__xludf.DUMMYFUNCTION("""COMPUTED_VALUE"""),"CEA-UFMG")</f>
        <v>CEA-UFMG</v>
      </c>
      <c r="C505" s="5" t="str">
        <f ca="1">IFERROR(__xludf.DUMMYFUNCTION("""COMPUTED_VALUE"""),"CEA-309 Mehari")</f>
        <v>CEA-309 Mehari</v>
      </c>
      <c r="D505" s="5" t="str">
        <f ca="1">IFERROR(__xludf.DUMMYFUNCTION("""COMPUTED_VALUE"""),"LandPlane")</f>
        <v>LandPlane</v>
      </c>
      <c r="E505" s="5" t="str">
        <f ca="1">IFERROR(__xludf.DUMMYFUNCTION("""COMPUTED_VALUE"""),"Piston")</f>
        <v>Piston</v>
      </c>
      <c r="F505" s="5">
        <f ca="1">IFERROR(__xludf.DUMMYFUNCTION("""COMPUTED_VALUE"""),1)</f>
        <v>1</v>
      </c>
    </row>
    <row r="506" spans="1:6" ht="15" customHeight="1" x14ac:dyDescent="0.2">
      <c r="A506" s="5" t="str">
        <f ca="1">IFERROR(__xludf.DUMMYFUNCTION("""COMPUTED_VALUE"""),"C30J")</f>
        <v>C30J</v>
      </c>
      <c r="B506" s="5" t="str">
        <f ca="1">IFERROR(__xludf.DUMMYFUNCTION("""COMPUTED_VALUE"""),"LOCKHEED MARTIN")</f>
        <v>LOCKHEED MARTIN</v>
      </c>
      <c r="C506" s="5" t="str">
        <f ca="1">IFERROR(__xludf.DUMMYFUNCTION("""COMPUTED_VALUE"""),"C-130J Super Hercules")</f>
        <v>C-130J Super Hercules</v>
      </c>
      <c r="D506" s="5" t="str">
        <f ca="1">IFERROR(__xludf.DUMMYFUNCTION("""COMPUTED_VALUE"""),"LandPlane")</f>
        <v>LandPlane</v>
      </c>
      <c r="E506" s="5" t="str">
        <f ca="1">IFERROR(__xludf.DUMMYFUNCTION("""COMPUTED_VALUE"""),"Turboprop/Turboshaft")</f>
        <v>Turboprop/Turboshaft</v>
      </c>
      <c r="F506" s="5">
        <f ca="1">IFERROR(__xludf.DUMMYFUNCTION("""COMPUTED_VALUE"""),4)</f>
        <v>4</v>
      </c>
    </row>
    <row r="507" spans="1:6" ht="15" customHeight="1" x14ac:dyDescent="0.2">
      <c r="A507" s="5" t="str">
        <f ca="1">IFERROR(__xludf.DUMMYFUNCTION("""COMPUTED_VALUE"""),"C310")</f>
        <v>C310</v>
      </c>
      <c r="B507" s="5" t="str">
        <f ca="1">IFERROR(__xludf.DUMMYFUNCTION("""COMPUTED_VALUE"""),"CESSNA")</f>
        <v>CESSNA</v>
      </c>
      <c r="C507" s="5" t="str">
        <f ca="1">IFERROR(__xludf.DUMMYFUNCTION("""COMPUTED_VALUE"""),"310")</f>
        <v>310</v>
      </c>
      <c r="D507" s="5" t="str">
        <f ca="1">IFERROR(__xludf.DUMMYFUNCTION("""COMPUTED_VALUE"""),"LandPlane")</f>
        <v>LandPlane</v>
      </c>
      <c r="E507" s="5" t="str">
        <f ca="1">IFERROR(__xludf.DUMMYFUNCTION("""COMPUTED_VALUE"""),"Piston")</f>
        <v>Piston</v>
      </c>
      <c r="F507" s="5">
        <f ca="1">IFERROR(__xludf.DUMMYFUNCTION("""COMPUTED_VALUE"""),2)</f>
        <v>2</v>
      </c>
    </row>
    <row r="508" spans="1:6" ht="15" customHeight="1" x14ac:dyDescent="0.2">
      <c r="A508" s="5" t="str">
        <f ca="1">IFERROR(__xludf.DUMMYFUNCTION("""COMPUTED_VALUE"""),"C311")</f>
        <v>C311</v>
      </c>
      <c r="B508" s="5" t="str">
        <f ca="1">IFERROR(__xludf.DUMMYFUNCTION("""COMPUTED_VALUE"""),"CEA-UFMG")</f>
        <v>CEA-UFMG</v>
      </c>
      <c r="C508" s="5" t="str">
        <f ca="1">IFERROR(__xludf.DUMMYFUNCTION("""COMPUTED_VALUE"""),"CEA-311 Anequim")</f>
        <v>CEA-311 Anequim</v>
      </c>
      <c r="D508" s="5" t="str">
        <f ca="1">IFERROR(__xludf.DUMMYFUNCTION("""COMPUTED_VALUE"""),"LandPlane")</f>
        <v>LandPlane</v>
      </c>
      <c r="E508" s="5" t="str">
        <f ca="1">IFERROR(__xludf.DUMMYFUNCTION("""COMPUTED_VALUE"""),"Piston")</f>
        <v>Piston</v>
      </c>
      <c r="F508" s="5">
        <f ca="1">IFERROR(__xludf.DUMMYFUNCTION("""COMPUTED_VALUE"""),1)</f>
        <v>1</v>
      </c>
    </row>
    <row r="509" spans="1:6" ht="15" customHeight="1" x14ac:dyDescent="0.2">
      <c r="A509" s="5" t="str">
        <f ca="1">IFERROR(__xludf.DUMMYFUNCTION("""COMPUTED_VALUE"""),"C320")</f>
        <v>C320</v>
      </c>
      <c r="B509" s="5" t="str">
        <f ca="1">IFERROR(__xludf.DUMMYFUNCTION("""COMPUTED_VALUE"""),"CESSNA")</f>
        <v>CESSNA</v>
      </c>
      <c r="C509" s="5" t="str">
        <f ca="1">IFERROR(__xludf.DUMMYFUNCTION("""COMPUTED_VALUE"""),"320 Skyknight")</f>
        <v>320 Skyknight</v>
      </c>
      <c r="D509" s="5" t="str">
        <f ca="1">IFERROR(__xludf.DUMMYFUNCTION("""COMPUTED_VALUE"""),"LandPlane")</f>
        <v>LandPlane</v>
      </c>
      <c r="E509" s="5" t="str">
        <f ca="1">IFERROR(__xludf.DUMMYFUNCTION("""COMPUTED_VALUE"""),"Piston")</f>
        <v>Piston</v>
      </c>
      <c r="F509" s="5">
        <f ca="1">IFERROR(__xludf.DUMMYFUNCTION("""COMPUTED_VALUE"""),2)</f>
        <v>2</v>
      </c>
    </row>
    <row r="510" spans="1:6" ht="15" customHeight="1" x14ac:dyDescent="0.2">
      <c r="A510" s="5" t="str">
        <f ca="1">IFERROR(__xludf.DUMMYFUNCTION("""COMPUTED_VALUE"""),"C335")</f>
        <v>C335</v>
      </c>
      <c r="B510" s="5" t="str">
        <f ca="1">IFERROR(__xludf.DUMMYFUNCTION("""COMPUTED_VALUE"""),"CESSNA")</f>
        <v>CESSNA</v>
      </c>
      <c r="C510" s="5" t="str">
        <f ca="1">IFERROR(__xludf.DUMMYFUNCTION("""COMPUTED_VALUE"""),"335")</f>
        <v>335</v>
      </c>
      <c r="D510" s="5" t="str">
        <f ca="1">IFERROR(__xludf.DUMMYFUNCTION("""COMPUTED_VALUE"""),"LandPlane")</f>
        <v>LandPlane</v>
      </c>
      <c r="E510" s="5" t="str">
        <f ca="1">IFERROR(__xludf.DUMMYFUNCTION("""COMPUTED_VALUE"""),"Piston")</f>
        <v>Piston</v>
      </c>
      <c r="F510" s="5">
        <f ca="1">IFERROR(__xludf.DUMMYFUNCTION("""COMPUTED_VALUE"""),2)</f>
        <v>2</v>
      </c>
    </row>
    <row r="511" spans="1:6" ht="15" customHeight="1" x14ac:dyDescent="0.2">
      <c r="A511" s="5" t="str">
        <f ca="1">IFERROR(__xludf.DUMMYFUNCTION("""COMPUTED_VALUE"""),"C336")</f>
        <v>C336</v>
      </c>
      <c r="B511" s="5" t="str">
        <f ca="1">IFERROR(__xludf.DUMMYFUNCTION("""COMPUTED_VALUE"""),"CESSNA")</f>
        <v>CESSNA</v>
      </c>
      <c r="C511" s="5" t="str">
        <f ca="1">IFERROR(__xludf.DUMMYFUNCTION("""COMPUTED_VALUE"""),"336 Skymaster")</f>
        <v>336 Skymaster</v>
      </c>
      <c r="D511" s="5" t="str">
        <f ca="1">IFERROR(__xludf.DUMMYFUNCTION("""COMPUTED_VALUE"""),"LandPlane")</f>
        <v>LandPlane</v>
      </c>
      <c r="E511" s="5" t="str">
        <f ca="1">IFERROR(__xludf.DUMMYFUNCTION("""COMPUTED_VALUE"""),"Piston")</f>
        <v>Piston</v>
      </c>
      <c r="F511" s="5">
        <f ca="1">IFERROR(__xludf.DUMMYFUNCTION("""COMPUTED_VALUE"""),2)</f>
        <v>2</v>
      </c>
    </row>
    <row r="512" spans="1:6" ht="15" customHeight="1" x14ac:dyDescent="0.2">
      <c r="A512" s="5" t="str">
        <f ca="1">IFERROR(__xludf.DUMMYFUNCTION("""COMPUTED_VALUE"""),"C337")</f>
        <v>C337</v>
      </c>
      <c r="B512" s="5" t="str">
        <f ca="1">IFERROR(__xludf.DUMMYFUNCTION("""COMPUTED_VALUE"""),"CESSNA")</f>
        <v>CESSNA</v>
      </c>
      <c r="C512" s="5" t="str">
        <f ca="1">IFERROR(__xludf.DUMMYFUNCTION("""COMPUTED_VALUE"""),"337 Super Skymaster")</f>
        <v>337 Super Skymaster</v>
      </c>
      <c r="D512" s="5" t="str">
        <f ca="1">IFERROR(__xludf.DUMMYFUNCTION("""COMPUTED_VALUE"""),"LandPlane")</f>
        <v>LandPlane</v>
      </c>
      <c r="E512" s="5" t="str">
        <f ca="1">IFERROR(__xludf.DUMMYFUNCTION("""COMPUTED_VALUE"""),"Piston")</f>
        <v>Piston</v>
      </c>
      <c r="F512" s="5">
        <f ca="1">IFERROR(__xludf.DUMMYFUNCTION("""COMPUTED_VALUE"""),2)</f>
        <v>2</v>
      </c>
    </row>
    <row r="513" spans="1:6" ht="15" customHeight="1" x14ac:dyDescent="0.2">
      <c r="A513" s="5" t="str">
        <f ca="1">IFERROR(__xludf.DUMMYFUNCTION("""COMPUTED_VALUE"""),"C340")</f>
        <v>C340</v>
      </c>
      <c r="B513" s="5" t="str">
        <f ca="1">IFERROR(__xludf.DUMMYFUNCTION("""COMPUTED_VALUE"""),"CESSNA")</f>
        <v>CESSNA</v>
      </c>
      <c r="C513" s="5" t="str">
        <f ca="1">IFERROR(__xludf.DUMMYFUNCTION("""COMPUTED_VALUE"""),"340")</f>
        <v>340</v>
      </c>
      <c r="D513" s="5" t="str">
        <f ca="1">IFERROR(__xludf.DUMMYFUNCTION("""COMPUTED_VALUE"""),"LandPlane")</f>
        <v>LandPlane</v>
      </c>
      <c r="E513" s="5" t="str">
        <f ca="1">IFERROR(__xludf.DUMMYFUNCTION("""COMPUTED_VALUE"""),"Piston")</f>
        <v>Piston</v>
      </c>
      <c r="F513" s="5">
        <f ca="1">IFERROR(__xludf.DUMMYFUNCTION("""COMPUTED_VALUE"""),2)</f>
        <v>2</v>
      </c>
    </row>
    <row r="514" spans="1:6" ht="15" customHeight="1" x14ac:dyDescent="0.2">
      <c r="A514" s="5" t="str">
        <f ca="1">IFERROR(__xludf.DUMMYFUNCTION("""COMPUTED_VALUE"""),"C365")</f>
        <v>C365</v>
      </c>
      <c r="B514" s="5" t="str">
        <f ca="1">IFERROR(__xludf.DUMMYFUNCTION("""COMPUTED_VALUE"""),"EKW")</f>
        <v>EKW</v>
      </c>
      <c r="C514" s="5" t="str">
        <f ca="1">IFERROR(__xludf.DUMMYFUNCTION("""COMPUTED_VALUE"""),"C-3605")</f>
        <v>C-3605</v>
      </c>
      <c r="D514" s="5" t="str">
        <f ca="1">IFERROR(__xludf.DUMMYFUNCTION("""COMPUTED_VALUE"""),"LandPlane")</f>
        <v>LandPlane</v>
      </c>
      <c r="E514" s="5" t="str">
        <f ca="1">IFERROR(__xludf.DUMMYFUNCTION("""COMPUTED_VALUE"""),"Turboprop/Turboshaft")</f>
        <v>Turboprop/Turboshaft</v>
      </c>
      <c r="F514" s="5">
        <f ca="1">IFERROR(__xludf.DUMMYFUNCTION("""COMPUTED_VALUE"""),1)</f>
        <v>1</v>
      </c>
    </row>
    <row r="515" spans="1:6" ht="15" customHeight="1" x14ac:dyDescent="0.2">
      <c r="A515" s="5" t="str">
        <f ca="1">IFERROR(__xludf.DUMMYFUNCTION("""COMPUTED_VALUE"""),"C402")</f>
        <v>C402</v>
      </c>
      <c r="B515" s="5" t="str">
        <f ca="1">IFERROR(__xludf.DUMMYFUNCTION("""COMPUTED_VALUE"""),"CESSNA")</f>
        <v>CESSNA</v>
      </c>
      <c r="C515" s="5" t="str">
        <f ca="1">IFERROR(__xludf.DUMMYFUNCTION("""COMPUTED_VALUE"""),"402 Businessliner")</f>
        <v>402 Businessliner</v>
      </c>
      <c r="D515" s="5" t="str">
        <f ca="1">IFERROR(__xludf.DUMMYFUNCTION("""COMPUTED_VALUE"""),"LandPlane")</f>
        <v>LandPlane</v>
      </c>
      <c r="E515" s="5" t="str">
        <f ca="1">IFERROR(__xludf.DUMMYFUNCTION("""COMPUTED_VALUE"""),"Piston")</f>
        <v>Piston</v>
      </c>
      <c r="F515" s="5">
        <f ca="1">IFERROR(__xludf.DUMMYFUNCTION("""COMPUTED_VALUE"""),2)</f>
        <v>2</v>
      </c>
    </row>
    <row r="516" spans="1:6" ht="15" customHeight="1" x14ac:dyDescent="0.2">
      <c r="A516" s="5" t="str">
        <f ca="1">IFERROR(__xludf.DUMMYFUNCTION("""COMPUTED_VALUE"""),"C404")</f>
        <v>C404</v>
      </c>
      <c r="B516" s="5" t="str">
        <f ca="1">IFERROR(__xludf.DUMMYFUNCTION("""COMPUTED_VALUE"""),"CESSNA")</f>
        <v>CESSNA</v>
      </c>
      <c r="C516" s="5" t="str">
        <f ca="1">IFERROR(__xludf.DUMMYFUNCTION("""COMPUTED_VALUE"""),"404 Titan")</f>
        <v>404 Titan</v>
      </c>
      <c r="D516" s="5" t="str">
        <f ca="1">IFERROR(__xludf.DUMMYFUNCTION("""COMPUTED_VALUE"""),"LandPlane")</f>
        <v>LandPlane</v>
      </c>
      <c r="E516" s="5" t="str">
        <f ca="1">IFERROR(__xludf.DUMMYFUNCTION("""COMPUTED_VALUE"""),"Piston")</f>
        <v>Piston</v>
      </c>
      <c r="F516" s="5">
        <f ca="1">IFERROR(__xludf.DUMMYFUNCTION("""COMPUTED_VALUE"""),2)</f>
        <v>2</v>
      </c>
    </row>
    <row r="517" spans="1:6" ht="15" customHeight="1" x14ac:dyDescent="0.2">
      <c r="A517" s="5" t="str">
        <f ca="1">IFERROR(__xludf.DUMMYFUNCTION("""COMPUTED_VALUE"""),"C408")</f>
        <v>C408</v>
      </c>
      <c r="B517" s="5" t="str">
        <f ca="1">IFERROR(__xludf.DUMMYFUNCTION("""COMPUTED_VALUE"""),"CESSNA")</f>
        <v>CESSNA</v>
      </c>
      <c r="C517" s="5" t="str">
        <f ca="1">IFERROR(__xludf.DUMMYFUNCTION("""COMPUTED_VALUE"""),"408 SkyCourier")</f>
        <v>408 SkyCourier</v>
      </c>
      <c r="D517" s="5" t="str">
        <f ca="1">IFERROR(__xludf.DUMMYFUNCTION("""COMPUTED_VALUE"""),"LandPlane")</f>
        <v>LandPlane</v>
      </c>
      <c r="E517" s="5" t="str">
        <f ca="1">IFERROR(__xludf.DUMMYFUNCTION("""COMPUTED_VALUE"""),"Turboprop/Turboshaft")</f>
        <v>Turboprop/Turboshaft</v>
      </c>
      <c r="F517" s="5">
        <f ca="1">IFERROR(__xludf.DUMMYFUNCTION("""COMPUTED_VALUE"""),2)</f>
        <v>2</v>
      </c>
    </row>
    <row r="518" spans="1:6" ht="15" customHeight="1" x14ac:dyDescent="0.2">
      <c r="A518" s="5" t="str">
        <f ca="1">IFERROR(__xludf.DUMMYFUNCTION("""COMPUTED_VALUE"""),"C411")</f>
        <v>C411</v>
      </c>
      <c r="B518" s="5" t="str">
        <f ca="1">IFERROR(__xludf.DUMMYFUNCTION("""COMPUTED_VALUE"""),"CESSNA")</f>
        <v>CESSNA</v>
      </c>
      <c r="C518" s="5" t="str">
        <f ca="1">IFERROR(__xludf.DUMMYFUNCTION("""COMPUTED_VALUE"""),"411")</f>
        <v>411</v>
      </c>
      <c r="D518" s="5" t="str">
        <f ca="1">IFERROR(__xludf.DUMMYFUNCTION("""COMPUTED_VALUE"""),"LandPlane")</f>
        <v>LandPlane</v>
      </c>
      <c r="E518" s="5" t="str">
        <f ca="1">IFERROR(__xludf.DUMMYFUNCTION("""COMPUTED_VALUE"""),"Piston")</f>
        <v>Piston</v>
      </c>
      <c r="F518" s="5">
        <f ca="1">IFERROR(__xludf.DUMMYFUNCTION("""COMPUTED_VALUE"""),2)</f>
        <v>2</v>
      </c>
    </row>
    <row r="519" spans="1:6" ht="15" customHeight="1" x14ac:dyDescent="0.2">
      <c r="A519" s="5" t="str">
        <f ca="1">IFERROR(__xludf.DUMMYFUNCTION("""COMPUTED_VALUE"""),"C414")</f>
        <v>C414</v>
      </c>
      <c r="B519" s="5" t="str">
        <f ca="1">IFERROR(__xludf.DUMMYFUNCTION("""COMPUTED_VALUE"""),"CESSNA")</f>
        <v>CESSNA</v>
      </c>
      <c r="C519" s="5" t="str">
        <f ca="1">IFERROR(__xludf.DUMMYFUNCTION("""COMPUTED_VALUE"""),"414 Chancellor")</f>
        <v>414 Chancellor</v>
      </c>
      <c r="D519" s="5" t="str">
        <f ca="1">IFERROR(__xludf.DUMMYFUNCTION("""COMPUTED_VALUE"""),"LandPlane")</f>
        <v>LandPlane</v>
      </c>
      <c r="E519" s="5" t="str">
        <f ca="1">IFERROR(__xludf.DUMMYFUNCTION("""COMPUTED_VALUE"""),"Piston")</f>
        <v>Piston</v>
      </c>
      <c r="F519" s="5">
        <f ca="1">IFERROR(__xludf.DUMMYFUNCTION("""COMPUTED_VALUE"""),2)</f>
        <v>2</v>
      </c>
    </row>
    <row r="520" spans="1:6" ht="15" customHeight="1" x14ac:dyDescent="0.2">
      <c r="A520" s="5" t="str">
        <f ca="1">IFERROR(__xludf.DUMMYFUNCTION("""COMPUTED_VALUE"""),"C42")</f>
        <v>C42</v>
      </c>
      <c r="B520" s="5" t="str">
        <f ca="1">IFERROR(__xludf.DUMMYFUNCTION("""COMPUTED_VALUE"""),"IKARUS")</f>
        <v>IKARUS</v>
      </c>
      <c r="C520" s="5" t="str">
        <f ca="1">IFERROR(__xludf.DUMMYFUNCTION("""COMPUTED_VALUE"""),"C-42 Bison")</f>
        <v>C-42 Bison</v>
      </c>
      <c r="D520" s="5" t="str">
        <f ca="1">IFERROR(__xludf.DUMMYFUNCTION("""COMPUTED_VALUE"""),"LandPlane")</f>
        <v>LandPlane</v>
      </c>
      <c r="E520" s="5" t="str">
        <f ca="1">IFERROR(__xludf.DUMMYFUNCTION("""COMPUTED_VALUE"""),"Piston")</f>
        <v>Piston</v>
      </c>
      <c r="F520" s="5">
        <f ca="1">IFERROR(__xludf.DUMMYFUNCTION("""COMPUTED_VALUE"""),1)</f>
        <v>1</v>
      </c>
    </row>
    <row r="521" spans="1:6" ht="15" customHeight="1" x14ac:dyDescent="0.2">
      <c r="A521" s="5" t="str">
        <f ca="1">IFERROR(__xludf.DUMMYFUNCTION("""COMPUTED_VALUE"""),"C421")</f>
        <v>C421</v>
      </c>
      <c r="B521" s="5" t="str">
        <f ca="1">IFERROR(__xludf.DUMMYFUNCTION("""COMPUTED_VALUE"""),"CESSNA")</f>
        <v>CESSNA</v>
      </c>
      <c r="C521" s="5" t="str">
        <f ca="1">IFERROR(__xludf.DUMMYFUNCTION("""COMPUTED_VALUE"""),"421 Executive Commuter")</f>
        <v>421 Executive Commuter</v>
      </c>
      <c r="D521" s="5" t="str">
        <f ca="1">IFERROR(__xludf.DUMMYFUNCTION("""COMPUTED_VALUE"""),"LandPlane")</f>
        <v>LandPlane</v>
      </c>
      <c r="E521" s="5" t="str">
        <f ca="1">IFERROR(__xludf.DUMMYFUNCTION("""COMPUTED_VALUE"""),"Piston")</f>
        <v>Piston</v>
      </c>
      <c r="F521" s="5">
        <f ca="1">IFERROR(__xludf.DUMMYFUNCTION("""COMPUTED_VALUE"""),2)</f>
        <v>2</v>
      </c>
    </row>
    <row r="522" spans="1:6" ht="15" customHeight="1" x14ac:dyDescent="0.2">
      <c r="A522" s="5" t="str">
        <f ca="1">IFERROR(__xludf.DUMMYFUNCTION("""COMPUTED_VALUE"""),"C425")</f>
        <v>C425</v>
      </c>
      <c r="B522" s="5" t="str">
        <f ca="1">IFERROR(__xludf.DUMMYFUNCTION("""COMPUTED_VALUE"""),"CESSNA")</f>
        <v>CESSNA</v>
      </c>
      <c r="C522" s="5" t="str">
        <f ca="1">IFERROR(__xludf.DUMMYFUNCTION("""COMPUTED_VALUE"""),"425 Conquest 1")</f>
        <v>425 Conquest 1</v>
      </c>
      <c r="D522" s="5" t="str">
        <f ca="1">IFERROR(__xludf.DUMMYFUNCTION("""COMPUTED_VALUE"""),"LandPlane")</f>
        <v>LandPlane</v>
      </c>
      <c r="E522" s="5" t="str">
        <f ca="1">IFERROR(__xludf.DUMMYFUNCTION("""COMPUTED_VALUE"""),"Turboprop/Turboshaft")</f>
        <v>Turboprop/Turboshaft</v>
      </c>
      <c r="F522" s="5">
        <f ca="1">IFERROR(__xludf.DUMMYFUNCTION("""COMPUTED_VALUE"""),2)</f>
        <v>2</v>
      </c>
    </row>
    <row r="523" spans="1:6" ht="15" customHeight="1" x14ac:dyDescent="0.2">
      <c r="A523" s="5" t="str">
        <f ca="1">IFERROR(__xludf.DUMMYFUNCTION("""COMPUTED_VALUE"""),"C441")</f>
        <v>C441</v>
      </c>
      <c r="B523" s="5" t="str">
        <f ca="1">IFERROR(__xludf.DUMMYFUNCTION("""COMPUTED_VALUE"""),"CESSNA")</f>
        <v>CESSNA</v>
      </c>
      <c r="C523" s="5" t="str">
        <f ca="1">IFERROR(__xludf.DUMMYFUNCTION("""COMPUTED_VALUE"""),"441 Conquest 2")</f>
        <v>441 Conquest 2</v>
      </c>
      <c r="D523" s="5" t="str">
        <f ca="1">IFERROR(__xludf.DUMMYFUNCTION("""COMPUTED_VALUE"""),"LandPlane")</f>
        <v>LandPlane</v>
      </c>
      <c r="E523" s="5" t="str">
        <f ca="1">IFERROR(__xludf.DUMMYFUNCTION("""COMPUTED_VALUE"""),"Turboprop/Turboshaft")</f>
        <v>Turboprop/Turboshaft</v>
      </c>
      <c r="F523" s="5">
        <f ca="1">IFERROR(__xludf.DUMMYFUNCTION("""COMPUTED_VALUE"""),2)</f>
        <v>2</v>
      </c>
    </row>
    <row r="524" spans="1:6" ht="15" customHeight="1" x14ac:dyDescent="0.2">
      <c r="A524" s="5" t="str">
        <f ca="1">IFERROR(__xludf.DUMMYFUNCTION("""COMPUTED_VALUE"""),"C46")</f>
        <v>C46</v>
      </c>
      <c r="B524" s="5" t="str">
        <f ca="1">IFERROR(__xludf.DUMMYFUNCTION("""COMPUTED_VALUE"""),"CURTISS")</f>
        <v>CURTISS</v>
      </c>
      <c r="C524" s="5" t="str">
        <f ca="1">IFERROR(__xludf.DUMMYFUNCTION("""COMPUTED_VALUE"""),"C-46 Commando")</f>
        <v>C-46 Commando</v>
      </c>
      <c r="D524" s="5" t="str">
        <f ca="1">IFERROR(__xludf.DUMMYFUNCTION("""COMPUTED_VALUE"""),"LandPlane")</f>
        <v>LandPlane</v>
      </c>
      <c r="E524" s="5" t="str">
        <f ca="1">IFERROR(__xludf.DUMMYFUNCTION("""COMPUTED_VALUE"""),"Piston")</f>
        <v>Piston</v>
      </c>
      <c r="F524" s="5">
        <f ca="1">IFERROR(__xludf.DUMMYFUNCTION("""COMPUTED_VALUE"""),2)</f>
        <v>2</v>
      </c>
    </row>
    <row r="525" spans="1:6" ht="15" customHeight="1" x14ac:dyDescent="0.2">
      <c r="A525" s="5" t="str">
        <f ca="1">IFERROR(__xludf.DUMMYFUNCTION("""COMPUTED_VALUE"""),"C500")</f>
        <v>C500</v>
      </c>
      <c r="B525" s="5" t="str">
        <f ca="1">IFERROR(__xludf.DUMMYFUNCTION("""COMPUTED_VALUE"""),"CESSNA")</f>
        <v>CESSNA</v>
      </c>
      <c r="C525" s="5" t="str">
        <f ca="1">IFERROR(__xludf.DUMMYFUNCTION("""COMPUTED_VALUE"""),"500 Citation 1")</f>
        <v>500 Citation 1</v>
      </c>
      <c r="D525" s="5" t="str">
        <f ca="1">IFERROR(__xludf.DUMMYFUNCTION("""COMPUTED_VALUE"""),"LandPlane")</f>
        <v>LandPlane</v>
      </c>
      <c r="E525" s="5" t="str">
        <f ca="1">IFERROR(__xludf.DUMMYFUNCTION("""COMPUTED_VALUE"""),"Jet")</f>
        <v>Jet</v>
      </c>
      <c r="F525" s="5">
        <f ca="1">IFERROR(__xludf.DUMMYFUNCTION("""COMPUTED_VALUE"""),2)</f>
        <v>2</v>
      </c>
    </row>
    <row r="526" spans="1:6" ht="15" customHeight="1" x14ac:dyDescent="0.2">
      <c r="A526" s="5" t="str">
        <f ca="1">IFERROR(__xludf.DUMMYFUNCTION("""COMPUTED_VALUE"""),"C501")</f>
        <v>C501</v>
      </c>
      <c r="B526" s="5" t="str">
        <f ca="1">IFERROR(__xludf.DUMMYFUNCTION("""COMPUTED_VALUE"""),"CESSNA")</f>
        <v>CESSNA</v>
      </c>
      <c r="C526" s="5" t="str">
        <f ca="1">IFERROR(__xludf.DUMMYFUNCTION("""COMPUTED_VALUE"""),"501 Citation 1SP")</f>
        <v>501 Citation 1SP</v>
      </c>
      <c r="D526" s="5" t="str">
        <f ca="1">IFERROR(__xludf.DUMMYFUNCTION("""COMPUTED_VALUE"""),"LandPlane")</f>
        <v>LandPlane</v>
      </c>
      <c r="E526" s="5" t="str">
        <f ca="1">IFERROR(__xludf.DUMMYFUNCTION("""COMPUTED_VALUE"""),"Jet")</f>
        <v>Jet</v>
      </c>
      <c r="F526" s="5">
        <f ca="1">IFERROR(__xludf.DUMMYFUNCTION("""COMPUTED_VALUE"""),2)</f>
        <v>2</v>
      </c>
    </row>
    <row r="527" spans="1:6" ht="15" customHeight="1" x14ac:dyDescent="0.2">
      <c r="A527" s="5" t="str">
        <f ca="1">IFERROR(__xludf.DUMMYFUNCTION("""COMPUTED_VALUE"""),"C510")</f>
        <v>C510</v>
      </c>
      <c r="B527" s="5" t="str">
        <f ca="1">IFERROR(__xludf.DUMMYFUNCTION("""COMPUTED_VALUE"""),"CESSNA")</f>
        <v>CESSNA</v>
      </c>
      <c r="C527" s="5" t="str">
        <f ca="1">IFERROR(__xludf.DUMMYFUNCTION("""COMPUTED_VALUE"""),"510 Citation Mustang")</f>
        <v>510 Citation Mustang</v>
      </c>
      <c r="D527" s="5" t="str">
        <f ca="1">IFERROR(__xludf.DUMMYFUNCTION("""COMPUTED_VALUE"""),"LandPlane")</f>
        <v>LandPlane</v>
      </c>
      <c r="E527" s="5" t="str">
        <f ca="1">IFERROR(__xludf.DUMMYFUNCTION("""COMPUTED_VALUE"""),"Jet")</f>
        <v>Jet</v>
      </c>
      <c r="F527" s="5">
        <f ca="1">IFERROR(__xludf.DUMMYFUNCTION("""COMPUTED_VALUE"""),2)</f>
        <v>2</v>
      </c>
    </row>
    <row r="528" spans="1:6" ht="15" customHeight="1" x14ac:dyDescent="0.2">
      <c r="A528" s="5" t="str">
        <f ca="1">IFERROR(__xludf.DUMMYFUNCTION("""COMPUTED_VALUE"""),"C525")</f>
        <v>C525</v>
      </c>
      <c r="B528" s="5" t="str">
        <f ca="1">IFERROR(__xludf.DUMMYFUNCTION("""COMPUTED_VALUE"""),"CESSNA")</f>
        <v>CESSNA</v>
      </c>
      <c r="C528" s="5" t="str">
        <f ca="1">IFERROR(__xludf.DUMMYFUNCTION("""COMPUTED_VALUE"""),"525 Citation CJ1")</f>
        <v>525 Citation CJ1</v>
      </c>
      <c r="D528" s="5" t="str">
        <f ca="1">IFERROR(__xludf.DUMMYFUNCTION("""COMPUTED_VALUE"""),"LandPlane")</f>
        <v>LandPlane</v>
      </c>
      <c r="E528" s="5" t="str">
        <f ca="1">IFERROR(__xludf.DUMMYFUNCTION("""COMPUTED_VALUE"""),"Jet")</f>
        <v>Jet</v>
      </c>
      <c r="F528" s="5">
        <f ca="1">IFERROR(__xludf.DUMMYFUNCTION("""COMPUTED_VALUE"""),2)</f>
        <v>2</v>
      </c>
    </row>
    <row r="529" spans="1:6" ht="15" customHeight="1" x14ac:dyDescent="0.2">
      <c r="A529" s="5" t="str">
        <f ca="1">IFERROR(__xludf.DUMMYFUNCTION("""COMPUTED_VALUE"""),"C526")</f>
        <v>C526</v>
      </c>
      <c r="B529" s="5" t="str">
        <f ca="1">IFERROR(__xludf.DUMMYFUNCTION("""COMPUTED_VALUE"""),"CESSNA")</f>
        <v>CESSNA</v>
      </c>
      <c r="C529" s="5" t="str">
        <f ca="1">IFERROR(__xludf.DUMMYFUNCTION("""COMPUTED_VALUE"""),"526 CitationJet")</f>
        <v>526 CitationJet</v>
      </c>
      <c r="D529" s="5" t="str">
        <f ca="1">IFERROR(__xludf.DUMMYFUNCTION("""COMPUTED_VALUE"""),"LandPlane")</f>
        <v>LandPlane</v>
      </c>
      <c r="E529" s="5" t="str">
        <f ca="1">IFERROR(__xludf.DUMMYFUNCTION("""COMPUTED_VALUE"""),"Jet")</f>
        <v>Jet</v>
      </c>
      <c r="F529" s="5">
        <f ca="1">IFERROR(__xludf.DUMMYFUNCTION("""COMPUTED_VALUE"""),2)</f>
        <v>2</v>
      </c>
    </row>
    <row r="530" spans="1:6" ht="15" customHeight="1" x14ac:dyDescent="0.2">
      <c r="A530" s="5" t="str">
        <f ca="1">IFERROR(__xludf.DUMMYFUNCTION("""COMPUTED_VALUE"""),"C550")</f>
        <v>C550</v>
      </c>
      <c r="B530" s="5" t="str">
        <f ca="1">IFERROR(__xludf.DUMMYFUNCTION("""COMPUTED_VALUE"""),"CESSNA")</f>
        <v>CESSNA</v>
      </c>
      <c r="C530" s="5" t="str">
        <f ca="1">IFERROR(__xludf.DUMMYFUNCTION("""COMPUTED_VALUE"""),"550 Citation 2")</f>
        <v>550 Citation 2</v>
      </c>
      <c r="D530" s="5" t="str">
        <f ca="1">IFERROR(__xludf.DUMMYFUNCTION("""COMPUTED_VALUE"""),"LandPlane")</f>
        <v>LandPlane</v>
      </c>
      <c r="E530" s="5" t="str">
        <f ca="1">IFERROR(__xludf.DUMMYFUNCTION("""COMPUTED_VALUE"""),"Jet")</f>
        <v>Jet</v>
      </c>
      <c r="F530" s="5">
        <f ca="1">IFERROR(__xludf.DUMMYFUNCTION("""COMPUTED_VALUE"""),2)</f>
        <v>2</v>
      </c>
    </row>
    <row r="531" spans="1:6" ht="15" customHeight="1" x14ac:dyDescent="0.2">
      <c r="A531" s="5" t="str">
        <f ca="1">IFERROR(__xludf.DUMMYFUNCTION("""COMPUTED_VALUE"""),"C551")</f>
        <v>C551</v>
      </c>
      <c r="B531" s="5" t="str">
        <f ca="1">IFERROR(__xludf.DUMMYFUNCTION("""COMPUTED_VALUE"""),"CESSNA")</f>
        <v>CESSNA</v>
      </c>
      <c r="C531" s="5" t="str">
        <f ca="1">IFERROR(__xludf.DUMMYFUNCTION("""COMPUTED_VALUE"""),"551 Citation 2SP")</f>
        <v>551 Citation 2SP</v>
      </c>
      <c r="D531" s="5" t="str">
        <f ca="1">IFERROR(__xludf.DUMMYFUNCTION("""COMPUTED_VALUE"""),"LandPlane")</f>
        <v>LandPlane</v>
      </c>
      <c r="E531" s="5" t="str">
        <f ca="1">IFERROR(__xludf.DUMMYFUNCTION("""COMPUTED_VALUE"""),"Jet")</f>
        <v>Jet</v>
      </c>
      <c r="F531" s="5">
        <f ca="1">IFERROR(__xludf.DUMMYFUNCTION("""COMPUTED_VALUE"""),2)</f>
        <v>2</v>
      </c>
    </row>
    <row r="532" spans="1:6" ht="15" customHeight="1" x14ac:dyDescent="0.2">
      <c r="A532" s="5" t="str">
        <f ca="1">IFERROR(__xludf.DUMMYFUNCTION("""COMPUTED_VALUE"""),"C55B")</f>
        <v>C55B</v>
      </c>
      <c r="B532" s="5" t="str">
        <f ca="1">IFERROR(__xludf.DUMMYFUNCTION("""COMPUTED_VALUE"""),"CESSNA")</f>
        <v>CESSNA</v>
      </c>
      <c r="C532" s="5" t="str">
        <f ca="1">IFERROR(__xludf.DUMMYFUNCTION("""COMPUTED_VALUE"""),"550B Citation Bravo")</f>
        <v>550B Citation Bravo</v>
      </c>
      <c r="D532" s="5" t="str">
        <f ca="1">IFERROR(__xludf.DUMMYFUNCTION("""COMPUTED_VALUE"""),"LandPlane")</f>
        <v>LandPlane</v>
      </c>
      <c r="E532" s="5" t="str">
        <f ca="1">IFERROR(__xludf.DUMMYFUNCTION("""COMPUTED_VALUE"""),"Jet")</f>
        <v>Jet</v>
      </c>
      <c r="F532" s="5">
        <f ca="1">IFERROR(__xludf.DUMMYFUNCTION("""COMPUTED_VALUE"""),2)</f>
        <v>2</v>
      </c>
    </row>
    <row r="533" spans="1:6" ht="15" customHeight="1" x14ac:dyDescent="0.2">
      <c r="A533" s="5" t="str">
        <f ca="1">IFERROR(__xludf.DUMMYFUNCTION("""COMPUTED_VALUE"""),"C560")</f>
        <v>C560</v>
      </c>
      <c r="B533" s="5" t="str">
        <f ca="1">IFERROR(__xludf.DUMMYFUNCTION("""COMPUTED_VALUE"""),"CESSNA")</f>
        <v>CESSNA</v>
      </c>
      <c r="C533" s="5" t="str">
        <f ca="1">IFERROR(__xludf.DUMMYFUNCTION("""COMPUTED_VALUE"""),"560 Citation 5")</f>
        <v>560 Citation 5</v>
      </c>
      <c r="D533" s="5" t="str">
        <f ca="1">IFERROR(__xludf.DUMMYFUNCTION("""COMPUTED_VALUE"""),"LandPlane")</f>
        <v>LandPlane</v>
      </c>
      <c r="E533" s="5" t="str">
        <f ca="1">IFERROR(__xludf.DUMMYFUNCTION("""COMPUTED_VALUE"""),"Jet")</f>
        <v>Jet</v>
      </c>
      <c r="F533" s="5">
        <f ca="1">IFERROR(__xludf.DUMMYFUNCTION("""COMPUTED_VALUE"""),2)</f>
        <v>2</v>
      </c>
    </row>
    <row r="534" spans="1:6" ht="15" customHeight="1" x14ac:dyDescent="0.2">
      <c r="A534" s="5" t="str">
        <f ca="1">IFERROR(__xludf.DUMMYFUNCTION("""COMPUTED_VALUE"""),"C56X")</f>
        <v>C56X</v>
      </c>
      <c r="B534" s="5" t="str">
        <f ca="1">IFERROR(__xludf.DUMMYFUNCTION("""COMPUTED_VALUE"""),"CESSNA")</f>
        <v>CESSNA</v>
      </c>
      <c r="C534" s="5" t="str">
        <f ca="1">IFERROR(__xludf.DUMMYFUNCTION("""COMPUTED_VALUE"""),"560XL Citation XLS")</f>
        <v>560XL Citation XLS</v>
      </c>
      <c r="D534" s="5" t="str">
        <f ca="1">IFERROR(__xludf.DUMMYFUNCTION("""COMPUTED_VALUE"""),"LandPlane")</f>
        <v>LandPlane</v>
      </c>
      <c r="E534" s="5" t="str">
        <f ca="1">IFERROR(__xludf.DUMMYFUNCTION("""COMPUTED_VALUE"""),"Jet")</f>
        <v>Jet</v>
      </c>
      <c r="F534" s="5">
        <f ca="1">IFERROR(__xludf.DUMMYFUNCTION("""COMPUTED_VALUE"""),2)</f>
        <v>2</v>
      </c>
    </row>
    <row r="535" spans="1:6" ht="15" customHeight="1" x14ac:dyDescent="0.2">
      <c r="A535" s="5" t="str">
        <f ca="1">IFERROR(__xludf.DUMMYFUNCTION("""COMPUTED_VALUE"""),"C5M")</f>
        <v>C5M</v>
      </c>
      <c r="B535" s="5" t="str">
        <f ca="1">IFERROR(__xludf.DUMMYFUNCTION("""COMPUTED_VALUE"""),"LOCKHEED")</f>
        <v>LOCKHEED</v>
      </c>
      <c r="C535" s="5" t="str">
        <f ca="1">IFERROR(__xludf.DUMMYFUNCTION("""COMPUTED_VALUE"""),"C-5 Super Galaxy")</f>
        <v>C-5 Super Galaxy</v>
      </c>
      <c r="D535" s="5" t="str">
        <f ca="1">IFERROR(__xludf.DUMMYFUNCTION("""COMPUTED_VALUE"""),"LandPlane")</f>
        <v>LandPlane</v>
      </c>
      <c r="E535" s="5" t="str">
        <f ca="1">IFERROR(__xludf.DUMMYFUNCTION("""COMPUTED_VALUE"""),"Jet")</f>
        <v>Jet</v>
      </c>
      <c r="F535" s="5">
        <f ca="1">IFERROR(__xludf.DUMMYFUNCTION("""COMPUTED_VALUE"""),4)</f>
        <v>4</v>
      </c>
    </row>
    <row r="536" spans="1:6" ht="15" customHeight="1" x14ac:dyDescent="0.2">
      <c r="A536" s="5" t="str">
        <f ca="1">IFERROR(__xludf.DUMMYFUNCTION("""COMPUTED_VALUE"""),"C650")</f>
        <v>C650</v>
      </c>
      <c r="B536" s="5" t="str">
        <f ca="1">IFERROR(__xludf.DUMMYFUNCTION("""COMPUTED_VALUE"""),"CESSNA")</f>
        <v>CESSNA</v>
      </c>
      <c r="C536" s="5" t="str">
        <f ca="1">IFERROR(__xludf.DUMMYFUNCTION("""COMPUTED_VALUE"""),"650 Citation 7")</f>
        <v>650 Citation 7</v>
      </c>
      <c r="D536" s="5" t="str">
        <f ca="1">IFERROR(__xludf.DUMMYFUNCTION("""COMPUTED_VALUE"""),"LandPlane")</f>
        <v>LandPlane</v>
      </c>
      <c r="E536" s="5" t="str">
        <f ca="1">IFERROR(__xludf.DUMMYFUNCTION("""COMPUTED_VALUE"""),"Jet")</f>
        <v>Jet</v>
      </c>
      <c r="F536" s="5">
        <f ca="1">IFERROR(__xludf.DUMMYFUNCTION("""COMPUTED_VALUE"""),2)</f>
        <v>2</v>
      </c>
    </row>
    <row r="537" spans="1:6" ht="15" customHeight="1" x14ac:dyDescent="0.2">
      <c r="A537" s="5" t="str">
        <f ca="1">IFERROR(__xludf.DUMMYFUNCTION("""COMPUTED_VALUE"""),"C680")</f>
        <v>C680</v>
      </c>
      <c r="B537" s="5" t="str">
        <f ca="1">IFERROR(__xludf.DUMMYFUNCTION("""COMPUTED_VALUE"""),"CESSNA")</f>
        <v>CESSNA</v>
      </c>
      <c r="C537" s="5" t="str">
        <f ca="1">IFERROR(__xludf.DUMMYFUNCTION("""COMPUTED_VALUE"""),"680 Citation Sovereign")</f>
        <v>680 Citation Sovereign</v>
      </c>
      <c r="D537" s="5" t="str">
        <f ca="1">IFERROR(__xludf.DUMMYFUNCTION("""COMPUTED_VALUE"""),"LandPlane")</f>
        <v>LandPlane</v>
      </c>
      <c r="E537" s="5" t="str">
        <f ca="1">IFERROR(__xludf.DUMMYFUNCTION("""COMPUTED_VALUE"""),"Jet")</f>
        <v>Jet</v>
      </c>
      <c r="F537" s="5">
        <f ca="1">IFERROR(__xludf.DUMMYFUNCTION("""COMPUTED_VALUE"""),2)</f>
        <v>2</v>
      </c>
    </row>
    <row r="538" spans="1:6" ht="15" customHeight="1" x14ac:dyDescent="0.2">
      <c r="A538" s="5" t="str">
        <f ca="1">IFERROR(__xludf.DUMMYFUNCTION("""COMPUTED_VALUE"""),"C68A")</f>
        <v>C68A</v>
      </c>
      <c r="B538" s="5" t="str">
        <f ca="1">IFERROR(__xludf.DUMMYFUNCTION("""COMPUTED_VALUE"""),"CESSNA")</f>
        <v>CESSNA</v>
      </c>
      <c r="C538" s="5" t="str">
        <f ca="1">IFERROR(__xludf.DUMMYFUNCTION("""COMPUTED_VALUE"""),"680A Citation Latitude")</f>
        <v>680A Citation Latitude</v>
      </c>
      <c r="D538" s="5" t="str">
        <f ca="1">IFERROR(__xludf.DUMMYFUNCTION("""COMPUTED_VALUE"""),"LandPlane")</f>
        <v>LandPlane</v>
      </c>
      <c r="E538" s="5" t="str">
        <f ca="1">IFERROR(__xludf.DUMMYFUNCTION("""COMPUTED_VALUE"""),"Jet")</f>
        <v>Jet</v>
      </c>
      <c r="F538" s="5">
        <f ca="1">IFERROR(__xludf.DUMMYFUNCTION("""COMPUTED_VALUE"""),2)</f>
        <v>2</v>
      </c>
    </row>
    <row r="539" spans="1:6" ht="15" customHeight="1" x14ac:dyDescent="0.2">
      <c r="A539" s="5" t="str">
        <f ca="1">IFERROR(__xludf.DUMMYFUNCTION("""COMPUTED_VALUE"""),"C700")</f>
        <v>C700</v>
      </c>
      <c r="B539" s="5" t="str">
        <f ca="1">IFERROR(__xludf.DUMMYFUNCTION("""COMPUTED_VALUE"""),"CESSNA")</f>
        <v>CESSNA</v>
      </c>
      <c r="C539" s="5" t="str">
        <f ca="1">IFERROR(__xludf.DUMMYFUNCTION("""COMPUTED_VALUE"""),"700 Citation Longitude")</f>
        <v>700 Citation Longitude</v>
      </c>
      <c r="D539" s="5" t="str">
        <f ca="1">IFERROR(__xludf.DUMMYFUNCTION("""COMPUTED_VALUE"""),"LandPlane")</f>
        <v>LandPlane</v>
      </c>
      <c r="E539" s="5" t="str">
        <f ca="1">IFERROR(__xludf.DUMMYFUNCTION("""COMPUTED_VALUE"""),"Jet")</f>
        <v>Jet</v>
      </c>
      <c r="F539" s="5">
        <f ca="1">IFERROR(__xludf.DUMMYFUNCTION("""COMPUTED_VALUE"""),2)</f>
        <v>2</v>
      </c>
    </row>
    <row r="540" spans="1:6" ht="15" customHeight="1" x14ac:dyDescent="0.2">
      <c r="A540" s="5" t="str">
        <f ca="1">IFERROR(__xludf.DUMMYFUNCTION("""COMPUTED_VALUE"""),"C72R")</f>
        <v>C72R</v>
      </c>
      <c r="B540" s="5" t="str">
        <f ca="1">IFERROR(__xludf.DUMMYFUNCTION("""COMPUTED_VALUE"""),"CESSNA")</f>
        <v>CESSNA</v>
      </c>
      <c r="C540" s="5" t="str">
        <f ca="1">IFERROR(__xludf.DUMMYFUNCTION("""COMPUTED_VALUE"""),"172RG Cutlass RG")</f>
        <v>172RG Cutlass RG</v>
      </c>
      <c r="D540" s="5" t="str">
        <f ca="1">IFERROR(__xludf.DUMMYFUNCTION("""COMPUTED_VALUE"""),"LandPlane")</f>
        <v>LandPlane</v>
      </c>
      <c r="E540" s="5" t="str">
        <f ca="1">IFERROR(__xludf.DUMMYFUNCTION("""COMPUTED_VALUE"""),"Piston")</f>
        <v>Piston</v>
      </c>
      <c r="F540" s="5">
        <f ca="1">IFERROR(__xludf.DUMMYFUNCTION("""COMPUTED_VALUE"""),1)</f>
        <v>1</v>
      </c>
    </row>
    <row r="541" spans="1:6" ht="15" customHeight="1" x14ac:dyDescent="0.2">
      <c r="A541" s="5" t="str">
        <f ca="1">IFERROR(__xludf.DUMMYFUNCTION("""COMPUTED_VALUE"""),"C750")</f>
        <v>C750</v>
      </c>
      <c r="B541" s="5" t="str">
        <f ca="1">IFERROR(__xludf.DUMMYFUNCTION("""COMPUTED_VALUE"""),"CESSNA")</f>
        <v>CESSNA</v>
      </c>
      <c r="C541" s="5" t="str">
        <f ca="1">IFERROR(__xludf.DUMMYFUNCTION("""COMPUTED_VALUE"""),"750 Citation 10")</f>
        <v>750 Citation 10</v>
      </c>
      <c r="D541" s="5" t="str">
        <f ca="1">IFERROR(__xludf.DUMMYFUNCTION("""COMPUTED_VALUE"""),"LandPlane")</f>
        <v>LandPlane</v>
      </c>
      <c r="E541" s="5" t="str">
        <f ca="1">IFERROR(__xludf.DUMMYFUNCTION("""COMPUTED_VALUE"""),"Jet")</f>
        <v>Jet</v>
      </c>
      <c r="F541" s="5">
        <f ca="1">IFERROR(__xludf.DUMMYFUNCTION("""COMPUTED_VALUE"""),2)</f>
        <v>2</v>
      </c>
    </row>
    <row r="542" spans="1:6" ht="15" customHeight="1" x14ac:dyDescent="0.2">
      <c r="A542" s="5" t="str">
        <f ca="1">IFERROR(__xludf.DUMMYFUNCTION("""COMPUTED_VALUE"""),"C77R")</f>
        <v>C77R</v>
      </c>
      <c r="B542" s="5" t="str">
        <f ca="1">IFERROR(__xludf.DUMMYFUNCTION("""COMPUTED_VALUE"""),"CESSNA")</f>
        <v>CESSNA</v>
      </c>
      <c r="C542" s="5" t="str">
        <f ca="1">IFERROR(__xludf.DUMMYFUNCTION("""COMPUTED_VALUE"""),"177RG Cardinal RG")</f>
        <v>177RG Cardinal RG</v>
      </c>
      <c r="D542" s="5" t="str">
        <f ca="1">IFERROR(__xludf.DUMMYFUNCTION("""COMPUTED_VALUE"""),"LandPlane")</f>
        <v>LandPlane</v>
      </c>
      <c r="E542" s="5" t="str">
        <f ca="1">IFERROR(__xludf.DUMMYFUNCTION("""COMPUTED_VALUE"""),"Piston")</f>
        <v>Piston</v>
      </c>
      <c r="F542" s="5">
        <f ca="1">IFERROR(__xludf.DUMMYFUNCTION("""COMPUTED_VALUE"""),1)</f>
        <v>1</v>
      </c>
    </row>
    <row r="543" spans="1:6" ht="15" customHeight="1" x14ac:dyDescent="0.2">
      <c r="A543" s="5" t="str">
        <f ca="1">IFERROR(__xludf.DUMMYFUNCTION("""COMPUTED_VALUE"""),"C82")</f>
        <v>C82</v>
      </c>
      <c r="B543" s="5" t="str">
        <f ca="1">IFERROR(__xludf.DUMMYFUNCTION("""COMPUTED_VALUE"""),"FAIRCHILD (1)")</f>
        <v>FAIRCHILD (1)</v>
      </c>
      <c r="C543" s="5" t="str">
        <f ca="1">IFERROR(__xludf.DUMMYFUNCTION("""COMPUTED_VALUE"""),"C-82 Packet")</f>
        <v>C-82 Packet</v>
      </c>
      <c r="D543" s="5" t="str">
        <f ca="1">IFERROR(__xludf.DUMMYFUNCTION("""COMPUTED_VALUE"""),"LandPlane")</f>
        <v>LandPlane</v>
      </c>
      <c r="E543" s="5" t="str">
        <f ca="1">IFERROR(__xludf.DUMMYFUNCTION("""COMPUTED_VALUE"""),"Piston")</f>
        <v>Piston</v>
      </c>
      <c r="F543" s="5">
        <f ca="1">IFERROR(__xludf.DUMMYFUNCTION("""COMPUTED_VALUE"""),2)</f>
        <v>2</v>
      </c>
    </row>
    <row r="544" spans="1:6" ht="15" customHeight="1" x14ac:dyDescent="0.2">
      <c r="A544" s="5" t="str">
        <f ca="1">IFERROR(__xludf.DUMMYFUNCTION("""COMPUTED_VALUE"""),"C82R")</f>
        <v>C82R</v>
      </c>
      <c r="B544" s="5" t="str">
        <f ca="1">IFERROR(__xludf.DUMMYFUNCTION("""COMPUTED_VALUE"""),"CESSNA")</f>
        <v>CESSNA</v>
      </c>
      <c r="C544" s="5" t="str">
        <f ca="1">IFERROR(__xludf.DUMMYFUNCTION("""COMPUTED_VALUE"""),"R182 Skylane RG")</f>
        <v>R182 Skylane RG</v>
      </c>
      <c r="D544" s="5" t="str">
        <f ca="1">IFERROR(__xludf.DUMMYFUNCTION("""COMPUTED_VALUE"""),"LandPlane")</f>
        <v>LandPlane</v>
      </c>
      <c r="E544" s="5" t="str">
        <f ca="1">IFERROR(__xludf.DUMMYFUNCTION("""COMPUTED_VALUE"""),"Piston")</f>
        <v>Piston</v>
      </c>
      <c r="F544" s="5">
        <f ca="1">IFERROR(__xludf.DUMMYFUNCTION("""COMPUTED_VALUE"""),1)</f>
        <v>1</v>
      </c>
    </row>
    <row r="545" spans="1:6" ht="15" customHeight="1" x14ac:dyDescent="0.2">
      <c r="A545" s="5" t="str">
        <f ca="1">IFERROR(__xludf.DUMMYFUNCTION("""COMPUTED_VALUE"""),"C82S")</f>
        <v>C82S</v>
      </c>
      <c r="B545" s="5" t="str">
        <f ca="1">IFERROR(__xludf.DUMMYFUNCTION("""COMPUTED_VALUE"""),"CESSNA")</f>
        <v>CESSNA</v>
      </c>
      <c r="C545" s="5" t="str">
        <f ca="1">IFERROR(__xludf.DUMMYFUNCTION("""COMPUTED_VALUE"""),"T182 Turbo Skylane")</f>
        <v>T182 Turbo Skylane</v>
      </c>
      <c r="D545" s="5" t="str">
        <f ca="1">IFERROR(__xludf.DUMMYFUNCTION("""COMPUTED_VALUE"""),"LandPlane")</f>
        <v>LandPlane</v>
      </c>
      <c r="E545" s="5" t="str">
        <f ca="1">IFERROR(__xludf.DUMMYFUNCTION("""COMPUTED_VALUE"""),"Piston")</f>
        <v>Piston</v>
      </c>
      <c r="F545" s="5">
        <f ca="1">IFERROR(__xludf.DUMMYFUNCTION("""COMPUTED_VALUE"""),1)</f>
        <v>1</v>
      </c>
    </row>
    <row r="546" spans="1:6" ht="15" customHeight="1" x14ac:dyDescent="0.2">
      <c r="A546" s="5" t="str">
        <f ca="1">IFERROR(__xludf.DUMMYFUNCTION("""COMPUTED_VALUE"""),"C82T")</f>
        <v>C82T</v>
      </c>
      <c r="B546" s="5" t="str">
        <f ca="1">IFERROR(__xludf.DUMMYFUNCTION("""COMPUTED_VALUE"""),"CESSNA")</f>
        <v>CESSNA</v>
      </c>
      <c r="C546" s="5" t="str">
        <f ca="1">IFERROR(__xludf.DUMMYFUNCTION("""COMPUTED_VALUE"""),"TR182 Turbo Skylane RG")</f>
        <v>TR182 Turbo Skylane RG</v>
      </c>
      <c r="D546" s="5" t="str">
        <f ca="1">IFERROR(__xludf.DUMMYFUNCTION("""COMPUTED_VALUE"""),"LandPlane")</f>
        <v>LandPlane</v>
      </c>
      <c r="E546" s="5" t="str">
        <f ca="1">IFERROR(__xludf.DUMMYFUNCTION("""COMPUTED_VALUE"""),"Piston")</f>
        <v>Piston</v>
      </c>
      <c r="F546" s="5">
        <f ca="1">IFERROR(__xludf.DUMMYFUNCTION("""COMPUTED_VALUE"""),1)</f>
        <v>1</v>
      </c>
    </row>
    <row r="547" spans="1:6" ht="15" customHeight="1" x14ac:dyDescent="0.2">
      <c r="A547" s="5" t="str">
        <f ca="1">IFERROR(__xludf.DUMMYFUNCTION("""COMPUTED_VALUE"""),"C919")</f>
        <v>C919</v>
      </c>
      <c r="B547" s="5" t="str">
        <f ca="1">IFERROR(__xludf.DUMMYFUNCTION("""COMPUTED_VALUE"""),"COMAC")</f>
        <v>COMAC</v>
      </c>
      <c r="C547" s="5" t="str">
        <f ca="1">IFERROR(__xludf.DUMMYFUNCTION("""COMPUTED_VALUE"""),"C-919")</f>
        <v>C-919</v>
      </c>
      <c r="D547" s="5" t="str">
        <f ca="1">IFERROR(__xludf.DUMMYFUNCTION("""COMPUTED_VALUE"""),"LandPlane")</f>
        <v>LandPlane</v>
      </c>
      <c r="E547" s="5" t="str">
        <f ca="1">IFERROR(__xludf.DUMMYFUNCTION("""COMPUTED_VALUE"""),"Jet")</f>
        <v>Jet</v>
      </c>
      <c r="F547" s="5">
        <f ca="1">IFERROR(__xludf.DUMMYFUNCTION("""COMPUTED_VALUE"""),2)</f>
        <v>2</v>
      </c>
    </row>
    <row r="548" spans="1:6" ht="15" customHeight="1" x14ac:dyDescent="0.2">
      <c r="A548" s="5" t="str">
        <f ca="1">IFERROR(__xludf.DUMMYFUNCTION("""COMPUTED_VALUE"""),"C97")</f>
        <v>C97</v>
      </c>
      <c r="B548" s="5" t="str">
        <f ca="1">IFERROR(__xludf.DUMMYFUNCTION("""COMPUTED_VALUE"""),"BOEING")</f>
        <v>BOEING</v>
      </c>
      <c r="C548" s="5" t="str">
        <f ca="1">IFERROR(__xludf.DUMMYFUNCTION("""COMPUTED_VALUE"""),"C-97 Stratofreighter")</f>
        <v>C-97 Stratofreighter</v>
      </c>
      <c r="D548" s="5" t="str">
        <f ca="1">IFERROR(__xludf.DUMMYFUNCTION("""COMPUTED_VALUE"""),"LandPlane")</f>
        <v>LandPlane</v>
      </c>
      <c r="E548" s="5" t="str">
        <f ca="1">IFERROR(__xludf.DUMMYFUNCTION("""COMPUTED_VALUE"""),"Piston")</f>
        <v>Piston</v>
      </c>
      <c r="F548" s="5">
        <f ca="1">IFERROR(__xludf.DUMMYFUNCTION("""COMPUTED_VALUE"""),4)</f>
        <v>4</v>
      </c>
    </row>
    <row r="549" spans="1:6" ht="15" customHeight="1" x14ac:dyDescent="0.2">
      <c r="A549" s="5" t="str">
        <f ca="1">IFERROR(__xludf.DUMMYFUNCTION("""COMPUTED_VALUE"""),"CA12")</f>
        <v>CA12</v>
      </c>
      <c r="B549" s="5" t="str">
        <f ca="1">IFERROR(__xludf.DUMMYFUNCTION("""COMPUTED_VALUE"""),"COMP AIR")</f>
        <v>COMP AIR</v>
      </c>
      <c r="C549" s="5" t="str">
        <f ca="1">IFERROR(__xludf.DUMMYFUNCTION("""COMPUTED_VALUE"""),"CA-12 Comp Air 12")</f>
        <v>CA-12 Comp Air 12</v>
      </c>
      <c r="D549" s="5" t="str">
        <f ca="1">IFERROR(__xludf.DUMMYFUNCTION("""COMPUTED_VALUE"""),"LandPlane")</f>
        <v>LandPlane</v>
      </c>
      <c r="E549" s="5" t="str">
        <f ca="1">IFERROR(__xludf.DUMMYFUNCTION("""COMPUTED_VALUE"""),"Turboprop/Turboshaft")</f>
        <v>Turboprop/Turboshaft</v>
      </c>
      <c r="F549" s="5">
        <f ca="1">IFERROR(__xludf.DUMMYFUNCTION("""COMPUTED_VALUE"""),1)</f>
        <v>1</v>
      </c>
    </row>
    <row r="550" spans="1:6" ht="15" customHeight="1" x14ac:dyDescent="0.2">
      <c r="A550" s="5" t="str">
        <f ca="1">IFERROR(__xludf.DUMMYFUNCTION("""COMPUTED_VALUE"""),"CA19")</f>
        <v>CA19</v>
      </c>
      <c r="B550" s="5" t="str">
        <f ca="1">IFERROR(__xludf.DUMMYFUNCTION("""COMPUTED_VALUE"""),"COMMONWEALTH (1)")</f>
        <v>COMMONWEALTH (1)</v>
      </c>
      <c r="C550" s="5" t="str">
        <f ca="1">IFERROR(__xludf.DUMMYFUNCTION("""COMPUTED_VALUE"""),"CA-19 Boomerang")</f>
        <v>CA-19 Boomerang</v>
      </c>
      <c r="D550" s="5" t="str">
        <f ca="1">IFERROR(__xludf.DUMMYFUNCTION("""COMPUTED_VALUE"""),"LandPlane")</f>
        <v>LandPlane</v>
      </c>
      <c r="E550" s="5" t="str">
        <f ca="1">IFERROR(__xludf.DUMMYFUNCTION("""COMPUTED_VALUE"""),"Piston")</f>
        <v>Piston</v>
      </c>
      <c r="F550" s="5">
        <f ca="1">IFERROR(__xludf.DUMMYFUNCTION("""COMPUTED_VALUE"""),1)</f>
        <v>1</v>
      </c>
    </row>
    <row r="551" spans="1:6" ht="15" customHeight="1" x14ac:dyDescent="0.2">
      <c r="A551" s="5" t="str">
        <f ca="1">IFERROR(__xludf.DUMMYFUNCTION("""COMPUTED_VALUE"""),"CA1P")</f>
        <v>CA1P</v>
      </c>
      <c r="B551" s="5" t="str">
        <f ca="1">IFERROR(__xludf.DUMMYFUNCTION("""COMPUTED_VALUE"""),"AEROCOMP")</f>
        <v>AEROCOMP</v>
      </c>
      <c r="C551" s="5" t="str">
        <f ca="1">IFERROR(__xludf.DUMMYFUNCTION("""COMPUTED_VALUE"""),"CA-10 Comp Air 10")</f>
        <v>CA-10 Comp Air 10</v>
      </c>
      <c r="D551" s="5" t="str">
        <f ca="1">IFERROR(__xludf.DUMMYFUNCTION("""COMPUTED_VALUE"""),"LandPlane")</f>
        <v>LandPlane</v>
      </c>
      <c r="E551" s="5" t="str">
        <f ca="1">IFERROR(__xludf.DUMMYFUNCTION("""COMPUTED_VALUE"""),"Piston")</f>
        <v>Piston</v>
      </c>
      <c r="F551" s="5">
        <f ca="1">IFERROR(__xludf.DUMMYFUNCTION("""COMPUTED_VALUE"""),1)</f>
        <v>1</v>
      </c>
    </row>
    <row r="552" spans="1:6" ht="15" customHeight="1" x14ac:dyDescent="0.2">
      <c r="A552" s="5" t="str">
        <f ca="1">IFERROR(__xludf.DUMMYFUNCTION("""COMPUTED_VALUE"""),"CA1T")</f>
        <v>CA1T</v>
      </c>
      <c r="B552" s="5" t="str">
        <f ca="1">IFERROR(__xludf.DUMMYFUNCTION("""COMPUTED_VALUE"""),"AEROCOMP")</f>
        <v>AEROCOMP</v>
      </c>
      <c r="C552" s="5" t="str">
        <f ca="1">IFERROR(__xludf.DUMMYFUNCTION("""COMPUTED_VALUE"""),"CA-10T  Comp Air 10T")</f>
        <v>CA-10T  Comp Air 10T</v>
      </c>
      <c r="D552" s="5" t="str">
        <f ca="1">IFERROR(__xludf.DUMMYFUNCTION("""COMPUTED_VALUE"""),"LandPlane")</f>
        <v>LandPlane</v>
      </c>
      <c r="E552" s="5" t="str">
        <f ca="1">IFERROR(__xludf.DUMMYFUNCTION("""COMPUTED_VALUE"""),"Turboprop/Turboshaft")</f>
        <v>Turboprop/Turboshaft</v>
      </c>
      <c r="F552" s="5">
        <f ca="1">IFERROR(__xludf.DUMMYFUNCTION("""COMPUTED_VALUE"""),1)</f>
        <v>1</v>
      </c>
    </row>
    <row r="553" spans="1:6" ht="15" customHeight="1" x14ac:dyDescent="0.2">
      <c r="A553" s="5" t="str">
        <f ca="1">IFERROR(__xludf.DUMMYFUNCTION("""COMPUTED_VALUE"""),"CA25")</f>
        <v>CA25</v>
      </c>
      <c r="B553" s="5" t="str">
        <f ca="1">IFERROR(__xludf.DUMMYFUNCTION("""COMPUTED_VALUE"""),"COMMONWEALTH (1)")</f>
        <v>COMMONWEALTH (1)</v>
      </c>
      <c r="C553" s="5" t="str">
        <f ca="1">IFERROR(__xludf.DUMMYFUNCTION("""COMPUTED_VALUE"""),"CA-25 Winjeel")</f>
        <v>CA-25 Winjeel</v>
      </c>
      <c r="D553" s="5" t="str">
        <f ca="1">IFERROR(__xludf.DUMMYFUNCTION("""COMPUTED_VALUE"""),"LandPlane")</f>
        <v>LandPlane</v>
      </c>
      <c r="E553" s="5" t="str">
        <f ca="1">IFERROR(__xludf.DUMMYFUNCTION("""COMPUTED_VALUE"""),"Piston")</f>
        <v>Piston</v>
      </c>
      <c r="F553" s="5">
        <f ca="1">IFERROR(__xludf.DUMMYFUNCTION("""COMPUTED_VALUE"""),1)</f>
        <v>1</v>
      </c>
    </row>
    <row r="554" spans="1:6" ht="15" customHeight="1" x14ac:dyDescent="0.2">
      <c r="A554" s="5" t="str">
        <f ca="1">IFERROR(__xludf.DUMMYFUNCTION("""COMPUTED_VALUE"""),"CA3")</f>
        <v>CA3</v>
      </c>
      <c r="B554" s="5" t="str">
        <f ca="1">IFERROR(__xludf.DUMMYFUNCTION("""COMPUTED_VALUE"""),"AEROCOMP")</f>
        <v>AEROCOMP</v>
      </c>
      <c r="C554" s="5" t="str">
        <f ca="1">IFERROR(__xludf.DUMMYFUNCTION("""COMPUTED_VALUE"""),"CA-3 Comp Air 3")</f>
        <v>CA-3 Comp Air 3</v>
      </c>
      <c r="D554" s="5" t="str">
        <f ca="1">IFERROR(__xludf.DUMMYFUNCTION("""COMPUTED_VALUE"""),"LandPlane")</f>
        <v>LandPlane</v>
      </c>
      <c r="E554" s="5" t="str">
        <f ca="1">IFERROR(__xludf.DUMMYFUNCTION("""COMPUTED_VALUE"""),"Piston")</f>
        <v>Piston</v>
      </c>
      <c r="F554" s="5">
        <f ca="1">IFERROR(__xludf.DUMMYFUNCTION("""COMPUTED_VALUE"""),1)</f>
        <v>1</v>
      </c>
    </row>
    <row r="555" spans="1:6" ht="15" customHeight="1" x14ac:dyDescent="0.2">
      <c r="A555" s="5" t="str">
        <f ca="1">IFERROR(__xludf.DUMMYFUNCTION("""COMPUTED_VALUE"""),"CA4")</f>
        <v>CA4</v>
      </c>
      <c r="B555" s="5" t="str">
        <f ca="1">IFERROR(__xludf.DUMMYFUNCTION("""COMPUTED_VALUE"""),"AEROCOMP")</f>
        <v>AEROCOMP</v>
      </c>
      <c r="C555" s="5" t="str">
        <f ca="1">IFERROR(__xludf.DUMMYFUNCTION("""COMPUTED_VALUE"""),"CA-4 Comp Air 4")</f>
        <v>CA-4 Comp Air 4</v>
      </c>
      <c r="D555" s="5" t="str">
        <f ca="1">IFERROR(__xludf.DUMMYFUNCTION("""COMPUTED_VALUE"""),"LandPlane")</f>
        <v>LandPlane</v>
      </c>
      <c r="E555" s="5" t="str">
        <f ca="1">IFERROR(__xludf.DUMMYFUNCTION("""COMPUTED_VALUE"""),"Piston")</f>
        <v>Piston</v>
      </c>
      <c r="F555" s="5">
        <f ca="1">IFERROR(__xludf.DUMMYFUNCTION("""COMPUTED_VALUE"""),1)</f>
        <v>1</v>
      </c>
    </row>
    <row r="556" spans="1:6" ht="15" customHeight="1" x14ac:dyDescent="0.2">
      <c r="A556" s="5" t="str">
        <f ca="1">IFERROR(__xludf.DUMMYFUNCTION("""COMPUTED_VALUE"""),"CA41")</f>
        <v>CA41</v>
      </c>
      <c r="B556" s="5" t="str">
        <f ca="1">IFERROR(__xludf.DUMMYFUNCTION("""COMPUTED_VALUE"""),"CORVUS")</f>
        <v>CORVUS</v>
      </c>
      <c r="C556" s="5" t="str">
        <f ca="1">IFERROR(__xludf.DUMMYFUNCTION("""COMPUTED_VALUE"""),"CA-41 Racer")</f>
        <v>CA-41 Racer</v>
      </c>
      <c r="D556" s="5" t="str">
        <f ca="1">IFERROR(__xludf.DUMMYFUNCTION("""COMPUTED_VALUE"""),"LandPlane")</f>
        <v>LandPlane</v>
      </c>
      <c r="E556" s="5" t="str">
        <f ca="1">IFERROR(__xludf.DUMMYFUNCTION("""COMPUTED_VALUE"""),"Piston")</f>
        <v>Piston</v>
      </c>
      <c r="F556" s="5">
        <f ca="1">IFERROR(__xludf.DUMMYFUNCTION("""COMPUTED_VALUE"""),1)</f>
        <v>1</v>
      </c>
    </row>
    <row r="557" spans="1:6" ht="15" customHeight="1" x14ac:dyDescent="0.2">
      <c r="A557" s="5" t="str">
        <f ca="1">IFERROR(__xludf.DUMMYFUNCTION("""COMPUTED_VALUE"""),"CA6")</f>
        <v>CA6</v>
      </c>
      <c r="B557" s="5" t="str">
        <f ca="1">IFERROR(__xludf.DUMMYFUNCTION("""COMPUTED_VALUE"""),"AEROCOMP")</f>
        <v>AEROCOMP</v>
      </c>
      <c r="C557" s="5" t="str">
        <f ca="1">IFERROR(__xludf.DUMMYFUNCTION("""COMPUTED_VALUE"""),"CA-6 Comp Air 6")</f>
        <v>CA-6 Comp Air 6</v>
      </c>
      <c r="D557" s="5" t="str">
        <f ca="1">IFERROR(__xludf.DUMMYFUNCTION("""COMPUTED_VALUE"""),"LandPlane")</f>
        <v>LandPlane</v>
      </c>
      <c r="E557" s="5" t="str">
        <f ca="1">IFERROR(__xludf.DUMMYFUNCTION("""COMPUTED_VALUE"""),"Piston")</f>
        <v>Piston</v>
      </c>
      <c r="F557" s="5">
        <f ca="1">IFERROR(__xludf.DUMMYFUNCTION("""COMPUTED_VALUE"""),1)</f>
        <v>1</v>
      </c>
    </row>
    <row r="558" spans="1:6" ht="15" customHeight="1" x14ac:dyDescent="0.2">
      <c r="A558" s="5" t="str">
        <f ca="1">IFERROR(__xludf.DUMMYFUNCTION("""COMPUTED_VALUE"""),"CA61")</f>
        <v>CA61</v>
      </c>
      <c r="B558" s="5" t="str">
        <f ca="1">IFERROR(__xludf.DUMMYFUNCTION("""COMPUTED_VALUE"""),"CVJETKOVIC")</f>
        <v>CVJETKOVIC</v>
      </c>
      <c r="C558" s="5" t="str">
        <f ca="1">IFERROR(__xludf.DUMMYFUNCTION("""COMPUTED_VALUE"""),"CA-61 Mini Ace")</f>
        <v>CA-61 Mini Ace</v>
      </c>
      <c r="D558" s="5" t="str">
        <f ca="1">IFERROR(__xludf.DUMMYFUNCTION("""COMPUTED_VALUE"""),"LandPlane")</f>
        <v>LandPlane</v>
      </c>
      <c r="E558" s="5" t="str">
        <f ca="1">IFERROR(__xludf.DUMMYFUNCTION("""COMPUTED_VALUE"""),"Piston")</f>
        <v>Piston</v>
      </c>
      <c r="F558" s="5">
        <f ca="1">IFERROR(__xludf.DUMMYFUNCTION("""COMPUTED_VALUE"""),1)</f>
        <v>1</v>
      </c>
    </row>
    <row r="559" spans="1:6" ht="15" customHeight="1" x14ac:dyDescent="0.2">
      <c r="A559" s="5" t="str">
        <f ca="1">IFERROR(__xludf.DUMMYFUNCTION("""COMPUTED_VALUE"""),"CA65")</f>
        <v>CA65</v>
      </c>
      <c r="B559" s="5" t="str">
        <f ca="1">IFERROR(__xludf.DUMMYFUNCTION("""COMPUTED_VALUE"""),"CVJETKOVIC")</f>
        <v>CVJETKOVIC</v>
      </c>
      <c r="C559" s="5" t="str">
        <f ca="1">IFERROR(__xludf.DUMMYFUNCTION("""COMPUTED_VALUE"""),"CA-65 Skyfly")</f>
        <v>CA-65 Skyfly</v>
      </c>
      <c r="D559" s="5" t="str">
        <f ca="1">IFERROR(__xludf.DUMMYFUNCTION("""COMPUTED_VALUE"""),"LandPlane")</f>
        <v>LandPlane</v>
      </c>
      <c r="E559" s="5" t="str">
        <f ca="1">IFERROR(__xludf.DUMMYFUNCTION("""COMPUTED_VALUE"""),"Piston")</f>
        <v>Piston</v>
      </c>
      <c r="F559" s="5">
        <f ca="1">IFERROR(__xludf.DUMMYFUNCTION("""COMPUTED_VALUE"""),1)</f>
        <v>1</v>
      </c>
    </row>
    <row r="560" spans="1:6" ht="15" customHeight="1" x14ac:dyDescent="0.2">
      <c r="A560" s="5" t="str">
        <f ca="1">IFERROR(__xludf.DUMMYFUNCTION("""COMPUTED_VALUE"""),"CA7P")</f>
        <v>CA7P</v>
      </c>
      <c r="B560" s="5" t="str">
        <f ca="1">IFERROR(__xludf.DUMMYFUNCTION("""COMPUTED_VALUE"""),"AEROCOMP")</f>
        <v>AEROCOMP</v>
      </c>
      <c r="C560" s="5" t="str">
        <f ca="1">IFERROR(__xludf.DUMMYFUNCTION("""COMPUTED_VALUE"""),"CA-7P Comp Air 7P")</f>
        <v>CA-7P Comp Air 7P</v>
      </c>
      <c r="D560" s="5" t="str">
        <f ca="1">IFERROR(__xludf.DUMMYFUNCTION("""COMPUTED_VALUE"""),"LandPlane")</f>
        <v>LandPlane</v>
      </c>
      <c r="E560" s="5" t="str">
        <f ca="1">IFERROR(__xludf.DUMMYFUNCTION("""COMPUTED_VALUE"""),"Piston")</f>
        <v>Piston</v>
      </c>
      <c r="F560" s="5">
        <f ca="1">IFERROR(__xludf.DUMMYFUNCTION("""COMPUTED_VALUE"""),1)</f>
        <v>1</v>
      </c>
    </row>
    <row r="561" spans="1:6" ht="15" customHeight="1" x14ac:dyDescent="0.2">
      <c r="A561" s="5" t="str">
        <f ca="1">IFERROR(__xludf.DUMMYFUNCTION("""COMPUTED_VALUE"""),"CA7T")</f>
        <v>CA7T</v>
      </c>
      <c r="B561" s="5" t="str">
        <f ca="1">IFERROR(__xludf.DUMMYFUNCTION("""COMPUTED_VALUE"""),"AEROCOMP")</f>
        <v>AEROCOMP</v>
      </c>
      <c r="C561" s="5" t="str">
        <f ca="1">IFERROR(__xludf.DUMMYFUNCTION("""COMPUTED_VALUE"""),"CA-7T Comp Air 7T")</f>
        <v>CA-7T Comp Air 7T</v>
      </c>
      <c r="D561" s="5" t="str">
        <f ca="1">IFERROR(__xludf.DUMMYFUNCTION("""COMPUTED_VALUE"""),"LandPlane")</f>
        <v>LandPlane</v>
      </c>
      <c r="E561" s="5" t="str">
        <f ca="1">IFERROR(__xludf.DUMMYFUNCTION("""COMPUTED_VALUE"""),"Turboprop/Turboshaft")</f>
        <v>Turboprop/Turboshaft</v>
      </c>
      <c r="F561" s="5">
        <f ca="1">IFERROR(__xludf.DUMMYFUNCTION("""COMPUTED_VALUE"""),1)</f>
        <v>1</v>
      </c>
    </row>
    <row r="562" spans="1:6" ht="15" customHeight="1" x14ac:dyDescent="0.2">
      <c r="A562" s="5" t="str">
        <f ca="1">IFERROR(__xludf.DUMMYFUNCTION("""COMPUTED_VALUE"""),"CA8")</f>
        <v>CA8</v>
      </c>
      <c r="B562" s="5" t="str">
        <f ca="1">IFERROR(__xludf.DUMMYFUNCTION("""COMPUTED_VALUE"""),"AEROCOMP")</f>
        <v>AEROCOMP</v>
      </c>
      <c r="C562" s="5" t="str">
        <f ca="1">IFERROR(__xludf.DUMMYFUNCTION("""COMPUTED_VALUE"""),"CA-8 Comp Air 8")</f>
        <v>CA-8 Comp Air 8</v>
      </c>
      <c r="D562" s="5" t="str">
        <f ca="1">IFERROR(__xludf.DUMMYFUNCTION("""COMPUTED_VALUE"""),"LandPlane")</f>
        <v>LandPlane</v>
      </c>
      <c r="E562" s="5" t="str">
        <f ca="1">IFERROR(__xludf.DUMMYFUNCTION("""COMPUTED_VALUE"""),"Turboprop/Turboshaft")</f>
        <v>Turboprop/Turboshaft</v>
      </c>
      <c r="F562" s="5">
        <f ca="1">IFERROR(__xludf.DUMMYFUNCTION("""COMPUTED_VALUE"""),1)</f>
        <v>1</v>
      </c>
    </row>
    <row r="563" spans="1:6" ht="15" customHeight="1" x14ac:dyDescent="0.2">
      <c r="A563" s="5" t="str">
        <f ca="1">IFERROR(__xludf.DUMMYFUNCTION("""COMPUTED_VALUE"""),"CA8")</f>
        <v>CA8</v>
      </c>
      <c r="B563" s="5" t="str">
        <f ca="1">IFERROR(__xludf.DUMMYFUNCTION("""COMPUTED_VALUE"""),"COMP AIR")</f>
        <v>COMP AIR</v>
      </c>
      <c r="C563" s="5" t="str">
        <f ca="1">IFERROR(__xludf.DUMMYFUNCTION("""COMPUTED_VALUE"""),"CA-8 Comp Air 8")</f>
        <v>CA-8 Comp Air 8</v>
      </c>
      <c r="D563" s="5" t="str">
        <f ca="1">IFERROR(__xludf.DUMMYFUNCTION("""COMPUTED_VALUE"""),"LandPlane")</f>
        <v>LandPlane</v>
      </c>
      <c r="E563" s="5" t="str">
        <f ca="1">IFERROR(__xludf.DUMMYFUNCTION("""COMPUTED_VALUE"""),"Turboprop/Turboshaft")</f>
        <v>Turboprop/Turboshaft</v>
      </c>
      <c r="F563" s="5">
        <f ca="1">IFERROR(__xludf.DUMMYFUNCTION("""COMPUTED_VALUE"""),1)</f>
        <v>1</v>
      </c>
    </row>
    <row r="564" spans="1:6" ht="15" customHeight="1" x14ac:dyDescent="0.2">
      <c r="A564" s="5" t="str">
        <f ca="1">IFERROR(__xludf.DUMMYFUNCTION("""COMPUTED_VALUE"""),"CA9")</f>
        <v>CA9</v>
      </c>
      <c r="B564" s="5" t="str">
        <f ca="1">IFERROR(__xludf.DUMMYFUNCTION("""COMPUTED_VALUE"""),"COMP AIR")</f>
        <v>COMP AIR</v>
      </c>
      <c r="C564" s="5" t="str">
        <f ca="1">IFERROR(__xludf.DUMMYFUNCTION("""COMPUTED_VALUE"""),"CA-9 Comp Air 9")</f>
        <v>CA-9 Comp Air 9</v>
      </c>
      <c r="D564" s="5" t="str">
        <f ca="1">IFERROR(__xludf.DUMMYFUNCTION("""COMPUTED_VALUE"""),"LandPlane")</f>
        <v>LandPlane</v>
      </c>
      <c r="E564" s="5" t="str">
        <f ca="1">IFERROR(__xludf.DUMMYFUNCTION("""COMPUTED_VALUE"""),"Turboprop/Turboshaft")</f>
        <v>Turboprop/Turboshaft</v>
      </c>
      <c r="F564" s="5">
        <f ca="1">IFERROR(__xludf.DUMMYFUNCTION("""COMPUTED_VALUE"""),1)</f>
        <v>1</v>
      </c>
    </row>
    <row r="565" spans="1:6" ht="15" customHeight="1" x14ac:dyDescent="0.2">
      <c r="A565" s="5" t="str">
        <f ca="1">IFERROR(__xludf.DUMMYFUNCTION("""COMPUTED_VALUE"""),"CABI")</f>
        <v>CABI</v>
      </c>
      <c r="B565" s="5" t="str">
        <f ca="1">IFERROR(__xludf.DUMMYFUNCTION("""COMPUTED_VALUE"""),"UNIVERSAL COMPOSITE")</f>
        <v>UNIVERSAL COMPOSITE</v>
      </c>
      <c r="C565" s="5" t="str">
        <f ca="1">IFERROR(__xludf.DUMMYFUNCTION("""COMPUTED_VALUE"""),"Carbon Bird")</f>
        <v>Carbon Bird</v>
      </c>
      <c r="D565" s="5" t="str">
        <f ca="1">IFERROR(__xludf.DUMMYFUNCTION("""COMPUTED_VALUE"""),"LandPlane")</f>
        <v>LandPlane</v>
      </c>
      <c r="E565" s="5" t="str">
        <f ca="1">IFERROR(__xludf.DUMMYFUNCTION("""COMPUTED_VALUE"""),"Turboprop/Turboshaft")</f>
        <v>Turboprop/Turboshaft</v>
      </c>
      <c r="F565" s="5">
        <f ca="1">IFERROR(__xludf.DUMMYFUNCTION("""COMPUTED_VALUE"""),1)</f>
        <v>1</v>
      </c>
    </row>
    <row r="566" spans="1:6" ht="15" customHeight="1" x14ac:dyDescent="0.2">
      <c r="A566" s="5" t="str">
        <f ca="1">IFERROR(__xludf.DUMMYFUNCTION("""COMPUTED_VALUE"""),"CABN")</f>
        <v>CABN</v>
      </c>
      <c r="B566" s="5" t="str">
        <f ca="1">IFERROR(__xludf.DUMMYFUNCTION("""COMPUTED_VALUE"""),"PARAMOUNT")</f>
        <v>PARAMOUNT</v>
      </c>
      <c r="C566" s="5" t="str">
        <f ca="1">IFERROR(__xludf.DUMMYFUNCTION("""COMPUTED_VALUE"""),"Cabinaire")</f>
        <v>Cabinaire</v>
      </c>
      <c r="D566" s="5" t="str">
        <f ca="1">IFERROR(__xludf.DUMMYFUNCTION("""COMPUTED_VALUE"""),"LandPlane")</f>
        <v>LandPlane</v>
      </c>
      <c r="E566" s="5" t="str">
        <f ca="1">IFERROR(__xludf.DUMMYFUNCTION("""COMPUTED_VALUE"""),"Piston")</f>
        <v>Piston</v>
      </c>
      <c r="F566" s="5">
        <f ca="1">IFERROR(__xludf.DUMMYFUNCTION("""COMPUTED_VALUE"""),1)</f>
        <v>1</v>
      </c>
    </row>
    <row r="567" spans="1:6" ht="15" customHeight="1" x14ac:dyDescent="0.2">
      <c r="A567" s="5" t="str">
        <f ca="1">IFERROR(__xludf.DUMMYFUNCTION("""COMPUTED_VALUE"""),"CAD2")</f>
        <v>CAD2</v>
      </c>
      <c r="B567" s="5" t="str">
        <f ca="1">IFERROR(__xludf.DUMMYFUNCTION("""COMPUTED_VALUE"""),"CLASS")</f>
        <v>CLASS</v>
      </c>
      <c r="C567" s="5" t="str">
        <f ca="1">IFERROR(__xludf.DUMMYFUNCTION("""COMPUTED_VALUE"""),"Bush Caddy R-120")</f>
        <v>Bush Caddy R-120</v>
      </c>
      <c r="D567" s="5" t="str">
        <f ca="1">IFERROR(__xludf.DUMMYFUNCTION("""COMPUTED_VALUE"""),"LandPlane")</f>
        <v>LandPlane</v>
      </c>
      <c r="E567" s="5" t="str">
        <f ca="1">IFERROR(__xludf.DUMMYFUNCTION("""COMPUTED_VALUE"""),"Piston")</f>
        <v>Piston</v>
      </c>
      <c r="F567" s="5">
        <f ca="1">IFERROR(__xludf.DUMMYFUNCTION("""COMPUTED_VALUE"""),1)</f>
        <v>1</v>
      </c>
    </row>
    <row r="568" spans="1:6" ht="15" customHeight="1" x14ac:dyDescent="0.2">
      <c r="A568" s="5" t="str">
        <f ca="1">IFERROR(__xludf.DUMMYFUNCTION("""COMPUTED_VALUE"""),"CAD4")</f>
        <v>CAD4</v>
      </c>
      <c r="B568" s="5" t="str">
        <f ca="1">IFERROR(__xludf.DUMMYFUNCTION("""COMPUTED_VALUE"""),"CLASS")</f>
        <v>CLASS</v>
      </c>
      <c r="C568" s="5" t="str">
        <f ca="1">IFERROR(__xludf.DUMMYFUNCTION("""COMPUTED_VALUE"""),"Bush Caddy L-160")</f>
        <v>Bush Caddy L-160</v>
      </c>
      <c r="D568" s="5" t="str">
        <f ca="1">IFERROR(__xludf.DUMMYFUNCTION("""COMPUTED_VALUE"""),"LandPlane")</f>
        <v>LandPlane</v>
      </c>
      <c r="E568" s="5" t="str">
        <f ca="1">IFERROR(__xludf.DUMMYFUNCTION("""COMPUTED_VALUE"""),"Piston")</f>
        <v>Piston</v>
      </c>
      <c r="F568" s="5">
        <f ca="1">IFERROR(__xludf.DUMMYFUNCTION("""COMPUTED_VALUE"""),1)</f>
        <v>1</v>
      </c>
    </row>
    <row r="569" spans="1:6" ht="15" customHeight="1" x14ac:dyDescent="0.2">
      <c r="A569" s="5" t="str">
        <f ca="1">IFERROR(__xludf.DUMMYFUNCTION("""COMPUTED_VALUE"""),"CAJ")</f>
        <v>CAJ</v>
      </c>
      <c r="B569" s="5" t="str">
        <f ca="1">IFERROR(__xludf.DUMMYFUNCTION("""COMPUTED_VALUE"""),"AEROCOMP")</f>
        <v>AEROCOMP</v>
      </c>
      <c r="C569" s="5" t="str">
        <f ca="1">IFERROR(__xludf.DUMMYFUNCTION("""COMPUTED_VALUE"""),"CA-J Comp Air Jet")</f>
        <v>CA-J Comp Air Jet</v>
      </c>
      <c r="D569" s="5" t="str">
        <f ca="1">IFERROR(__xludf.DUMMYFUNCTION("""COMPUTED_VALUE"""),"LandPlane")</f>
        <v>LandPlane</v>
      </c>
      <c r="E569" s="5" t="str">
        <f ca="1">IFERROR(__xludf.DUMMYFUNCTION("""COMPUTED_VALUE"""),"Jet")</f>
        <v>Jet</v>
      </c>
      <c r="F569" s="5">
        <f ca="1">IFERROR(__xludf.DUMMYFUNCTION("""COMPUTED_VALUE"""),1)</f>
        <v>1</v>
      </c>
    </row>
    <row r="570" spans="1:6" ht="15" customHeight="1" x14ac:dyDescent="0.2">
      <c r="A570" s="5" t="str">
        <f ca="1">IFERROR(__xludf.DUMMYFUNCTION("""COMPUTED_VALUE"""),"CAML")</f>
        <v>CAML</v>
      </c>
      <c r="B570" s="5" t="str">
        <f ca="1">IFERROR(__xludf.DUMMYFUNCTION("""COMPUTED_VALUE"""),"SOPWITH")</f>
        <v>SOPWITH</v>
      </c>
      <c r="C570" s="5" t="str">
        <f ca="1">IFERROR(__xludf.DUMMYFUNCTION("""COMPUTED_VALUE"""),"Camel Replica")</f>
        <v>Camel Replica</v>
      </c>
      <c r="D570" s="5" t="str">
        <f ca="1">IFERROR(__xludf.DUMMYFUNCTION("""COMPUTED_VALUE"""),"LandPlane")</f>
        <v>LandPlane</v>
      </c>
      <c r="E570" s="5" t="str">
        <f ca="1">IFERROR(__xludf.DUMMYFUNCTION("""COMPUTED_VALUE"""),"Piston")</f>
        <v>Piston</v>
      </c>
      <c r="F570" s="5">
        <f ca="1">IFERROR(__xludf.DUMMYFUNCTION("""COMPUTED_VALUE"""),1)</f>
        <v>1</v>
      </c>
    </row>
    <row r="571" spans="1:6" ht="15" customHeight="1" x14ac:dyDescent="0.2">
      <c r="A571" s="5" t="str">
        <f ca="1">IFERROR(__xludf.DUMMYFUNCTION("""COMPUTED_VALUE"""),"CAMP")</f>
        <v>CAMP</v>
      </c>
      <c r="B571" s="5" t="str">
        <f ca="1">IFERROR(__xludf.DUMMYFUNCTION("""COMPUTED_VALUE"""),"GREGA")</f>
        <v>GREGA</v>
      </c>
      <c r="C571" s="5" t="str">
        <f ca="1">IFERROR(__xludf.DUMMYFUNCTION("""COMPUTED_VALUE"""),"GN-1 Aircamper")</f>
        <v>GN-1 Aircamper</v>
      </c>
      <c r="D571" s="5" t="str">
        <f ca="1">IFERROR(__xludf.DUMMYFUNCTION("""COMPUTED_VALUE"""),"LandPlane")</f>
        <v>LandPlane</v>
      </c>
      <c r="E571" s="5" t="str">
        <f ca="1">IFERROR(__xludf.DUMMYFUNCTION("""COMPUTED_VALUE"""),"Piston")</f>
        <v>Piston</v>
      </c>
      <c r="F571" s="5">
        <f ca="1">IFERROR(__xludf.DUMMYFUNCTION("""COMPUTED_VALUE"""),1)</f>
        <v>1</v>
      </c>
    </row>
    <row r="572" spans="1:6" ht="15" customHeight="1" x14ac:dyDescent="0.2">
      <c r="A572" s="5" t="str">
        <f ca="1">IFERROR(__xludf.DUMMYFUNCTION("""COMPUTED_VALUE"""),"CAN4")</f>
        <v>CAN4</v>
      </c>
      <c r="B572" s="5" t="str">
        <f ca="1">IFERROR(__xludf.DUMMYFUNCTION("""COMPUTED_VALUE"""),"CAMPANA")</f>
        <v>CAMPANA</v>
      </c>
      <c r="C572" s="5" t="str">
        <f ca="1">IFERROR(__xludf.DUMMYFUNCTION("""COMPUTED_VALUE"""),"AN-4")</f>
        <v>AN-4</v>
      </c>
      <c r="D572" s="5" t="str">
        <f ca="1">IFERROR(__xludf.DUMMYFUNCTION("""COMPUTED_VALUE"""),"LandPlane")</f>
        <v>LandPlane</v>
      </c>
      <c r="E572" s="5" t="str">
        <f ca="1">IFERROR(__xludf.DUMMYFUNCTION("""COMPUTED_VALUE"""),"Piston")</f>
        <v>Piston</v>
      </c>
      <c r="F572" s="5">
        <f ca="1">IFERROR(__xludf.DUMMYFUNCTION("""COMPUTED_VALUE"""),1)</f>
        <v>1</v>
      </c>
    </row>
    <row r="573" spans="1:6" ht="15" customHeight="1" x14ac:dyDescent="0.2">
      <c r="A573" s="5" t="str">
        <f ca="1">IFERROR(__xludf.DUMMYFUNCTION("""COMPUTED_VALUE"""),"CAPL")</f>
        <v>CAPL</v>
      </c>
      <c r="B573" s="5" t="str">
        <f ca="1">IFERROR(__xludf.DUMMYFUNCTION("""COMPUTED_VALUE"""),"CAPELLA")</f>
        <v>CAPELLA</v>
      </c>
      <c r="C573" s="5" t="str">
        <f ca="1">IFERROR(__xludf.DUMMYFUNCTION("""COMPUTED_VALUE"""),"Capella")</f>
        <v>Capella</v>
      </c>
      <c r="D573" s="5" t="str">
        <f ca="1">IFERROR(__xludf.DUMMYFUNCTION("""COMPUTED_VALUE"""),"LandPlane")</f>
        <v>LandPlane</v>
      </c>
      <c r="E573" s="5" t="str">
        <f ca="1">IFERROR(__xludf.DUMMYFUNCTION("""COMPUTED_VALUE"""),"Piston")</f>
        <v>Piston</v>
      </c>
      <c r="F573" s="5">
        <f ca="1">IFERROR(__xludf.DUMMYFUNCTION("""COMPUTED_VALUE"""),1)</f>
        <v>1</v>
      </c>
    </row>
    <row r="574" spans="1:6" ht="15" customHeight="1" x14ac:dyDescent="0.2">
      <c r="A574" s="5" t="str">
        <f ca="1">IFERROR(__xludf.DUMMYFUNCTION("""COMPUTED_VALUE"""),"CAR")</f>
        <v>CAR</v>
      </c>
      <c r="B574" s="5" t="str">
        <f ca="1">IFERROR(__xludf.DUMMYFUNCTION("""COMPUTED_VALUE"""),"AEROCAR")</f>
        <v>AEROCAR</v>
      </c>
      <c r="C574" s="5" t="str">
        <f ca="1">IFERROR(__xludf.DUMMYFUNCTION("""COMPUTED_VALUE"""),"Aerocar")</f>
        <v>Aerocar</v>
      </c>
      <c r="D574" s="5" t="str">
        <f ca="1">IFERROR(__xludf.DUMMYFUNCTION("""COMPUTED_VALUE"""),"LandPlane")</f>
        <v>LandPlane</v>
      </c>
      <c r="E574" s="5" t="str">
        <f ca="1">IFERROR(__xludf.DUMMYFUNCTION("""COMPUTED_VALUE"""),"Piston")</f>
        <v>Piston</v>
      </c>
      <c r="F574" s="5">
        <f ca="1">IFERROR(__xludf.DUMMYFUNCTION("""COMPUTED_VALUE"""),1)</f>
        <v>1</v>
      </c>
    </row>
    <row r="575" spans="1:6" ht="15" customHeight="1" x14ac:dyDescent="0.2">
      <c r="A575" s="5" t="str">
        <f ca="1">IFERROR(__xludf.DUMMYFUNCTION("""COMPUTED_VALUE"""),"CARV")</f>
        <v>CARV</v>
      </c>
      <c r="B575" s="5" t="str">
        <f ca="1">IFERROR(__xludf.DUMMYFUNCTION("""COMPUTED_VALUE"""),"AVIATION TRADERS")</f>
        <v>AVIATION TRADERS</v>
      </c>
      <c r="C575" s="5" t="str">
        <f ca="1">IFERROR(__xludf.DUMMYFUNCTION("""COMPUTED_VALUE"""),"ATL-98 Carvair")</f>
        <v>ATL-98 Carvair</v>
      </c>
      <c r="D575" s="5" t="str">
        <f ca="1">IFERROR(__xludf.DUMMYFUNCTION("""COMPUTED_VALUE"""),"LandPlane")</f>
        <v>LandPlane</v>
      </c>
      <c r="E575" s="5" t="str">
        <f ca="1">IFERROR(__xludf.DUMMYFUNCTION("""COMPUTED_VALUE"""),"Piston")</f>
        <v>Piston</v>
      </c>
      <c r="F575" s="5">
        <f ca="1">IFERROR(__xludf.DUMMYFUNCTION("""COMPUTED_VALUE"""),4)</f>
        <v>4</v>
      </c>
    </row>
    <row r="576" spans="1:6" ht="15" customHeight="1" x14ac:dyDescent="0.2">
      <c r="A576" s="5" t="str">
        <f ca="1">IFERROR(__xludf.DUMMYFUNCTION("""COMPUTED_VALUE"""),"CASS")</f>
        <v>CASS</v>
      </c>
      <c r="B576" s="5" t="str">
        <f ca="1">IFERROR(__xludf.DUMMYFUNCTION("""COMPUTED_VALUE"""),"CASSUTT")</f>
        <v>CASSUTT</v>
      </c>
      <c r="C576" s="5" t="str">
        <f ca="1">IFERROR(__xludf.DUMMYFUNCTION("""COMPUTED_VALUE"""),"Special")</f>
        <v>Special</v>
      </c>
      <c r="D576" s="5" t="str">
        <f ca="1">IFERROR(__xludf.DUMMYFUNCTION("""COMPUTED_VALUE"""),"LandPlane")</f>
        <v>LandPlane</v>
      </c>
      <c r="E576" s="5" t="str">
        <f ca="1">IFERROR(__xludf.DUMMYFUNCTION("""COMPUTED_VALUE"""),"Piston")</f>
        <v>Piston</v>
      </c>
      <c r="F576" s="5">
        <f ca="1">IFERROR(__xludf.DUMMYFUNCTION("""COMPUTED_VALUE"""),1)</f>
        <v>1</v>
      </c>
    </row>
    <row r="577" spans="1:6" ht="15" customHeight="1" x14ac:dyDescent="0.2">
      <c r="A577" s="5" t="str">
        <f ca="1">IFERROR(__xludf.DUMMYFUNCTION("""COMPUTED_VALUE"""),"CAT")</f>
        <v>CAT</v>
      </c>
      <c r="B577" s="5" t="str">
        <f ca="1">IFERROR(__xludf.DUMMYFUNCTION("""COMPUTED_VALUE"""),"CONSOLIDATED")</f>
        <v>CONSOLIDATED</v>
      </c>
      <c r="C577" s="5" t="str">
        <f ca="1">IFERROR(__xludf.DUMMYFUNCTION("""COMPUTED_VALUE"""),"PBY Catalina")</f>
        <v>PBY Catalina</v>
      </c>
      <c r="D577" s="5" t="str">
        <f ca="1">IFERROR(__xludf.DUMMYFUNCTION("""COMPUTED_VALUE"""),"Amphibian")</f>
        <v>Amphibian</v>
      </c>
      <c r="E577" s="5" t="str">
        <f ca="1">IFERROR(__xludf.DUMMYFUNCTION("""COMPUTED_VALUE"""),"Piston")</f>
        <v>Piston</v>
      </c>
      <c r="F577" s="5">
        <f ca="1">IFERROR(__xludf.DUMMYFUNCTION("""COMPUTED_VALUE"""),2)</f>
        <v>2</v>
      </c>
    </row>
    <row r="578" spans="1:6" ht="15" customHeight="1" x14ac:dyDescent="0.2">
      <c r="A578" s="5" t="str">
        <f ca="1">IFERROR(__xludf.DUMMYFUNCTION("""COMPUTED_VALUE"""),"CAT1")</f>
        <v>CAT1</v>
      </c>
      <c r="B578" s="5" t="str">
        <f ca="1">IFERROR(__xludf.DUMMYFUNCTION("""COMPUTED_VALUE"""),"CREATIVE FLIGHT")</f>
        <v>CREATIVE FLIGHT</v>
      </c>
      <c r="C578" s="5" t="str">
        <f ca="1">IFERROR(__xludf.DUMMYFUNCTION("""COMPUTED_VALUE"""),"MPA Aerocat SR")</f>
        <v>MPA Aerocat SR</v>
      </c>
      <c r="D578" s="5" t="str">
        <f ca="1">IFERROR(__xludf.DUMMYFUNCTION("""COMPUTED_VALUE"""),"LandPlane")</f>
        <v>LandPlane</v>
      </c>
      <c r="E578" s="5" t="str">
        <f ca="1">IFERROR(__xludf.DUMMYFUNCTION("""COMPUTED_VALUE"""),"Piston")</f>
        <v>Piston</v>
      </c>
      <c r="F578" s="5">
        <f ca="1">IFERROR(__xludf.DUMMYFUNCTION("""COMPUTED_VALUE"""),1)</f>
        <v>1</v>
      </c>
    </row>
    <row r="579" spans="1:6" ht="15" customHeight="1" x14ac:dyDescent="0.2">
      <c r="A579" s="5" t="str">
        <f ca="1">IFERROR(__xludf.DUMMYFUNCTION("""COMPUTED_VALUE"""),"CAT2")</f>
        <v>CAT2</v>
      </c>
      <c r="B579" s="5" t="str">
        <f ca="1">IFERROR(__xludf.DUMMYFUNCTION("""COMPUTED_VALUE"""),"CREATIVE FLIGHT")</f>
        <v>CREATIVE FLIGHT</v>
      </c>
      <c r="C579" s="5" t="str">
        <f ca="1">IFERROR(__xludf.DUMMYFUNCTION("""COMPUTED_VALUE"""),"MPA Aerocat TR")</f>
        <v>MPA Aerocat TR</v>
      </c>
      <c r="D579" s="5" t="str">
        <f ca="1">IFERROR(__xludf.DUMMYFUNCTION("""COMPUTED_VALUE"""),"LandPlane")</f>
        <v>LandPlane</v>
      </c>
      <c r="E579" s="5" t="str">
        <f ca="1">IFERROR(__xludf.DUMMYFUNCTION("""COMPUTED_VALUE"""),"Piston")</f>
        <v>Piston</v>
      </c>
      <c r="F579" s="5">
        <f ca="1">IFERROR(__xludf.DUMMYFUNCTION("""COMPUTED_VALUE"""),2)</f>
        <v>2</v>
      </c>
    </row>
    <row r="580" spans="1:6" ht="15" customHeight="1" x14ac:dyDescent="0.2">
      <c r="A580" s="5" t="str">
        <f ca="1">IFERROR(__xludf.DUMMYFUNCTION("""COMPUTED_VALUE"""),"CAW")</f>
        <v>CAW</v>
      </c>
      <c r="B580" s="5" t="str">
        <f ca="1">IFERROR(__xludf.DUMMYFUNCTION("""COMPUTED_VALUE"""),"CESSNA")</f>
        <v>CESSNA</v>
      </c>
      <c r="C580" s="5" t="str">
        <f ca="1">IFERROR(__xludf.DUMMYFUNCTION("""COMPUTED_VALUE"""),"AW")</f>
        <v>AW</v>
      </c>
      <c r="D580" s="5" t="str">
        <f ca="1">IFERROR(__xludf.DUMMYFUNCTION("""COMPUTED_VALUE"""),"LandPlane")</f>
        <v>LandPlane</v>
      </c>
      <c r="E580" s="5" t="str">
        <f ca="1">IFERROR(__xludf.DUMMYFUNCTION("""COMPUTED_VALUE"""),"Piston")</f>
        <v>Piston</v>
      </c>
      <c r="F580" s="5">
        <f ca="1">IFERROR(__xludf.DUMMYFUNCTION("""COMPUTED_VALUE"""),1)</f>
        <v>1</v>
      </c>
    </row>
    <row r="581" spans="1:6" ht="15" customHeight="1" x14ac:dyDescent="0.2">
      <c r="A581" s="5" t="str">
        <f ca="1">IFERROR(__xludf.DUMMYFUNCTION("""COMPUTED_VALUE"""),"CB1")</f>
        <v>CB1</v>
      </c>
      <c r="B581" s="5" t="str">
        <f ca="1">IFERROR(__xludf.DUMMYFUNCTION("""COMPUTED_VALUE"""),"HATZ")</f>
        <v>HATZ</v>
      </c>
      <c r="C581" s="5" t="str">
        <f ca="1">IFERROR(__xludf.DUMMYFUNCTION("""COMPUTED_VALUE"""),"CB-1 Biplane")</f>
        <v>CB-1 Biplane</v>
      </c>
      <c r="D581" s="5" t="str">
        <f ca="1">IFERROR(__xludf.DUMMYFUNCTION("""COMPUTED_VALUE"""),"LandPlane")</f>
        <v>LandPlane</v>
      </c>
      <c r="E581" s="5" t="str">
        <f ca="1">IFERROR(__xludf.DUMMYFUNCTION("""COMPUTED_VALUE"""),"Piston")</f>
        <v>Piston</v>
      </c>
      <c r="F581" s="5">
        <f ca="1">IFERROR(__xludf.DUMMYFUNCTION("""COMPUTED_VALUE"""),1)</f>
        <v>1</v>
      </c>
    </row>
    <row r="582" spans="1:6" ht="15" customHeight="1" x14ac:dyDescent="0.2">
      <c r="A582" s="5" t="str">
        <f ca="1">IFERROR(__xludf.DUMMYFUNCTION("""COMPUTED_VALUE"""),"CC19")</f>
        <v>CC19</v>
      </c>
      <c r="B582" s="5" t="str">
        <f ca="1">IFERROR(__xludf.DUMMYFUNCTION("""COMPUTED_VALUE"""),"CUB CRAFTERS")</f>
        <v>CUB CRAFTERS</v>
      </c>
      <c r="C582" s="5" t="str">
        <f ca="1">IFERROR(__xludf.DUMMYFUNCTION("""COMPUTED_VALUE"""),"CC-19 XCub")</f>
        <v>CC-19 XCub</v>
      </c>
      <c r="D582" s="5" t="str">
        <f ca="1">IFERROR(__xludf.DUMMYFUNCTION("""COMPUTED_VALUE"""),"LandPlane")</f>
        <v>LandPlane</v>
      </c>
      <c r="E582" s="5" t="str">
        <f ca="1">IFERROR(__xludf.DUMMYFUNCTION("""COMPUTED_VALUE"""),"Piston")</f>
        <v>Piston</v>
      </c>
      <c r="F582" s="5">
        <f ca="1">IFERROR(__xludf.DUMMYFUNCTION("""COMPUTED_VALUE"""),1)</f>
        <v>1</v>
      </c>
    </row>
    <row r="583" spans="1:6" ht="15" customHeight="1" x14ac:dyDescent="0.2">
      <c r="A583" s="5" t="str">
        <f ca="1">IFERROR(__xludf.DUMMYFUNCTION("""COMPUTED_VALUE"""),"CD2")</f>
        <v>CD2</v>
      </c>
      <c r="B583" s="5" t="str">
        <f ca="1">IFERROR(__xludf.DUMMYFUNCTION("""COMPUTED_VALUE"""),"CLAUDIUS DORNIER")</f>
        <v>CLAUDIUS DORNIER</v>
      </c>
      <c r="C583" s="5" t="str">
        <f ca="1">IFERROR(__xludf.DUMMYFUNCTION("""COMPUTED_VALUE"""),"CD-2 Seastar")</f>
        <v>CD-2 Seastar</v>
      </c>
      <c r="D583" s="5" t="str">
        <f ca="1">IFERROR(__xludf.DUMMYFUNCTION("""COMPUTED_VALUE"""),"Amphibian")</f>
        <v>Amphibian</v>
      </c>
      <c r="E583" s="5" t="str">
        <f ca="1">IFERROR(__xludf.DUMMYFUNCTION("""COMPUTED_VALUE"""),"Turboprop/Turboshaft")</f>
        <v>Turboprop/Turboshaft</v>
      </c>
      <c r="F583" s="5">
        <f ca="1">IFERROR(__xludf.DUMMYFUNCTION("""COMPUTED_VALUE"""),2)</f>
        <v>2</v>
      </c>
    </row>
    <row r="584" spans="1:6" ht="15" customHeight="1" x14ac:dyDescent="0.2">
      <c r="A584" s="5" t="str">
        <f ca="1">IFERROR(__xludf.DUMMYFUNCTION("""COMPUTED_VALUE"""),"CDC6")</f>
        <v>CDC6</v>
      </c>
      <c r="B584" s="5" t="str">
        <f ca="1">IFERROR(__xludf.DUMMYFUNCTION("""COMPUTED_VALUE"""),"CESSNA")</f>
        <v>CESSNA</v>
      </c>
      <c r="C584" s="5" t="str">
        <f ca="1">IFERROR(__xludf.DUMMYFUNCTION("""COMPUTED_VALUE"""),"DC-6")</f>
        <v>DC-6</v>
      </c>
      <c r="D584" s="5" t="str">
        <f ca="1">IFERROR(__xludf.DUMMYFUNCTION("""COMPUTED_VALUE"""),"LandPlane")</f>
        <v>LandPlane</v>
      </c>
      <c r="E584" s="5" t="str">
        <f ca="1">IFERROR(__xludf.DUMMYFUNCTION("""COMPUTED_VALUE"""),"Piston")</f>
        <v>Piston</v>
      </c>
      <c r="F584" s="5">
        <f ca="1">IFERROR(__xludf.DUMMYFUNCTION("""COMPUTED_VALUE"""),1)</f>
        <v>1</v>
      </c>
    </row>
    <row r="585" spans="1:6" ht="15" customHeight="1" x14ac:dyDescent="0.2">
      <c r="A585" s="5" t="str">
        <f ca="1">IFERROR(__xludf.DUMMYFUNCTION("""COMPUTED_VALUE"""),"CDUS")</f>
        <v>CDUS</v>
      </c>
      <c r="B585" s="5" t="str">
        <f ca="1">IFERROR(__xludf.DUMMYFUNCTION("""COMPUTED_VALUE"""),"ROTORSPORT")</f>
        <v>ROTORSPORT</v>
      </c>
      <c r="C585" s="5" t="str">
        <f ca="1">IFERROR(__xludf.DUMMYFUNCTION("""COMPUTED_VALUE"""),"Calidus")</f>
        <v>Calidus</v>
      </c>
      <c r="D585" s="5" t="str">
        <f ca="1">IFERROR(__xludf.DUMMYFUNCTION("""COMPUTED_VALUE"""),"Gyrocopter")</f>
        <v>Gyrocopter</v>
      </c>
      <c r="E585" s="5" t="str">
        <f ca="1">IFERROR(__xludf.DUMMYFUNCTION("""COMPUTED_VALUE"""),"Piston")</f>
        <v>Piston</v>
      </c>
      <c r="F585" s="5">
        <f ca="1">IFERROR(__xludf.DUMMYFUNCTION("""COMPUTED_VALUE"""),1)</f>
        <v>1</v>
      </c>
    </row>
    <row r="586" spans="1:6" ht="15" customHeight="1" x14ac:dyDescent="0.2">
      <c r="A586" s="5" t="str">
        <f ca="1">IFERROR(__xludf.DUMMYFUNCTION("""COMPUTED_VALUE"""),"CDW1")</f>
        <v>CDW1</v>
      </c>
      <c r="B586" s="5" t="str">
        <f ca="1">IFERROR(__xludf.DUMMYFUNCTION("""COMPUTED_VALUE"""),"CHILTON")</f>
        <v>CHILTON</v>
      </c>
      <c r="C586" s="5" t="str">
        <f ca="1">IFERROR(__xludf.DUMMYFUNCTION("""COMPUTED_VALUE"""),"DW-1")</f>
        <v>DW-1</v>
      </c>
      <c r="D586" s="5" t="str">
        <f ca="1">IFERROR(__xludf.DUMMYFUNCTION("""COMPUTED_VALUE"""),"LandPlane")</f>
        <v>LandPlane</v>
      </c>
      <c r="E586" s="5" t="str">
        <f ca="1">IFERROR(__xludf.DUMMYFUNCTION("""COMPUTED_VALUE"""),"Piston")</f>
        <v>Piston</v>
      </c>
      <c r="F586" s="5">
        <f ca="1">IFERROR(__xludf.DUMMYFUNCTION("""COMPUTED_VALUE"""),1)</f>
        <v>1</v>
      </c>
    </row>
    <row r="587" spans="1:6" ht="15" customHeight="1" x14ac:dyDescent="0.2">
      <c r="A587" s="5" t="str">
        <f ca="1">IFERROR(__xludf.DUMMYFUNCTION("""COMPUTED_VALUE"""),"CE15")</f>
        <v>CE15</v>
      </c>
      <c r="B587" s="5" t="str">
        <f ca="1">IFERROR(__xludf.DUMMYFUNCTION("""COMPUTED_VALUE"""),"CHERNOV")</f>
        <v>CHERNOV</v>
      </c>
      <c r="C587" s="5" t="str">
        <f ca="1">IFERROR(__xludf.DUMMYFUNCTION("""COMPUTED_VALUE"""),"Che-15")</f>
        <v>Che-15</v>
      </c>
      <c r="D587" s="5" t="str">
        <f ca="1">IFERROR(__xludf.DUMMYFUNCTION("""COMPUTED_VALUE"""),"SeaPlane")</f>
        <v>SeaPlane</v>
      </c>
      <c r="E587" s="5" t="str">
        <f ca="1">IFERROR(__xludf.DUMMYFUNCTION("""COMPUTED_VALUE"""),"Piston")</f>
        <v>Piston</v>
      </c>
      <c r="F587" s="5">
        <f ca="1">IFERROR(__xludf.DUMMYFUNCTION("""COMPUTED_VALUE"""),1)</f>
        <v>1</v>
      </c>
    </row>
    <row r="588" spans="1:6" ht="15" customHeight="1" x14ac:dyDescent="0.2">
      <c r="A588" s="5" t="str">
        <f ca="1">IFERROR(__xludf.DUMMYFUNCTION("""COMPUTED_VALUE"""),"CE22")</f>
        <v>CE22</v>
      </c>
      <c r="B588" s="5" t="str">
        <f ca="1">IFERROR(__xludf.DUMMYFUNCTION("""COMPUTED_VALUE"""),"CHERNOV")</f>
        <v>CHERNOV</v>
      </c>
      <c r="C588" s="5" t="str">
        <f ca="1">IFERROR(__xludf.DUMMYFUNCTION("""COMPUTED_VALUE"""),"Che-22 Corvette")</f>
        <v>Che-22 Corvette</v>
      </c>
      <c r="D588" s="5" t="str">
        <f ca="1">IFERROR(__xludf.DUMMYFUNCTION("""COMPUTED_VALUE"""),"Amphibian")</f>
        <v>Amphibian</v>
      </c>
      <c r="E588" s="5" t="str">
        <f ca="1">IFERROR(__xludf.DUMMYFUNCTION("""COMPUTED_VALUE"""),"Piston")</f>
        <v>Piston</v>
      </c>
      <c r="F588" s="5">
        <f ca="1">IFERROR(__xludf.DUMMYFUNCTION("""COMPUTED_VALUE"""),2)</f>
        <v>2</v>
      </c>
    </row>
    <row r="589" spans="1:6" ht="15" customHeight="1" x14ac:dyDescent="0.2">
      <c r="A589" s="5" t="str">
        <f ca="1">IFERROR(__xludf.DUMMYFUNCTION("""COMPUTED_VALUE"""),"CE23")</f>
        <v>CE23</v>
      </c>
      <c r="B589" s="5" t="str">
        <f ca="1">IFERROR(__xludf.DUMMYFUNCTION("""COMPUTED_VALUE"""),"CHERNOV")</f>
        <v>CHERNOV</v>
      </c>
      <c r="C589" s="5" t="str">
        <f ca="1">IFERROR(__xludf.DUMMYFUNCTION("""COMPUTED_VALUE"""),"Che-23")</f>
        <v>Che-23</v>
      </c>
      <c r="D589" s="5" t="str">
        <f ca="1">IFERROR(__xludf.DUMMYFUNCTION("""COMPUTED_VALUE"""),"Amphibian")</f>
        <v>Amphibian</v>
      </c>
      <c r="E589" s="5" t="str">
        <f ca="1">IFERROR(__xludf.DUMMYFUNCTION("""COMPUTED_VALUE"""),"Piston")</f>
        <v>Piston</v>
      </c>
      <c r="F589" s="5">
        <f ca="1">IFERROR(__xludf.DUMMYFUNCTION("""COMPUTED_VALUE"""),1)</f>
        <v>1</v>
      </c>
    </row>
    <row r="590" spans="1:6" ht="15" customHeight="1" x14ac:dyDescent="0.2">
      <c r="A590" s="5" t="str">
        <f ca="1">IFERROR(__xludf.DUMMYFUNCTION("""COMPUTED_VALUE"""),"CE25")</f>
        <v>CE25</v>
      </c>
      <c r="B590" s="5" t="str">
        <f ca="1">IFERROR(__xludf.DUMMYFUNCTION("""COMPUTED_VALUE"""),"CHERNOV")</f>
        <v>CHERNOV</v>
      </c>
      <c r="C590" s="5" t="str">
        <f ca="1">IFERROR(__xludf.DUMMYFUNCTION("""COMPUTED_VALUE"""),"Che-25")</f>
        <v>Che-25</v>
      </c>
      <c r="D590" s="5" t="str">
        <f ca="1">IFERROR(__xludf.DUMMYFUNCTION("""COMPUTED_VALUE"""),"Amphibian")</f>
        <v>Amphibian</v>
      </c>
      <c r="E590" s="5" t="str">
        <f ca="1">IFERROR(__xludf.DUMMYFUNCTION("""COMPUTED_VALUE"""),"Piston")</f>
        <v>Piston</v>
      </c>
      <c r="F590" s="5">
        <f ca="1">IFERROR(__xludf.DUMMYFUNCTION("""COMPUTED_VALUE"""),2)</f>
        <v>2</v>
      </c>
    </row>
    <row r="591" spans="1:6" ht="15" customHeight="1" x14ac:dyDescent="0.2">
      <c r="A591" s="5" t="str">
        <f ca="1">IFERROR(__xludf.DUMMYFUNCTION("""COMPUTED_VALUE"""),"CE27")</f>
        <v>CE27</v>
      </c>
      <c r="B591" s="5" t="str">
        <f ca="1">IFERROR(__xludf.DUMMYFUNCTION("""COMPUTED_VALUE"""),"CHERNOV")</f>
        <v>CHERNOV</v>
      </c>
      <c r="C591" s="5" t="str">
        <f ca="1">IFERROR(__xludf.DUMMYFUNCTION("""COMPUTED_VALUE"""),"Che-27")</f>
        <v>Che-27</v>
      </c>
      <c r="D591" s="5" t="str">
        <f ca="1">IFERROR(__xludf.DUMMYFUNCTION("""COMPUTED_VALUE"""),"Amphibian")</f>
        <v>Amphibian</v>
      </c>
      <c r="E591" s="5" t="str">
        <f ca="1">IFERROR(__xludf.DUMMYFUNCTION("""COMPUTED_VALUE"""),"Piston")</f>
        <v>Piston</v>
      </c>
      <c r="F591" s="5">
        <f ca="1">IFERROR(__xludf.DUMMYFUNCTION("""COMPUTED_VALUE"""),2)</f>
        <v>2</v>
      </c>
    </row>
    <row r="592" spans="1:6" ht="15" customHeight="1" x14ac:dyDescent="0.2">
      <c r="A592" s="5" t="str">
        <f ca="1">IFERROR(__xludf.DUMMYFUNCTION("""COMPUTED_VALUE"""),"CE43")</f>
        <v>CE43</v>
      </c>
      <c r="B592" s="5" t="str">
        <f ca="1">IFERROR(__xludf.DUMMYFUNCTION("""COMPUTED_VALUE"""),"CERVA")</f>
        <v>CERVA</v>
      </c>
      <c r="C592" s="5" t="str">
        <f ca="1">IFERROR(__xludf.DUMMYFUNCTION("""COMPUTED_VALUE"""),"CE-43 Guepard")</f>
        <v>CE-43 Guepard</v>
      </c>
      <c r="D592" s="5" t="str">
        <f ca="1">IFERROR(__xludf.DUMMYFUNCTION("""COMPUTED_VALUE"""),"LandPlane")</f>
        <v>LandPlane</v>
      </c>
      <c r="E592" s="5" t="str">
        <f ca="1">IFERROR(__xludf.DUMMYFUNCTION("""COMPUTED_VALUE"""),"Piston")</f>
        <v>Piston</v>
      </c>
      <c r="F592" s="5">
        <f ca="1">IFERROR(__xludf.DUMMYFUNCTION("""COMPUTED_VALUE"""),1)</f>
        <v>1</v>
      </c>
    </row>
    <row r="593" spans="1:6" ht="15" customHeight="1" x14ac:dyDescent="0.2">
      <c r="A593" s="5" t="str">
        <f ca="1">IFERROR(__xludf.DUMMYFUNCTION("""COMPUTED_VALUE"""),"CEGL")</f>
        <v>CEGL</v>
      </c>
      <c r="B593" s="5" t="str">
        <f ca="1">IFERROR(__xludf.DUMMYFUNCTION("""COMPUTED_VALUE"""),"CELAIR")</f>
        <v>CELAIR</v>
      </c>
      <c r="C593" s="5" t="str">
        <f ca="1">IFERROR(__xludf.DUMMYFUNCTION("""COMPUTED_VALUE"""),"Eagle 300")</f>
        <v>Eagle 300</v>
      </c>
      <c r="D593" s="5" t="str">
        <f ca="1">IFERROR(__xludf.DUMMYFUNCTION("""COMPUTED_VALUE"""),"LandPlane")</f>
        <v>LandPlane</v>
      </c>
      <c r="E593" s="5" t="str">
        <f ca="1">IFERROR(__xludf.DUMMYFUNCTION("""COMPUTED_VALUE"""),"Piston")</f>
        <v>Piston</v>
      </c>
      <c r="F593" s="5">
        <f ca="1">IFERROR(__xludf.DUMMYFUNCTION("""COMPUTED_VALUE"""),1)</f>
        <v>1</v>
      </c>
    </row>
    <row r="594" spans="1:6" ht="15" customHeight="1" x14ac:dyDescent="0.2">
      <c r="A594" s="5" t="str">
        <f ca="1">IFERROR(__xludf.DUMMYFUNCTION("""COMPUTED_VALUE"""),"CELR")</f>
        <v>CELR</v>
      </c>
      <c r="B594" s="5" t="str">
        <f ca="1">IFERROR(__xludf.DUMMYFUNCTION("""COMPUTED_VALUE"""),"MIRAGE")</f>
        <v>MIRAGE</v>
      </c>
      <c r="C594" s="5" t="str">
        <f ca="1">IFERROR(__xludf.DUMMYFUNCTION("""COMPUTED_VALUE"""),"Celerity")</f>
        <v>Celerity</v>
      </c>
      <c r="D594" s="5" t="str">
        <f ca="1">IFERROR(__xludf.DUMMYFUNCTION("""COMPUTED_VALUE"""),"LandPlane")</f>
        <v>LandPlane</v>
      </c>
      <c r="E594" s="5" t="str">
        <f ca="1">IFERROR(__xludf.DUMMYFUNCTION("""COMPUTED_VALUE"""),"Piston")</f>
        <v>Piston</v>
      </c>
      <c r="F594" s="5">
        <f ca="1">IFERROR(__xludf.DUMMYFUNCTION("""COMPUTED_VALUE"""),1)</f>
        <v>1</v>
      </c>
    </row>
    <row r="595" spans="1:6" ht="15" customHeight="1" x14ac:dyDescent="0.2">
      <c r="A595" s="5" t="str">
        <f ca="1">IFERROR(__xludf.DUMMYFUNCTION("""COMPUTED_VALUE"""),"CENT")</f>
        <v>CENT</v>
      </c>
      <c r="B595" s="5" t="str">
        <f ca="1">IFERROR(__xludf.DUMMYFUNCTION("""COMPUTED_VALUE"""),"FOUND")</f>
        <v>FOUND</v>
      </c>
      <c r="C595" s="5" t="str">
        <f ca="1">IFERROR(__xludf.DUMMYFUNCTION("""COMPUTED_VALUE"""),"100 Centennial")</f>
        <v>100 Centennial</v>
      </c>
      <c r="D595" s="5" t="str">
        <f ca="1">IFERROR(__xludf.DUMMYFUNCTION("""COMPUTED_VALUE"""),"LandPlane")</f>
        <v>LandPlane</v>
      </c>
      <c r="E595" s="5" t="str">
        <f ca="1">IFERROR(__xludf.DUMMYFUNCTION("""COMPUTED_VALUE"""),"Piston")</f>
        <v>Piston</v>
      </c>
      <c r="F595" s="5">
        <f ca="1">IFERROR(__xludf.DUMMYFUNCTION("""COMPUTED_VALUE"""),1)</f>
        <v>1</v>
      </c>
    </row>
    <row r="596" spans="1:6" ht="15" customHeight="1" x14ac:dyDescent="0.2">
      <c r="A596" s="5" t="str">
        <f ca="1">IFERROR(__xludf.DUMMYFUNCTION("""COMPUTED_VALUE"""),"CFRE")</f>
        <v>CFRE</v>
      </c>
      <c r="B596" s="5" t="str">
        <f ca="1">IFERROR(__xludf.DUMMYFUNCTION("""COMPUTED_VALUE"""),"COLYAER")</f>
        <v>COLYAER</v>
      </c>
      <c r="C596" s="5" t="str">
        <f ca="1">IFERROR(__xludf.DUMMYFUNCTION("""COMPUTED_VALUE"""),"Freedom")</f>
        <v>Freedom</v>
      </c>
      <c r="D596" s="5" t="str">
        <f ca="1">IFERROR(__xludf.DUMMYFUNCTION("""COMPUTED_VALUE"""),"Amphibian")</f>
        <v>Amphibian</v>
      </c>
      <c r="E596" s="5" t="str">
        <f ca="1">IFERROR(__xludf.DUMMYFUNCTION("""COMPUTED_VALUE"""),"Piston")</f>
        <v>Piston</v>
      </c>
      <c r="F596" s="5">
        <f ca="1">IFERROR(__xludf.DUMMYFUNCTION("""COMPUTED_VALUE"""),1)</f>
        <v>1</v>
      </c>
    </row>
    <row r="597" spans="1:6" ht="15" customHeight="1" x14ac:dyDescent="0.2">
      <c r="A597" s="5" t="str">
        <f ca="1">IFERROR(__xludf.DUMMYFUNCTION("""COMPUTED_VALUE"""),"CG3")</f>
        <v>CG3</v>
      </c>
      <c r="B597" s="5" t="str">
        <f ca="1">IFERROR(__xludf.DUMMYFUNCTION("""COMPUTED_VALUE"""),"CAUDRON")</f>
        <v>CAUDRON</v>
      </c>
      <c r="C597" s="5" t="str">
        <f ca="1">IFERROR(__xludf.DUMMYFUNCTION("""COMPUTED_VALUE"""),"G-3 Replica")</f>
        <v>G-3 Replica</v>
      </c>
      <c r="D597" s="5" t="str">
        <f ca="1">IFERROR(__xludf.DUMMYFUNCTION("""COMPUTED_VALUE"""),"LandPlane")</f>
        <v>LandPlane</v>
      </c>
      <c r="E597" s="5" t="str">
        <f ca="1">IFERROR(__xludf.DUMMYFUNCTION("""COMPUTED_VALUE"""),"Piston")</f>
        <v>Piston</v>
      </c>
      <c r="F597" s="5">
        <f ca="1">IFERROR(__xludf.DUMMYFUNCTION("""COMPUTED_VALUE"""),1)</f>
        <v>1</v>
      </c>
    </row>
    <row r="598" spans="1:6" ht="15" customHeight="1" x14ac:dyDescent="0.2">
      <c r="A598" s="5" t="str">
        <f ca="1">IFERROR(__xludf.DUMMYFUNCTION("""COMPUTED_VALUE"""),"CGAN")</f>
        <v>CGAN</v>
      </c>
      <c r="B598" s="5" t="str">
        <f ca="1">IFERROR(__xludf.DUMMYFUNCTION("""COMPUTED_VALUE"""),"COLYAER")</f>
        <v>COLYAER</v>
      </c>
      <c r="C598" s="5" t="str">
        <f ca="1">IFERROR(__xludf.DUMMYFUNCTION("""COMPUTED_VALUE"""),"Gannet")</f>
        <v>Gannet</v>
      </c>
      <c r="D598" s="5" t="str">
        <f ca="1">IFERROR(__xludf.DUMMYFUNCTION("""COMPUTED_VALUE"""),"SeaPlane")</f>
        <v>SeaPlane</v>
      </c>
      <c r="E598" s="5" t="str">
        <f ca="1">IFERROR(__xludf.DUMMYFUNCTION("""COMPUTED_VALUE"""),"Piston")</f>
        <v>Piston</v>
      </c>
      <c r="F598" s="5">
        <f ca="1">IFERROR(__xludf.DUMMYFUNCTION("""COMPUTED_VALUE"""),1)</f>
        <v>1</v>
      </c>
    </row>
    <row r="599" spans="1:6" ht="15" customHeight="1" x14ac:dyDescent="0.2">
      <c r="A599" s="5" t="str">
        <f ca="1">IFERROR(__xludf.DUMMYFUNCTION("""COMPUTED_VALUE"""),"CH1")</f>
        <v>CH1</v>
      </c>
      <c r="B599" s="5" t="str">
        <f ca="1">IFERROR(__xludf.DUMMYFUNCTION("""COMPUTED_VALUE"""),"AIDC")</f>
        <v>AIDC</v>
      </c>
      <c r="C599" s="5" t="str">
        <f ca="1">IFERROR(__xludf.DUMMYFUNCTION("""COMPUTED_VALUE"""),"A-CH-1 Chung-Tsing")</f>
        <v>A-CH-1 Chung-Tsing</v>
      </c>
      <c r="D599" s="5" t="str">
        <f ca="1">IFERROR(__xludf.DUMMYFUNCTION("""COMPUTED_VALUE"""),"LandPlane")</f>
        <v>LandPlane</v>
      </c>
      <c r="E599" s="5" t="str">
        <f ca="1">IFERROR(__xludf.DUMMYFUNCTION("""COMPUTED_VALUE"""),"Turboprop/Turboshaft")</f>
        <v>Turboprop/Turboshaft</v>
      </c>
      <c r="F599" s="5">
        <f ca="1">IFERROR(__xludf.DUMMYFUNCTION("""COMPUTED_VALUE"""),1)</f>
        <v>1</v>
      </c>
    </row>
    <row r="600" spans="1:6" ht="15" customHeight="1" x14ac:dyDescent="0.2">
      <c r="A600" s="5" t="str">
        <f ca="1">IFERROR(__xludf.DUMMYFUNCTION("""COMPUTED_VALUE"""),"CH10")</f>
        <v>CH10</v>
      </c>
      <c r="B600" s="5" t="str">
        <f ca="1">IFERROR(__xludf.DUMMYFUNCTION("""COMPUTED_VALUE"""),"ZENAIR")</f>
        <v>ZENAIR</v>
      </c>
      <c r="C600" s="5" t="str">
        <f ca="1">IFERROR(__xludf.DUMMYFUNCTION("""COMPUTED_VALUE"""),"CH-100 Mono-Zénith")</f>
        <v>CH-100 Mono-Zénith</v>
      </c>
      <c r="D600" s="5" t="str">
        <f ca="1">IFERROR(__xludf.DUMMYFUNCTION("""COMPUTED_VALUE"""),"LandPlane")</f>
        <v>LandPlane</v>
      </c>
      <c r="E600" s="5" t="str">
        <f ca="1">IFERROR(__xludf.DUMMYFUNCTION("""COMPUTED_VALUE"""),"Piston")</f>
        <v>Piston</v>
      </c>
      <c r="F600" s="5">
        <f ca="1">IFERROR(__xludf.DUMMYFUNCTION("""COMPUTED_VALUE"""),1)</f>
        <v>1</v>
      </c>
    </row>
    <row r="601" spans="1:6" ht="15" customHeight="1" x14ac:dyDescent="0.2">
      <c r="A601" s="5" t="str">
        <f ca="1">IFERROR(__xludf.DUMMYFUNCTION("""COMPUTED_VALUE"""),"CH12")</f>
        <v>CH12</v>
      </c>
      <c r="B601" s="5" t="str">
        <f ca="1">IFERROR(__xludf.DUMMYFUNCTION("""COMPUTED_VALUE"""),"CICARE")</f>
        <v>CICARE</v>
      </c>
      <c r="C601" s="5" t="str">
        <f ca="1">IFERROR(__xludf.DUMMYFUNCTION("""COMPUTED_VALUE"""),"CH-12")</f>
        <v>CH-12</v>
      </c>
      <c r="D601" s="5" t="str">
        <f ca="1">IFERROR(__xludf.DUMMYFUNCTION("""COMPUTED_VALUE"""),"Helicopter")</f>
        <v>Helicopter</v>
      </c>
      <c r="E601" s="5" t="str">
        <f ca="1">IFERROR(__xludf.DUMMYFUNCTION("""COMPUTED_VALUE"""),"Piston")</f>
        <v>Piston</v>
      </c>
      <c r="F601" s="5">
        <f ca="1">IFERROR(__xludf.DUMMYFUNCTION("""COMPUTED_VALUE"""),1)</f>
        <v>1</v>
      </c>
    </row>
    <row r="602" spans="1:6" ht="15" customHeight="1" x14ac:dyDescent="0.2">
      <c r="A602" s="5" t="str">
        <f ca="1">IFERROR(__xludf.DUMMYFUNCTION("""COMPUTED_VALUE"""),"CH14")</f>
        <v>CH14</v>
      </c>
      <c r="B602" s="5" t="str">
        <f ca="1">IFERROR(__xludf.DUMMYFUNCTION("""COMPUTED_VALUE"""),"CICARE")</f>
        <v>CICARE</v>
      </c>
      <c r="C602" s="5" t="str">
        <f ca="1">IFERROR(__xludf.DUMMYFUNCTION("""COMPUTED_VALUE"""),"CH-14 Aguilucho")</f>
        <v>CH-14 Aguilucho</v>
      </c>
      <c r="D602" s="5" t="str">
        <f ca="1">IFERROR(__xludf.DUMMYFUNCTION("""COMPUTED_VALUE"""),"Helicopter")</f>
        <v>Helicopter</v>
      </c>
      <c r="E602" s="5" t="str">
        <f ca="1">IFERROR(__xludf.DUMMYFUNCTION("""COMPUTED_VALUE"""),"Turboprop/Turboshaft")</f>
        <v>Turboprop/Turboshaft</v>
      </c>
      <c r="F602" s="5">
        <f ca="1">IFERROR(__xludf.DUMMYFUNCTION("""COMPUTED_VALUE"""),1)</f>
        <v>1</v>
      </c>
    </row>
    <row r="603" spans="1:6" ht="15" customHeight="1" x14ac:dyDescent="0.2">
      <c r="A603" s="5" t="str">
        <f ca="1">IFERROR(__xludf.DUMMYFUNCTION("""COMPUTED_VALUE"""),"CH15")</f>
        <v>CH15</v>
      </c>
      <c r="B603" s="5" t="str">
        <f ca="1">IFERROR(__xludf.DUMMYFUNCTION("""COMPUTED_VALUE"""),"ZENAIR")</f>
        <v>ZENAIR</v>
      </c>
      <c r="C603" s="5" t="str">
        <f ca="1">IFERROR(__xludf.DUMMYFUNCTION("""COMPUTED_VALUE"""),"CH-150 Acro-Zénith")</f>
        <v>CH-150 Acro-Zénith</v>
      </c>
      <c r="D603" s="5" t="str">
        <f ca="1">IFERROR(__xludf.DUMMYFUNCTION("""COMPUTED_VALUE"""),"LandPlane")</f>
        <v>LandPlane</v>
      </c>
      <c r="E603" s="5" t="str">
        <f ca="1">IFERROR(__xludf.DUMMYFUNCTION("""COMPUTED_VALUE"""),"Piston")</f>
        <v>Piston</v>
      </c>
      <c r="F603" s="5">
        <f ca="1">IFERROR(__xludf.DUMMYFUNCTION("""COMPUTED_VALUE"""),1)</f>
        <v>1</v>
      </c>
    </row>
    <row r="604" spans="1:6" ht="15" customHeight="1" x14ac:dyDescent="0.2">
      <c r="A604" s="5" t="str">
        <f ca="1">IFERROR(__xludf.DUMMYFUNCTION("""COMPUTED_VALUE"""),"CH18")</f>
        <v>CH18</v>
      </c>
      <c r="B604" s="5" t="str">
        <f ca="1">IFERROR(__xludf.DUMMYFUNCTION("""COMPUTED_VALUE"""),"ZENAIR")</f>
        <v>ZENAIR</v>
      </c>
      <c r="C604" s="5" t="str">
        <f ca="1">IFERROR(__xludf.DUMMYFUNCTION("""COMPUTED_VALUE"""),"CH-180 Super Acro-Zénith")</f>
        <v>CH-180 Super Acro-Zénith</v>
      </c>
      <c r="D604" s="5" t="str">
        <f ca="1">IFERROR(__xludf.DUMMYFUNCTION("""COMPUTED_VALUE"""),"LandPlane")</f>
        <v>LandPlane</v>
      </c>
      <c r="E604" s="5" t="str">
        <f ca="1">IFERROR(__xludf.DUMMYFUNCTION("""COMPUTED_VALUE"""),"Piston")</f>
        <v>Piston</v>
      </c>
      <c r="F604" s="5">
        <f ca="1">IFERROR(__xludf.DUMMYFUNCTION("""COMPUTED_VALUE"""),1)</f>
        <v>1</v>
      </c>
    </row>
    <row r="605" spans="1:6" ht="15" customHeight="1" x14ac:dyDescent="0.2">
      <c r="A605" s="5" t="str">
        <f ca="1">IFERROR(__xludf.DUMMYFUNCTION("""COMPUTED_VALUE"""),"CH20")</f>
        <v>CH20</v>
      </c>
      <c r="B605" s="5" t="str">
        <f ca="1">IFERROR(__xludf.DUMMYFUNCTION("""COMPUTED_VALUE"""),"ZENAIR")</f>
        <v>ZENAIR</v>
      </c>
      <c r="C605" s="5" t="str">
        <f ca="1">IFERROR(__xludf.DUMMYFUNCTION("""COMPUTED_VALUE"""),"CH-200 Zénith")</f>
        <v>CH-200 Zénith</v>
      </c>
      <c r="D605" s="5" t="str">
        <f ca="1">IFERROR(__xludf.DUMMYFUNCTION("""COMPUTED_VALUE"""),"LandPlane")</f>
        <v>LandPlane</v>
      </c>
      <c r="E605" s="5" t="str">
        <f ca="1">IFERROR(__xludf.DUMMYFUNCTION("""COMPUTED_VALUE"""),"Piston")</f>
        <v>Piston</v>
      </c>
      <c r="F605" s="5">
        <f ca="1">IFERROR(__xludf.DUMMYFUNCTION("""COMPUTED_VALUE"""),1)</f>
        <v>1</v>
      </c>
    </row>
    <row r="606" spans="1:6" ht="15" customHeight="1" x14ac:dyDescent="0.2">
      <c r="A606" s="5" t="str">
        <f ca="1">IFERROR(__xludf.DUMMYFUNCTION("""COMPUTED_VALUE"""),"CH25")</f>
        <v>CH25</v>
      </c>
      <c r="B606" s="5" t="str">
        <f ca="1">IFERROR(__xludf.DUMMYFUNCTION("""COMPUTED_VALUE"""),"ZENAIR")</f>
        <v>ZENAIR</v>
      </c>
      <c r="C606" s="5" t="str">
        <f ca="1">IFERROR(__xludf.DUMMYFUNCTION("""COMPUTED_VALUE"""),"CH-250 Zénith")</f>
        <v>CH-250 Zénith</v>
      </c>
      <c r="D606" s="5" t="str">
        <f ca="1">IFERROR(__xludf.DUMMYFUNCTION("""COMPUTED_VALUE"""),"LandPlane")</f>
        <v>LandPlane</v>
      </c>
      <c r="E606" s="5" t="str">
        <f ca="1">IFERROR(__xludf.DUMMYFUNCTION("""COMPUTED_VALUE"""),"Piston")</f>
        <v>Piston</v>
      </c>
      <c r="F606" s="5">
        <f ca="1">IFERROR(__xludf.DUMMYFUNCTION("""COMPUTED_VALUE"""),1)</f>
        <v>1</v>
      </c>
    </row>
    <row r="607" spans="1:6" ht="15" customHeight="1" x14ac:dyDescent="0.2">
      <c r="A607" s="5" t="str">
        <f ca="1">IFERROR(__xludf.DUMMYFUNCTION("""COMPUTED_VALUE"""),"CH2T")</f>
        <v>CH2T</v>
      </c>
      <c r="B607" s="5" t="str">
        <f ca="1">IFERROR(__xludf.DUMMYFUNCTION("""COMPUTED_VALUE"""),"ZENAIR")</f>
        <v>ZENAIR</v>
      </c>
      <c r="C607" s="5" t="str">
        <f ca="1">IFERROR(__xludf.DUMMYFUNCTION("""COMPUTED_VALUE"""),"CH-2000 Zénith")</f>
        <v>CH-2000 Zénith</v>
      </c>
      <c r="D607" s="5" t="str">
        <f ca="1">IFERROR(__xludf.DUMMYFUNCTION("""COMPUTED_VALUE"""),"LandPlane")</f>
        <v>LandPlane</v>
      </c>
      <c r="E607" s="5" t="str">
        <f ca="1">IFERROR(__xludf.DUMMYFUNCTION("""COMPUTED_VALUE"""),"Piston")</f>
        <v>Piston</v>
      </c>
      <c r="F607" s="5">
        <f ca="1">IFERROR(__xludf.DUMMYFUNCTION("""COMPUTED_VALUE"""),1)</f>
        <v>1</v>
      </c>
    </row>
    <row r="608" spans="1:6" ht="15" customHeight="1" x14ac:dyDescent="0.2">
      <c r="A608" s="5" t="str">
        <f ca="1">IFERROR(__xludf.DUMMYFUNCTION("""COMPUTED_VALUE"""),"CH3")</f>
        <v>CH3</v>
      </c>
      <c r="B608" s="5" t="str">
        <f ca="1">IFERROR(__xludf.DUMMYFUNCTION("""COMPUTED_VALUE"""),"CHRISLEA")</f>
        <v>CHRISLEA</v>
      </c>
      <c r="C608" s="5" t="str">
        <f ca="1">IFERROR(__xludf.DUMMYFUNCTION("""COMPUTED_VALUE"""),"CH-3 Super Ace")</f>
        <v>CH-3 Super Ace</v>
      </c>
      <c r="D608" s="5" t="str">
        <f ca="1">IFERROR(__xludf.DUMMYFUNCTION("""COMPUTED_VALUE"""),"LandPlane")</f>
        <v>LandPlane</v>
      </c>
      <c r="E608" s="5" t="str">
        <f ca="1">IFERROR(__xludf.DUMMYFUNCTION("""COMPUTED_VALUE"""),"Piston")</f>
        <v>Piston</v>
      </c>
      <c r="F608" s="5">
        <f ca="1">IFERROR(__xludf.DUMMYFUNCTION("""COMPUTED_VALUE"""),1)</f>
        <v>1</v>
      </c>
    </row>
    <row r="609" spans="1:6" ht="15" customHeight="1" x14ac:dyDescent="0.2">
      <c r="A609" s="5" t="str">
        <f ca="1">IFERROR(__xludf.DUMMYFUNCTION("""COMPUTED_VALUE"""),"CH30")</f>
        <v>CH30</v>
      </c>
      <c r="B609" s="5" t="str">
        <f ca="1">IFERROR(__xludf.DUMMYFUNCTION("""COMPUTED_VALUE"""),"ZENAIR")</f>
        <v>ZENAIR</v>
      </c>
      <c r="C609" s="5" t="str">
        <f ca="1">IFERROR(__xludf.DUMMYFUNCTION("""COMPUTED_VALUE"""),"CH-300 Tri-Zénith")</f>
        <v>CH-300 Tri-Zénith</v>
      </c>
      <c r="D609" s="5" t="str">
        <f ca="1">IFERROR(__xludf.DUMMYFUNCTION("""COMPUTED_VALUE"""),"LandPlane")</f>
        <v>LandPlane</v>
      </c>
      <c r="E609" s="5" t="str">
        <f ca="1">IFERROR(__xludf.DUMMYFUNCTION("""COMPUTED_VALUE"""),"Piston")</f>
        <v>Piston</v>
      </c>
      <c r="F609" s="5">
        <f ca="1">IFERROR(__xludf.DUMMYFUNCTION("""COMPUTED_VALUE"""),1)</f>
        <v>1</v>
      </c>
    </row>
    <row r="610" spans="1:6" ht="15" customHeight="1" x14ac:dyDescent="0.2">
      <c r="A610" s="5" t="str">
        <f ca="1">IFERROR(__xludf.DUMMYFUNCTION("""COMPUTED_VALUE"""),"CH40")</f>
        <v>CH40</v>
      </c>
      <c r="B610" s="5" t="str">
        <f ca="1">IFERROR(__xludf.DUMMYFUNCTION("""COMPUTED_VALUE"""),"CHAMPION")</f>
        <v>CHAMPION</v>
      </c>
      <c r="C610" s="5" t="str">
        <f ca="1">IFERROR(__xludf.DUMMYFUNCTION("""COMPUTED_VALUE"""),"402 Lancer")</f>
        <v>402 Lancer</v>
      </c>
      <c r="D610" s="5" t="str">
        <f ca="1">IFERROR(__xludf.DUMMYFUNCTION("""COMPUTED_VALUE"""),"LandPlane")</f>
        <v>LandPlane</v>
      </c>
      <c r="E610" s="5" t="str">
        <f ca="1">IFERROR(__xludf.DUMMYFUNCTION("""COMPUTED_VALUE"""),"Piston")</f>
        <v>Piston</v>
      </c>
      <c r="F610" s="5">
        <f ca="1">IFERROR(__xludf.DUMMYFUNCTION("""COMPUTED_VALUE"""),2)</f>
        <v>2</v>
      </c>
    </row>
    <row r="611" spans="1:6" ht="15" customHeight="1" x14ac:dyDescent="0.2">
      <c r="A611" s="5" t="str">
        <f ca="1">IFERROR(__xludf.DUMMYFUNCTION("""COMPUTED_VALUE"""),"CH50")</f>
        <v>CH50</v>
      </c>
      <c r="B611" s="5" t="str">
        <f ca="1">IFERROR(__xludf.DUMMYFUNCTION("""COMPUTED_VALUE"""),"ZENAIR")</f>
        <v>ZENAIR</v>
      </c>
      <c r="C611" s="5" t="str">
        <f ca="1">IFERROR(__xludf.DUMMYFUNCTION("""COMPUTED_VALUE"""),"CH-50 Mini Zénith")</f>
        <v>CH-50 Mini Zénith</v>
      </c>
      <c r="D611" s="5" t="str">
        <f ca="1">IFERROR(__xludf.DUMMYFUNCTION("""COMPUTED_VALUE"""),"LandPlane")</f>
        <v>LandPlane</v>
      </c>
      <c r="E611" s="5" t="str">
        <f ca="1">IFERROR(__xludf.DUMMYFUNCTION("""COMPUTED_VALUE"""),"Piston")</f>
        <v>Piston</v>
      </c>
      <c r="F611" s="5">
        <f ca="1">IFERROR(__xludf.DUMMYFUNCTION("""COMPUTED_VALUE"""),1)</f>
        <v>1</v>
      </c>
    </row>
    <row r="612" spans="1:6" ht="15" customHeight="1" x14ac:dyDescent="0.2">
      <c r="A612" s="5" t="str">
        <f ca="1">IFERROR(__xludf.DUMMYFUNCTION("""COMPUTED_VALUE"""),"CH60")</f>
        <v>CH60</v>
      </c>
      <c r="B612" s="5" t="str">
        <f ca="1">IFERROR(__xludf.DUMMYFUNCTION("""COMPUTED_VALUE"""),"ZENAIR")</f>
        <v>ZENAIR</v>
      </c>
      <c r="C612" s="5" t="str">
        <f ca="1">IFERROR(__xludf.DUMMYFUNCTION("""COMPUTED_VALUE"""),"CH-600 Zodiac")</f>
        <v>CH-600 Zodiac</v>
      </c>
      <c r="D612" s="5" t="str">
        <f ca="1">IFERROR(__xludf.DUMMYFUNCTION("""COMPUTED_VALUE"""),"LandPlane")</f>
        <v>LandPlane</v>
      </c>
      <c r="E612" s="5" t="str">
        <f ca="1">IFERROR(__xludf.DUMMYFUNCTION("""COMPUTED_VALUE"""),"Piston")</f>
        <v>Piston</v>
      </c>
      <c r="F612" s="5">
        <f ca="1">IFERROR(__xludf.DUMMYFUNCTION("""COMPUTED_VALUE"""),1)</f>
        <v>1</v>
      </c>
    </row>
    <row r="613" spans="1:6" ht="15" customHeight="1" x14ac:dyDescent="0.2">
      <c r="A613" s="5" t="str">
        <f ca="1">IFERROR(__xludf.DUMMYFUNCTION("""COMPUTED_VALUE"""),"CH62")</f>
        <v>CH62</v>
      </c>
      <c r="B613" s="5" t="str">
        <f ca="1">IFERROR(__xludf.DUMMYFUNCTION("""COMPUTED_VALUE"""),"ZENAIR")</f>
        <v>ZENAIR</v>
      </c>
      <c r="C613" s="5" t="str">
        <f ca="1">IFERROR(__xludf.DUMMYFUNCTION("""COMPUTED_VALUE"""),"CH-620 Gemini")</f>
        <v>CH-620 Gemini</v>
      </c>
      <c r="D613" s="5" t="str">
        <f ca="1">IFERROR(__xludf.DUMMYFUNCTION("""COMPUTED_VALUE"""),"LandPlane")</f>
        <v>LandPlane</v>
      </c>
      <c r="E613" s="5" t="str">
        <f ca="1">IFERROR(__xludf.DUMMYFUNCTION("""COMPUTED_VALUE"""),"Piston")</f>
        <v>Piston</v>
      </c>
      <c r="F613" s="5">
        <f ca="1">IFERROR(__xludf.DUMMYFUNCTION("""COMPUTED_VALUE"""),2)</f>
        <v>2</v>
      </c>
    </row>
    <row r="614" spans="1:6" ht="15" customHeight="1" x14ac:dyDescent="0.2">
      <c r="A614" s="5" t="str">
        <f ca="1">IFERROR(__xludf.DUMMYFUNCTION("""COMPUTED_VALUE"""),"CH64")</f>
        <v>CH64</v>
      </c>
      <c r="B614" s="5" t="str">
        <f ca="1">IFERROR(__xludf.DUMMYFUNCTION("""COMPUTED_VALUE"""),"ZENAIR")</f>
        <v>ZENAIR</v>
      </c>
      <c r="C614" s="5" t="str">
        <f ca="1">IFERROR(__xludf.DUMMYFUNCTION("""COMPUTED_VALUE"""),"CH-640 Zodiac")</f>
        <v>CH-640 Zodiac</v>
      </c>
      <c r="D614" s="5" t="str">
        <f ca="1">IFERROR(__xludf.DUMMYFUNCTION("""COMPUTED_VALUE"""),"LandPlane")</f>
        <v>LandPlane</v>
      </c>
      <c r="E614" s="5" t="str">
        <f ca="1">IFERROR(__xludf.DUMMYFUNCTION("""COMPUTED_VALUE"""),"Piston")</f>
        <v>Piston</v>
      </c>
      <c r="F614" s="5">
        <f ca="1">IFERROR(__xludf.DUMMYFUNCTION("""COMPUTED_VALUE"""),1)</f>
        <v>1</v>
      </c>
    </row>
    <row r="615" spans="1:6" ht="15" customHeight="1" x14ac:dyDescent="0.2">
      <c r="A615" s="5" t="str">
        <f ca="1">IFERROR(__xludf.DUMMYFUNCTION("""COMPUTED_VALUE"""),"CH65")</f>
        <v>CH65</v>
      </c>
      <c r="B615" s="5" t="str">
        <f ca="1">IFERROR(__xludf.DUMMYFUNCTION("""COMPUTED_VALUE"""),"AMD")</f>
        <v>AMD</v>
      </c>
      <c r="C615" s="5" t="str">
        <f ca="1">IFERROR(__xludf.DUMMYFUNCTION("""COMPUTED_VALUE"""),"CH-650 Zodiac")</f>
        <v>CH-650 Zodiac</v>
      </c>
      <c r="D615" s="5" t="str">
        <f ca="1">IFERROR(__xludf.DUMMYFUNCTION("""COMPUTED_VALUE"""),"LandPlane")</f>
        <v>LandPlane</v>
      </c>
      <c r="E615" s="5" t="str">
        <f ca="1">IFERROR(__xludf.DUMMYFUNCTION("""COMPUTED_VALUE"""),"Piston")</f>
        <v>Piston</v>
      </c>
      <c r="F615" s="5">
        <f ca="1">IFERROR(__xludf.DUMMYFUNCTION("""COMPUTED_VALUE"""),1)</f>
        <v>1</v>
      </c>
    </row>
    <row r="616" spans="1:6" ht="15" customHeight="1" x14ac:dyDescent="0.2">
      <c r="A616" s="5" t="str">
        <f ca="1">IFERROR(__xludf.DUMMYFUNCTION("""COMPUTED_VALUE"""),"CH7")</f>
        <v>CH7</v>
      </c>
      <c r="B616" s="5" t="str">
        <f ca="1">IFERROR(__xludf.DUMMYFUNCTION("""COMPUTED_VALUE"""),"HELI-SPORT")</f>
        <v>HELI-SPORT</v>
      </c>
      <c r="C616" s="5" t="str">
        <f ca="1">IFERROR(__xludf.DUMMYFUNCTION("""COMPUTED_VALUE"""),"CH-7 Kompress")</f>
        <v>CH-7 Kompress</v>
      </c>
      <c r="D616" s="5" t="str">
        <f ca="1">IFERROR(__xludf.DUMMYFUNCTION("""COMPUTED_VALUE"""),"Helicopter")</f>
        <v>Helicopter</v>
      </c>
      <c r="E616" s="5" t="str">
        <f ca="1">IFERROR(__xludf.DUMMYFUNCTION("""COMPUTED_VALUE"""),"Piston")</f>
        <v>Piston</v>
      </c>
      <c r="F616" s="5">
        <f ca="1">IFERROR(__xludf.DUMMYFUNCTION("""COMPUTED_VALUE"""),1)</f>
        <v>1</v>
      </c>
    </row>
    <row r="617" spans="1:6" ht="15" customHeight="1" x14ac:dyDescent="0.2">
      <c r="A617" s="5" t="str">
        <f ca="1">IFERROR(__xludf.DUMMYFUNCTION("""COMPUTED_VALUE"""),"CH70")</f>
        <v>CH70</v>
      </c>
      <c r="B617" s="5" t="str">
        <f ca="1">IFERROR(__xludf.DUMMYFUNCTION("""COMPUTED_VALUE"""),"ZENAIR")</f>
        <v>ZENAIR</v>
      </c>
      <c r="C617" s="5" t="str">
        <f ca="1">IFERROR(__xludf.DUMMYFUNCTION("""COMPUTED_VALUE"""),"CH-701 Stol")</f>
        <v>CH-701 Stol</v>
      </c>
      <c r="D617" s="5" t="str">
        <f ca="1">IFERROR(__xludf.DUMMYFUNCTION("""COMPUTED_VALUE"""),"LandPlane")</f>
        <v>LandPlane</v>
      </c>
      <c r="E617" s="5" t="str">
        <f ca="1">IFERROR(__xludf.DUMMYFUNCTION("""COMPUTED_VALUE"""),"Piston")</f>
        <v>Piston</v>
      </c>
      <c r="F617" s="5">
        <f ca="1">IFERROR(__xludf.DUMMYFUNCTION("""COMPUTED_VALUE"""),1)</f>
        <v>1</v>
      </c>
    </row>
    <row r="618" spans="1:6" ht="15" customHeight="1" x14ac:dyDescent="0.2">
      <c r="A618" s="5" t="str">
        <f ca="1">IFERROR(__xludf.DUMMYFUNCTION("""COMPUTED_VALUE"""),"CH75")</f>
        <v>CH75</v>
      </c>
      <c r="B618" s="5" t="str">
        <f ca="1">IFERROR(__xludf.DUMMYFUNCTION("""COMPUTED_VALUE"""),"ZENAIR")</f>
        <v>ZENAIR</v>
      </c>
      <c r="C618" s="5" t="str">
        <f ca="1">IFERROR(__xludf.DUMMYFUNCTION("""COMPUTED_VALUE"""),"CH-750 Cruzer")</f>
        <v>CH-750 Cruzer</v>
      </c>
      <c r="D618" s="5" t="str">
        <f ca="1">IFERROR(__xludf.DUMMYFUNCTION("""COMPUTED_VALUE"""),"LandPlane")</f>
        <v>LandPlane</v>
      </c>
      <c r="E618" s="5" t="str">
        <f ca="1">IFERROR(__xludf.DUMMYFUNCTION("""COMPUTED_VALUE"""),"Piston")</f>
        <v>Piston</v>
      </c>
      <c r="F618" s="5">
        <f ca="1">IFERROR(__xludf.DUMMYFUNCTION("""COMPUTED_VALUE"""),1)</f>
        <v>1</v>
      </c>
    </row>
    <row r="619" spans="1:6" ht="15" customHeight="1" x14ac:dyDescent="0.2">
      <c r="A619" s="5" t="str">
        <f ca="1">IFERROR(__xludf.DUMMYFUNCTION("""COMPUTED_VALUE"""),"CH7A")</f>
        <v>CH7A</v>
      </c>
      <c r="B619" s="5" t="str">
        <f ca="1">IFERROR(__xludf.DUMMYFUNCTION("""COMPUTED_VALUE"""),"AERONCA")</f>
        <v>AERONCA</v>
      </c>
      <c r="C619" s="5" t="str">
        <f ca="1">IFERROR(__xludf.DUMMYFUNCTION("""COMPUTED_VALUE"""),"7AC Champion")</f>
        <v>7AC Champion</v>
      </c>
      <c r="D619" s="5" t="str">
        <f ca="1">IFERROR(__xludf.DUMMYFUNCTION("""COMPUTED_VALUE"""),"LandPlane")</f>
        <v>LandPlane</v>
      </c>
      <c r="E619" s="5" t="str">
        <f ca="1">IFERROR(__xludf.DUMMYFUNCTION("""COMPUTED_VALUE"""),"Piston")</f>
        <v>Piston</v>
      </c>
      <c r="F619" s="5">
        <f ca="1">IFERROR(__xludf.DUMMYFUNCTION("""COMPUTED_VALUE"""),1)</f>
        <v>1</v>
      </c>
    </row>
    <row r="620" spans="1:6" ht="15" customHeight="1" x14ac:dyDescent="0.2">
      <c r="A620" s="5" t="str">
        <f ca="1">IFERROR(__xludf.DUMMYFUNCTION("""COMPUTED_VALUE"""),"CH7B")</f>
        <v>CH7B</v>
      </c>
      <c r="B620" s="5" t="str">
        <f ca="1">IFERROR(__xludf.DUMMYFUNCTION("""COMPUTED_VALUE"""),"AMERICAN CHAMPION")</f>
        <v>AMERICAN CHAMPION</v>
      </c>
      <c r="C620" s="5" t="str">
        <f ca="1">IFERROR(__xludf.DUMMYFUNCTION("""COMPUTED_VALUE"""),"7GCBC Citabria High Country Explorer")</f>
        <v>7GCBC Citabria High Country Explorer</v>
      </c>
      <c r="D620" s="5" t="str">
        <f ca="1">IFERROR(__xludf.DUMMYFUNCTION("""COMPUTED_VALUE"""),"LandPlane")</f>
        <v>LandPlane</v>
      </c>
      <c r="E620" s="5" t="str">
        <f ca="1">IFERROR(__xludf.DUMMYFUNCTION("""COMPUTED_VALUE"""),"Piston")</f>
        <v>Piston</v>
      </c>
      <c r="F620" s="5">
        <f ca="1">IFERROR(__xludf.DUMMYFUNCTION("""COMPUTED_VALUE"""),1)</f>
        <v>1</v>
      </c>
    </row>
    <row r="621" spans="1:6" ht="15" customHeight="1" x14ac:dyDescent="0.2">
      <c r="A621" s="5" t="str">
        <f ca="1">IFERROR(__xludf.DUMMYFUNCTION("""COMPUTED_VALUE"""),"CH80")</f>
        <v>CH80</v>
      </c>
      <c r="B621" s="5" t="str">
        <f ca="1">IFERROR(__xludf.DUMMYFUNCTION("""COMPUTED_VALUE"""),"ZENAIR")</f>
        <v>ZENAIR</v>
      </c>
      <c r="C621" s="5" t="str">
        <f ca="1">IFERROR(__xludf.DUMMYFUNCTION("""COMPUTED_VALUE"""),"CH-801 Stol")</f>
        <v>CH-801 Stol</v>
      </c>
      <c r="D621" s="5" t="str">
        <f ca="1">IFERROR(__xludf.DUMMYFUNCTION("""COMPUTED_VALUE"""),"LandPlane")</f>
        <v>LandPlane</v>
      </c>
      <c r="E621" s="5" t="str">
        <f ca="1">IFERROR(__xludf.DUMMYFUNCTION("""COMPUTED_VALUE"""),"Piston")</f>
        <v>Piston</v>
      </c>
      <c r="F621" s="5">
        <f ca="1">IFERROR(__xludf.DUMMYFUNCTION("""COMPUTED_VALUE"""),1)</f>
        <v>1</v>
      </c>
    </row>
    <row r="622" spans="1:6" ht="15" customHeight="1" x14ac:dyDescent="0.2">
      <c r="A622" s="5" t="str">
        <f ca="1">IFERROR(__xludf.DUMMYFUNCTION("""COMPUTED_VALUE"""),"CHAN")</f>
        <v>CHAN</v>
      </c>
      <c r="B622" s="5" t="str">
        <f ca="1">IFERROR(__xludf.DUMMYFUNCTION("""COMPUTED_VALUE"""),"CADCOR")</f>
        <v>CADCOR</v>
      </c>
      <c r="C622" s="5" t="str">
        <f ca="1">IFERROR(__xludf.DUMMYFUNCTION("""COMPUTED_VALUE"""),"Chanute")</f>
        <v>Chanute</v>
      </c>
      <c r="D622" s="5" t="str">
        <f ca="1">IFERROR(__xludf.DUMMYFUNCTION("""COMPUTED_VALUE"""),"LandPlane")</f>
        <v>LandPlane</v>
      </c>
      <c r="E622" s="5" t="str">
        <f ca="1">IFERROR(__xludf.DUMMYFUNCTION("""COMPUTED_VALUE"""),"Piston")</f>
        <v>Piston</v>
      </c>
      <c r="F622" s="5">
        <f ca="1">IFERROR(__xludf.DUMMYFUNCTION("""COMPUTED_VALUE"""),1)</f>
        <v>1</v>
      </c>
    </row>
    <row r="623" spans="1:6" ht="15" customHeight="1" x14ac:dyDescent="0.2">
      <c r="A623" s="5" t="str">
        <f ca="1">IFERROR(__xludf.DUMMYFUNCTION("""COMPUTED_VALUE"""),"CHCS")</f>
        <v>CHCS</v>
      </c>
      <c r="B623" s="5" t="str">
        <f ca="1">IFERROR(__xludf.DUMMYFUNCTION("""COMPUTED_VALUE"""),"ALPAERO")</f>
        <v>ALPAERO</v>
      </c>
      <c r="C623" s="5" t="str">
        <f ca="1">IFERROR(__xludf.DUMMYFUNCTION("""COMPUTED_VALUE"""),"Choucas")</f>
        <v>Choucas</v>
      </c>
      <c r="D623" s="5" t="str">
        <f ca="1">IFERROR(__xludf.DUMMYFUNCTION("""COMPUTED_VALUE"""),"LandPlane")</f>
        <v>LandPlane</v>
      </c>
      <c r="E623" s="5" t="str">
        <f ca="1">IFERROR(__xludf.DUMMYFUNCTION("""COMPUTED_VALUE"""),"Piston")</f>
        <v>Piston</v>
      </c>
      <c r="F623" s="5">
        <f ca="1">IFERROR(__xludf.DUMMYFUNCTION("""COMPUTED_VALUE"""),1)</f>
        <v>1</v>
      </c>
    </row>
    <row r="624" spans="1:6" ht="15" customHeight="1" x14ac:dyDescent="0.2">
      <c r="A624" s="5" t="str">
        <f ca="1">IFERROR(__xludf.DUMMYFUNCTION("""COMPUTED_VALUE"""),"CHGO")</f>
        <v>CHGO</v>
      </c>
      <c r="B624" s="5" t="str">
        <f ca="1">IFERROR(__xludf.DUMMYFUNCTION("""COMPUTED_VALUE"""),"KOREAN AIR")</f>
        <v>KOREAN AIR</v>
      </c>
      <c r="C624" s="5" t="str">
        <f ca="1">IFERROR(__xludf.DUMMYFUNCTION("""COMPUTED_VALUE"""),"CHK-91 Chang-Gong 91")</f>
        <v>CHK-91 Chang-Gong 91</v>
      </c>
      <c r="D624" s="5" t="str">
        <f ca="1">IFERROR(__xludf.DUMMYFUNCTION("""COMPUTED_VALUE"""),"LandPlane")</f>
        <v>LandPlane</v>
      </c>
      <c r="E624" s="5" t="str">
        <f ca="1">IFERROR(__xludf.DUMMYFUNCTION("""COMPUTED_VALUE"""),"Piston")</f>
        <v>Piston</v>
      </c>
      <c r="F624" s="5">
        <f ca="1">IFERROR(__xludf.DUMMYFUNCTION("""COMPUTED_VALUE"""),1)</f>
        <v>1</v>
      </c>
    </row>
    <row r="625" spans="1:6" ht="15" customHeight="1" x14ac:dyDescent="0.2">
      <c r="A625" s="5" t="str">
        <f ca="1">IFERROR(__xludf.DUMMYFUNCTION("""COMPUTED_VALUE"""),"CHIC")</f>
        <v>CHIC</v>
      </c>
      <c r="B625" s="5" t="str">
        <f ca="1">IFERROR(__xludf.DUMMYFUNCTION("""COMPUTED_VALUE"""),"PODESVA")</f>
        <v>PODESVA</v>
      </c>
      <c r="C625" s="5" t="str">
        <f ca="1">IFERROR(__xludf.DUMMYFUNCTION("""COMPUTED_VALUE"""),"Chico")</f>
        <v>Chico</v>
      </c>
      <c r="D625" s="5" t="str">
        <f ca="1">IFERROR(__xludf.DUMMYFUNCTION("""COMPUTED_VALUE"""),"LandPlane")</f>
        <v>LandPlane</v>
      </c>
      <c r="E625" s="5" t="str">
        <f ca="1">IFERROR(__xludf.DUMMYFUNCTION("""COMPUTED_VALUE"""),"Piston")</f>
        <v>Piston</v>
      </c>
      <c r="F625" s="5">
        <f ca="1">IFERROR(__xludf.DUMMYFUNCTION("""COMPUTED_VALUE"""),1)</f>
        <v>1</v>
      </c>
    </row>
    <row r="626" spans="1:6" ht="15" customHeight="1" x14ac:dyDescent="0.2">
      <c r="A626" s="5" t="str">
        <f ca="1">IFERROR(__xludf.DUMMYFUNCTION("""COMPUTED_VALUE"""),"CHIF")</f>
        <v>CHIF</v>
      </c>
      <c r="B626" s="5" t="str">
        <f ca="1">IFERROR(__xludf.DUMMYFUNCTION("""COMPUTED_VALUE"""),"PAWNEE")</f>
        <v>PAWNEE</v>
      </c>
      <c r="C626" s="5" t="str">
        <f ca="1">IFERROR(__xludf.DUMMYFUNCTION("""COMPUTED_VALUE"""),"Chief")</f>
        <v>Chief</v>
      </c>
      <c r="D626" s="5" t="str">
        <f ca="1">IFERROR(__xludf.DUMMYFUNCTION("""COMPUTED_VALUE"""),"Helicopter")</f>
        <v>Helicopter</v>
      </c>
      <c r="E626" s="5" t="str">
        <f ca="1">IFERROR(__xludf.DUMMYFUNCTION("""COMPUTED_VALUE"""),"Piston")</f>
        <v>Piston</v>
      </c>
      <c r="F626" s="5">
        <f ca="1">IFERROR(__xludf.DUMMYFUNCTION("""COMPUTED_VALUE"""),1)</f>
        <v>1</v>
      </c>
    </row>
    <row r="627" spans="1:6" ht="15" customHeight="1" x14ac:dyDescent="0.2">
      <c r="A627" s="5" t="str">
        <f ca="1">IFERROR(__xludf.DUMMYFUNCTION("""COMPUTED_VALUE"""),"CHIN")</f>
        <v>CHIN</v>
      </c>
      <c r="B627" s="5" t="str">
        <f ca="1">IFERROR(__xludf.DUMMYFUNCTION("""COMPUTED_VALUE"""),"ASAP")</f>
        <v>ASAP</v>
      </c>
      <c r="C627" s="5" t="str">
        <f ca="1">IFERROR(__xludf.DUMMYFUNCTION("""COMPUTED_VALUE"""),"Chinook")</f>
        <v>Chinook</v>
      </c>
      <c r="D627" s="5" t="str">
        <f ca="1">IFERROR(__xludf.DUMMYFUNCTION("""COMPUTED_VALUE"""),"LandPlane")</f>
        <v>LandPlane</v>
      </c>
      <c r="E627" s="5" t="str">
        <f ca="1">IFERROR(__xludf.DUMMYFUNCTION("""COMPUTED_VALUE"""),"Piston")</f>
        <v>Piston</v>
      </c>
      <c r="F627" s="5">
        <f ca="1">IFERROR(__xludf.DUMMYFUNCTION("""COMPUTED_VALUE"""),1)</f>
        <v>1</v>
      </c>
    </row>
    <row r="628" spans="1:6" ht="15" customHeight="1" x14ac:dyDescent="0.2">
      <c r="A628" s="5" t="str">
        <f ca="1">IFERROR(__xludf.DUMMYFUNCTION("""COMPUTED_VALUE"""),"CHIP")</f>
        <v>CHIP</v>
      </c>
      <c r="B628" s="5" t="str">
        <f ca="1">IFERROR(__xludf.DUMMYFUNCTION("""COMPUTED_VALUE"""),"LEGER")</f>
        <v>LEGER</v>
      </c>
      <c r="C628" s="5" t="str">
        <f ca="1">IFERROR(__xludf.DUMMYFUNCTION("""COMPUTED_VALUE"""),"Super-Chipmunk")</f>
        <v>Super-Chipmunk</v>
      </c>
      <c r="D628" s="5" t="str">
        <f ca="1">IFERROR(__xludf.DUMMYFUNCTION("""COMPUTED_VALUE"""),"LandPlane")</f>
        <v>LandPlane</v>
      </c>
      <c r="E628" s="5" t="str">
        <f ca="1">IFERROR(__xludf.DUMMYFUNCTION("""COMPUTED_VALUE"""),"Piston")</f>
        <v>Piston</v>
      </c>
      <c r="F628" s="5">
        <f ca="1">IFERROR(__xludf.DUMMYFUNCTION("""COMPUTED_VALUE"""),1)</f>
        <v>1</v>
      </c>
    </row>
    <row r="629" spans="1:6" ht="15" customHeight="1" x14ac:dyDescent="0.2">
      <c r="A629" s="5" t="str">
        <f ca="1">IFERROR(__xludf.DUMMYFUNCTION("""COMPUTED_VALUE"""),"CHR1")</f>
        <v>CHR1</v>
      </c>
      <c r="B629" s="5" t="str">
        <f ca="1">IFERROR(__xludf.DUMMYFUNCTION("""COMPUTED_VALUE"""),"ELMWOOD")</f>
        <v>ELMWOOD</v>
      </c>
      <c r="C629" s="5" t="str">
        <f ca="1">IFERROR(__xludf.DUMMYFUNCTION("""COMPUTED_VALUE"""),"CA-05 Christavia Mk1")</f>
        <v>CA-05 Christavia Mk1</v>
      </c>
      <c r="D629" s="5" t="str">
        <f ca="1">IFERROR(__xludf.DUMMYFUNCTION("""COMPUTED_VALUE"""),"LandPlane")</f>
        <v>LandPlane</v>
      </c>
      <c r="E629" s="5" t="str">
        <f ca="1">IFERROR(__xludf.DUMMYFUNCTION("""COMPUTED_VALUE"""),"Piston")</f>
        <v>Piston</v>
      </c>
      <c r="F629" s="5">
        <f ca="1">IFERROR(__xludf.DUMMYFUNCTION("""COMPUTED_VALUE"""),1)</f>
        <v>1</v>
      </c>
    </row>
    <row r="630" spans="1:6" ht="15" customHeight="1" x14ac:dyDescent="0.2">
      <c r="A630" s="5" t="str">
        <f ca="1">IFERROR(__xludf.DUMMYFUNCTION("""COMPUTED_VALUE"""),"CHR4")</f>
        <v>CHR4</v>
      </c>
      <c r="B630" s="5" t="str">
        <f ca="1">IFERROR(__xludf.DUMMYFUNCTION("""COMPUTED_VALUE"""),"ELMWOOD")</f>
        <v>ELMWOOD</v>
      </c>
      <c r="C630" s="5" t="str">
        <f ca="1">IFERROR(__xludf.DUMMYFUNCTION("""COMPUTED_VALUE"""),"CH-8 Christavia Mk4")</f>
        <v>CH-8 Christavia Mk4</v>
      </c>
      <c r="D630" s="5" t="str">
        <f ca="1">IFERROR(__xludf.DUMMYFUNCTION("""COMPUTED_VALUE"""),"LandPlane")</f>
        <v>LandPlane</v>
      </c>
      <c r="E630" s="5" t="str">
        <f ca="1">IFERROR(__xludf.DUMMYFUNCTION("""COMPUTED_VALUE"""),"Piston")</f>
        <v>Piston</v>
      </c>
      <c r="F630" s="5">
        <f ca="1">IFERROR(__xludf.DUMMYFUNCTION("""COMPUTED_VALUE"""),1)</f>
        <v>1</v>
      </c>
    </row>
    <row r="631" spans="1:6" ht="15" customHeight="1" x14ac:dyDescent="0.2">
      <c r="A631" s="5" t="str">
        <f ca="1">IFERROR(__xludf.DUMMYFUNCTION("""COMPUTED_VALUE"""),"CHSY")</f>
        <v>CHSY</v>
      </c>
      <c r="B631" s="5" t="str">
        <f ca="1">IFERROR(__xludf.DUMMYFUNCTION("""COMPUTED_VALUE"""),"CHAYAIR")</f>
        <v>CHAYAIR</v>
      </c>
      <c r="C631" s="5" t="str">
        <f ca="1">IFERROR(__xludf.DUMMYFUNCTION("""COMPUTED_VALUE"""),"Sycamore")</f>
        <v>Sycamore</v>
      </c>
      <c r="D631" s="5" t="str">
        <f ca="1">IFERROR(__xludf.DUMMYFUNCTION("""COMPUTED_VALUE"""),"Gyrocopter")</f>
        <v>Gyrocopter</v>
      </c>
      <c r="E631" s="5" t="str">
        <f ca="1">IFERROR(__xludf.DUMMYFUNCTION("""COMPUTED_VALUE"""),"Piston")</f>
        <v>Piston</v>
      </c>
      <c r="F631" s="5">
        <f ca="1">IFERROR(__xludf.DUMMYFUNCTION("""COMPUTED_VALUE"""),1)</f>
        <v>1</v>
      </c>
    </row>
    <row r="632" spans="1:6" ht="15" customHeight="1" x14ac:dyDescent="0.2">
      <c r="A632" s="5" t="str">
        <f ca="1">IFERROR(__xludf.DUMMYFUNCTION("""COMPUTED_VALUE"""),"CICA")</f>
        <v>CICA</v>
      </c>
      <c r="B632" s="5" t="str">
        <f ca="1">IFERROR(__xludf.DUMMYFUNCTION("""COMPUTED_VALUE"""),"HYDROPLANE")</f>
        <v>HYDROPLANE</v>
      </c>
      <c r="C632" s="5" t="str">
        <f ca="1">IFERROR(__xludf.DUMMYFUNCTION("""COMPUTED_VALUE"""),"SkyWind")</f>
        <v>SkyWind</v>
      </c>
      <c r="D632" s="5" t="str">
        <f ca="1">IFERROR(__xludf.DUMMYFUNCTION("""COMPUTED_VALUE"""),"LandPlane")</f>
        <v>LandPlane</v>
      </c>
      <c r="E632" s="5" t="str">
        <f ca="1">IFERROR(__xludf.DUMMYFUNCTION("""COMPUTED_VALUE"""),"Piston")</f>
        <v>Piston</v>
      </c>
      <c r="F632" s="5">
        <f ca="1">IFERROR(__xludf.DUMMYFUNCTION("""COMPUTED_VALUE"""),2)</f>
        <v>2</v>
      </c>
    </row>
    <row r="633" spans="1:6" ht="15" customHeight="1" x14ac:dyDescent="0.2">
      <c r="A633" s="5" t="str">
        <f ca="1">IFERROR(__xludf.DUMMYFUNCTION("""COMPUTED_VALUE"""),"CJ1")</f>
        <v>CJ1</v>
      </c>
      <c r="B633" s="5" t="str">
        <f ca="1">IFERROR(__xludf.DUMMYFUNCTION("""COMPUTED_VALUE"""),"CORBY")</f>
        <v>CORBY</v>
      </c>
      <c r="C633" s="5" t="str">
        <f ca="1">IFERROR(__xludf.DUMMYFUNCTION("""COMPUTED_VALUE"""),"CJ-1 Starlet")</f>
        <v>CJ-1 Starlet</v>
      </c>
      <c r="D633" s="5" t="str">
        <f ca="1">IFERROR(__xludf.DUMMYFUNCTION("""COMPUTED_VALUE"""),"LandPlane")</f>
        <v>LandPlane</v>
      </c>
      <c r="E633" s="5" t="str">
        <f ca="1">IFERROR(__xludf.DUMMYFUNCTION("""COMPUTED_VALUE"""),"Piston")</f>
        <v>Piston</v>
      </c>
      <c r="F633" s="5">
        <f ca="1">IFERROR(__xludf.DUMMYFUNCTION("""COMPUTED_VALUE"""),1)</f>
        <v>1</v>
      </c>
    </row>
    <row r="634" spans="1:6" ht="15" customHeight="1" x14ac:dyDescent="0.2">
      <c r="A634" s="5" t="str">
        <f ca="1">IFERROR(__xludf.DUMMYFUNCTION("""COMPUTED_VALUE"""),"CJ6")</f>
        <v>CJ6</v>
      </c>
      <c r="B634" s="5" t="str">
        <f ca="1">IFERROR(__xludf.DUMMYFUNCTION("""COMPUTED_VALUE"""),"NANCHANG")</f>
        <v>NANCHANG</v>
      </c>
      <c r="C634" s="5" t="str">
        <f ca="1">IFERROR(__xludf.DUMMYFUNCTION("""COMPUTED_VALUE"""),"CJ-6")</f>
        <v>CJ-6</v>
      </c>
      <c r="D634" s="5" t="str">
        <f ca="1">IFERROR(__xludf.DUMMYFUNCTION("""COMPUTED_VALUE"""),"LandPlane")</f>
        <v>LandPlane</v>
      </c>
      <c r="E634" s="5" t="str">
        <f ca="1">IFERROR(__xludf.DUMMYFUNCTION("""COMPUTED_VALUE"""),"Piston")</f>
        <v>Piston</v>
      </c>
      <c r="F634" s="5">
        <f ca="1">IFERROR(__xludf.DUMMYFUNCTION("""COMPUTED_VALUE"""),1)</f>
        <v>1</v>
      </c>
    </row>
    <row r="635" spans="1:6" ht="15" customHeight="1" x14ac:dyDescent="0.2">
      <c r="A635" s="5" t="str">
        <f ca="1">IFERROR(__xludf.DUMMYFUNCTION("""COMPUTED_VALUE"""),"CKUO")</f>
        <v>CKUO</v>
      </c>
      <c r="B635" s="5" t="str">
        <f ca="1">IFERROR(__xludf.DUMMYFUNCTION("""COMPUTED_VALUE"""),"AIDC")</f>
        <v>AIDC</v>
      </c>
      <c r="C635" s="5" t="str">
        <f ca="1">IFERROR(__xludf.DUMMYFUNCTION("""COMPUTED_VALUE"""),"F-CK-1 Ching-Kuo")</f>
        <v>F-CK-1 Ching-Kuo</v>
      </c>
      <c r="D635" s="5" t="str">
        <f ca="1">IFERROR(__xludf.DUMMYFUNCTION("""COMPUTED_VALUE"""),"LandPlane")</f>
        <v>LandPlane</v>
      </c>
      <c r="E635" s="5" t="str">
        <f ca="1">IFERROR(__xludf.DUMMYFUNCTION("""COMPUTED_VALUE"""),"Jet")</f>
        <v>Jet</v>
      </c>
      <c r="F635" s="5">
        <f ca="1">IFERROR(__xludf.DUMMYFUNCTION("""COMPUTED_VALUE"""),2)</f>
        <v>2</v>
      </c>
    </row>
    <row r="636" spans="1:6" ht="15" customHeight="1" x14ac:dyDescent="0.2">
      <c r="A636" s="5" t="str">
        <f ca="1">IFERROR(__xludf.DUMMYFUNCTION("""COMPUTED_VALUE"""),"CL2P")</f>
        <v>CL2P</v>
      </c>
      <c r="B636" s="5" t="str">
        <f ca="1">IFERROR(__xludf.DUMMYFUNCTION("""COMPUTED_VALUE"""),"CANADAIR")</f>
        <v>CANADAIR</v>
      </c>
      <c r="C636" s="5" t="str">
        <f ca="1">IFERROR(__xludf.DUMMYFUNCTION("""COMPUTED_VALUE"""),"CL-215")</f>
        <v>CL-215</v>
      </c>
      <c r="D636" s="5" t="str">
        <f ca="1">IFERROR(__xludf.DUMMYFUNCTION("""COMPUTED_VALUE"""),"Amphibian")</f>
        <v>Amphibian</v>
      </c>
      <c r="E636" s="5" t="str">
        <f ca="1">IFERROR(__xludf.DUMMYFUNCTION("""COMPUTED_VALUE"""),"Piston")</f>
        <v>Piston</v>
      </c>
      <c r="F636" s="5">
        <f ca="1">IFERROR(__xludf.DUMMYFUNCTION("""COMPUTED_VALUE"""),2)</f>
        <v>2</v>
      </c>
    </row>
    <row r="637" spans="1:6" ht="15" customHeight="1" x14ac:dyDescent="0.2">
      <c r="A637" s="5" t="str">
        <f ca="1">IFERROR(__xludf.DUMMYFUNCTION("""COMPUTED_VALUE"""),"CL2T")</f>
        <v>CL2T</v>
      </c>
      <c r="B637" s="5" t="str">
        <f ca="1">IFERROR(__xludf.DUMMYFUNCTION("""COMPUTED_VALUE"""),"CANADAIR")</f>
        <v>CANADAIR</v>
      </c>
      <c r="C637" s="5" t="str">
        <f ca="1">IFERROR(__xludf.DUMMYFUNCTION("""COMPUTED_VALUE"""),"CL-215T")</f>
        <v>CL-215T</v>
      </c>
      <c r="D637" s="5" t="str">
        <f ca="1">IFERROR(__xludf.DUMMYFUNCTION("""COMPUTED_VALUE"""),"Amphibian")</f>
        <v>Amphibian</v>
      </c>
      <c r="E637" s="5" t="str">
        <f ca="1">IFERROR(__xludf.DUMMYFUNCTION("""COMPUTED_VALUE"""),"Turboprop/Turboshaft")</f>
        <v>Turboprop/Turboshaft</v>
      </c>
      <c r="F637" s="5">
        <f ca="1">IFERROR(__xludf.DUMMYFUNCTION("""COMPUTED_VALUE"""),2)</f>
        <v>2</v>
      </c>
    </row>
    <row r="638" spans="1:6" ht="15" customHeight="1" x14ac:dyDescent="0.2">
      <c r="A638" s="5" t="str">
        <f ca="1">IFERROR(__xludf.DUMMYFUNCTION("""COMPUTED_VALUE"""),"CL2T")</f>
        <v>CL2T</v>
      </c>
      <c r="B638" s="5" t="str">
        <f ca="1">IFERROR(__xludf.DUMMYFUNCTION("""COMPUTED_VALUE"""),"CANADAIR")</f>
        <v>CANADAIR</v>
      </c>
      <c r="C638" s="5" t="str">
        <f ca="1">IFERROR(__xludf.DUMMYFUNCTION("""COMPUTED_VALUE"""),"CL-415")</f>
        <v>CL-415</v>
      </c>
      <c r="D638" s="5" t="str">
        <f ca="1">IFERROR(__xludf.DUMMYFUNCTION("""COMPUTED_VALUE"""),"Amphibian")</f>
        <v>Amphibian</v>
      </c>
      <c r="E638" s="5" t="str">
        <f ca="1">IFERROR(__xludf.DUMMYFUNCTION("""COMPUTED_VALUE"""),"Turboprop/Turboshaft")</f>
        <v>Turboprop/Turboshaft</v>
      </c>
      <c r="F638" s="5">
        <f ca="1">IFERROR(__xludf.DUMMYFUNCTION("""COMPUTED_VALUE"""),2)</f>
        <v>2</v>
      </c>
    </row>
    <row r="639" spans="1:6" ht="15" customHeight="1" x14ac:dyDescent="0.2">
      <c r="A639" s="5" t="str">
        <f ca="1">IFERROR(__xludf.DUMMYFUNCTION("""COMPUTED_VALUE"""),"CL30")</f>
        <v>CL30</v>
      </c>
      <c r="B639" s="5" t="str">
        <f ca="1">IFERROR(__xludf.DUMMYFUNCTION("""COMPUTED_VALUE"""),"BOMBARDIER")</f>
        <v>BOMBARDIER</v>
      </c>
      <c r="C639" s="5" t="str">
        <f ca="1">IFERROR(__xludf.DUMMYFUNCTION("""COMPUTED_VALUE"""),"Challenger 300")</f>
        <v>Challenger 300</v>
      </c>
      <c r="D639" s="5" t="str">
        <f ca="1">IFERROR(__xludf.DUMMYFUNCTION("""COMPUTED_VALUE"""),"LandPlane")</f>
        <v>LandPlane</v>
      </c>
      <c r="E639" s="5" t="str">
        <f ca="1">IFERROR(__xludf.DUMMYFUNCTION("""COMPUTED_VALUE"""),"Jet")</f>
        <v>Jet</v>
      </c>
      <c r="F639" s="5">
        <f ca="1">IFERROR(__xludf.DUMMYFUNCTION("""COMPUTED_VALUE"""),2)</f>
        <v>2</v>
      </c>
    </row>
    <row r="640" spans="1:6" ht="15" customHeight="1" x14ac:dyDescent="0.2">
      <c r="A640" s="5" t="str">
        <f ca="1">IFERROR(__xludf.DUMMYFUNCTION("""COMPUTED_VALUE"""),"CL35")</f>
        <v>CL35</v>
      </c>
      <c r="B640" s="5" t="str">
        <f ca="1">IFERROR(__xludf.DUMMYFUNCTION("""COMPUTED_VALUE"""),"BOMBARDIER")</f>
        <v>BOMBARDIER</v>
      </c>
      <c r="C640" s="5" t="str">
        <f ca="1">IFERROR(__xludf.DUMMYFUNCTION("""COMPUTED_VALUE"""),"Challenger 350")</f>
        <v>Challenger 350</v>
      </c>
      <c r="D640" s="5" t="str">
        <f ca="1">IFERROR(__xludf.DUMMYFUNCTION("""COMPUTED_VALUE"""),"LandPlane")</f>
        <v>LandPlane</v>
      </c>
      <c r="E640" s="5" t="str">
        <f ca="1">IFERROR(__xludf.DUMMYFUNCTION("""COMPUTED_VALUE"""),"Jet")</f>
        <v>Jet</v>
      </c>
      <c r="F640" s="5">
        <f ca="1">IFERROR(__xludf.DUMMYFUNCTION("""COMPUTED_VALUE"""),2)</f>
        <v>2</v>
      </c>
    </row>
    <row r="641" spans="1:6" ht="15" customHeight="1" x14ac:dyDescent="0.2">
      <c r="A641" s="5" t="str">
        <f ca="1">IFERROR(__xludf.DUMMYFUNCTION("""COMPUTED_VALUE"""),"CL41")</f>
        <v>CL41</v>
      </c>
      <c r="B641" s="5" t="str">
        <f ca="1">IFERROR(__xludf.DUMMYFUNCTION("""COMPUTED_VALUE"""),"CANADAIR")</f>
        <v>CANADAIR</v>
      </c>
      <c r="C641" s="5" t="str">
        <f ca="1">IFERROR(__xludf.DUMMYFUNCTION("""COMPUTED_VALUE"""),"CL-41 Tutor")</f>
        <v>CL-41 Tutor</v>
      </c>
      <c r="D641" s="5" t="str">
        <f ca="1">IFERROR(__xludf.DUMMYFUNCTION("""COMPUTED_VALUE"""),"LandPlane")</f>
        <v>LandPlane</v>
      </c>
      <c r="E641" s="5" t="str">
        <f ca="1">IFERROR(__xludf.DUMMYFUNCTION("""COMPUTED_VALUE"""),"Jet")</f>
        <v>Jet</v>
      </c>
      <c r="F641" s="5">
        <f ca="1">IFERROR(__xludf.DUMMYFUNCTION("""COMPUTED_VALUE"""),1)</f>
        <v>1</v>
      </c>
    </row>
    <row r="642" spans="1:6" ht="15" customHeight="1" x14ac:dyDescent="0.2">
      <c r="A642" s="5" t="str">
        <f ca="1">IFERROR(__xludf.DUMMYFUNCTION("""COMPUTED_VALUE"""),"CL4G")</f>
        <v>CL4G</v>
      </c>
      <c r="B642" s="5" t="str">
        <f ca="1">IFERROR(__xludf.DUMMYFUNCTION("""COMPUTED_VALUE"""),"CANADAIR")</f>
        <v>CANADAIR</v>
      </c>
      <c r="C642" s="5" t="str">
        <f ca="1">IFERROR(__xludf.DUMMYFUNCTION("""COMPUTED_VALUE"""),"CL-44-O Guppy")</f>
        <v>CL-44-O Guppy</v>
      </c>
      <c r="D642" s="5" t="str">
        <f ca="1">IFERROR(__xludf.DUMMYFUNCTION("""COMPUTED_VALUE"""),"LandPlane")</f>
        <v>LandPlane</v>
      </c>
      <c r="E642" s="5" t="str">
        <f ca="1">IFERROR(__xludf.DUMMYFUNCTION("""COMPUTED_VALUE"""),"Turboprop/Turboshaft")</f>
        <v>Turboprop/Turboshaft</v>
      </c>
      <c r="F642" s="5">
        <f ca="1">IFERROR(__xludf.DUMMYFUNCTION("""COMPUTED_VALUE"""),4)</f>
        <v>4</v>
      </c>
    </row>
    <row r="643" spans="1:6" ht="15" customHeight="1" x14ac:dyDescent="0.2">
      <c r="A643" s="5" t="str">
        <f ca="1">IFERROR(__xludf.DUMMYFUNCTION("""COMPUTED_VALUE"""),"CL60")</f>
        <v>CL60</v>
      </c>
      <c r="B643" s="5" t="str">
        <f ca="1">IFERROR(__xludf.DUMMYFUNCTION("""COMPUTED_VALUE"""),"CANADAIR")</f>
        <v>CANADAIR</v>
      </c>
      <c r="C643" s="5" t="str">
        <f ca="1">IFERROR(__xludf.DUMMYFUNCTION("""COMPUTED_VALUE"""),"Challenger 600")</f>
        <v>Challenger 600</v>
      </c>
      <c r="D643" s="5" t="str">
        <f ca="1">IFERROR(__xludf.DUMMYFUNCTION("""COMPUTED_VALUE"""),"LandPlane")</f>
        <v>LandPlane</v>
      </c>
      <c r="E643" s="5" t="str">
        <f ca="1">IFERROR(__xludf.DUMMYFUNCTION("""COMPUTED_VALUE"""),"Jet")</f>
        <v>Jet</v>
      </c>
      <c r="F643" s="5">
        <f ca="1">IFERROR(__xludf.DUMMYFUNCTION("""COMPUTED_VALUE"""),2)</f>
        <v>2</v>
      </c>
    </row>
    <row r="644" spans="1:6" s="7" customFormat="1" ht="15" customHeight="1" x14ac:dyDescent="0.2">
      <c r="A644" s="6" t="str">
        <f ca="1">IFERROR(__xludf.DUMMYFUNCTION("""COMPUTED_VALUE"""),"CL8")</f>
        <v>CL8</v>
      </c>
      <c r="B644" s="6" t="str">
        <f ca="1">IFERROR(__xludf.DUMMYFUNCTION("""COMPUTED_VALUE"""),"CARRIOU")</f>
        <v>CARRIOU</v>
      </c>
      <c r="C644" s="6" t="str">
        <f ca="1">IFERROR(__xludf.DUMMYFUNCTION("""COMPUTED_VALUE"""),"CL-8 RSA Club")</f>
        <v>CL-8 RSA Club</v>
      </c>
      <c r="D644" s="6" t="str">
        <f ca="1">IFERROR(__xludf.DUMMYFUNCTION("""COMPUTED_VALUE"""),"LandPlane")</f>
        <v>LandPlane</v>
      </c>
      <c r="E644" s="6" t="str">
        <f ca="1">IFERROR(__xludf.DUMMYFUNCTION("""COMPUTED_VALUE"""),"Piston")</f>
        <v>Piston</v>
      </c>
      <c r="F644" s="6">
        <f ca="1">IFERROR(__xludf.DUMMYFUNCTION("""COMPUTED_VALUE"""),1)</f>
        <v>1</v>
      </c>
    </row>
    <row r="645" spans="1:6" ht="15" customHeight="1" x14ac:dyDescent="0.2">
      <c r="A645" s="5" t="str">
        <f ca="1">IFERROR(__xludf.DUMMYFUNCTION("""COMPUTED_VALUE"""),"CLA")</f>
        <v>CLA</v>
      </c>
      <c r="B645" s="5" t="str">
        <f ca="1">IFERROR(__xludf.DUMMYFUNCTION("""COMPUTED_VALUE"""),"CALLAIR")</f>
        <v>CALLAIR</v>
      </c>
      <c r="C645" s="5" t="str">
        <f ca="1">IFERROR(__xludf.DUMMYFUNCTION("""COMPUTED_VALUE"""),"A-2")</f>
        <v>A-2</v>
      </c>
      <c r="D645" s="5" t="str">
        <f ca="1">IFERROR(__xludf.DUMMYFUNCTION("""COMPUTED_VALUE"""),"LandPlane")</f>
        <v>LandPlane</v>
      </c>
      <c r="E645" s="5" t="str">
        <f ca="1">IFERROR(__xludf.DUMMYFUNCTION("""COMPUTED_VALUE"""),"Piston")</f>
        <v>Piston</v>
      </c>
      <c r="F645" s="5">
        <f ca="1">IFERROR(__xludf.DUMMYFUNCTION("""COMPUTED_VALUE"""),1)</f>
        <v>1</v>
      </c>
    </row>
    <row r="646" spans="1:6" ht="15" customHeight="1" x14ac:dyDescent="0.2">
      <c r="A646" s="5" t="str">
        <f ca="1">IFERROR(__xludf.DUMMYFUNCTION("""COMPUTED_VALUE"""),"CLB1")</f>
        <v>CLB1</v>
      </c>
      <c r="B646" s="5" t="str">
        <f ca="1">IFERROR(__xludf.DUMMYFUNCTION("""COMPUTED_VALUE"""),"AERO COMMANDER")</f>
        <v>AERO COMMANDER</v>
      </c>
      <c r="C646" s="5" t="str">
        <f ca="1">IFERROR(__xludf.DUMMYFUNCTION("""COMPUTED_VALUE"""),"B-1 Ag Commander")</f>
        <v>B-1 Ag Commander</v>
      </c>
      <c r="D646" s="5" t="str">
        <f ca="1">IFERROR(__xludf.DUMMYFUNCTION("""COMPUTED_VALUE"""),"LandPlane")</f>
        <v>LandPlane</v>
      </c>
      <c r="E646" s="5" t="str">
        <f ca="1">IFERROR(__xludf.DUMMYFUNCTION("""COMPUTED_VALUE"""),"Piston")</f>
        <v>Piston</v>
      </c>
      <c r="F646" s="5">
        <f ca="1">IFERROR(__xludf.DUMMYFUNCTION("""COMPUTED_VALUE"""),1)</f>
        <v>1</v>
      </c>
    </row>
    <row r="647" spans="1:6" ht="15" customHeight="1" x14ac:dyDescent="0.2">
      <c r="A647" s="5" t="str">
        <f ca="1">IFERROR(__xludf.DUMMYFUNCTION("""COMPUTED_VALUE"""),"CLBR")</f>
        <v>CLBR</v>
      </c>
      <c r="B647" s="5" t="str">
        <f ca="1">IFERROR(__xludf.DUMMYFUNCTION("""COMPUTED_VALUE"""),"FISHER AERO")</f>
        <v>FISHER AERO</v>
      </c>
      <c r="C647" s="5" t="str">
        <f ca="1">IFERROR(__xludf.DUMMYFUNCTION("""COMPUTED_VALUE"""),"Celebrity")</f>
        <v>Celebrity</v>
      </c>
      <c r="D647" s="5" t="str">
        <f ca="1">IFERROR(__xludf.DUMMYFUNCTION("""COMPUTED_VALUE"""),"LandPlane")</f>
        <v>LandPlane</v>
      </c>
      <c r="E647" s="5" t="str">
        <f ca="1">IFERROR(__xludf.DUMMYFUNCTION("""COMPUTED_VALUE"""),"Piston")</f>
        <v>Piston</v>
      </c>
      <c r="F647" s="5">
        <f ca="1">IFERROR(__xludf.DUMMYFUNCTION("""COMPUTED_VALUE"""),1)</f>
        <v>1</v>
      </c>
    </row>
    <row r="648" spans="1:6" ht="15" customHeight="1" x14ac:dyDescent="0.2">
      <c r="A648" s="5" t="str">
        <f ca="1">IFERROR(__xludf.DUMMYFUNCTION("""COMPUTED_VALUE"""),"CLD2")</f>
        <v>CLD2</v>
      </c>
      <c r="B648" s="5" t="str">
        <f ca="1">IFERROR(__xludf.DUMMYFUNCTION("""COMPUTED_VALUE"""),"ROTORTEC")</f>
        <v>ROTORTEC</v>
      </c>
      <c r="C648" s="5" t="str">
        <f ca="1">IFERROR(__xludf.DUMMYFUNCTION("""COMPUTED_VALUE"""),"Cloud Dancer 2")</f>
        <v>Cloud Dancer 2</v>
      </c>
      <c r="D648" s="5" t="str">
        <f ca="1">IFERROR(__xludf.DUMMYFUNCTION("""COMPUTED_VALUE"""),"Gyrocopter")</f>
        <v>Gyrocopter</v>
      </c>
      <c r="E648" s="5" t="str">
        <f ca="1">IFERROR(__xludf.DUMMYFUNCTION("""COMPUTED_VALUE"""),"Piston")</f>
        <v>Piston</v>
      </c>
      <c r="F648" s="5">
        <f ca="1">IFERROR(__xludf.DUMMYFUNCTION("""COMPUTED_VALUE"""),1)</f>
        <v>1</v>
      </c>
    </row>
    <row r="649" spans="1:6" ht="15" customHeight="1" x14ac:dyDescent="0.2">
      <c r="A649" s="5" t="str">
        <f ca="1">IFERROR(__xludf.DUMMYFUNCTION("""COMPUTED_VALUE"""),"CLDS")</f>
        <v>CLDS</v>
      </c>
      <c r="B649" s="5" t="str">
        <f ca="1">IFERROR(__xludf.DUMMYFUNCTION("""COMPUTED_VALUE"""),"REARWIN")</f>
        <v>REARWIN</v>
      </c>
      <c r="C649" s="5" t="str">
        <f ca="1">IFERROR(__xludf.DUMMYFUNCTION("""COMPUTED_VALUE"""),"Cloudster")</f>
        <v>Cloudster</v>
      </c>
      <c r="D649" s="5" t="str">
        <f ca="1">IFERROR(__xludf.DUMMYFUNCTION("""COMPUTED_VALUE"""),"LandPlane")</f>
        <v>LandPlane</v>
      </c>
      <c r="E649" s="5" t="str">
        <f ca="1">IFERROR(__xludf.DUMMYFUNCTION("""COMPUTED_VALUE"""),"Piston")</f>
        <v>Piston</v>
      </c>
      <c r="F649" s="5">
        <f ca="1">IFERROR(__xludf.DUMMYFUNCTION("""COMPUTED_VALUE"""),1)</f>
        <v>1</v>
      </c>
    </row>
    <row r="650" spans="1:6" ht="15" customHeight="1" x14ac:dyDescent="0.2">
      <c r="A650" s="5" t="str">
        <f ca="1">IFERROR(__xludf.DUMMYFUNCTION("""COMPUTED_VALUE"""),"CLON")</f>
        <v>CLON</v>
      </c>
      <c r="B650" s="5" t="str">
        <f ca="1">IFERROR(__xludf.DUMMYFUNCTION("""COMPUTED_VALUE"""),"ROTORSPORT")</f>
        <v>ROTORSPORT</v>
      </c>
      <c r="C650" s="5" t="str">
        <f ca="1">IFERROR(__xludf.DUMMYFUNCTION("""COMPUTED_VALUE"""),"Cavalon")</f>
        <v>Cavalon</v>
      </c>
      <c r="D650" s="5" t="str">
        <f ca="1">IFERROR(__xludf.DUMMYFUNCTION("""COMPUTED_VALUE"""),"Gyrocopter")</f>
        <v>Gyrocopter</v>
      </c>
      <c r="E650" s="5" t="str">
        <f ca="1">IFERROR(__xludf.DUMMYFUNCTION("""COMPUTED_VALUE"""),"Piston")</f>
        <v>Piston</v>
      </c>
      <c r="F650" s="5">
        <f ca="1">IFERROR(__xludf.DUMMYFUNCTION("""COMPUTED_VALUE"""),1)</f>
        <v>1</v>
      </c>
    </row>
    <row r="651" spans="1:6" ht="15" customHeight="1" x14ac:dyDescent="0.2">
      <c r="A651" s="5" t="str">
        <f ca="1">IFERROR(__xludf.DUMMYFUNCTION("""COMPUTED_VALUE"""),"CMA3")</f>
        <v>CMA3</v>
      </c>
      <c r="B651" s="5" t="str">
        <f ca="1">IFERROR(__xludf.DUMMYFUNCTION("""COMPUTED_VALUE"""),"COLYAER")</f>
        <v>COLYAER</v>
      </c>
      <c r="C651" s="5" t="str">
        <f ca="1">IFERROR(__xludf.DUMMYFUNCTION("""COMPUTED_VALUE"""),"Martin 3")</f>
        <v>Martin 3</v>
      </c>
      <c r="D651" s="5" t="str">
        <f ca="1">IFERROR(__xludf.DUMMYFUNCTION("""COMPUTED_VALUE"""),"LandPlane")</f>
        <v>LandPlane</v>
      </c>
      <c r="E651" s="5" t="str">
        <f ca="1">IFERROR(__xludf.DUMMYFUNCTION("""COMPUTED_VALUE"""),"Piston")</f>
        <v>Piston</v>
      </c>
      <c r="F651" s="5">
        <f ca="1">IFERROR(__xludf.DUMMYFUNCTION("""COMPUTED_VALUE"""),1)</f>
        <v>1</v>
      </c>
    </row>
    <row r="652" spans="1:6" ht="15" customHeight="1" x14ac:dyDescent="0.2">
      <c r="A652" s="5" t="str">
        <f ca="1">IFERROR(__xludf.DUMMYFUNCTION("""COMPUTED_VALUE"""),"CMAS")</f>
        <v>CMAS</v>
      </c>
      <c r="B652" s="5" t="str">
        <f ca="1">IFERROR(__xludf.DUMMYFUNCTION("""COMPUTED_VALUE"""),"CESSNA")</f>
        <v>CESSNA</v>
      </c>
      <c r="C652" s="5" t="str">
        <f ca="1">IFERROR(__xludf.DUMMYFUNCTION("""COMPUTED_VALUE"""),"C-165 Airmaster")</f>
        <v>C-165 Airmaster</v>
      </c>
      <c r="D652" s="5" t="str">
        <f ca="1">IFERROR(__xludf.DUMMYFUNCTION("""COMPUTED_VALUE"""),"LandPlane")</f>
        <v>LandPlane</v>
      </c>
      <c r="E652" s="5" t="str">
        <f ca="1">IFERROR(__xludf.DUMMYFUNCTION("""COMPUTED_VALUE"""),"Piston")</f>
        <v>Piston</v>
      </c>
      <c r="F652" s="5">
        <f ca="1">IFERROR(__xludf.DUMMYFUNCTION("""COMPUTED_VALUE"""),1)</f>
        <v>1</v>
      </c>
    </row>
    <row r="653" spans="1:6" ht="15" customHeight="1" x14ac:dyDescent="0.2">
      <c r="A653" s="5" t="str">
        <f ca="1">IFERROR(__xludf.DUMMYFUNCTION("""COMPUTED_VALUE"""),"CMD1")</f>
        <v>CMD1</v>
      </c>
      <c r="B653" s="5" t="str">
        <f ca="1">IFERROR(__xludf.DUMMYFUNCTION("""COMPUTED_VALUE"""),"AIR COMMAND")</f>
        <v>AIR COMMAND</v>
      </c>
      <c r="C653" s="5" t="str">
        <f ca="1">IFERROR(__xludf.DUMMYFUNCTION("""COMPUTED_VALUE"""),"Commander 147")</f>
        <v>Commander 147</v>
      </c>
      <c r="D653" s="5" t="str">
        <f ca="1">IFERROR(__xludf.DUMMYFUNCTION("""COMPUTED_VALUE"""),"Gyrocopter")</f>
        <v>Gyrocopter</v>
      </c>
      <c r="E653" s="5" t="str">
        <f ca="1">IFERROR(__xludf.DUMMYFUNCTION("""COMPUTED_VALUE"""),"Piston")</f>
        <v>Piston</v>
      </c>
      <c r="F653" s="5">
        <f ca="1">IFERROR(__xludf.DUMMYFUNCTION("""COMPUTED_VALUE"""),1)</f>
        <v>1</v>
      </c>
    </row>
    <row r="654" spans="1:6" ht="15" customHeight="1" x14ac:dyDescent="0.2">
      <c r="A654" s="5" t="str">
        <f ca="1">IFERROR(__xludf.DUMMYFUNCTION("""COMPUTED_VALUE"""),"CMDE")</f>
        <v>CMDE</v>
      </c>
      <c r="B654" s="5" t="str">
        <f ca="1">IFERROR(__xludf.DUMMYFUNCTION("""COMPUTED_VALUE"""),"AIR COMMAND")</f>
        <v>AIR COMMAND</v>
      </c>
      <c r="C654" s="5" t="str">
        <f ca="1">IFERROR(__xludf.DUMMYFUNCTION("""COMPUTED_VALUE"""),"Commander Elite Side-by-Side")</f>
        <v>Commander Elite Side-by-Side</v>
      </c>
      <c r="D654" s="5" t="str">
        <f ca="1">IFERROR(__xludf.DUMMYFUNCTION("""COMPUTED_VALUE"""),"Gyrocopter")</f>
        <v>Gyrocopter</v>
      </c>
      <c r="E654" s="5" t="str">
        <f ca="1">IFERROR(__xludf.DUMMYFUNCTION("""COMPUTED_VALUE"""),"Piston")</f>
        <v>Piston</v>
      </c>
      <c r="F654" s="5">
        <f ca="1">IFERROR(__xludf.DUMMYFUNCTION("""COMPUTED_VALUE"""),1)</f>
        <v>1</v>
      </c>
    </row>
    <row r="655" spans="1:6" ht="15" customHeight="1" x14ac:dyDescent="0.2">
      <c r="A655" s="5" t="str">
        <f ca="1">IFERROR(__xludf.DUMMYFUNCTION("""COMPUTED_VALUE"""),"CMDT")</f>
        <v>CMDT</v>
      </c>
      <c r="B655" s="5" t="str">
        <f ca="1">IFERROR(__xludf.DUMMYFUNCTION("""COMPUTED_VALUE"""),"AIR COMMAND")</f>
        <v>AIR COMMAND</v>
      </c>
      <c r="C655" s="5" t="str">
        <f ca="1">IFERROR(__xludf.DUMMYFUNCTION("""COMPUTED_VALUE"""),"Commander  Elite Tandem")</f>
        <v>Commander  Elite Tandem</v>
      </c>
      <c r="D655" s="5" t="str">
        <f ca="1">IFERROR(__xludf.DUMMYFUNCTION("""COMPUTED_VALUE"""),"Gyrocopter")</f>
        <v>Gyrocopter</v>
      </c>
      <c r="E655" s="5" t="str">
        <f ca="1">IFERROR(__xludf.DUMMYFUNCTION("""COMPUTED_VALUE"""),"Piston")</f>
        <v>Piston</v>
      </c>
      <c r="F655" s="5">
        <f ca="1">IFERROR(__xludf.DUMMYFUNCTION("""COMPUTED_VALUE"""),1)</f>
        <v>1</v>
      </c>
    </row>
    <row r="656" spans="1:6" ht="15" customHeight="1" x14ac:dyDescent="0.2">
      <c r="A656" s="5" t="str">
        <f ca="1">IFERROR(__xludf.DUMMYFUNCTION("""COMPUTED_VALUE"""),"CN12")</f>
        <v>CN12</v>
      </c>
      <c r="B656" s="5" t="str">
        <f ca="1">IFERROR(__xludf.DUMMYFUNCTION("""COMPUTED_VALUE"""),"CIRCA")</f>
        <v>CIRCA</v>
      </c>
      <c r="C656" s="5" t="str">
        <f ca="1">IFERROR(__xludf.DUMMYFUNCTION("""COMPUTED_VALUE"""),"Nieuport 12-7/8")</f>
        <v>Nieuport 12-7/8</v>
      </c>
      <c r="D656" s="5" t="str">
        <f ca="1">IFERROR(__xludf.DUMMYFUNCTION("""COMPUTED_VALUE"""),"LandPlane")</f>
        <v>LandPlane</v>
      </c>
      <c r="E656" s="5" t="str">
        <f ca="1">IFERROR(__xludf.DUMMYFUNCTION("""COMPUTED_VALUE"""),"Piston")</f>
        <v>Piston</v>
      </c>
      <c r="F656" s="5">
        <f ca="1">IFERROR(__xludf.DUMMYFUNCTION("""COMPUTED_VALUE"""),1)</f>
        <v>1</v>
      </c>
    </row>
    <row r="657" spans="1:6" ht="15" customHeight="1" x14ac:dyDescent="0.2">
      <c r="A657" s="5" t="str">
        <f ca="1">IFERROR(__xludf.DUMMYFUNCTION("""COMPUTED_VALUE"""),"CN35")</f>
        <v>CN35</v>
      </c>
      <c r="B657" s="5" t="str">
        <f ca="1">IFERROR(__xludf.DUMMYFUNCTION("""COMPUTED_VALUE"""),"CASA")</f>
        <v>CASA</v>
      </c>
      <c r="C657" s="5" t="str">
        <f ca="1">IFERROR(__xludf.DUMMYFUNCTION("""COMPUTED_VALUE"""),"CN-235 Persuader")</f>
        <v>CN-235 Persuader</v>
      </c>
      <c r="D657" s="5" t="str">
        <f ca="1">IFERROR(__xludf.DUMMYFUNCTION("""COMPUTED_VALUE"""),"LandPlane")</f>
        <v>LandPlane</v>
      </c>
      <c r="E657" s="5" t="str">
        <f ca="1">IFERROR(__xludf.DUMMYFUNCTION("""COMPUTED_VALUE"""),"Turboprop/Turboshaft")</f>
        <v>Turboprop/Turboshaft</v>
      </c>
      <c r="F657" s="5">
        <f ca="1">IFERROR(__xludf.DUMMYFUNCTION("""COMPUTED_VALUE"""),2)</f>
        <v>2</v>
      </c>
    </row>
    <row r="658" spans="1:6" ht="15" customHeight="1" x14ac:dyDescent="0.2">
      <c r="A658" s="5" t="str">
        <f ca="1">IFERROR(__xludf.DUMMYFUNCTION("""COMPUTED_VALUE"""),"CNBR")</f>
        <v>CNBR</v>
      </c>
      <c r="B658" s="5" t="str">
        <f ca="1">IFERROR(__xludf.DUMMYFUNCTION("""COMPUTED_VALUE"""),"ENGLISH ELECTRIC")</f>
        <v>ENGLISH ELECTRIC</v>
      </c>
      <c r="C658" s="5" t="str">
        <f ca="1">IFERROR(__xludf.DUMMYFUNCTION("""COMPUTED_VALUE"""),"Canberra")</f>
        <v>Canberra</v>
      </c>
      <c r="D658" s="5" t="str">
        <f ca="1">IFERROR(__xludf.DUMMYFUNCTION("""COMPUTED_VALUE"""),"LandPlane")</f>
        <v>LandPlane</v>
      </c>
      <c r="E658" s="5" t="str">
        <f ca="1">IFERROR(__xludf.DUMMYFUNCTION("""COMPUTED_VALUE"""),"Jet")</f>
        <v>Jet</v>
      </c>
      <c r="F658" s="5">
        <f ca="1">IFERROR(__xludf.DUMMYFUNCTION("""COMPUTED_VALUE"""),2)</f>
        <v>2</v>
      </c>
    </row>
    <row r="659" spans="1:6" ht="15" customHeight="1" x14ac:dyDescent="0.2">
      <c r="A659" s="5" t="str">
        <f ca="1">IFERROR(__xludf.DUMMYFUNCTION("""COMPUTED_VALUE"""),"CNDR")</f>
        <v>CNDR</v>
      </c>
      <c r="B659" s="5" t="str">
        <f ca="1">IFERROR(__xludf.DUMMYFUNCTION("""COMPUTED_VALUE"""),"GENERAL AVIA")</f>
        <v>GENERAL AVIA</v>
      </c>
      <c r="C659" s="5" t="str">
        <f ca="1">IFERROR(__xludf.DUMMYFUNCTION("""COMPUTED_VALUE"""),"F-20TP Condor")</f>
        <v>F-20TP Condor</v>
      </c>
      <c r="D659" s="5" t="str">
        <f ca="1">IFERROR(__xludf.DUMMYFUNCTION("""COMPUTED_VALUE"""),"LandPlane")</f>
        <v>LandPlane</v>
      </c>
      <c r="E659" s="5" t="str">
        <f ca="1">IFERROR(__xludf.DUMMYFUNCTION("""COMPUTED_VALUE"""),"Turboprop/Turboshaft")</f>
        <v>Turboprop/Turboshaft</v>
      </c>
      <c r="F659" s="5">
        <f ca="1">IFERROR(__xludf.DUMMYFUNCTION("""COMPUTED_VALUE"""),2)</f>
        <v>2</v>
      </c>
    </row>
    <row r="660" spans="1:6" ht="15" customHeight="1" x14ac:dyDescent="0.2">
      <c r="A660" s="5" t="str">
        <f ca="1">IFERROR(__xludf.DUMMYFUNCTION("""COMPUTED_VALUE"""),"CNGP")</f>
        <v>CNGP</v>
      </c>
      <c r="B660" s="5" t="str">
        <f ca="1">IFERROR(__xludf.DUMMYFUNCTION("""COMPUTED_VALUE"""),"CESSNA")</f>
        <v>CESSNA</v>
      </c>
      <c r="C660" s="5" t="str">
        <f ca="1">IFERROR(__xludf.DUMMYFUNCTION("""COMPUTED_VALUE"""),"NGP")</f>
        <v>NGP</v>
      </c>
      <c r="D660" s="5" t="str">
        <f ca="1">IFERROR(__xludf.DUMMYFUNCTION("""COMPUTED_VALUE"""),"LandPlane")</f>
        <v>LandPlane</v>
      </c>
      <c r="E660" s="5" t="str">
        <f ca="1">IFERROR(__xludf.DUMMYFUNCTION("""COMPUTED_VALUE"""),"Piston")</f>
        <v>Piston</v>
      </c>
      <c r="F660" s="5">
        <f ca="1">IFERROR(__xludf.DUMMYFUNCTION("""COMPUTED_VALUE"""),1)</f>
        <v>1</v>
      </c>
    </row>
    <row r="661" spans="1:6" ht="15" customHeight="1" x14ac:dyDescent="0.2">
      <c r="A661" s="5" t="str">
        <f ca="1">IFERROR(__xludf.DUMMYFUNCTION("""COMPUTED_VALUE"""),"CNUK")</f>
        <v>CNUK</v>
      </c>
      <c r="B661" s="5" t="str">
        <f ca="1">IFERROR(__xludf.DUMMYFUNCTION("""COMPUTED_VALUE"""),"FLEET")</f>
        <v>FLEET</v>
      </c>
      <c r="C661" s="5" t="str">
        <f ca="1">IFERROR(__xludf.DUMMYFUNCTION("""COMPUTED_VALUE"""),"80 Canuck")</f>
        <v>80 Canuck</v>
      </c>
      <c r="D661" s="5" t="str">
        <f ca="1">IFERROR(__xludf.DUMMYFUNCTION("""COMPUTED_VALUE"""),"LandPlane")</f>
        <v>LandPlane</v>
      </c>
      <c r="E661" s="5" t="str">
        <f ca="1">IFERROR(__xludf.DUMMYFUNCTION("""COMPUTED_VALUE"""),"Piston")</f>
        <v>Piston</v>
      </c>
      <c r="F661" s="5">
        <f ca="1">IFERROR(__xludf.DUMMYFUNCTION("""COMPUTED_VALUE"""),1)</f>
        <v>1</v>
      </c>
    </row>
    <row r="662" spans="1:6" ht="15" customHeight="1" x14ac:dyDescent="0.2">
      <c r="A662" s="5" t="str">
        <f ca="1">IFERROR(__xludf.DUMMYFUNCTION("""COMPUTED_VALUE"""),"CO50")</f>
        <v>CO50</v>
      </c>
      <c r="B662" s="5" t="str">
        <f ca="1">IFERROR(__xludf.DUMMYFUNCTION("""COMPUTED_VALUE"""),"COBALT")</f>
        <v>COBALT</v>
      </c>
      <c r="C662" s="5" t="str">
        <f ca="1">IFERROR(__xludf.DUMMYFUNCTION("""COMPUTED_VALUE"""),"Co-50 Valkyrie")</f>
        <v>Co-50 Valkyrie</v>
      </c>
      <c r="D662" s="5" t="str">
        <f ca="1">IFERROR(__xludf.DUMMYFUNCTION("""COMPUTED_VALUE"""),"LandPlane")</f>
        <v>LandPlane</v>
      </c>
      <c r="E662" s="5" t="str">
        <f ca="1">IFERROR(__xludf.DUMMYFUNCTION("""COMPUTED_VALUE"""),"Piston")</f>
        <v>Piston</v>
      </c>
      <c r="F662" s="5">
        <f ca="1">IFERROR(__xludf.DUMMYFUNCTION("""COMPUTED_VALUE"""),1)</f>
        <v>1</v>
      </c>
    </row>
    <row r="663" spans="1:6" ht="15" customHeight="1" x14ac:dyDescent="0.2">
      <c r="A663" s="5" t="str">
        <f ca="1">IFERROR(__xludf.DUMMYFUNCTION("""COMPUTED_VALUE"""),"COAR")</f>
        <v>COAR</v>
      </c>
      <c r="B663" s="5" t="str">
        <f ca="1">IFERROR(__xludf.DUMMYFUNCTION("""COMPUTED_VALUE"""),"COBRA")</f>
        <v>COBRA</v>
      </c>
      <c r="C663" s="5" t="str">
        <f ca="1">IFERROR(__xludf.DUMMYFUNCTION("""COMPUTED_VALUE"""),"Arrow")</f>
        <v>Arrow</v>
      </c>
      <c r="D663" s="5" t="str">
        <f ca="1">IFERROR(__xludf.DUMMYFUNCTION("""COMPUTED_VALUE"""),"LandPlane")</f>
        <v>LandPlane</v>
      </c>
      <c r="E663" s="5" t="str">
        <f ca="1">IFERROR(__xludf.DUMMYFUNCTION("""COMPUTED_VALUE"""),"Piston")</f>
        <v>Piston</v>
      </c>
      <c r="F663" s="5">
        <f ca="1">IFERROR(__xludf.DUMMYFUNCTION("""COMPUTED_VALUE"""),1)</f>
        <v>1</v>
      </c>
    </row>
    <row r="664" spans="1:6" ht="15" customHeight="1" x14ac:dyDescent="0.2">
      <c r="A664" s="5" t="str">
        <f ca="1">IFERROR(__xludf.DUMMYFUNCTION("""COMPUTED_VALUE"""),"COBR")</f>
        <v>COBR</v>
      </c>
      <c r="B664" s="5" t="str">
        <f ca="1">IFERROR(__xludf.DUMMYFUNCTION("""COMPUTED_VALUE"""),"DEBORDE-ROLLAND")</f>
        <v>DEBORDE-ROLLAND</v>
      </c>
      <c r="C664" s="5" t="str">
        <f ca="1">IFERROR(__xludf.DUMMYFUNCTION("""COMPUTED_VALUE"""),"Cobra")</f>
        <v>Cobra</v>
      </c>
      <c r="D664" s="5" t="str">
        <f ca="1">IFERROR(__xludf.DUMMYFUNCTION("""COMPUTED_VALUE"""),"LandPlane")</f>
        <v>LandPlane</v>
      </c>
      <c r="E664" s="5" t="str">
        <f ca="1">IFERROR(__xludf.DUMMYFUNCTION("""COMPUTED_VALUE"""),"Piston")</f>
        <v>Piston</v>
      </c>
      <c r="F664" s="5">
        <f ca="1">IFERROR(__xludf.DUMMYFUNCTION("""COMPUTED_VALUE"""),1)</f>
        <v>1</v>
      </c>
    </row>
    <row r="665" spans="1:6" ht="15" customHeight="1" x14ac:dyDescent="0.2">
      <c r="A665" s="5" t="str">
        <f ca="1">IFERROR(__xludf.DUMMYFUNCTION("""COMPUTED_VALUE"""),"COL3")</f>
        <v>COL3</v>
      </c>
      <c r="B665" s="5" t="str">
        <f ca="1">IFERROR(__xludf.DUMMYFUNCTION("""COMPUTED_VALUE"""),"CESSNA")</f>
        <v>CESSNA</v>
      </c>
      <c r="C665" s="5" t="str">
        <f ca="1">IFERROR(__xludf.DUMMYFUNCTION("""COMPUTED_VALUE"""),"350 Corvalis")</f>
        <v>350 Corvalis</v>
      </c>
      <c r="D665" s="5" t="str">
        <f ca="1">IFERROR(__xludf.DUMMYFUNCTION("""COMPUTED_VALUE"""),"LandPlane")</f>
        <v>LandPlane</v>
      </c>
      <c r="E665" s="5" t="str">
        <f ca="1">IFERROR(__xludf.DUMMYFUNCTION("""COMPUTED_VALUE"""),"Piston")</f>
        <v>Piston</v>
      </c>
      <c r="F665" s="5">
        <f ca="1">IFERROR(__xludf.DUMMYFUNCTION("""COMPUTED_VALUE"""),1)</f>
        <v>1</v>
      </c>
    </row>
    <row r="666" spans="1:6" ht="15" customHeight="1" x14ac:dyDescent="0.2">
      <c r="A666" s="5" t="str">
        <f ca="1">IFERROR(__xludf.DUMMYFUNCTION("""COMPUTED_VALUE"""),"COL4")</f>
        <v>COL4</v>
      </c>
      <c r="B666" s="5" t="str">
        <f ca="1">IFERROR(__xludf.DUMMYFUNCTION("""COMPUTED_VALUE"""),"CESSNA")</f>
        <v>CESSNA</v>
      </c>
      <c r="C666" s="5" t="str">
        <f ca="1">IFERROR(__xludf.DUMMYFUNCTION("""COMPUTED_VALUE"""),"400 Corvalis TT")</f>
        <v>400 Corvalis TT</v>
      </c>
      <c r="D666" s="5" t="str">
        <f ca="1">IFERROR(__xludf.DUMMYFUNCTION("""COMPUTED_VALUE"""),"LandPlane")</f>
        <v>LandPlane</v>
      </c>
      <c r="E666" s="5" t="str">
        <f ca="1">IFERROR(__xludf.DUMMYFUNCTION("""COMPUTED_VALUE"""),"Piston")</f>
        <v>Piston</v>
      </c>
      <c r="F666" s="5">
        <f ca="1">IFERROR(__xludf.DUMMYFUNCTION("""COMPUTED_VALUE"""),1)</f>
        <v>1</v>
      </c>
    </row>
    <row r="667" spans="1:6" ht="15" customHeight="1" x14ac:dyDescent="0.2">
      <c r="A667" s="5" t="str">
        <f ca="1">IFERROR(__xludf.DUMMYFUNCTION("""COMPUTED_VALUE"""),"COLT")</f>
        <v>COLT</v>
      </c>
      <c r="B667" s="5" t="str">
        <f ca="1">IFERROR(__xludf.DUMMYFUNCTION("""COMPUTED_VALUE"""),"TEXAS AIRCRAFT")</f>
        <v>TEXAS AIRCRAFT</v>
      </c>
      <c r="C667" s="5" t="str">
        <f ca="1">IFERROR(__xludf.DUMMYFUNCTION("""COMPUTED_VALUE"""),"TA-01")</f>
        <v>TA-01</v>
      </c>
      <c r="D667" s="5" t="str">
        <f ca="1">IFERROR(__xludf.DUMMYFUNCTION("""COMPUTED_VALUE"""),"LandPlane")</f>
        <v>LandPlane</v>
      </c>
      <c r="E667" s="5" t="str">
        <f ca="1">IFERROR(__xludf.DUMMYFUNCTION("""COMPUTED_VALUE"""),"Piston")</f>
        <v>Piston</v>
      </c>
      <c r="F667" s="5">
        <f ca="1">IFERROR(__xludf.DUMMYFUNCTION("""COMPUTED_VALUE"""),1)</f>
        <v>1</v>
      </c>
    </row>
    <row r="668" spans="1:6" ht="15" customHeight="1" x14ac:dyDescent="0.2">
      <c r="A668" s="5" t="str">
        <f ca="1">IFERROR(__xludf.DUMMYFUNCTION("""COMPUTED_VALUE"""),"COMU")</f>
        <v>COMU</v>
      </c>
      <c r="B668" s="5" t="str">
        <f ca="1">IFERROR(__xludf.DUMMYFUNCTION("""COMPUTED_VALUE"""),"HELICOM")</f>
        <v>HELICOM</v>
      </c>
      <c r="C668" s="5" t="str">
        <f ca="1">IFERROR(__xludf.DUMMYFUNCTION("""COMPUTED_VALUE"""),"H-1 Commuter")</f>
        <v>H-1 Commuter</v>
      </c>
      <c r="D668" s="5" t="str">
        <f ca="1">IFERROR(__xludf.DUMMYFUNCTION("""COMPUTED_VALUE"""),"Helicopter")</f>
        <v>Helicopter</v>
      </c>
      <c r="E668" s="5" t="str">
        <f ca="1">IFERROR(__xludf.DUMMYFUNCTION("""COMPUTED_VALUE"""),"Piston")</f>
        <v>Piston</v>
      </c>
      <c r="F668" s="5">
        <f ca="1">IFERROR(__xludf.DUMMYFUNCTION("""COMPUTED_VALUE"""),1)</f>
        <v>1</v>
      </c>
    </row>
    <row r="669" spans="1:6" ht="15" customHeight="1" x14ac:dyDescent="0.2">
      <c r="A669" s="5" t="str">
        <f ca="1">IFERROR(__xludf.DUMMYFUNCTION("""COMPUTED_VALUE"""),"CONI")</f>
        <v>CONI</v>
      </c>
      <c r="B669" s="5" t="str">
        <f ca="1">IFERROR(__xludf.DUMMYFUNCTION("""COMPUTED_VALUE"""),"LOCKHEED")</f>
        <v>LOCKHEED</v>
      </c>
      <c r="C669" s="5" t="str">
        <f ca="1">IFERROR(__xludf.DUMMYFUNCTION("""COMPUTED_VALUE"""),"C-121 Constellation")</f>
        <v>C-121 Constellation</v>
      </c>
      <c r="D669" s="5" t="str">
        <f ca="1">IFERROR(__xludf.DUMMYFUNCTION("""COMPUTED_VALUE"""),"LandPlane")</f>
        <v>LandPlane</v>
      </c>
      <c r="E669" s="5" t="str">
        <f ca="1">IFERROR(__xludf.DUMMYFUNCTION("""COMPUTED_VALUE"""),"Piston")</f>
        <v>Piston</v>
      </c>
      <c r="F669" s="5">
        <f ca="1">IFERROR(__xludf.DUMMYFUNCTION("""COMPUTED_VALUE"""),4)</f>
        <v>4</v>
      </c>
    </row>
    <row r="670" spans="1:6" ht="15" customHeight="1" x14ac:dyDescent="0.2">
      <c r="A670" s="5" t="str">
        <f ca="1">IFERROR(__xludf.DUMMYFUNCTION("""COMPUTED_VALUE"""),"COOT")</f>
        <v>COOT</v>
      </c>
      <c r="B670" s="5" t="str">
        <f ca="1">IFERROR(__xludf.DUMMYFUNCTION("""COMPUTED_VALUE"""),"TAYLOR (2)")</f>
        <v>TAYLOR (2)</v>
      </c>
      <c r="C670" s="5" t="str">
        <f ca="1">IFERROR(__xludf.DUMMYFUNCTION("""COMPUTED_VALUE"""),"Coot")</f>
        <v>Coot</v>
      </c>
      <c r="D670" s="5" t="str">
        <f ca="1">IFERROR(__xludf.DUMMYFUNCTION("""COMPUTED_VALUE"""),"Amphibian")</f>
        <v>Amphibian</v>
      </c>
      <c r="E670" s="5" t="str">
        <f ca="1">IFERROR(__xludf.DUMMYFUNCTION("""COMPUTED_VALUE"""),"Piston")</f>
        <v>Piston</v>
      </c>
      <c r="F670" s="5">
        <f ca="1">IFERROR(__xludf.DUMMYFUNCTION("""COMPUTED_VALUE"""),1)</f>
        <v>1</v>
      </c>
    </row>
    <row r="671" spans="1:6" ht="15" customHeight="1" x14ac:dyDescent="0.2">
      <c r="A671" s="5" t="str">
        <f ca="1">IFERROR(__xludf.DUMMYFUNCTION("""COMPUTED_VALUE"""),"CORO")</f>
        <v>CORO</v>
      </c>
      <c r="B671" s="5" t="str">
        <f ca="1">IFERROR(__xludf.DUMMYFUNCTION("""COMPUTED_VALUE"""),"CORVUS")</f>
        <v>CORVUS</v>
      </c>
      <c r="C671" s="5" t="str">
        <f ca="1">IFERROR(__xludf.DUMMYFUNCTION("""COMPUTED_VALUE"""),"CA-21 Phantom")</f>
        <v>CA-21 Phantom</v>
      </c>
      <c r="D671" s="5" t="str">
        <f ca="1">IFERROR(__xludf.DUMMYFUNCTION("""COMPUTED_VALUE"""),"LandPlane")</f>
        <v>LandPlane</v>
      </c>
      <c r="E671" s="5" t="str">
        <f ca="1">IFERROR(__xludf.DUMMYFUNCTION("""COMPUTED_VALUE"""),"Piston")</f>
        <v>Piston</v>
      </c>
      <c r="F671" s="5">
        <f ca="1">IFERROR(__xludf.DUMMYFUNCTION("""COMPUTED_VALUE"""),1)</f>
        <v>1</v>
      </c>
    </row>
    <row r="672" spans="1:6" ht="15" customHeight="1" x14ac:dyDescent="0.2">
      <c r="A672" s="5" t="str">
        <f ca="1">IFERROR(__xludf.DUMMYFUNCTION("""COMPUTED_VALUE"""),"CORR")</f>
        <v>CORR</v>
      </c>
      <c r="B672" s="5" t="str">
        <f ca="1">IFERROR(__xludf.DUMMYFUNCTION("""COMPUTED_VALUE"""),"SIVEL")</f>
        <v>SIVEL</v>
      </c>
      <c r="C672" s="5" t="str">
        <f ca="1">IFERROR(__xludf.DUMMYFUNCTION("""COMPUTED_VALUE"""),"SD-27 Corriedale")</f>
        <v>SD-27 Corriedale</v>
      </c>
      <c r="D672" s="5" t="str">
        <f ca="1">IFERROR(__xludf.DUMMYFUNCTION("""COMPUTED_VALUE"""),"LandPlane")</f>
        <v>LandPlane</v>
      </c>
      <c r="E672" s="5" t="str">
        <f ca="1">IFERROR(__xludf.DUMMYFUNCTION("""COMPUTED_VALUE"""),"Piston")</f>
        <v>Piston</v>
      </c>
      <c r="F672" s="5">
        <f ca="1">IFERROR(__xludf.DUMMYFUNCTION("""COMPUTED_VALUE"""),1)</f>
        <v>1</v>
      </c>
    </row>
    <row r="673" spans="1:6" ht="15" customHeight="1" x14ac:dyDescent="0.2">
      <c r="A673" s="5" t="str">
        <f ca="1">IFERROR(__xludf.DUMMYFUNCTION("""COMPUTED_VALUE"""),"CORS")</f>
        <v>CORS</v>
      </c>
      <c r="B673" s="5" t="str">
        <f ca="1">IFERROR(__xludf.DUMMYFUNCTION("""COMPUTED_VALUE"""),"CHANCE VOUGHT")</f>
        <v>CHANCE VOUGHT</v>
      </c>
      <c r="C673" s="5" t="str">
        <f ca="1">IFERROR(__xludf.DUMMYFUNCTION("""COMPUTED_VALUE"""),"F4U Corsair")</f>
        <v>F4U Corsair</v>
      </c>
      <c r="D673" s="5" t="str">
        <f ca="1">IFERROR(__xludf.DUMMYFUNCTION("""COMPUTED_VALUE"""),"LandPlane")</f>
        <v>LandPlane</v>
      </c>
      <c r="E673" s="5" t="str">
        <f ca="1">IFERROR(__xludf.DUMMYFUNCTION("""COMPUTED_VALUE"""),"Piston")</f>
        <v>Piston</v>
      </c>
      <c r="F673" s="5">
        <f ca="1">IFERROR(__xludf.DUMMYFUNCTION("""COMPUTED_VALUE"""),1)</f>
        <v>1</v>
      </c>
    </row>
    <row r="674" spans="1:6" ht="15" customHeight="1" x14ac:dyDescent="0.2">
      <c r="A674" s="5" t="str">
        <f ca="1">IFERROR(__xludf.DUMMYFUNCTION("""COMPUTED_VALUE"""),"CORV")</f>
        <v>CORV</v>
      </c>
      <c r="B674" s="5" t="str">
        <f ca="1">IFERROR(__xludf.DUMMYFUNCTION("""COMPUTED_VALUE"""),"WOLFSBERG")</f>
        <v>WOLFSBERG</v>
      </c>
      <c r="C674" s="5" t="str">
        <f ca="1">IFERROR(__xludf.DUMMYFUNCTION("""COMPUTED_VALUE"""),"Corvus")</f>
        <v>Corvus</v>
      </c>
      <c r="D674" s="5" t="str">
        <f ca="1">IFERROR(__xludf.DUMMYFUNCTION("""COMPUTED_VALUE"""),"LandPlane")</f>
        <v>LandPlane</v>
      </c>
      <c r="E674" s="5" t="str">
        <f ca="1">IFERROR(__xludf.DUMMYFUNCTION("""COMPUTED_VALUE"""),"Piston")</f>
        <v>Piston</v>
      </c>
      <c r="F674" s="5">
        <f ca="1">IFERROR(__xludf.DUMMYFUNCTION("""COMPUTED_VALUE"""),2)</f>
        <v>2</v>
      </c>
    </row>
    <row r="675" spans="1:6" ht="15" customHeight="1" x14ac:dyDescent="0.2">
      <c r="A675" s="5" t="str">
        <f ca="1">IFERROR(__xludf.DUMMYFUNCTION("""COMPUTED_VALUE"""),"COUG")</f>
        <v>COUG</v>
      </c>
      <c r="B675" s="5" t="str">
        <f ca="1">IFERROR(__xludf.DUMMYFUNCTION("""COMPUTED_VALUE"""),"NESMITH")</f>
        <v>NESMITH</v>
      </c>
      <c r="C675" s="5" t="str">
        <f ca="1">IFERROR(__xludf.DUMMYFUNCTION("""COMPUTED_VALUE"""),"Cougar")</f>
        <v>Cougar</v>
      </c>
      <c r="D675" s="5" t="str">
        <f ca="1">IFERROR(__xludf.DUMMYFUNCTION("""COMPUTED_VALUE"""),"LandPlane")</f>
        <v>LandPlane</v>
      </c>
      <c r="E675" s="5" t="str">
        <f ca="1">IFERROR(__xludf.DUMMYFUNCTION("""COMPUTED_VALUE"""),"Piston")</f>
        <v>Piston</v>
      </c>
      <c r="F675" s="5">
        <f ca="1">IFERROR(__xludf.DUMMYFUNCTION("""COMPUTED_VALUE"""),1)</f>
        <v>1</v>
      </c>
    </row>
    <row r="676" spans="1:6" ht="15" customHeight="1" x14ac:dyDescent="0.2">
      <c r="A676" s="5" t="str">
        <f ca="1">IFERROR(__xludf.DUMMYFUNCTION("""COMPUTED_VALUE"""),"COUR")</f>
        <v>COUR</v>
      </c>
      <c r="B676" s="5" t="str">
        <f ca="1">IFERROR(__xludf.DUMMYFUNCTION("""COMPUTED_VALUE"""),"HELIO")</f>
        <v>HELIO</v>
      </c>
      <c r="C676" s="5" t="str">
        <f ca="1">IFERROR(__xludf.DUMMYFUNCTION("""COMPUTED_VALUE"""),"U-10 Super Courier")</f>
        <v>U-10 Super Courier</v>
      </c>
      <c r="D676" s="5" t="str">
        <f ca="1">IFERROR(__xludf.DUMMYFUNCTION("""COMPUTED_VALUE"""),"LandPlane")</f>
        <v>LandPlane</v>
      </c>
      <c r="E676" s="5" t="str">
        <f ca="1">IFERROR(__xludf.DUMMYFUNCTION("""COMPUTED_VALUE"""),"Piston")</f>
        <v>Piston</v>
      </c>
      <c r="F676" s="5">
        <f ca="1">IFERROR(__xludf.DUMMYFUNCTION("""COMPUTED_VALUE"""),1)</f>
        <v>1</v>
      </c>
    </row>
    <row r="677" spans="1:6" ht="15" customHeight="1" x14ac:dyDescent="0.2">
      <c r="A677" s="5" t="str">
        <f ca="1">IFERROR(__xludf.DUMMYFUNCTION("""COMPUTED_VALUE"""),"COY2")</f>
        <v>COY2</v>
      </c>
      <c r="B677" s="5" t="str">
        <f ca="1">IFERROR(__xludf.DUMMYFUNCTION("""COMPUTED_VALUE"""),"RANS")</f>
        <v>RANS</v>
      </c>
      <c r="C677" s="5" t="str">
        <f ca="1">IFERROR(__xludf.DUMMYFUNCTION("""COMPUTED_VALUE"""),"S-6 Coyote 2")</f>
        <v>S-6 Coyote 2</v>
      </c>
      <c r="D677" s="5" t="str">
        <f ca="1">IFERROR(__xludf.DUMMYFUNCTION("""COMPUTED_VALUE"""),"LandPlane")</f>
        <v>LandPlane</v>
      </c>
      <c r="E677" s="5" t="str">
        <f ca="1">IFERROR(__xludf.DUMMYFUNCTION("""COMPUTED_VALUE"""),"Piston")</f>
        <v>Piston</v>
      </c>
      <c r="F677" s="5">
        <f ca="1">IFERROR(__xludf.DUMMYFUNCTION("""COMPUTED_VALUE"""),1)</f>
        <v>1</v>
      </c>
    </row>
    <row r="678" spans="1:6" ht="15" customHeight="1" x14ac:dyDescent="0.2">
      <c r="A678" s="5" t="str">
        <f ca="1">IFERROR(__xludf.DUMMYFUNCTION("""COMPUTED_VALUE"""),"COZJ")</f>
        <v>COZJ</v>
      </c>
      <c r="B678" s="5" t="str">
        <f ca="1">IFERROR(__xludf.DUMMYFUNCTION("""COMPUTED_VALUE"""),"CO-Z")</f>
        <v>CO-Z</v>
      </c>
      <c r="C678" s="5" t="str">
        <f ca="1">IFERROR(__xludf.DUMMYFUNCTION("""COMPUTED_VALUE"""),"CozyJet")</f>
        <v>CozyJet</v>
      </c>
      <c r="D678" s="5" t="str">
        <f ca="1">IFERROR(__xludf.DUMMYFUNCTION("""COMPUTED_VALUE"""),"LandPlane")</f>
        <v>LandPlane</v>
      </c>
      <c r="E678" s="5" t="str">
        <f ca="1">IFERROR(__xludf.DUMMYFUNCTION("""COMPUTED_VALUE"""),"Jet")</f>
        <v>Jet</v>
      </c>
      <c r="F678" s="5">
        <f ca="1">IFERROR(__xludf.DUMMYFUNCTION("""COMPUTED_VALUE"""),1)</f>
        <v>1</v>
      </c>
    </row>
    <row r="679" spans="1:6" ht="15" customHeight="1" x14ac:dyDescent="0.2">
      <c r="A679" s="5" t="str">
        <f ca="1">IFERROR(__xludf.DUMMYFUNCTION("""COMPUTED_VALUE"""),"COZY")</f>
        <v>COZY</v>
      </c>
      <c r="B679" s="5" t="str">
        <f ca="1">IFERROR(__xludf.DUMMYFUNCTION("""COMPUTED_VALUE"""),"AEROCAD")</f>
        <v>AEROCAD</v>
      </c>
      <c r="C679" s="5" t="str">
        <f ca="1">IFERROR(__xludf.DUMMYFUNCTION("""COMPUTED_VALUE"""),"AeroCanard")</f>
        <v>AeroCanard</v>
      </c>
      <c r="D679" s="5" t="str">
        <f ca="1">IFERROR(__xludf.DUMMYFUNCTION("""COMPUTED_VALUE"""),"LandPlane")</f>
        <v>LandPlane</v>
      </c>
      <c r="E679" s="5" t="str">
        <f ca="1">IFERROR(__xludf.DUMMYFUNCTION("""COMPUTED_VALUE"""),"Piston")</f>
        <v>Piston</v>
      </c>
      <c r="F679" s="5">
        <f ca="1">IFERROR(__xludf.DUMMYFUNCTION("""COMPUTED_VALUE"""),1)</f>
        <v>1</v>
      </c>
    </row>
    <row r="680" spans="1:6" ht="15" customHeight="1" x14ac:dyDescent="0.2">
      <c r="A680" s="5" t="str">
        <f ca="1">IFERROR(__xludf.DUMMYFUNCTION("""COMPUTED_VALUE"""),"CP10")</f>
        <v>CP10</v>
      </c>
      <c r="B680" s="5" t="str">
        <f ca="1">IFERROR(__xludf.DUMMYFUNCTION("""COMPUTED_VALUE"""),"MUDRY")</f>
        <v>MUDRY</v>
      </c>
      <c r="C680" s="5" t="str">
        <f ca="1">IFERROR(__xludf.DUMMYFUNCTION("""COMPUTED_VALUE"""),"CAP-10")</f>
        <v>CAP-10</v>
      </c>
      <c r="D680" s="5" t="str">
        <f ca="1">IFERROR(__xludf.DUMMYFUNCTION("""COMPUTED_VALUE"""),"LandPlane")</f>
        <v>LandPlane</v>
      </c>
      <c r="E680" s="5" t="str">
        <f ca="1">IFERROR(__xludf.DUMMYFUNCTION("""COMPUTED_VALUE"""),"Piston")</f>
        <v>Piston</v>
      </c>
      <c r="F680" s="5">
        <f ca="1">IFERROR(__xludf.DUMMYFUNCTION("""COMPUTED_VALUE"""),1)</f>
        <v>1</v>
      </c>
    </row>
    <row r="681" spans="1:6" ht="15" customHeight="1" x14ac:dyDescent="0.2">
      <c r="A681" s="5" t="str">
        <f ca="1">IFERROR(__xludf.DUMMYFUNCTION("""COMPUTED_VALUE"""),"CP13")</f>
        <v>CP13</v>
      </c>
      <c r="B681" s="5" t="str">
        <f ca="1">IFERROR(__xludf.DUMMYFUNCTION("""COMPUTED_VALUE"""),"PIEL")</f>
        <v>PIEL</v>
      </c>
      <c r="C681" s="5" t="str">
        <f ca="1">IFERROR(__xludf.DUMMYFUNCTION("""COMPUTED_VALUE"""),"Super Emeraude (CP-1310/1315/1330)")</f>
        <v>Super Emeraude (CP-1310/1315/1330)</v>
      </c>
      <c r="D681" s="5" t="str">
        <f ca="1">IFERROR(__xludf.DUMMYFUNCTION("""COMPUTED_VALUE"""),"LandPlane")</f>
        <v>LandPlane</v>
      </c>
      <c r="E681" s="5" t="str">
        <f ca="1">IFERROR(__xludf.DUMMYFUNCTION("""COMPUTED_VALUE"""),"Piston")</f>
        <v>Piston</v>
      </c>
      <c r="F681" s="5">
        <f ca="1">IFERROR(__xludf.DUMMYFUNCTION("""COMPUTED_VALUE"""),1)</f>
        <v>1</v>
      </c>
    </row>
    <row r="682" spans="1:6" ht="15" customHeight="1" x14ac:dyDescent="0.2">
      <c r="A682" s="5" t="str">
        <f ca="1">IFERROR(__xludf.DUMMYFUNCTION("""COMPUTED_VALUE"""),"CP20")</f>
        <v>CP20</v>
      </c>
      <c r="B682" s="5" t="str">
        <f ca="1">IFERROR(__xludf.DUMMYFUNCTION("""COMPUTED_VALUE"""),"MUDRY")</f>
        <v>MUDRY</v>
      </c>
      <c r="C682" s="5" t="str">
        <f ca="1">IFERROR(__xludf.DUMMYFUNCTION("""COMPUTED_VALUE"""),"CAP-20")</f>
        <v>CAP-20</v>
      </c>
      <c r="D682" s="5" t="str">
        <f ca="1">IFERROR(__xludf.DUMMYFUNCTION("""COMPUTED_VALUE"""),"LandPlane")</f>
        <v>LandPlane</v>
      </c>
      <c r="E682" s="5" t="str">
        <f ca="1">IFERROR(__xludf.DUMMYFUNCTION("""COMPUTED_VALUE"""),"Piston")</f>
        <v>Piston</v>
      </c>
      <c r="F682" s="5">
        <f ca="1">IFERROR(__xludf.DUMMYFUNCTION("""COMPUTED_VALUE"""),1)</f>
        <v>1</v>
      </c>
    </row>
    <row r="683" spans="1:6" ht="15" customHeight="1" x14ac:dyDescent="0.2">
      <c r="A683" s="5" t="str">
        <f ca="1">IFERROR(__xludf.DUMMYFUNCTION("""COMPUTED_VALUE"""),"CP21")</f>
        <v>CP21</v>
      </c>
      <c r="B683" s="5" t="str">
        <f ca="1">IFERROR(__xludf.DUMMYFUNCTION("""COMPUTED_VALUE"""),"MUDRY")</f>
        <v>MUDRY</v>
      </c>
      <c r="C683" s="5" t="str">
        <f ca="1">IFERROR(__xludf.DUMMYFUNCTION("""COMPUTED_VALUE"""),"CAP-21")</f>
        <v>CAP-21</v>
      </c>
      <c r="D683" s="5" t="str">
        <f ca="1">IFERROR(__xludf.DUMMYFUNCTION("""COMPUTED_VALUE"""),"LandPlane")</f>
        <v>LandPlane</v>
      </c>
      <c r="E683" s="5" t="str">
        <f ca="1">IFERROR(__xludf.DUMMYFUNCTION("""COMPUTED_VALUE"""),"Piston")</f>
        <v>Piston</v>
      </c>
      <c r="F683" s="5">
        <f ca="1">IFERROR(__xludf.DUMMYFUNCTION("""COMPUTED_VALUE"""),1)</f>
        <v>1</v>
      </c>
    </row>
    <row r="684" spans="1:6" ht="15" customHeight="1" x14ac:dyDescent="0.2">
      <c r="A684" s="5" t="str">
        <f ca="1">IFERROR(__xludf.DUMMYFUNCTION("""COMPUTED_VALUE"""),"CP22")</f>
        <v>CP22</v>
      </c>
      <c r="B684" s="5" t="str">
        <f ca="1">IFERROR(__xludf.DUMMYFUNCTION("""COMPUTED_VALUE"""),"GILES")</f>
        <v>GILES</v>
      </c>
      <c r="C684" s="5" t="str">
        <f ca="1">IFERROR(__xludf.DUMMYFUNCTION("""COMPUTED_VALUE"""),"G-222")</f>
        <v>G-222</v>
      </c>
      <c r="D684" s="5" t="str">
        <f ca="1">IFERROR(__xludf.DUMMYFUNCTION("""COMPUTED_VALUE"""),"LandPlane")</f>
        <v>LandPlane</v>
      </c>
      <c r="E684" s="5" t="str">
        <f ca="1">IFERROR(__xludf.DUMMYFUNCTION("""COMPUTED_VALUE"""),"Piston")</f>
        <v>Piston</v>
      </c>
      <c r="F684" s="5">
        <f ca="1">IFERROR(__xludf.DUMMYFUNCTION("""COMPUTED_VALUE"""),1)</f>
        <v>1</v>
      </c>
    </row>
    <row r="685" spans="1:6" ht="15" customHeight="1" x14ac:dyDescent="0.2">
      <c r="A685" s="5" t="str">
        <f ca="1">IFERROR(__xludf.DUMMYFUNCTION("""COMPUTED_VALUE"""),"CP23")</f>
        <v>CP23</v>
      </c>
      <c r="B685" s="5" t="str">
        <f ca="1">IFERROR(__xludf.DUMMYFUNCTION("""COMPUTED_VALUE"""),"MUDRY")</f>
        <v>MUDRY</v>
      </c>
      <c r="C685" s="5" t="str">
        <f ca="1">IFERROR(__xludf.DUMMYFUNCTION("""COMPUTED_VALUE"""),"CAP-230")</f>
        <v>CAP-230</v>
      </c>
      <c r="D685" s="5" t="str">
        <f ca="1">IFERROR(__xludf.DUMMYFUNCTION("""COMPUTED_VALUE"""),"LandPlane")</f>
        <v>LandPlane</v>
      </c>
      <c r="E685" s="5" t="str">
        <f ca="1">IFERROR(__xludf.DUMMYFUNCTION("""COMPUTED_VALUE"""),"Piston")</f>
        <v>Piston</v>
      </c>
      <c r="F685" s="5">
        <f ca="1">IFERROR(__xludf.DUMMYFUNCTION("""COMPUTED_VALUE"""),1)</f>
        <v>1</v>
      </c>
    </row>
    <row r="686" spans="1:6" ht="15" customHeight="1" x14ac:dyDescent="0.2">
      <c r="A686" s="5" t="str">
        <f ca="1">IFERROR(__xludf.DUMMYFUNCTION("""COMPUTED_VALUE"""),"CP30")</f>
        <v>CP30</v>
      </c>
      <c r="B686" s="5" t="str">
        <f ca="1">IFERROR(__xludf.DUMMYFUNCTION("""COMPUTED_VALUE"""),"PIEL")</f>
        <v>PIEL</v>
      </c>
      <c r="C686" s="5" t="str">
        <f ca="1">IFERROR(__xludf.DUMMYFUNCTION("""COMPUTED_VALUE"""),"CP-30 Emeraude")</f>
        <v>CP-30 Emeraude</v>
      </c>
      <c r="D686" s="5" t="str">
        <f ca="1">IFERROR(__xludf.DUMMYFUNCTION("""COMPUTED_VALUE"""),"LandPlane")</f>
        <v>LandPlane</v>
      </c>
      <c r="E686" s="5" t="str">
        <f ca="1">IFERROR(__xludf.DUMMYFUNCTION("""COMPUTED_VALUE"""),"Piston")</f>
        <v>Piston</v>
      </c>
      <c r="F686" s="5">
        <f ca="1">IFERROR(__xludf.DUMMYFUNCTION("""COMPUTED_VALUE"""),1)</f>
        <v>1</v>
      </c>
    </row>
    <row r="687" spans="1:6" ht="15" customHeight="1" x14ac:dyDescent="0.2">
      <c r="A687" s="5" t="str">
        <f ca="1">IFERROR(__xludf.DUMMYFUNCTION("""COMPUTED_VALUE"""),"CP32")</f>
        <v>CP32</v>
      </c>
      <c r="B687" s="5" t="str">
        <f ca="1">IFERROR(__xludf.DUMMYFUNCTION("""COMPUTED_VALUE"""),"PIEL")</f>
        <v>PIEL</v>
      </c>
      <c r="C687" s="5" t="str">
        <f ca="1">IFERROR(__xludf.DUMMYFUNCTION("""COMPUTED_VALUE"""),"Super Emeraude (CP-320/325/328)")</f>
        <v>Super Emeraude (CP-320/325/328)</v>
      </c>
      <c r="D687" s="5" t="str">
        <f ca="1">IFERROR(__xludf.DUMMYFUNCTION("""COMPUTED_VALUE"""),"LandPlane")</f>
        <v>LandPlane</v>
      </c>
      <c r="E687" s="5" t="str">
        <f ca="1">IFERROR(__xludf.DUMMYFUNCTION("""COMPUTED_VALUE"""),"Piston")</f>
        <v>Piston</v>
      </c>
      <c r="F687" s="5">
        <f ca="1">IFERROR(__xludf.DUMMYFUNCTION("""COMPUTED_VALUE"""),1)</f>
        <v>1</v>
      </c>
    </row>
    <row r="688" spans="1:6" ht="15" customHeight="1" x14ac:dyDescent="0.2">
      <c r="A688" s="5" t="str">
        <f ca="1">IFERROR(__xludf.DUMMYFUNCTION("""COMPUTED_VALUE"""),"CP60")</f>
        <v>CP60</v>
      </c>
      <c r="B688" s="5" t="str">
        <f ca="1">IFERROR(__xludf.DUMMYFUNCTION("""COMPUTED_VALUE"""),"PIEL")</f>
        <v>PIEL</v>
      </c>
      <c r="C688" s="5" t="str">
        <f ca="1">IFERROR(__xludf.DUMMYFUNCTION("""COMPUTED_VALUE"""),"CP-60 Diamant")</f>
        <v>CP-60 Diamant</v>
      </c>
      <c r="D688" s="5" t="str">
        <f ca="1">IFERROR(__xludf.DUMMYFUNCTION("""COMPUTED_VALUE"""),"LandPlane")</f>
        <v>LandPlane</v>
      </c>
      <c r="E688" s="5" t="str">
        <f ca="1">IFERROR(__xludf.DUMMYFUNCTION("""COMPUTED_VALUE"""),"Piston")</f>
        <v>Piston</v>
      </c>
      <c r="F688" s="5">
        <f ca="1">IFERROR(__xludf.DUMMYFUNCTION("""COMPUTED_VALUE"""),1)</f>
        <v>1</v>
      </c>
    </row>
    <row r="689" spans="1:6" ht="15" customHeight="1" x14ac:dyDescent="0.2">
      <c r="A689" s="5" t="str">
        <f ca="1">IFERROR(__xludf.DUMMYFUNCTION("""COMPUTED_VALUE"""),"CP65")</f>
        <v>CP65</v>
      </c>
      <c r="B689" s="5" t="str">
        <f ca="1">IFERROR(__xludf.DUMMYFUNCTION("""COMPUTED_VALUE"""),"PORTERFIELD")</f>
        <v>PORTERFIELD</v>
      </c>
      <c r="C689" s="5" t="str">
        <f ca="1">IFERROR(__xludf.DUMMYFUNCTION("""COMPUTED_VALUE"""),"CP-65 Collegiate")</f>
        <v>CP-65 Collegiate</v>
      </c>
      <c r="D689" s="5" t="str">
        <f ca="1">IFERROR(__xludf.DUMMYFUNCTION("""COMPUTED_VALUE"""),"LandPlane")</f>
        <v>LandPlane</v>
      </c>
      <c r="E689" s="5" t="str">
        <f ca="1">IFERROR(__xludf.DUMMYFUNCTION("""COMPUTED_VALUE"""),"Piston")</f>
        <v>Piston</v>
      </c>
      <c r="F689" s="5">
        <f ca="1">IFERROR(__xludf.DUMMYFUNCTION("""COMPUTED_VALUE"""),1)</f>
        <v>1</v>
      </c>
    </row>
    <row r="690" spans="1:6" ht="15" customHeight="1" x14ac:dyDescent="0.2">
      <c r="A690" s="5" t="str">
        <f ca="1">IFERROR(__xludf.DUMMYFUNCTION("""COMPUTED_VALUE"""),"CP75")</f>
        <v>CP75</v>
      </c>
      <c r="B690" s="5" t="str">
        <f ca="1">IFERROR(__xludf.DUMMYFUNCTION("""COMPUTED_VALUE"""),"PIEL")</f>
        <v>PIEL</v>
      </c>
      <c r="C690" s="5" t="str">
        <f ca="1">IFERROR(__xludf.DUMMYFUNCTION("""COMPUTED_VALUE"""),"CP-70 Béryl")</f>
        <v>CP-70 Béryl</v>
      </c>
      <c r="D690" s="5" t="str">
        <f ca="1">IFERROR(__xludf.DUMMYFUNCTION("""COMPUTED_VALUE"""),"LandPlane")</f>
        <v>LandPlane</v>
      </c>
      <c r="E690" s="5" t="str">
        <f ca="1">IFERROR(__xludf.DUMMYFUNCTION("""COMPUTED_VALUE"""),"Piston")</f>
        <v>Piston</v>
      </c>
      <c r="F690" s="5">
        <f ca="1">IFERROR(__xludf.DUMMYFUNCTION("""COMPUTED_VALUE"""),1)</f>
        <v>1</v>
      </c>
    </row>
    <row r="691" spans="1:6" ht="15" customHeight="1" x14ac:dyDescent="0.2">
      <c r="A691" s="5" t="str">
        <f ca="1">IFERROR(__xludf.DUMMYFUNCTION("""COMPUTED_VALUE"""),"CP80")</f>
        <v>CP80</v>
      </c>
      <c r="B691" s="5" t="str">
        <f ca="1">IFERROR(__xludf.DUMMYFUNCTION("""COMPUTED_VALUE"""),"PIEL")</f>
        <v>PIEL</v>
      </c>
      <c r="C691" s="5" t="str">
        <f ca="1">IFERROR(__xludf.DUMMYFUNCTION("""COMPUTED_VALUE"""),"CP-80 Zéphir")</f>
        <v>CP-80 Zéphir</v>
      </c>
      <c r="D691" s="5" t="str">
        <f ca="1">IFERROR(__xludf.DUMMYFUNCTION("""COMPUTED_VALUE"""),"LandPlane")</f>
        <v>LandPlane</v>
      </c>
      <c r="E691" s="5" t="str">
        <f ca="1">IFERROR(__xludf.DUMMYFUNCTION("""COMPUTED_VALUE"""),"Piston")</f>
        <v>Piston</v>
      </c>
      <c r="F691" s="5">
        <f ca="1">IFERROR(__xludf.DUMMYFUNCTION("""COMPUTED_VALUE"""),1)</f>
        <v>1</v>
      </c>
    </row>
    <row r="692" spans="1:6" ht="15" customHeight="1" x14ac:dyDescent="0.2">
      <c r="A692" s="5" t="str">
        <f ca="1">IFERROR(__xludf.DUMMYFUNCTION("""COMPUTED_VALUE"""),"CP90")</f>
        <v>CP90</v>
      </c>
      <c r="B692" s="5" t="str">
        <f ca="1">IFERROR(__xludf.DUMMYFUNCTION("""COMPUTED_VALUE"""),"PIEL")</f>
        <v>PIEL</v>
      </c>
      <c r="C692" s="5" t="str">
        <f ca="1">IFERROR(__xludf.DUMMYFUNCTION("""COMPUTED_VALUE"""),"CP-90 Pinocchio 2")</f>
        <v>CP-90 Pinocchio 2</v>
      </c>
      <c r="D692" s="5" t="str">
        <f ca="1">IFERROR(__xludf.DUMMYFUNCTION("""COMPUTED_VALUE"""),"LandPlane")</f>
        <v>LandPlane</v>
      </c>
      <c r="E692" s="5" t="str">
        <f ca="1">IFERROR(__xludf.DUMMYFUNCTION("""COMPUTED_VALUE"""),"Piston")</f>
        <v>Piston</v>
      </c>
      <c r="F692" s="5">
        <f ca="1">IFERROR(__xludf.DUMMYFUNCTION("""COMPUTED_VALUE"""),1)</f>
        <v>1</v>
      </c>
    </row>
    <row r="693" spans="1:6" ht="15" customHeight="1" x14ac:dyDescent="0.2">
      <c r="A693" s="5" t="str">
        <f ca="1">IFERROR(__xludf.DUMMYFUNCTION("""COMPUTED_VALUE"""),"CPNA")</f>
        <v>CPNA</v>
      </c>
      <c r="B693" s="5" t="str">
        <f ca="1">IFERROR(__xludf.DUMMYFUNCTION("""COMPUTED_VALUE"""),"PENA")</f>
        <v>PENA</v>
      </c>
      <c r="C693" s="5" t="str">
        <f ca="1">IFERROR(__xludf.DUMMYFUNCTION("""COMPUTED_VALUE"""),"Capena")</f>
        <v>Capena</v>
      </c>
      <c r="D693" s="5" t="str">
        <f ca="1">IFERROR(__xludf.DUMMYFUNCTION("""COMPUTED_VALUE"""),"LandPlane")</f>
        <v>LandPlane</v>
      </c>
      <c r="E693" s="5" t="str">
        <f ca="1">IFERROR(__xludf.DUMMYFUNCTION("""COMPUTED_VALUE"""),"Piston")</f>
        <v>Piston</v>
      </c>
      <c r="F693" s="5">
        <f ca="1">IFERROR(__xludf.DUMMYFUNCTION("""COMPUTED_VALUE"""),1)</f>
        <v>1</v>
      </c>
    </row>
    <row r="694" spans="1:6" ht="15" customHeight="1" x14ac:dyDescent="0.2">
      <c r="A694" s="5" t="str">
        <f ca="1">IFERROR(__xludf.DUMMYFUNCTION("""COMPUTED_VALUE"""),"CPUP")</f>
        <v>CPUP</v>
      </c>
      <c r="B694" s="5" t="str">
        <f ca="1">IFERROR(__xludf.DUMMYFUNCTION("""COMPUTED_VALUE"""),"CULP")</f>
        <v>CULP</v>
      </c>
      <c r="C694" s="5" t="str">
        <f ca="1">IFERROR(__xludf.DUMMYFUNCTION("""COMPUTED_VALUE"""),"Sopwith Pup")</f>
        <v>Sopwith Pup</v>
      </c>
      <c r="D694" s="5" t="str">
        <f ca="1">IFERROR(__xludf.DUMMYFUNCTION("""COMPUTED_VALUE"""),"LandPlane")</f>
        <v>LandPlane</v>
      </c>
      <c r="E694" s="5" t="str">
        <f ca="1">IFERROR(__xludf.DUMMYFUNCTION("""COMPUTED_VALUE"""),"Piston")</f>
        <v>Piston</v>
      </c>
      <c r="F694" s="5">
        <f ca="1">IFERROR(__xludf.DUMMYFUNCTION("""COMPUTED_VALUE"""),1)</f>
        <v>1</v>
      </c>
    </row>
    <row r="695" spans="1:6" ht="15" customHeight="1" x14ac:dyDescent="0.2">
      <c r="A695" s="5" t="str">
        <f ca="1">IFERROR(__xludf.DUMMYFUNCTION("""COMPUTED_VALUE"""),"CR10")</f>
        <v>CR10</v>
      </c>
      <c r="B695" s="5" t="str">
        <f ca="1">IFERROR(__xludf.DUMMYFUNCTION("""COMPUTED_VALUE"""),"DYN'AERO")</f>
        <v>DYN'AERO</v>
      </c>
      <c r="C695" s="5" t="str">
        <f ca="1">IFERROR(__xludf.DUMMYFUNCTION("""COMPUTED_VALUE"""),"CR-100")</f>
        <v>CR-100</v>
      </c>
      <c r="D695" s="5" t="str">
        <f ca="1">IFERROR(__xludf.DUMMYFUNCTION("""COMPUTED_VALUE"""),"LandPlane")</f>
        <v>LandPlane</v>
      </c>
      <c r="E695" s="5" t="str">
        <f ca="1">IFERROR(__xludf.DUMMYFUNCTION("""COMPUTED_VALUE"""),"Piston")</f>
        <v>Piston</v>
      </c>
      <c r="F695" s="5">
        <f ca="1">IFERROR(__xludf.DUMMYFUNCTION("""COMPUTED_VALUE"""),1)</f>
        <v>1</v>
      </c>
    </row>
    <row r="696" spans="1:6" ht="15" customHeight="1" x14ac:dyDescent="0.2">
      <c r="A696" s="5" t="str">
        <f ca="1">IFERROR(__xludf.DUMMYFUNCTION("""COMPUTED_VALUE"""),"CRA1")</f>
        <v>CRA1</v>
      </c>
      <c r="B696" s="5" t="str">
        <f ca="1">IFERROR(__xludf.DUMMYFUNCTION("""COMPUTED_VALUE"""),"CRANFIELD")</f>
        <v>CRANFIELD</v>
      </c>
      <c r="C696" s="5" t="str">
        <f ca="1">IFERROR(__xludf.DUMMYFUNCTION("""COMPUTED_VALUE"""),"A-1 Eagle")</f>
        <v>A-1 Eagle</v>
      </c>
      <c r="D696" s="5" t="str">
        <f ca="1">IFERROR(__xludf.DUMMYFUNCTION("""COMPUTED_VALUE"""),"LandPlane")</f>
        <v>LandPlane</v>
      </c>
      <c r="E696" s="5" t="str">
        <f ca="1">IFERROR(__xludf.DUMMYFUNCTION("""COMPUTED_VALUE"""),"Piston")</f>
        <v>Piston</v>
      </c>
      <c r="F696" s="5">
        <f ca="1">IFERROR(__xludf.DUMMYFUNCTION("""COMPUTED_VALUE"""),1)</f>
        <v>1</v>
      </c>
    </row>
    <row r="697" spans="1:6" ht="15" customHeight="1" x14ac:dyDescent="0.2">
      <c r="A697" s="5" t="str">
        <f ca="1">IFERROR(__xludf.DUMMYFUNCTION("""COMPUTED_VALUE"""),"CRAC")</f>
        <v>CRAC</v>
      </c>
      <c r="B697" s="5" t="str">
        <f ca="1">IFERROR(__xludf.DUMMYFUNCTION("""COMPUTED_VALUE"""),"PLUMB")</f>
        <v>PLUMB</v>
      </c>
      <c r="C697" s="5" t="str">
        <f ca="1">IFERROR(__xludf.DUMMYFUNCTION("""COMPUTED_VALUE"""),"CJ-3 Cracker Jack")</f>
        <v>CJ-3 Cracker Jack</v>
      </c>
      <c r="D697" s="5" t="str">
        <f ca="1">IFERROR(__xludf.DUMMYFUNCTION("""COMPUTED_VALUE"""),"LandPlane")</f>
        <v>LandPlane</v>
      </c>
      <c r="E697" s="5" t="str">
        <f ca="1">IFERROR(__xludf.DUMMYFUNCTION("""COMPUTED_VALUE"""),"Piston")</f>
        <v>Piston</v>
      </c>
      <c r="F697" s="5">
        <f ca="1">IFERROR(__xludf.DUMMYFUNCTION("""COMPUTED_VALUE"""),1)</f>
        <v>1</v>
      </c>
    </row>
    <row r="698" spans="1:6" ht="15" customHeight="1" x14ac:dyDescent="0.2">
      <c r="A698" s="5" t="str">
        <f ca="1">IFERROR(__xludf.DUMMYFUNCTION("""COMPUTED_VALUE"""),"CRBN")</f>
        <v>CRBN</v>
      </c>
      <c r="B698" s="5" t="str">
        <f ca="1">IFERROR(__xludf.DUMMYFUNCTION("""COMPUTED_VALUE"""),"CURTISS")</f>
        <v>CURTISS</v>
      </c>
      <c r="C698" s="5" t="str">
        <f ca="1">IFERROR(__xludf.DUMMYFUNCTION("""COMPUTED_VALUE"""),"50 Robin")</f>
        <v>50 Robin</v>
      </c>
      <c r="D698" s="5" t="str">
        <f ca="1">IFERROR(__xludf.DUMMYFUNCTION("""COMPUTED_VALUE"""),"LandPlane")</f>
        <v>LandPlane</v>
      </c>
      <c r="E698" s="5" t="str">
        <f ca="1">IFERROR(__xludf.DUMMYFUNCTION("""COMPUTED_VALUE"""),"Piston")</f>
        <v>Piston</v>
      </c>
      <c r="F698" s="5">
        <f ca="1">IFERROR(__xludf.DUMMYFUNCTION("""COMPUTED_VALUE"""),1)</f>
        <v>1</v>
      </c>
    </row>
    <row r="699" spans="1:6" ht="15" customHeight="1" x14ac:dyDescent="0.2">
      <c r="A699" s="5" t="str">
        <f ca="1">IFERROR(__xludf.DUMMYFUNCTION("""COMPUTED_VALUE"""),"CRER")</f>
        <v>CRER</v>
      </c>
      <c r="B699" s="5" t="str">
        <f ca="1">IFERROR(__xludf.DUMMYFUNCTION("""COMPUTED_VALUE"""),"RANS")</f>
        <v>RANS</v>
      </c>
      <c r="C699" s="5" t="str">
        <f ca="1">IFERROR(__xludf.DUMMYFUNCTION("""COMPUTED_VALUE"""),"S-7 Courier")</f>
        <v>S-7 Courier</v>
      </c>
      <c r="D699" s="5" t="str">
        <f ca="1">IFERROR(__xludf.DUMMYFUNCTION("""COMPUTED_VALUE"""),"LandPlane")</f>
        <v>LandPlane</v>
      </c>
      <c r="E699" s="5" t="str">
        <f ca="1">IFERROR(__xludf.DUMMYFUNCTION("""COMPUTED_VALUE"""),"Piston")</f>
        <v>Piston</v>
      </c>
      <c r="F699" s="5">
        <f ca="1">IFERROR(__xludf.DUMMYFUNCTION("""COMPUTED_VALUE"""),1)</f>
        <v>1</v>
      </c>
    </row>
    <row r="700" spans="1:6" ht="15" customHeight="1" x14ac:dyDescent="0.2">
      <c r="A700" s="5" t="str">
        <f ca="1">IFERROR(__xludf.DUMMYFUNCTION("""COMPUTED_VALUE"""),"CRES")</f>
        <v>CRES</v>
      </c>
      <c r="B700" s="5" t="str">
        <f ca="1">IFERROR(__xludf.DUMMYFUNCTION("""COMPUTED_VALUE"""),"PACIFIC AEROSPACE")</f>
        <v>PACIFIC AEROSPACE</v>
      </c>
      <c r="C700" s="5" t="str">
        <f ca="1">IFERROR(__xludf.DUMMYFUNCTION("""COMPUTED_VALUE"""),"Cresco")</f>
        <v>Cresco</v>
      </c>
      <c r="D700" s="5" t="str">
        <f ca="1">IFERROR(__xludf.DUMMYFUNCTION("""COMPUTED_VALUE"""),"LandPlane")</f>
        <v>LandPlane</v>
      </c>
      <c r="E700" s="5" t="str">
        <f ca="1">IFERROR(__xludf.DUMMYFUNCTION("""COMPUTED_VALUE"""),"Turboprop/Turboshaft")</f>
        <v>Turboprop/Turboshaft</v>
      </c>
      <c r="F700" s="5">
        <f ca="1">IFERROR(__xludf.DUMMYFUNCTION("""COMPUTED_VALUE"""),1)</f>
        <v>1</v>
      </c>
    </row>
    <row r="701" spans="1:6" ht="15" customHeight="1" x14ac:dyDescent="0.2">
      <c r="A701" s="5" t="str">
        <f ca="1">IFERROR(__xludf.DUMMYFUNCTION("""COMPUTED_VALUE"""),"CRIO")</f>
        <v>CRIO</v>
      </c>
      <c r="B701" s="5" t="str">
        <f ca="1">IFERROR(__xludf.DUMMYFUNCTION("""COMPUTED_VALUE"""),"MICROLEVE")</f>
        <v>MICROLEVE</v>
      </c>
      <c r="C701" s="5" t="str">
        <f ca="1">IFERROR(__xludf.DUMMYFUNCTION("""COMPUTED_VALUE"""),"Corsario")</f>
        <v>Corsario</v>
      </c>
      <c r="D701" s="5" t="str">
        <f ca="1">IFERROR(__xludf.DUMMYFUNCTION("""COMPUTED_VALUE"""),"Amphibian")</f>
        <v>Amphibian</v>
      </c>
      <c r="E701" s="5" t="str">
        <f ca="1">IFERROR(__xludf.DUMMYFUNCTION("""COMPUTED_VALUE"""),"Piston")</f>
        <v>Piston</v>
      </c>
      <c r="F701" s="5">
        <f ca="1">IFERROR(__xludf.DUMMYFUNCTION("""COMPUTED_VALUE"""),1)</f>
        <v>1</v>
      </c>
    </row>
    <row r="702" spans="1:6" ht="15" customHeight="1" x14ac:dyDescent="0.2">
      <c r="A702" s="5" t="str">
        <f ca="1">IFERROR(__xludf.DUMMYFUNCTION("""COMPUTED_VALUE"""),"CRJ1")</f>
        <v>CRJ1</v>
      </c>
      <c r="B702" s="5" t="str">
        <f ca="1">IFERROR(__xludf.DUMMYFUNCTION("""COMPUTED_VALUE"""),"CANADAIR")</f>
        <v>CANADAIR</v>
      </c>
      <c r="C702" s="5" t="str">
        <f ca="1">IFERROR(__xludf.DUMMYFUNCTION("""COMPUTED_VALUE"""),"Regional Jet CRJ-100")</f>
        <v>Regional Jet CRJ-100</v>
      </c>
      <c r="D702" s="5" t="str">
        <f ca="1">IFERROR(__xludf.DUMMYFUNCTION("""COMPUTED_VALUE"""),"LandPlane")</f>
        <v>LandPlane</v>
      </c>
      <c r="E702" s="5" t="str">
        <f ca="1">IFERROR(__xludf.DUMMYFUNCTION("""COMPUTED_VALUE"""),"Jet")</f>
        <v>Jet</v>
      </c>
      <c r="F702" s="5">
        <f ca="1">IFERROR(__xludf.DUMMYFUNCTION("""COMPUTED_VALUE"""),2)</f>
        <v>2</v>
      </c>
    </row>
    <row r="703" spans="1:6" ht="15" customHeight="1" x14ac:dyDescent="0.2">
      <c r="A703" s="5" t="str">
        <f ca="1">IFERROR(__xludf.DUMMYFUNCTION("""COMPUTED_VALUE"""),"CRJ2")</f>
        <v>CRJ2</v>
      </c>
      <c r="B703" s="5" t="str">
        <f ca="1">IFERROR(__xludf.DUMMYFUNCTION("""COMPUTED_VALUE"""),"CANADAIR")</f>
        <v>CANADAIR</v>
      </c>
      <c r="C703" s="5" t="str">
        <f ca="1">IFERROR(__xludf.DUMMYFUNCTION("""COMPUTED_VALUE"""),"Regional Jet CRJ-440")</f>
        <v>Regional Jet CRJ-440</v>
      </c>
      <c r="D703" s="5" t="str">
        <f ca="1">IFERROR(__xludf.DUMMYFUNCTION("""COMPUTED_VALUE"""),"LandPlane")</f>
        <v>LandPlane</v>
      </c>
      <c r="E703" s="5" t="str">
        <f ca="1">IFERROR(__xludf.DUMMYFUNCTION("""COMPUTED_VALUE"""),"Jet")</f>
        <v>Jet</v>
      </c>
      <c r="F703" s="5">
        <f ca="1">IFERROR(__xludf.DUMMYFUNCTION("""COMPUTED_VALUE"""),2)</f>
        <v>2</v>
      </c>
    </row>
    <row r="704" spans="1:6" ht="15" customHeight="1" x14ac:dyDescent="0.2">
      <c r="A704" s="5" t="str">
        <f ca="1">IFERROR(__xludf.DUMMYFUNCTION("""COMPUTED_VALUE"""),"CRJ7")</f>
        <v>CRJ7</v>
      </c>
      <c r="B704" s="5" t="str">
        <f ca="1">IFERROR(__xludf.DUMMYFUNCTION("""COMPUTED_VALUE"""),"CANADAIR")</f>
        <v>CANADAIR</v>
      </c>
      <c r="C704" s="5" t="str">
        <f ca="1">IFERROR(__xludf.DUMMYFUNCTION("""COMPUTED_VALUE"""),"Regional Jet CRJ-700")</f>
        <v>Regional Jet CRJ-700</v>
      </c>
      <c r="D704" s="5" t="str">
        <f ca="1">IFERROR(__xludf.DUMMYFUNCTION("""COMPUTED_VALUE"""),"LandPlane")</f>
        <v>LandPlane</v>
      </c>
      <c r="E704" s="5" t="str">
        <f ca="1">IFERROR(__xludf.DUMMYFUNCTION("""COMPUTED_VALUE"""),"Jet")</f>
        <v>Jet</v>
      </c>
      <c r="F704" s="5">
        <f ca="1">IFERROR(__xludf.DUMMYFUNCTION("""COMPUTED_VALUE"""),2)</f>
        <v>2</v>
      </c>
    </row>
    <row r="705" spans="1:6" ht="15" customHeight="1" x14ac:dyDescent="0.2">
      <c r="A705" s="5" t="str">
        <f ca="1">IFERROR(__xludf.DUMMYFUNCTION("""COMPUTED_VALUE"""),"CRJ9")</f>
        <v>CRJ9</v>
      </c>
      <c r="B705" s="5" t="str">
        <f ca="1">IFERROR(__xludf.DUMMYFUNCTION("""COMPUTED_VALUE"""),"CANADAIR")</f>
        <v>CANADAIR</v>
      </c>
      <c r="C705" s="5" t="str">
        <f ca="1">IFERROR(__xludf.DUMMYFUNCTION("""COMPUTED_VALUE"""),"Regional Jet CRJ-900")</f>
        <v>Regional Jet CRJ-900</v>
      </c>
      <c r="D705" s="5" t="str">
        <f ca="1">IFERROR(__xludf.DUMMYFUNCTION("""COMPUTED_VALUE"""),"LandPlane")</f>
        <v>LandPlane</v>
      </c>
      <c r="E705" s="5" t="str">
        <f ca="1">IFERROR(__xludf.DUMMYFUNCTION("""COMPUTED_VALUE"""),"Jet")</f>
        <v>Jet</v>
      </c>
      <c r="F705" s="5">
        <f ca="1">IFERROR(__xludf.DUMMYFUNCTION("""COMPUTED_VALUE"""),2)</f>
        <v>2</v>
      </c>
    </row>
    <row r="706" spans="1:6" ht="15" customHeight="1" x14ac:dyDescent="0.2">
      <c r="A706" s="5" t="str">
        <f ca="1">IFERROR(__xludf.DUMMYFUNCTION("""COMPUTED_VALUE"""),"CRJX")</f>
        <v>CRJX</v>
      </c>
      <c r="B706" s="5" t="str">
        <f ca="1">IFERROR(__xludf.DUMMYFUNCTION("""COMPUTED_VALUE"""),"BOMBARDIER")</f>
        <v>BOMBARDIER</v>
      </c>
      <c r="C706" s="5" t="str">
        <f ca="1">IFERROR(__xludf.DUMMYFUNCTION("""COMPUTED_VALUE"""),"Regional Jet CRJ-1000")</f>
        <v>Regional Jet CRJ-1000</v>
      </c>
      <c r="D706" s="5" t="str">
        <f ca="1">IFERROR(__xludf.DUMMYFUNCTION("""COMPUTED_VALUE"""),"LandPlane")</f>
        <v>LandPlane</v>
      </c>
      <c r="E706" s="5" t="str">
        <f ca="1">IFERROR(__xludf.DUMMYFUNCTION("""COMPUTED_VALUE"""),"Jet")</f>
        <v>Jet</v>
      </c>
      <c r="F706" s="5">
        <f ca="1">IFERROR(__xludf.DUMMYFUNCTION("""COMPUTED_VALUE"""),2)</f>
        <v>2</v>
      </c>
    </row>
    <row r="707" spans="1:6" ht="15" customHeight="1" x14ac:dyDescent="0.2">
      <c r="A707" s="5" t="str">
        <f ca="1">IFERROR(__xludf.DUMMYFUNCTION("""COMPUTED_VALUE"""),"CRUZ")</f>
        <v>CRUZ</v>
      </c>
      <c r="B707" s="5" t="str">
        <f ca="1">IFERROR(__xludf.DUMMYFUNCTION("""COMPUTED_VALUE"""),"CZAW")</f>
        <v>CZAW</v>
      </c>
      <c r="C707" s="5" t="str">
        <f ca="1">IFERROR(__xludf.DUMMYFUNCTION("""COMPUTED_VALUE"""),"SportCruiser")</f>
        <v>SportCruiser</v>
      </c>
      <c r="D707" s="5" t="str">
        <f ca="1">IFERROR(__xludf.DUMMYFUNCTION("""COMPUTED_VALUE"""),"LandPlane")</f>
        <v>LandPlane</v>
      </c>
      <c r="E707" s="5" t="str">
        <f ca="1">IFERROR(__xludf.DUMMYFUNCTION("""COMPUTED_VALUE"""),"Piston")</f>
        <v>Piston</v>
      </c>
      <c r="F707" s="5">
        <f ca="1">IFERROR(__xludf.DUMMYFUNCTION("""COMPUTED_VALUE"""),1)</f>
        <v>1</v>
      </c>
    </row>
    <row r="708" spans="1:6" ht="15" customHeight="1" x14ac:dyDescent="0.2">
      <c r="A708" s="5" t="str">
        <f ca="1">IFERROR(__xludf.DUMMYFUNCTION("""COMPUTED_VALUE"""),"CT4")</f>
        <v>CT4</v>
      </c>
      <c r="B708" s="5" t="str">
        <f ca="1">IFERROR(__xludf.DUMMYFUNCTION("""COMPUTED_VALUE"""),"PACIFIC AEROSPACE")</f>
        <v>PACIFIC AEROSPACE</v>
      </c>
      <c r="C708" s="5" t="str">
        <f ca="1">IFERROR(__xludf.DUMMYFUNCTION("""COMPUTED_VALUE"""),"CT-4 Airtrainer")</f>
        <v>CT-4 Airtrainer</v>
      </c>
      <c r="D708" s="5" t="str">
        <f ca="1">IFERROR(__xludf.DUMMYFUNCTION("""COMPUTED_VALUE"""),"LandPlane")</f>
        <v>LandPlane</v>
      </c>
      <c r="E708" s="5" t="str">
        <f ca="1">IFERROR(__xludf.DUMMYFUNCTION("""COMPUTED_VALUE"""),"Piston")</f>
        <v>Piston</v>
      </c>
      <c r="F708" s="5">
        <f ca="1">IFERROR(__xludf.DUMMYFUNCTION("""COMPUTED_VALUE"""),1)</f>
        <v>1</v>
      </c>
    </row>
    <row r="709" spans="1:6" ht="15" customHeight="1" x14ac:dyDescent="0.2">
      <c r="A709" s="5" t="str">
        <f ca="1">IFERROR(__xludf.DUMMYFUNCTION("""COMPUTED_VALUE"""),"CTAH")</f>
        <v>CTAH</v>
      </c>
      <c r="B709" s="5" t="str">
        <f ca="1">IFERROR(__xludf.DUMMYFUNCTION("""COMPUTED_VALUE"""),"RAINBOW SKYREACH")</f>
        <v>RAINBOW SKYREACH</v>
      </c>
      <c r="C709" s="5" t="str">
        <f ca="1">IFERROR(__xludf.DUMMYFUNCTION("""COMPUTED_VALUE"""),"Cheetah")</f>
        <v>Cheetah</v>
      </c>
      <c r="D709" s="5" t="str">
        <f ca="1">IFERROR(__xludf.DUMMYFUNCTION("""COMPUTED_VALUE"""),"LandPlane")</f>
        <v>LandPlane</v>
      </c>
      <c r="E709" s="5" t="str">
        <f ca="1">IFERROR(__xludf.DUMMYFUNCTION("""COMPUTED_VALUE"""),"Piston")</f>
        <v>Piston</v>
      </c>
      <c r="F709" s="5">
        <f ca="1">IFERROR(__xludf.DUMMYFUNCTION("""COMPUTED_VALUE"""),1)</f>
        <v>1</v>
      </c>
    </row>
    <row r="710" spans="1:6" ht="15" customHeight="1" x14ac:dyDescent="0.2">
      <c r="A710" s="5" t="str">
        <f ca="1">IFERROR(__xludf.DUMMYFUNCTION("""COMPUTED_VALUE"""),"CTLN")</f>
        <v>CTLN</v>
      </c>
      <c r="B710" s="5" t="str">
        <f ca="1">IFERROR(__xludf.DUMMYFUNCTION("""COMPUTED_VALUE"""),"FLY SYNTHESIS")</f>
        <v>FLY SYNTHESIS</v>
      </c>
      <c r="C710" s="5" t="str">
        <f ca="1">IFERROR(__xludf.DUMMYFUNCTION("""COMPUTED_VALUE"""),"Catalina")</f>
        <v>Catalina</v>
      </c>
      <c r="D710" s="5" t="str">
        <f ca="1">IFERROR(__xludf.DUMMYFUNCTION("""COMPUTED_VALUE"""),"Amphibian")</f>
        <v>Amphibian</v>
      </c>
      <c r="E710" s="5" t="str">
        <f ca="1">IFERROR(__xludf.DUMMYFUNCTION("""COMPUTED_VALUE"""),"Piston")</f>
        <v>Piston</v>
      </c>
      <c r="F710" s="5">
        <f ca="1">IFERROR(__xludf.DUMMYFUNCTION("""COMPUTED_VALUE"""),1)</f>
        <v>1</v>
      </c>
    </row>
    <row r="711" spans="1:6" ht="15" customHeight="1" x14ac:dyDescent="0.2">
      <c r="A711" s="5" t="str">
        <f ca="1">IFERROR(__xludf.DUMMYFUNCTION("""COMPUTED_VALUE"""),"CUB2")</f>
        <v>CUB2</v>
      </c>
      <c r="B711" s="5" t="str">
        <f ca="1">IFERROR(__xludf.DUMMYFUNCTION("""COMPUTED_VALUE"""),"ACES HIGH")</f>
        <v>ACES HIGH</v>
      </c>
      <c r="C711" s="5" t="str">
        <f ca="1">IFERROR(__xludf.DUMMYFUNCTION("""COMPUTED_VALUE"""),"Cuby 2")</f>
        <v>Cuby 2</v>
      </c>
      <c r="D711" s="5" t="str">
        <f ca="1">IFERROR(__xludf.DUMMYFUNCTION("""COMPUTED_VALUE"""),"LandPlane")</f>
        <v>LandPlane</v>
      </c>
      <c r="E711" s="5" t="str">
        <f ca="1">IFERROR(__xludf.DUMMYFUNCTION("""COMPUTED_VALUE"""),"Piston")</f>
        <v>Piston</v>
      </c>
      <c r="F711" s="5">
        <f ca="1">IFERROR(__xludf.DUMMYFUNCTION("""COMPUTED_VALUE"""),1)</f>
        <v>1</v>
      </c>
    </row>
    <row r="712" spans="1:6" ht="15" customHeight="1" x14ac:dyDescent="0.2">
      <c r="A712" s="5" t="str">
        <f ca="1">IFERROR(__xludf.DUMMYFUNCTION("""COMPUTED_VALUE"""),"CUCA")</f>
        <v>CUCA</v>
      </c>
      <c r="B712" s="5" t="str">
        <f ca="1">IFERROR(__xludf.DUMMYFUNCTION("""COMPUTED_VALUE"""),"CULVER")</f>
        <v>CULVER</v>
      </c>
      <c r="C712" s="5" t="str">
        <f ca="1">IFERROR(__xludf.DUMMYFUNCTION("""COMPUTED_VALUE"""),"Cadet")</f>
        <v>Cadet</v>
      </c>
      <c r="D712" s="5" t="str">
        <f ca="1">IFERROR(__xludf.DUMMYFUNCTION("""COMPUTED_VALUE"""),"LandPlane")</f>
        <v>LandPlane</v>
      </c>
      <c r="E712" s="5" t="str">
        <f ca="1">IFERROR(__xludf.DUMMYFUNCTION("""COMPUTED_VALUE"""),"Piston")</f>
        <v>Piston</v>
      </c>
      <c r="F712" s="5">
        <f ca="1">IFERROR(__xludf.DUMMYFUNCTION("""COMPUTED_VALUE"""),1)</f>
        <v>1</v>
      </c>
    </row>
    <row r="713" spans="1:6" ht="15" customHeight="1" x14ac:dyDescent="0.2">
      <c r="A713" s="5" t="str">
        <f ca="1">IFERROR(__xludf.DUMMYFUNCTION("""COMPUTED_VALUE"""),"CULP")</f>
        <v>CULP</v>
      </c>
      <c r="B713" s="5" t="str">
        <f ca="1">IFERROR(__xludf.DUMMYFUNCTION("""COMPUTED_VALUE"""),"CULP")</f>
        <v>CULP</v>
      </c>
      <c r="C713" s="5" t="str">
        <f ca="1">IFERROR(__xludf.DUMMYFUNCTION("""COMPUTED_VALUE"""),"Special")</f>
        <v>Special</v>
      </c>
      <c r="D713" s="5" t="str">
        <f ca="1">IFERROR(__xludf.DUMMYFUNCTION("""COMPUTED_VALUE"""),"LandPlane")</f>
        <v>LandPlane</v>
      </c>
      <c r="E713" s="5" t="str">
        <f ca="1">IFERROR(__xludf.DUMMYFUNCTION("""COMPUTED_VALUE"""),"Piston")</f>
        <v>Piston</v>
      </c>
      <c r="F713" s="5">
        <f ca="1">IFERROR(__xludf.DUMMYFUNCTION("""COMPUTED_VALUE"""),1)</f>
        <v>1</v>
      </c>
    </row>
    <row r="714" spans="1:6" ht="15" customHeight="1" x14ac:dyDescent="0.2">
      <c r="A714" s="5" t="str">
        <f ca="1">IFERROR(__xludf.DUMMYFUNCTION("""COMPUTED_VALUE"""),"CULV")</f>
        <v>CULV</v>
      </c>
      <c r="B714" s="5" t="str">
        <f ca="1">IFERROR(__xludf.DUMMYFUNCTION("""COMPUTED_VALUE"""),"CULVER")</f>
        <v>CULVER</v>
      </c>
      <c r="C714" s="5" t="str">
        <f ca="1">IFERROR(__xludf.DUMMYFUNCTION("""COMPUTED_VALUE"""),"V")</f>
        <v>V</v>
      </c>
      <c r="D714" s="5" t="str">
        <f ca="1">IFERROR(__xludf.DUMMYFUNCTION("""COMPUTED_VALUE"""),"LandPlane")</f>
        <v>LandPlane</v>
      </c>
      <c r="E714" s="5" t="str">
        <f ca="1">IFERROR(__xludf.DUMMYFUNCTION("""COMPUTED_VALUE"""),"Piston")</f>
        <v>Piston</v>
      </c>
      <c r="F714" s="5">
        <f ca="1">IFERROR(__xludf.DUMMYFUNCTION("""COMPUTED_VALUE"""),1)</f>
        <v>1</v>
      </c>
    </row>
    <row r="715" spans="1:6" ht="15" customHeight="1" x14ac:dyDescent="0.2">
      <c r="A715" s="5" t="str">
        <f ca="1">IFERROR(__xludf.DUMMYFUNCTION("""COMPUTED_VALUE"""),"CULX")</f>
        <v>CULX</v>
      </c>
      <c r="B715" s="5" t="str">
        <f ca="1">IFERROR(__xludf.DUMMYFUNCTION("""COMPUTED_VALUE"""),"FISHER AERO")</f>
        <v>FISHER AERO</v>
      </c>
      <c r="C715" s="5" t="str">
        <f ca="1">IFERROR(__xludf.DUMMYFUNCTION("""COMPUTED_VALUE"""),"Culex")</f>
        <v>Culex</v>
      </c>
      <c r="D715" s="5" t="str">
        <f ca="1">IFERROR(__xludf.DUMMYFUNCTION("""COMPUTED_VALUE"""),"LandPlane")</f>
        <v>LandPlane</v>
      </c>
      <c r="E715" s="5" t="str">
        <f ca="1">IFERROR(__xludf.DUMMYFUNCTION("""COMPUTED_VALUE"""),"Piston")</f>
        <v>Piston</v>
      </c>
      <c r="F715" s="5">
        <f ca="1">IFERROR(__xludf.DUMMYFUNCTION("""COMPUTED_VALUE"""),2)</f>
        <v>2</v>
      </c>
    </row>
    <row r="716" spans="1:6" ht="15" customHeight="1" x14ac:dyDescent="0.2">
      <c r="A716" s="5" t="str">
        <f ca="1">IFERROR(__xludf.DUMMYFUNCTION("""COMPUTED_VALUE"""),"CVLP")</f>
        <v>CVLP</v>
      </c>
      <c r="B716" s="5" t="str">
        <f ca="1">IFERROR(__xludf.DUMMYFUNCTION("""COMPUTED_VALUE"""),"CONVAIR")</f>
        <v>CONVAIR</v>
      </c>
      <c r="C716" s="5" t="str">
        <f ca="1">IFERROR(__xludf.DUMMYFUNCTION("""COMPUTED_VALUE"""),"C-131 Samaritan")</f>
        <v>C-131 Samaritan</v>
      </c>
      <c r="D716" s="5" t="str">
        <f ca="1">IFERROR(__xludf.DUMMYFUNCTION("""COMPUTED_VALUE"""),"LandPlane")</f>
        <v>LandPlane</v>
      </c>
      <c r="E716" s="5" t="str">
        <f ca="1">IFERROR(__xludf.DUMMYFUNCTION("""COMPUTED_VALUE"""),"Piston")</f>
        <v>Piston</v>
      </c>
      <c r="F716" s="5">
        <f ca="1">IFERROR(__xludf.DUMMYFUNCTION("""COMPUTED_VALUE"""),2)</f>
        <v>2</v>
      </c>
    </row>
    <row r="717" spans="1:6" ht="15" customHeight="1" x14ac:dyDescent="0.2">
      <c r="A717" s="5" t="str">
        <f ca="1">IFERROR(__xludf.DUMMYFUNCTION("""COMPUTED_VALUE"""),"CVLT")</f>
        <v>CVLT</v>
      </c>
      <c r="B717" s="5" t="str">
        <f ca="1">IFERROR(__xludf.DUMMYFUNCTION("""COMPUTED_VALUE"""),"CONVAIR")</f>
        <v>CONVAIR</v>
      </c>
      <c r="C717" s="5" t="str">
        <f ca="1">IFERROR(__xludf.DUMMYFUNCTION("""COMPUTED_VALUE"""),"C-131H")</f>
        <v>C-131H</v>
      </c>
      <c r="D717" s="5" t="str">
        <f ca="1">IFERROR(__xludf.DUMMYFUNCTION("""COMPUTED_VALUE"""),"LandPlane")</f>
        <v>LandPlane</v>
      </c>
      <c r="E717" s="5" t="str">
        <f ca="1">IFERROR(__xludf.DUMMYFUNCTION("""COMPUTED_VALUE"""),"Turboprop/Turboshaft")</f>
        <v>Turboprop/Turboshaft</v>
      </c>
      <c r="F717" s="5">
        <f ca="1">IFERROR(__xludf.DUMMYFUNCTION("""COMPUTED_VALUE"""),2)</f>
        <v>2</v>
      </c>
    </row>
    <row r="718" spans="1:6" ht="15" customHeight="1" x14ac:dyDescent="0.2">
      <c r="A718" s="5" t="str">
        <f ca="1">IFERROR(__xludf.DUMMYFUNCTION("""COMPUTED_VALUE"""),"CX5")</f>
        <v>CX5</v>
      </c>
      <c r="B718" s="5" t="str">
        <f ca="1">IFERROR(__xludf.DUMMYFUNCTION("""COMPUTED_VALUE"""),"THATCHER")</f>
        <v>THATCHER</v>
      </c>
      <c r="C718" s="5" t="str">
        <f ca="1">IFERROR(__xludf.DUMMYFUNCTION("""COMPUTED_VALUE"""),"CX-5")</f>
        <v>CX-5</v>
      </c>
      <c r="D718" s="5" t="str">
        <f ca="1">IFERROR(__xludf.DUMMYFUNCTION("""COMPUTED_VALUE"""),"LandPlane")</f>
        <v>LandPlane</v>
      </c>
      <c r="E718" s="5" t="str">
        <f ca="1">IFERROR(__xludf.DUMMYFUNCTION("""COMPUTED_VALUE"""),"Piston")</f>
        <v>Piston</v>
      </c>
      <c r="F718" s="5">
        <f ca="1">IFERROR(__xludf.DUMMYFUNCTION("""COMPUTED_VALUE"""),1)</f>
        <v>1</v>
      </c>
    </row>
    <row r="719" spans="1:6" ht="15" customHeight="1" x14ac:dyDescent="0.2">
      <c r="A719" s="5" t="str">
        <f ca="1">IFERROR(__xludf.DUMMYFUNCTION("""COMPUTED_VALUE"""),"CYCL")</f>
        <v>CYCL</v>
      </c>
      <c r="B719" s="5" t="str">
        <f ca="1">IFERROR(__xludf.DUMMYFUNCTION("""COMPUTED_VALUE"""),"CARLSON")</f>
        <v>CARLSON</v>
      </c>
      <c r="C719" s="5" t="str">
        <f ca="1">IFERROR(__xludf.DUMMYFUNCTION("""COMPUTED_VALUE"""),"Skycycle")</f>
        <v>Skycycle</v>
      </c>
      <c r="D719" s="5" t="str">
        <f ca="1">IFERROR(__xludf.DUMMYFUNCTION("""COMPUTED_VALUE"""),"LandPlane")</f>
        <v>LandPlane</v>
      </c>
      <c r="E719" s="5" t="str">
        <f ca="1">IFERROR(__xludf.DUMMYFUNCTION("""COMPUTED_VALUE"""),"Piston")</f>
        <v>Piston</v>
      </c>
      <c r="F719" s="5">
        <f ca="1">IFERROR(__xludf.DUMMYFUNCTION("""COMPUTED_VALUE"""),1)</f>
        <v>1</v>
      </c>
    </row>
    <row r="720" spans="1:6" ht="15" customHeight="1" x14ac:dyDescent="0.2">
      <c r="A720" s="5" t="str">
        <f ca="1">IFERROR(__xludf.DUMMYFUNCTION("""COMPUTED_VALUE"""),"CYGT")</f>
        <v>CYGT</v>
      </c>
      <c r="B720" s="5" t="str">
        <f ca="1">IFERROR(__xludf.DUMMYFUNCTION("""COMPUTED_VALUE"""),"HAWKER")</f>
        <v>HAWKER</v>
      </c>
      <c r="C720" s="5" t="str">
        <f ca="1">IFERROR(__xludf.DUMMYFUNCTION("""COMPUTED_VALUE"""),"Cygnet Replica")</f>
        <v>Cygnet Replica</v>
      </c>
      <c r="D720" s="5" t="str">
        <f ca="1">IFERROR(__xludf.DUMMYFUNCTION("""COMPUTED_VALUE"""),"LandPlane")</f>
        <v>LandPlane</v>
      </c>
      <c r="E720" s="5" t="str">
        <f ca="1">IFERROR(__xludf.DUMMYFUNCTION("""COMPUTED_VALUE"""),"Piston")</f>
        <v>Piston</v>
      </c>
      <c r="F720" s="5">
        <f ca="1">IFERROR(__xludf.DUMMYFUNCTION("""COMPUTED_VALUE"""),1)</f>
        <v>1</v>
      </c>
    </row>
    <row r="721" spans="1:6" ht="15" customHeight="1" x14ac:dyDescent="0.2">
      <c r="A721" s="5" t="str">
        <f ca="1">IFERROR(__xludf.DUMMYFUNCTION("""COMPUTED_VALUE"""),"D1")</f>
        <v>D1</v>
      </c>
      <c r="B721" s="5" t="str">
        <f ca="1">IFERROR(__xludf.DUMMYFUNCTION("""COMPUTED_VALUE"""),"WING")</f>
        <v>WING</v>
      </c>
      <c r="C721" s="5" t="str">
        <f ca="1">IFERROR(__xludf.DUMMYFUNCTION("""COMPUTED_VALUE"""),"D-1 Derringer")</f>
        <v>D-1 Derringer</v>
      </c>
      <c r="D721" s="5" t="str">
        <f ca="1">IFERROR(__xludf.DUMMYFUNCTION("""COMPUTED_VALUE"""),"LandPlane")</f>
        <v>LandPlane</v>
      </c>
      <c r="E721" s="5" t="str">
        <f ca="1">IFERROR(__xludf.DUMMYFUNCTION("""COMPUTED_VALUE"""),"Piston")</f>
        <v>Piston</v>
      </c>
      <c r="F721" s="5">
        <f ca="1">IFERROR(__xludf.DUMMYFUNCTION("""COMPUTED_VALUE"""),2)</f>
        <v>2</v>
      </c>
    </row>
    <row r="722" spans="1:6" ht="15" customHeight="1" x14ac:dyDescent="0.2">
      <c r="A722" s="5" t="str">
        <f ca="1">IFERROR(__xludf.DUMMYFUNCTION("""COMPUTED_VALUE"""),"D11")</f>
        <v>D11</v>
      </c>
      <c r="B722" s="5" t="str">
        <f ca="1">IFERROR(__xludf.DUMMYFUNCTION("""COMPUTED_VALUE"""),"JODEL")</f>
        <v>JODEL</v>
      </c>
      <c r="C722" s="5" t="str">
        <f ca="1">IFERROR(__xludf.DUMMYFUNCTION("""COMPUTED_VALUE"""),"D-11")</f>
        <v>D-11</v>
      </c>
      <c r="D722" s="5" t="str">
        <f ca="1">IFERROR(__xludf.DUMMYFUNCTION("""COMPUTED_VALUE"""),"LandPlane")</f>
        <v>LandPlane</v>
      </c>
      <c r="E722" s="5" t="str">
        <f ca="1">IFERROR(__xludf.DUMMYFUNCTION("""COMPUTED_VALUE"""),"Piston")</f>
        <v>Piston</v>
      </c>
      <c r="F722" s="5">
        <f ca="1">IFERROR(__xludf.DUMMYFUNCTION("""COMPUTED_VALUE"""),1)</f>
        <v>1</v>
      </c>
    </row>
    <row r="723" spans="1:6" ht="15" customHeight="1" x14ac:dyDescent="0.2">
      <c r="A723" s="5" t="str">
        <f ca="1">IFERROR(__xludf.DUMMYFUNCTION("""COMPUTED_VALUE"""),"D139")</f>
        <v>D139</v>
      </c>
      <c r="B723" s="5" t="str">
        <f ca="1">IFERROR(__xludf.DUMMYFUNCTION("""COMPUTED_VALUE"""),"DORNA")</f>
        <v>DORNA</v>
      </c>
      <c r="C723" s="5" t="str">
        <f ca="1">IFERROR(__xludf.DUMMYFUNCTION("""COMPUTED_VALUE"""),"D-139 Parandeh Abi")</f>
        <v>D-139 Parandeh Abi</v>
      </c>
      <c r="D723" s="5" t="str">
        <f ca="1">IFERROR(__xludf.DUMMYFUNCTION("""COMPUTED_VALUE"""),"LandPlane")</f>
        <v>LandPlane</v>
      </c>
      <c r="E723" s="5" t="str">
        <f ca="1">IFERROR(__xludf.DUMMYFUNCTION("""COMPUTED_VALUE"""),"Piston")</f>
        <v>Piston</v>
      </c>
      <c r="F723" s="5">
        <f ca="1">IFERROR(__xludf.DUMMYFUNCTION("""COMPUTED_VALUE"""),1)</f>
        <v>1</v>
      </c>
    </row>
    <row r="724" spans="1:6" ht="15" customHeight="1" x14ac:dyDescent="0.2">
      <c r="A724" s="5" t="str">
        <f ca="1">IFERROR(__xludf.DUMMYFUNCTION("""COMPUTED_VALUE"""),"D140")</f>
        <v>D140</v>
      </c>
      <c r="B724" s="5" t="str">
        <f ca="1">IFERROR(__xludf.DUMMYFUNCTION("""COMPUTED_VALUE"""),"JODEL")</f>
        <v>JODEL</v>
      </c>
      <c r="C724" s="5" t="str">
        <f ca="1">IFERROR(__xludf.DUMMYFUNCTION("""COMPUTED_VALUE"""),"D-140 Mousquetaire")</f>
        <v>D-140 Mousquetaire</v>
      </c>
      <c r="D724" s="5" t="str">
        <f ca="1">IFERROR(__xludf.DUMMYFUNCTION("""COMPUTED_VALUE"""),"LandPlane")</f>
        <v>LandPlane</v>
      </c>
      <c r="E724" s="5" t="str">
        <f ca="1">IFERROR(__xludf.DUMMYFUNCTION("""COMPUTED_VALUE"""),"Piston")</f>
        <v>Piston</v>
      </c>
      <c r="F724" s="5">
        <f ca="1">IFERROR(__xludf.DUMMYFUNCTION("""COMPUTED_VALUE"""),1)</f>
        <v>1</v>
      </c>
    </row>
    <row r="725" spans="1:6" ht="15" customHeight="1" x14ac:dyDescent="0.2">
      <c r="A725" s="5" t="str">
        <f ca="1">IFERROR(__xludf.DUMMYFUNCTION("""COMPUTED_VALUE"""),"D150")</f>
        <v>D150</v>
      </c>
      <c r="B725" s="5" t="str">
        <f ca="1">IFERROR(__xludf.DUMMYFUNCTION("""COMPUTED_VALUE"""),"JODEL")</f>
        <v>JODEL</v>
      </c>
      <c r="C725" s="5" t="str">
        <f ca="1">IFERROR(__xludf.DUMMYFUNCTION("""COMPUTED_VALUE"""),"D-150 Mascaret")</f>
        <v>D-150 Mascaret</v>
      </c>
      <c r="D725" s="5" t="str">
        <f ca="1">IFERROR(__xludf.DUMMYFUNCTION("""COMPUTED_VALUE"""),"LandPlane")</f>
        <v>LandPlane</v>
      </c>
      <c r="E725" s="5" t="str">
        <f ca="1">IFERROR(__xludf.DUMMYFUNCTION("""COMPUTED_VALUE"""),"Piston")</f>
        <v>Piston</v>
      </c>
      <c r="F725" s="5">
        <f ca="1">IFERROR(__xludf.DUMMYFUNCTION("""COMPUTED_VALUE"""),1)</f>
        <v>1</v>
      </c>
    </row>
    <row r="726" spans="1:6" ht="15" customHeight="1" x14ac:dyDescent="0.2">
      <c r="A726" s="5" t="str">
        <f ca="1">IFERROR(__xludf.DUMMYFUNCTION("""COMPUTED_VALUE"""),"D150")</f>
        <v>D150</v>
      </c>
      <c r="B726" s="5" t="str">
        <f ca="1">IFERROR(__xludf.DUMMYFUNCTION("""COMPUTED_VALUE"""),"SAN")</f>
        <v>SAN</v>
      </c>
      <c r="C726" s="5" t="str">
        <f ca="1">IFERROR(__xludf.DUMMYFUNCTION("""COMPUTED_VALUE"""),"D-150 Mascaret")</f>
        <v>D-150 Mascaret</v>
      </c>
      <c r="D726" s="5" t="str">
        <f ca="1">IFERROR(__xludf.DUMMYFUNCTION("""COMPUTED_VALUE"""),"LandPlane")</f>
        <v>LandPlane</v>
      </c>
      <c r="E726" s="5" t="str">
        <f ca="1">IFERROR(__xludf.DUMMYFUNCTION("""COMPUTED_VALUE"""),"Piston")</f>
        <v>Piston</v>
      </c>
      <c r="F726" s="5">
        <f ca="1">IFERROR(__xludf.DUMMYFUNCTION("""COMPUTED_VALUE"""),1)</f>
        <v>1</v>
      </c>
    </row>
    <row r="727" spans="1:6" ht="15" customHeight="1" x14ac:dyDescent="0.2">
      <c r="A727" s="5" t="str">
        <f ca="1">IFERROR(__xludf.DUMMYFUNCTION("""COMPUTED_VALUE"""),"D18")</f>
        <v>D18</v>
      </c>
      <c r="B727" s="5" t="str">
        <f ca="1">IFERROR(__xludf.DUMMYFUNCTION("""COMPUTED_VALUE"""),"JODEL")</f>
        <v>JODEL</v>
      </c>
      <c r="C727" s="5" t="str">
        <f ca="1">IFERROR(__xludf.DUMMYFUNCTION("""COMPUTED_VALUE"""),"D-18")</f>
        <v>D-18</v>
      </c>
      <c r="D727" s="5" t="str">
        <f ca="1">IFERROR(__xludf.DUMMYFUNCTION("""COMPUTED_VALUE"""),"LandPlane")</f>
        <v>LandPlane</v>
      </c>
      <c r="E727" s="5" t="str">
        <f ca="1">IFERROR(__xludf.DUMMYFUNCTION("""COMPUTED_VALUE"""),"Piston")</f>
        <v>Piston</v>
      </c>
      <c r="F727" s="5">
        <f ca="1">IFERROR(__xludf.DUMMYFUNCTION("""COMPUTED_VALUE"""),1)</f>
        <v>1</v>
      </c>
    </row>
    <row r="728" spans="1:6" ht="15" customHeight="1" x14ac:dyDescent="0.2">
      <c r="A728" s="5" t="str">
        <f ca="1">IFERROR(__xludf.DUMMYFUNCTION("""COMPUTED_VALUE"""),"D201")</f>
        <v>D201</v>
      </c>
      <c r="B728" s="5" t="str">
        <f ca="1">IFERROR(__xludf.DUMMYFUNCTION("""COMPUTED_VALUE"""),"D'APUZZO")</f>
        <v>D'APUZZO</v>
      </c>
      <c r="C728" s="5" t="str">
        <f ca="1">IFERROR(__xludf.DUMMYFUNCTION("""COMPUTED_VALUE"""),"D-201 Sportwing")</f>
        <v>D-201 Sportwing</v>
      </c>
      <c r="D728" s="5" t="str">
        <f ca="1">IFERROR(__xludf.DUMMYFUNCTION("""COMPUTED_VALUE"""),"LandPlane")</f>
        <v>LandPlane</v>
      </c>
      <c r="E728" s="5" t="str">
        <f ca="1">IFERROR(__xludf.DUMMYFUNCTION("""COMPUTED_VALUE"""),"Piston")</f>
        <v>Piston</v>
      </c>
      <c r="F728" s="5">
        <f ca="1">IFERROR(__xludf.DUMMYFUNCTION("""COMPUTED_VALUE"""),1)</f>
        <v>1</v>
      </c>
    </row>
    <row r="729" spans="1:6" ht="15" customHeight="1" x14ac:dyDescent="0.2">
      <c r="A729" s="5" t="str">
        <f ca="1">IFERROR(__xludf.DUMMYFUNCTION("""COMPUTED_VALUE"""),"D21")</f>
        <v>D21</v>
      </c>
      <c r="B729" s="5" t="str">
        <f ca="1">IFERROR(__xludf.DUMMYFUNCTION("""COMPUTED_VALUE"""),"FOKKER")</f>
        <v>FOKKER</v>
      </c>
      <c r="C729" s="5" t="str">
        <f ca="1">IFERROR(__xludf.DUMMYFUNCTION("""COMPUTED_VALUE"""),"D-21 Replica")</f>
        <v>D-21 Replica</v>
      </c>
      <c r="D729" s="5" t="str">
        <f ca="1">IFERROR(__xludf.DUMMYFUNCTION("""COMPUTED_VALUE"""),"LandPlane")</f>
        <v>LandPlane</v>
      </c>
      <c r="E729" s="5" t="str">
        <f ca="1">IFERROR(__xludf.DUMMYFUNCTION("""COMPUTED_VALUE"""),"Piston")</f>
        <v>Piston</v>
      </c>
      <c r="F729" s="5">
        <f ca="1">IFERROR(__xludf.DUMMYFUNCTION("""COMPUTED_VALUE"""),1)</f>
        <v>1</v>
      </c>
    </row>
    <row r="730" spans="1:6" ht="15" customHeight="1" x14ac:dyDescent="0.2">
      <c r="A730" s="5" t="str">
        <f ca="1">IFERROR(__xludf.DUMMYFUNCTION("""COMPUTED_VALUE"""),"D228")</f>
        <v>D228</v>
      </c>
      <c r="B730" s="5" t="str">
        <f ca="1">IFERROR(__xludf.DUMMYFUNCTION("""COMPUTED_VALUE"""),"DORNIER")</f>
        <v>DORNIER</v>
      </c>
      <c r="C730" s="5" t="str">
        <f ca="1">IFERROR(__xludf.DUMMYFUNCTION("""COMPUTED_VALUE"""),"228")</f>
        <v>228</v>
      </c>
      <c r="D730" s="5" t="str">
        <f ca="1">IFERROR(__xludf.DUMMYFUNCTION("""COMPUTED_VALUE"""),"LandPlane")</f>
        <v>LandPlane</v>
      </c>
      <c r="E730" s="5" t="str">
        <f ca="1">IFERROR(__xludf.DUMMYFUNCTION("""COMPUTED_VALUE"""),"Turboprop/Turboshaft")</f>
        <v>Turboprop/Turboshaft</v>
      </c>
      <c r="F730" s="5">
        <f ca="1">IFERROR(__xludf.DUMMYFUNCTION("""COMPUTED_VALUE"""),2)</f>
        <v>2</v>
      </c>
    </row>
    <row r="731" spans="1:6" ht="15" customHeight="1" x14ac:dyDescent="0.2">
      <c r="A731" s="5" t="str">
        <f ca="1">IFERROR(__xludf.DUMMYFUNCTION("""COMPUTED_VALUE"""),"D25")</f>
        <v>D25</v>
      </c>
      <c r="B731" s="5" t="str">
        <f ca="1">IFERROR(__xludf.DUMMYFUNCTION("""COMPUTED_VALUE"""),"NEW STANDARD")</f>
        <v>NEW STANDARD</v>
      </c>
      <c r="C731" s="5" t="str">
        <f ca="1">IFERROR(__xludf.DUMMYFUNCTION("""COMPUTED_VALUE"""),"D-25")</f>
        <v>D-25</v>
      </c>
      <c r="D731" s="5" t="str">
        <f ca="1">IFERROR(__xludf.DUMMYFUNCTION("""COMPUTED_VALUE"""),"LandPlane")</f>
        <v>LandPlane</v>
      </c>
      <c r="E731" s="5" t="str">
        <f ca="1">IFERROR(__xludf.DUMMYFUNCTION("""COMPUTED_VALUE"""),"Piston")</f>
        <v>Piston</v>
      </c>
      <c r="F731" s="5">
        <f ca="1">IFERROR(__xludf.DUMMYFUNCTION("""COMPUTED_VALUE"""),1)</f>
        <v>1</v>
      </c>
    </row>
    <row r="732" spans="1:6" ht="15" customHeight="1" x14ac:dyDescent="0.2">
      <c r="A732" s="5" t="str">
        <f ca="1">IFERROR(__xludf.DUMMYFUNCTION("""COMPUTED_VALUE"""),"D250")</f>
        <v>D250</v>
      </c>
      <c r="B732" s="5" t="str">
        <f ca="1">IFERROR(__xludf.DUMMYFUNCTION("""COMPUTED_VALUE"""),"CENTRE EST")</f>
        <v>CENTRE EST</v>
      </c>
      <c r="C732" s="5" t="str">
        <f ca="1">IFERROR(__xludf.DUMMYFUNCTION("""COMPUTED_VALUE"""),"DR-250 Capitaine")</f>
        <v>DR-250 Capitaine</v>
      </c>
      <c r="D732" s="5" t="str">
        <f ca="1">IFERROR(__xludf.DUMMYFUNCTION("""COMPUTED_VALUE"""),"LandPlane")</f>
        <v>LandPlane</v>
      </c>
      <c r="E732" s="5" t="str">
        <f ca="1">IFERROR(__xludf.DUMMYFUNCTION("""COMPUTED_VALUE"""),"Piston")</f>
        <v>Piston</v>
      </c>
      <c r="F732" s="5">
        <f ca="1">IFERROR(__xludf.DUMMYFUNCTION("""COMPUTED_VALUE"""),1)</f>
        <v>1</v>
      </c>
    </row>
    <row r="733" spans="1:6" ht="15" customHeight="1" x14ac:dyDescent="0.2">
      <c r="A733" s="5" t="str">
        <f ca="1">IFERROR(__xludf.DUMMYFUNCTION("""COMPUTED_VALUE"""),"D253")</f>
        <v>D253</v>
      </c>
      <c r="B733" s="5" t="str">
        <f ca="1">IFERROR(__xludf.DUMMYFUNCTION("""COMPUTED_VALUE"""),"CENTRE EST")</f>
        <v>CENTRE EST</v>
      </c>
      <c r="C733" s="5" t="str">
        <f ca="1">IFERROR(__xludf.DUMMYFUNCTION("""COMPUTED_VALUE"""),"DR-253 Regent")</f>
        <v>DR-253 Regent</v>
      </c>
      <c r="D733" s="5" t="str">
        <f ca="1">IFERROR(__xludf.DUMMYFUNCTION("""COMPUTED_VALUE"""),"LandPlane")</f>
        <v>LandPlane</v>
      </c>
      <c r="E733" s="5" t="str">
        <f ca="1">IFERROR(__xludf.DUMMYFUNCTION("""COMPUTED_VALUE"""),"Piston")</f>
        <v>Piston</v>
      </c>
      <c r="F733" s="5">
        <f ca="1">IFERROR(__xludf.DUMMYFUNCTION("""COMPUTED_VALUE"""),1)</f>
        <v>1</v>
      </c>
    </row>
    <row r="734" spans="1:6" ht="15" customHeight="1" x14ac:dyDescent="0.2">
      <c r="A734" s="5" t="str">
        <f ca="1">IFERROR(__xludf.DUMMYFUNCTION("""COMPUTED_VALUE"""),"D28D")</f>
        <v>D28D</v>
      </c>
      <c r="B734" s="5" t="str">
        <f ca="1">IFERROR(__xludf.DUMMYFUNCTION("""COMPUTED_VALUE"""),"DORNIER")</f>
        <v>DORNIER</v>
      </c>
      <c r="C734" s="5" t="str">
        <f ca="1">IFERROR(__xludf.DUMMYFUNCTION("""COMPUTED_VALUE"""),"Do-28D Skyservant")</f>
        <v>Do-28D Skyservant</v>
      </c>
      <c r="D734" s="5" t="str">
        <f ca="1">IFERROR(__xludf.DUMMYFUNCTION("""COMPUTED_VALUE"""),"LandPlane")</f>
        <v>LandPlane</v>
      </c>
      <c r="E734" s="5" t="str">
        <f ca="1">IFERROR(__xludf.DUMMYFUNCTION("""COMPUTED_VALUE"""),"Piston")</f>
        <v>Piston</v>
      </c>
      <c r="F734" s="5">
        <f ca="1">IFERROR(__xludf.DUMMYFUNCTION("""COMPUTED_VALUE"""),2)</f>
        <v>2</v>
      </c>
    </row>
    <row r="735" spans="1:6" ht="15" customHeight="1" x14ac:dyDescent="0.2">
      <c r="A735" s="5" t="str">
        <f ca="1">IFERROR(__xludf.DUMMYFUNCTION("""COMPUTED_VALUE"""),"D28T")</f>
        <v>D28T</v>
      </c>
      <c r="B735" s="5" t="str">
        <f ca="1">IFERROR(__xludf.DUMMYFUNCTION("""COMPUTED_VALUE"""),"DORNIER")</f>
        <v>DORNIER</v>
      </c>
      <c r="C735" s="5" t="str">
        <f ca="1">IFERROR(__xludf.DUMMYFUNCTION("""COMPUTED_VALUE"""),"Do-28D-6 Turbo Skyservant")</f>
        <v>Do-28D-6 Turbo Skyservant</v>
      </c>
      <c r="D735" s="5" t="str">
        <f ca="1">IFERROR(__xludf.DUMMYFUNCTION("""COMPUTED_VALUE"""),"LandPlane")</f>
        <v>LandPlane</v>
      </c>
      <c r="E735" s="5" t="str">
        <f ca="1">IFERROR(__xludf.DUMMYFUNCTION("""COMPUTED_VALUE"""),"Turboprop/Turboshaft")</f>
        <v>Turboprop/Turboshaft</v>
      </c>
      <c r="F735" s="5">
        <f ca="1">IFERROR(__xludf.DUMMYFUNCTION("""COMPUTED_VALUE"""),2)</f>
        <v>2</v>
      </c>
    </row>
    <row r="736" spans="1:6" ht="15" customHeight="1" x14ac:dyDescent="0.2">
      <c r="A736" s="5" t="str">
        <f ca="1">IFERROR(__xludf.DUMMYFUNCTION("""COMPUTED_VALUE"""),"D31")</f>
        <v>D31</v>
      </c>
      <c r="B736" s="5" t="str">
        <f ca="1">IFERROR(__xludf.DUMMYFUNCTION("""COMPUTED_VALUE"""),"DRUINE")</f>
        <v>DRUINE</v>
      </c>
      <c r="C736" s="5" t="str">
        <f ca="1">IFERROR(__xludf.DUMMYFUNCTION("""COMPUTED_VALUE"""),"D-31 Turbulent")</f>
        <v>D-31 Turbulent</v>
      </c>
      <c r="D736" s="5" t="str">
        <f ca="1">IFERROR(__xludf.DUMMYFUNCTION("""COMPUTED_VALUE"""),"LandPlane")</f>
        <v>LandPlane</v>
      </c>
      <c r="E736" s="5" t="str">
        <f ca="1">IFERROR(__xludf.DUMMYFUNCTION("""COMPUTED_VALUE"""),"Piston")</f>
        <v>Piston</v>
      </c>
      <c r="F736" s="5">
        <f ca="1">IFERROR(__xludf.DUMMYFUNCTION("""COMPUTED_VALUE"""),1)</f>
        <v>1</v>
      </c>
    </row>
    <row r="737" spans="1:6" ht="15" customHeight="1" x14ac:dyDescent="0.2">
      <c r="A737" s="5" t="str">
        <f ca="1">IFERROR(__xludf.DUMMYFUNCTION("""COMPUTED_VALUE"""),"D328")</f>
        <v>D328</v>
      </c>
      <c r="B737" s="5" t="str">
        <f ca="1">IFERROR(__xludf.DUMMYFUNCTION("""COMPUTED_VALUE"""),"DORNIER")</f>
        <v>DORNIER</v>
      </c>
      <c r="C737" s="5" t="str">
        <f ca="1">IFERROR(__xludf.DUMMYFUNCTION("""COMPUTED_VALUE"""),"328")</f>
        <v>328</v>
      </c>
      <c r="D737" s="5" t="str">
        <f ca="1">IFERROR(__xludf.DUMMYFUNCTION("""COMPUTED_VALUE"""),"LandPlane")</f>
        <v>LandPlane</v>
      </c>
      <c r="E737" s="5" t="str">
        <f ca="1">IFERROR(__xludf.DUMMYFUNCTION("""COMPUTED_VALUE"""),"Turboprop/Turboshaft")</f>
        <v>Turboprop/Turboshaft</v>
      </c>
      <c r="F737" s="5">
        <f ca="1">IFERROR(__xludf.DUMMYFUNCTION("""COMPUTED_VALUE"""),2)</f>
        <v>2</v>
      </c>
    </row>
    <row r="738" spans="1:6" ht="15" customHeight="1" x14ac:dyDescent="0.2">
      <c r="A738" s="5" t="str">
        <f ca="1">IFERROR(__xludf.DUMMYFUNCTION("""COMPUTED_VALUE"""),"D39")</f>
        <v>D39</v>
      </c>
      <c r="B738" s="5" t="str">
        <f ca="1">IFERROR(__xludf.DUMMYFUNCTION("""COMPUTED_VALUE"""),"AKAFLIEG DARMSTADT")</f>
        <v>AKAFLIEG DARMSTADT</v>
      </c>
      <c r="C738" s="5" t="str">
        <f ca="1">IFERROR(__xludf.DUMMYFUNCTION("""COMPUTED_VALUE"""),"D-39")</f>
        <v>D-39</v>
      </c>
      <c r="D738" s="5" t="str">
        <f ca="1">IFERROR(__xludf.DUMMYFUNCTION("""COMPUTED_VALUE"""),"LandPlane")</f>
        <v>LandPlane</v>
      </c>
      <c r="E738" s="5" t="str">
        <f ca="1">IFERROR(__xludf.DUMMYFUNCTION("""COMPUTED_VALUE"""),"Piston")</f>
        <v>Piston</v>
      </c>
      <c r="F738" s="5">
        <f ca="1">IFERROR(__xludf.DUMMYFUNCTION("""COMPUTED_VALUE"""),1)</f>
        <v>1</v>
      </c>
    </row>
    <row r="739" spans="1:6" ht="15" customHeight="1" x14ac:dyDescent="0.2">
      <c r="A739" s="5" t="str">
        <f ca="1">IFERROR(__xludf.DUMMYFUNCTION("""COMPUTED_VALUE"""),"D4")</f>
        <v>D4</v>
      </c>
      <c r="B739" s="5" t="str">
        <f ca="1">IFERROR(__xludf.DUMMYFUNCTION("""COMPUTED_VALUE"""),"AUSTER")</f>
        <v>AUSTER</v>
      </c>
      <c r="C739" s="5" t="str">
        <f ca="1">IFERROR(__xludf.DUMMYFUNCTION("""COMPUTED_VALUE"""),"D-4")</f>
        <v>D-4</v>
      </c>
      <c r="D739" s="5" t="str">
        <f ca="1">IFERROR(__xludf.DUMMYFUNCTION("""COMPUTED_VALUE"""),"LandPlane")</f>
        <v>LandPlane</v>
      </c>
      <c r="E739" s="5" t="str">
        <f ca="1">IFERROR(__xludf.DUMMYFUNCTION("""COMPUTED_VALUE"""),"Piston")</f>
        <v>Piston</v>
      </c>
      <c r="F739" s="5">
        <f ca="1">IFERROR(__xludf.DUMMYFUNCTION("""COMPUTED_VALUE"""),1)</f>
        <v>1</v>
      </c>
    </row>
    <row r="740" spans="1:6" ht="15" customHeight="1" x14ac:dyDescent="0.2">
      <c r="A740" s="5" t="str">
        <f ca="1">IFERROR(__xludf.DUMMYFUNCTION("""COMPUTED_VALUE"""),"D5")</f>
        <v>D5</v>
      </c>
      <c r="B740" s="5" t="str">
        <f ca="1">IFERROR(__xludf.DUMMYFUNCTION("""COMPUTED_VALUE"""),"AUSTER")</f>
        <v>AUSTER</v>
      </c>
      <c r="C740" s="5" t="str">
        <f ca="1">IFERROR(__xludf.DUMMYFUNCTION("""COMPUTED_VALUE"""),"D-5")</f>
        <v>D-5</v>
      </c>
      <c r="D740" s="5" t="str">
        <f ca="1">IFERROR(__xludf.DUMMYFUNCTION("""COMPUTED_VALUE"""),"LandPlane")</f>
        <v>LandPlane</v>
      </c>
      <c r="E740" s="5" t="str">
        <f ca="1">IFERROR(__xludf.DUMMYFUNCTION("""COMPUTED_VALUE"""),"Piston")</f>
        <v>Piston</v>
      </c>
      <c r="F740" s="5">
        <f ca="1">IFERROR(__xludf.DUMMYFUNCTION("""COMPUTED_VALUE"""),1)</f>
        <v>1</v>
      </c>
    </row>
    <row r="741" spans="1:6" ht="15" customHeight="1" x14ac:dyDescent="0.2">
      <c r="A741" s="5" t="str">
        <f ca="1">IFERROR(__xludf.DUMMYFUNCTION("""COMPUTED_VALUE"""),"D5TU")</f>
        <v>D5TU</v>
      </c>
      <c r="B741" s="5" t="str">
        <f ca="1">IFERROR(__xludf.DUMMYFUNCTION("""COMPUTED_VALUE"""),"DRUINE")</f>
        <v>DRUINE</v>
      </c>
      <c r="C741" s="5" t="str">
        <f ca="1">IFERROR(__xludf.DUMMYFUNCTION("""COMPUTED_VALUE"""),"D-5 Turbi")</f>
        <v>D-5 Turbi</v>
      </c>
      <c r="D741" s="5" t="str">
        <f ca="1">IFERROR(__xludf.DUMMYFUNCTION("""COMPUTED_VALUE"""),"LandPlane")</f>
        <v>LandPlane</v>
      </c>
      <c r="E741" s="5" t="str">
        <f ca="1">IFERROR(__xludf.DUMMYFUNCTION("""COMPUTED_VALUE"""),"Piston")</f>
        <v>Piston</v>
      </c>
      <c r="F741" s="5">
        <f ca="1">IFERROR(__xludf.DUMMYFUNCTION("""COMPUTED_VALUE"""),1)</f>
        <v>1</v>
      </c>
    </row>
    <row r="742" spans="1:6" ht="15" customHeight="1" x14ac:dyDescent="0.2">
      <c r="A742" s="5" t="str">
        <f ca="1">IFERROR(__xludf.DUMMYFUNCTION("""COMPUTED_VALUE"""),"D6")</f>
        <v>D6</v>
      </c>
      <c r="B742" s="5" t="str">
        <f ca="1">IFERROR(__xludf.DUMMYFUNCTION("""COMPUTED_VALUE"""),"AUSTER")</f>
        <v>AUSTER</v>
      </c>
      <c r="C742" s="5" t="str">
        <f ca="1">IFERROR(__xludf.DUMMYFUNCTION("""COMPUTED_VALUE"""),"D-6")</f>
        <v>D-6</v>
      </c>
      <c r="D742" s="5" t="str">
        <f ca="1">IFERROR(__xludf.DUMMYFUNCTION("""COMPUTED_VALUE"""),"LandPlane")</f>
        <v>LandPlane</v>
      </c>
      <c r="E742" s="5" t="str">
        <f ca="1">IFERROR(__xludf.DUMMYFUNCTION("""COMPUTED_VALUE"""),"Piston")</f>
        <v>Piston</v>
      </c>
      <c r="F742" s="5">
        <f ca="1">IFERROR(__xludf.DUMMYFUNCTION("""COMPUTED_VALUE"""),1)</f>
        <v>1</v>
      </c>
    </row>
    <row r="743" spans="1:6" ht="15" customHeight="1" x14ac:dyDescent="0.2">
      <c r="A743" s="5" t="str">
        <f ca="1">IFERROR(__xludf.DUMMYFUNCTION("""COMPUTED_VALUE"""),"D6CR")</f>
        <v>D6CR</v>
      </c>
      <c r="B743" s="5" t="str">
        <f ca="1">IFERROR(__xludf.DUMMYFUNCTION("""COMPUTED_VALUE"""),"DRUINE")</f>
        <v>DRUINE</v>
      </c>
      <c r="C743" s="5" t="str">
        <f ca="1">IFERROR(__xludf.DUMMYFUNCTION("""COMPUTED_VALUE"""),"D-60 Condor")</f>
        <v>D-60 Condor</v>
      </c>
      <c r="D743" s="5" t="str">
        <f ca="1">IFERROR(__xludf.DUMMYFUNCTION("""COMPUTED_VALUE"""),"LandPlane")</f>
        <v>LandPlane</v>
      </c>
      <c r="E743" s="5" t="str">
        <f ca="1">IFERROR(__xludf.DUMMYFUNCTION("""COMPUTED_VALUE"""),"Piston")</f>
        <v>Piston</v>
      </c>
      <c r="F743" s="5">
        <f ca="1">IFERROR(__xludf.DUMMYFUNCTION("""COMPUTED_VALUE"""),1)</f>
        <v>1</v>
      </c>
    </row>
    <row r="744" spans="1:6" ht="15" customHeight="1" x14ac:dyDescent="0.2">
      <c r="A744" s="5" t="str">
        <f ca="1">IFERROR(__xludf.DUMMYFUNCTION("""COMPUTED_VALUE"""),"D7")</f>
        <v>D7</v>
      </c>
      <c r="B744" s="5" t="str">
        <f ca="1">IFERROR(__xludf.DUMMYFUNCTION("""COMPUTED_VALUE"""),"FOKKER")</f>
        <v>FOKKER</v>
      </c>
      <c r="C744" s="5" t="str">
        <f ca="1">IFERROR(__xludf.DUMMYFUNCTION("""COMPUTED_VALUE"""),"D-7 Replica")</f>
        <v>D-7 Replica</v>
      </c>
      <c r="D744" s="5" t="str">
        <f ca="1">IFERROR(__xludf.DUMMYFUNCTION("""COMPUTED_VALUE"""),"LandPlane")</f>
        <v>LandPlane</v>
      </c>
      <c r="E744" s="5" t="str">
        <f ca="1">IFERROR(__xludf.DUMMYFUNCTION("""COMPUTED_VALUE"""),"Piston")</f>
        <v>Piston</v>
      </c>
      <c r="F744" s="5">
        <f ca="1">IFERROR(__xludf.DUMMYFUNCTION("""COMPUTED_VALUE"""),1)</f>
        <v>1</v>
      </c>
    </row>
    <row r="745" spans="1:6" ht="15" customHeight="1" x14ac:dyDescent="0.2">
      <c r="A745" s="5" t="str">
        <f ca="1">IFERROR(__xludf.DUMMYFUNCTION("""COMPUTED_VALUE"""),"D8")</f>
        <v>D8</v>
      </c>
      <c r="B745" s="5" t="str">
        <f ca="1">IFERROR(__xludf.DUMMYFUNCTION("""COMPUTED_VALUE"""),"FOKKER")</f>
        <v>FOKKER</v>
      </c>
      <c r="C745" s="5" t="str">
        <f ca="1">IFERROR(__xludf.DUMMYFUNCTION("""COMPUTED_VALUE"""),"D-8 Replica")</f>
        <v>D-8 Replica</v>
      </c>
      <c r="D745" s="5" t="str">
        <f ca="1">IFERROR(__xludf.DUMMYFUNCTION("""COMPUTED_VALUE"""),"LandPlane")</f>
        <v>LandPlane</v>
      </c>
      <c r="E745" s="5" t="str">
        <f ca="1">IFERROR(__xludf.DUMMYFUNCTION("""COMPUTED_VALUE"""),"Piston")</f>
        <v>Piston</v>
      </c>
      <c r="F745" s="5">
        <f ca="1">IFERROR(__xludf.DUMMYFUNCTION("""COMPUTED_VALUE"""),1)</f>
        <v>1</v>
      </c>
    </row>
    <row r="746" spans="1:6" ht="15" customHeight="1" x14ac:dyDescent="0.2">
      <c r="A746" s="5" t="str">
        <f ca="1">IFERROR(__xludf.DUMMYFUNCTION("""COMPUTED_VALUE"""),"DA2")</f>
        <v>DA2</v>
      </c>
      <c r="B746" s="5" t="str">
        <f ca="1">IFERROR(__xludf.DUMMYFUNCTION("""COMPUTED_VALUE"""),"DAVIS")</f>
        <v>DAVIS</v>
      </c>
      <c r="C746" s="5" t="str">
        <f ca="1">IFERROR(__xludf.DUMMYFUNCTION("""COMPUTED_VALUE"""),"DA-2")</f>
        <v>DA-2</v>
      </c>
      <c r="D746" s="5" t="str">
        <f ca="1">IFERROR(__xludf.DUMMYFUNCTION("""COMPUTED_VALUE"""),"LandPlane")</f>
        <v>LandPlane</v>
      </c>
      <c r="E746" s="5" t="str">
        <f ca="1">IFERROR(__xludf.DUMMYFUNCTION("""COMPUTED_VALUE"""),"Piston")</f>
        <v>Piston</v>
      </c>
      <c r="F746" s="5">
        <f ca="1">IFERROR(__xludf.DUMMYFUNCTION("""COMPUTED_VALUE"""),1)</f>
        <v>1</v>
      </c>
    </row>
    <row r="747" spans="1:6" ht="15" customHeight="1" x14ac:dyDescent="0.2">
      <c r="A747" s="5" t="str">
        <f ca="1">IFERROR(__xludf.DUMMYFUNCTION("""COMPUTED_VALUE"""),"DA36")</f>
        <v>DA36</v>
      </c>
      <c r="B747" s="5" t="str">
        <f ca="1">IFERROR(__xludf.DUMMYFUNCTION("""COMPUTED_VALUE"""),"DIAMOND")</f>
        <v>DIAMOND</v>
      </c>
      <c r="C747" s="5" t="str">
        <f ca="1">IFERROR(__xludf.DUMMYFUNCTION("""COMPUTED_VALUE"""),"DA-36 E-Star")</f>
        <v>DA-36 E-Star</v>
      </c>
      <c r="D747" s="5" t="str">
        <f ca="1">IFERROR(__xludf.DUMMYFUNCTION("""COMPUTED_VALUE"""),"LandPlane")</f>
        <v>LandPlane</v>
      </c>
      <c r="E747" s="5" t="str">
        <f ca="1">IFERROR(__xludf.DUMMYFUNCTION("""COMPUTED_VALUE"""),"Electric")</f>
        <v>Electric</v>
      </c>
      <c r="F747" s="5">
        <f ca="1">IFERROR(__xludf.DUMMYFUNCTION("""COMPUTED_VALUE"""),1)</f>
        <v>1</v>
      </c>
    </row>
    <row r="748" spans="1:6" ht="15" customHeight="1" x14ac:dyDescent="0.2">
      <c r="A748" s="5" t="str">
        <f ca="1">IFERROR(__xludf.DUMMYFUNCTION("""COMPUTED_VALUE"""),"DA40")</f>
        <v>DA40</v>
      </c>
      <c r="B748" s="5" t="str">
        <f ca="1">IFERROR(__xludf.DUMMYFUNCTION("""COMPUTED_VALUE"""),"DIAMOND")</f>
        <v>DIAMOND</v>
      </c>
      <c r="C748" s="5" t="str">
        <f ca="1">IFERROR(__xludf.DUMMYFUNCTION("""COMPUTED_VALUE"""),"DA-40 Diamond Star")</f>
        <v>DA-40 Diamond Star</v>
      </c>
      <c r="D748" s="5" t="str">
        <f ca="1">IFERROR(__xludf.DUMMYFUNCTION("""COMPUTED_VALUE"""),"LandPlane")</f>
        <v>LandPlane</v>
      </c>
      <c r="E748" s="5" t="str">
        <f ca="1">IFERROR(__xludf.DUMMYFUNCTION("""COMPUTED_VALUE"""),"Piston")</f>
        <v>Piston</v>
      </c>
      <c r="F748" s="5">
        <f ca="1">IFERROR(__xludf.DUMMYFUNCTION("""COMPUTED_VALUE"""),1)</f>
        <v>1</v>
      </c>
    </row>
    <row r="749" spans="1:6" ht="15" customHeight="1" x14ac:dyDescent="0.2">
      <c r="A749" s="5" t="str">
        <f ca="1">IFERROR(__xludf.DUMMYFUNCTION("""COMPUTED_VALUE"""),"DA42")</f>
        <v>DA42</v>
      </c>
      <c r="B749" s="5" t="str">
        <f ca="1">IFERROR(__xludf.DUMMYFUNCTION("""COMPUTED_VALUE"""),"DIAMOND")</f>
        <v>DIAMOND</v>
      </c>
      <c r="C749" s="5" t="str">
        <f ca="1">IFERROR(__xludf.DUMMYFUNCTION("""COMPUTED_VALUE"""),"DA-42 Twin Star")</f>
        <v>DA-42 Twin Star</v>
      </c>
      <c r="D749" s="5" t="str">
        <f ca="1">IFERROR(__xludf.DUMMYFUNCTION("""COMPUTED_VALUE"""),"LandPlane")</f>
        <v>LandPlane</v>
      </c>
      <c r="E749" s="5" t="str">
        <f ca="1">IFERROR(__xludf.DUMMYFUNCTION("""COMPUTED_VALUE"""),"Piston")</f>
        <v>Piston</v>
      </c>
      <c r="F749" s="5">
        <f ca="1">IFERROR(__xludf.DUMMYFUNCTION("""COMPUTED_VALUE"""),2)</f>
        <v>2</v>
      </c>
    </row>
    <row r="750" spans="1:6" ht="15" customHeight="1" x14ac:dyDescent="0.2">
      <c r="A750" s="5" t="str">
        <f ca="1">IFERROR(__xludf.DUMMYFUNCTION("""COMPUTED_VALUE"""),"DA5")</f>
        <v>DA5</v>
      </c>
      <c r="B750" s="5" t="str">
        <f ca="1">IFERROR(__xludf.DUMMYFUNCTION("""COMPUTED_VALUE"""),"DAVIS")</f>
        <v>DAVIS</v>
      </c>
      <c r="C750" s="5" t="str">
        <f ca="1">IFERROR(__xludf.DUMMYFUNCTION("""COMPUTED_VALUE"""),"DA-5")</f>
        <v>DA-5</v>
      </c>
      <c r="D750" s="5" t="str">
        <f ca="1">IFERROR(__xludf.DUMMYFUNCTION("""COMPUTED_VALUE"""),"LandPlane")</f>
        <v>LandPlane</v>
      </c>
      <c r="E750" s="5" t="str">
        <f ca="1">IFERROR(__xludf.DUMMYFUNCTION("""COMPUTED_VALUE"""),"Piston")</f>
        <v>Piston</v>
      </c>
      <c r="F750" s="5">
        <f ca="1">IFERROR(__xludf.DUMMYFUNCTION("""COMPUTED_VALUE"""),1)</f>
        <v>1</v>
      </c>
    </row>
    <row r="751" spans="1:6" ht="15" customHeight="1" x14ac:dyDescent="0.2">
      <c r="A751" s="5" t="str">
        <f ca="1">IFERROR(__xludf.DUMMYFUNCTION("""COMPUTED_VALUE"""),"DA50")</f>
        <v>DA50</v>
      </c>
      <c r="B751" s="5" t="str">
        <f ca="1">IFERROR(__xludf.DUMMYFUNCTION("""COMPUTED_VALUE"""),"DIAMOND")</f>
        <v>DIAMOND</v>
      </c>
      <c r="C751" s="5" t="str">
        <f ca="1">IFERROR(__xludf.DUMMYFUNCTION("""COMPUTED_VALUE"""),"DA-50 SuperStar")</f>
        <v>DA-50 SuperStar</v>
      </c>
      <c r="D751" s="5" t="str">
        <f ca="1">IFERROR(__xludf.DUMMYFUNCTION("""COMPUTED_VALUE"""),"LandPlane")</f>
        <v>LandPlane</v>
      </c>
      <c r="E751" s="5" t="str">
        <f ca="1">IFERROR(__xludf.DUMMYFUNCTION("""COMPUTED_VALUE"""),"Piston")</f>
        <v>Piston</v>
      </c>
      <c r="F751" s="5">
        <f ca="1">IFERROR(__xludf.DUMMYFUNCTION("""COMPUTED_VALUE"""),1)</f>
        <v>1</v>
      </c>
    </row>
    <row r="752" spans="1:6" ht="15" customHeight="1" x14ac:dyDescent="0.2">
      <c r="A752" s="5" t="str">
        <f ca="1">IFERROR(__xludf.DUMMYFUNCTION("""COMPUTED_VALUE"""),"DA62")</f>
        <v>DA62</v>
      </c>
      <c r="B752" s="5" t="str">
        <f ca="1">IFERROR(__xludf.DUMMYFUNCTION("""COMPUTED_VALUE"""),"DIAMOND")</f>
        <v>DIAMOND</v>
      </c>
      <c r="C752" s="5" t="str">
        <f ca="1">IFERROR(__xludf.DUMMYFUNCTION("""COMPUTED_VALUE"""),"DA-62")</f>
        <v>DA-62</v>
      </c>
      <c r="D752" s="5" t="str">
        <f ca="1">IFERROR(__xludf.DUMMYFUNCTION("""COMPUTED_VALUE"""),"LandPlane")</f>
        <v>LandPlane</v>
      </c>
      <c r="E752" s="5" t="str">
        <f ca="1">IFERROR(__xludf.DUMMYFUNCTION("""COMPUTED_VALUE"""),"Piston")</f>
        <v>Piston</v>
      </c>
      <c r="F752" s="5">
        <f ca="1">IFERROR(__xludf.DUMMYFUNCTION("""COMPUTED_VALUE"""),2)</f>
        <v>2</v>
      </c>
    </row>
    <row r="753" spans="1:6" ht="15" customHeight="1" x14ac:dyDescent="0.2">
      <c r="A753" s="5" t="str">
        <f ca="1">IFERROR(__xludf.DUMMYFUNCTION("""COMPUTED_VALUE"""),"DAHU")</f>
        <v>DAHU</v>
      </c>
      <c r="B753" s="5" t="str">
        <f ca="1">IFERROR(__xludf.DUMMYFUNCTION("""COMPUTED_VALUE"""),"PENA")</f>
        <v>PENA</v>
      </c>
      <c r="C753" s="5" t="str">
        <f ca="1">IFERROR(__xludf.DUMMYFUNCTION("""COMPUTED_VALUE"""),"Dahu")</f>
        <v>Dahu</v>
      </c>
      <c r="D753" s="5" t="str">
        <f ca="1">IFERROR(__xludf.DUMMYFUNCTION("""COMPUTED_VALUE"""),"LandPlane")</f>
        <v>LandPlane</v>
      </c>
      <c r="E753" s="5" t="str">
        <f ca="1">IFERROR(__xludf.DUMMYFUNCTION("""COMPUTED_VALUE"""),"Piston")</f>
        <v>Piston</v>
      </c>
      <c r="F753" s="5">
        <f ca="1">IFERROR(__xludf.DUMMYFUNCTION("""COMPUTED_VALUE"""),1)</f>
        <v>1</v>
      </c>
    </row>
    <row r="754" spans="1:6" ht="15" customHeight="1" x14ac:dyDescent="0.2">
      <c r="A754" s="5" t="str">
        <f ca="1">IFERROR(__xludf.DUMMYFUNCTION("""COMPUTED_VALUE"""),"DAKH")</f>
        <v>DAKH</v>
      </c>
      <c r="B754" s="5" t="str">
        <f ca="1">IFERROR(__xludf.DUMMYFUNCTION("""COMPUTED_VALUE"""),"FISHER")</f>
        <v>FISHER</v>
      </c>
      <c r="C754" s="5" t="str">
        <f ca="1">IFERROR(__xludf.DUMMYFUNCTION("""COMPUTED_VALUE"""),"Dakota Hawk")</f>
        <v>Dakota Hawk</v>
      </c>
      <c r="D754" s="5" t="str">
        <f ca="1">IFERROR(__xludf.DUMMYFUNCTION("""COMPUTED_VALUE"""),"LandPlane")</f>
        <v>LandPlane</v>
      </c>
      <c r="E754" s="5" t="str">
        <f ca="1">IFERROR(__xludf.DUMMYFUNCTION("""COMPUTED_VALUE"""),"Piston")</f>
        <v>Piston</v>
      </c>
      <c r="F754" s="5">
        <f ca="1">IFERROR(__xludf.DUMMYFUNCTION("""COMPUTED_VALUE"""),1)</f>
        <v>1</v>
      </c>
    </row>
    <row r="755" spans="1:6" ht="15" customHeight="1" x14ac:dyDescent="0.2">
      <c r="A755" s="5" t="str">
        <f ca="1">IFERROR(__xludf.DUMMYFUNCTION("""COMPUTED_VALUE"""),"DAL1")</f>
        <v>DAL1</v>
      </c>
      <c r="B755" s="5" t="str">
        <f ca="1">IFERROR(__xludf.DUMMYFUNCTION("""COMPUTED_VALUE"""),"SPEZIO")</f>
        <v>SPEZIO</v>
      </c>
      <c r="C755" s="5" t="str">
        <f ca="1">IFERROR(__xludf.DUMMYFUNCTION("""COMPUTED_VALUE"""),"DAL-1 Tuholer")</f>
        <v>DAL-1 Tuholer</v>
      </c>
      <c r="D755" s="5" t="str">
        <f ca="1">IFERROR(__xludf.DUMMYFUNCTION("""COMPUTED_VALUE"""),"LandPlane")</f>
        <v>LandPlane</v>
      </c>
      <c r="E755" s="5" t="str">
        <f ca="1">IFERROR(__xludf.DUMMYFUNCTION("""COMPUTED_VALUE"""),"Piston")</f>
        <v>Piston</v>
      </c>
      <c r="F755" s="5">
        <f ca="1">IFERROR(__xludf.DUMMYFUNCTION("""COMPUTED_VALUE"""),1)</f>
        <v>1</v>
      </c>
    </row>
    <row r="756" spans="1:6" ht="15" customHeight="1" x14ac:dyDescent="0.2">
      <c r="A756" s="5" t="str">
        <f ca="1">IFERROR(__xludf.DUMMYFUNCTION("""COMPUTED_VALUE"""),"DAL4")</f>
        <v>DAL4</v>
      </c>
      <c r="B756" s="5" t="str">
        <f ca="1">IFERROR(__xludf.DUMMYFUNCTION("""COMPUTED_VALUE"""),"DALLACH")</f>
        <v>DALLACH</v>
      </c>
      <c r="C756" s="5" t="str">
        <f ca="1">IFERROR(__xludf.DUMMYFUNCTION("""COMPUTED_VALUE"""),"D-4 Fascination")</f>
        <v>D-4 Fascination</v>
      </c>
      <c r="D756" s="5" t="str">
        <f ca="1">IFERROR(__xludf.DUMMYFUNCTION("""COMPUTED_VALUE"""),"LandPlane")</f>
        <v>LandPlane</v>
      </c>
      <c r="E756" s="5" t="str">
        <f ca="1">IFERROR(__xludf.DUMMYFUNCTION("""COMPUTED_VALUE"""),"Piston")</f>
        <v>Piston</v>
      </c>
      <c r="F756" s="5">
        <f ca="1">IFERROR(__xludf.DUMMYFUNCTION("""COMPUTED_VALUE"""),1)</f>
        <v>1</v>
      </c>
    </row>
    <row r="757" spans="1:6" ht="15" customHeight="1" x14ac:dyDescent="0.2">
      <c r="A757" s="5" t="str">
        <f ca="1">IFERROR(__xludf.DUMMYFUNCTION("""COMPUTED_VALUE"""),"DAL5")</f>
        <v>DAL5</v>
      </c>
      <c r="B757" s="5" t="str">
        <f ca="1">IFERROR(__xludf.DUMMYFUNCTION("""COMPUTED_VALUE"""),"DALLACH")</f>
        <v>DALLACH</v>
      </c>
      <c r="C757" s="5" t="str">
        <f ca="1">IFERROR(__xludf.DUMMYFUNCTION("""COMPUTED_VALUE"""),"D-5 Evolution")</f>
        <v>D-5 Evolution</v>
      </c>
      <c r="D757" s="5" t="str">
        <f ca="1">IFERROR(__xludf.DUMMYFUNCTION("""COMPUTED_VALUE"""),"LandPlane")</f>
        <v>LandPlane</v>
      </c>
      <c r="E757" s="5" t="str">
        <f ca="1">IFERROR(__xludf.DUMMYFUNCTION("""COMPUTED_VALUE"""),"Piston")</f>
        <v>Piston</v>
      </c>
      <c r="F757" s="5">
        <f ca="1">IFERROR(__xludf.DUMMYFUNCTION("""COMPUTED_VALUE"""),1)</f>
        <v>1</v>
      </c>
    </row>
    <row r="758" spans="1:6" ht="15" customHeight="1" x14ac:dyDescent="0.2">
      <c r="A758" s="5" t="str">
        <f ca="1">IFERROR(__xludf.DUMMYFUNCTION("""COMPUTED_VALUE"""),"DART")</f>
        <v>DART</v>
      </c>
      <c r="B758" s="5" t="str">
        <f ca="1">IFERROR(__xludf.DUMMYFUNCTION("""COMPUTED_VALUE"""),"PARRISH")</f>
        <v>PARRISH</v>
      </c>
      <c r="C758" s="5" t="str">
        <f ca="1">IFERROR(__xludf.DUMMYFUNCTION("""COMPUTED_VALUE"""),"Dart")</f>
        <v>Dart</v>
      </c>
      <c r="D758" s="5" t="str">
        <f ca="1">IFERROR(__xludf.DUMMYFUNCTION("""COMPUTED_VALUE"""),"LandPlane")</f>
        <v>LandPlane</v>
      </c>
      <c r="E758" s="5" t="str">
        <f ca="1">IFERROR(__xludf.DUMMYFUNCTION("""COMPUTED_VALUE"""),"Piston")</f>
        <v>Piston</v>
      </c>
      <c r="F758" s="5">
        <f ca="1">IFERROR(__xludf.DUMMYFUNCTION("""COMPUTED_VALUE"""),1)</f>
        <v>1</v>
      </c>
    </row>
    <row r="759" spans="1:6" ht="15" customHeight="1" x14ac:dyDescent="0.2">
      <c r="A759" s="5" t="str">
        <f ca="1">IFERROR(__xludf.DUMMYFUNCTION("""COMPUTED_VALUE"""),"DC10")</f>
        <v>DC10</v>
      </c>
      <c r="B759" s="5" t="str">
        <f ca="1">IFERROR(__xludf.DUMMYFUNCTION("""COMPUTED_VALUE"""),"MCDONNELL DOUGLAS")</f>
        <v>MCDONNELL DOUGLAS</v>
      </c>
      <c r="C759" s="5" t="str">
        <f ca="1">IFERROR(__xludf.DUMMYFUNCTION("""COMPUTED_VALUE"""),"DC-10")</f>
        <v>DC-10</v>
      </c>
      <c r="D759" s="5" t="str">
        <f ca="1">IFERROR(__xludf.DUMMYFUNCTION("""COMPUTED_VALUE"""),"LandPlane")</f>
        <v>LandPlane</v>
      </c>
      <c r="E759" s="5" t="str">
        <f ca="1">IFERROR(__xludf.DUMMYFUNCTION("""COMPUTED_VALUE"""),"Jet")</f>
        <v>Jet</v>
      </c>
      <c r="F759" s="5">
        <f ca="1">IFERROR(__xludf.DUMMYFUNCTION("""COMPUTED_VALUE"""),3)</f>
        <v>3</v>
      </c>
    </row>
    <row r="760" spans="1:6" ht="15" customHeight="1" x14ac:dyDescent="0.2">
      <c r="A760" s="5" t="str">
        <f ca="1">IFERROR(__xludf.DUMMYFUNCTION("""COMPUTED_VALUE"""),"DC2")</f>
        <v>DC2</v>
      </c>
      <c r="B760" s="5" t="str">
        <f ca="1">IFERROR(__xludf.DUMMYFUNCTION("""COMPUTED_VALUE"""),"DOUGLAS")</f>
        <v>DOUGLAS</v>
      </c>
      <c r="C760" s="5" t="str">
        <f ca="1">IFERROR(__xludf.DUMMYFUNCTION("""COMPUTED_VALUE"""),"DC-2")</f>
        <v>DC-2</v>
      </c>
      <c r="D760" s="5" t="str">
        <f ca="1">IFERROR(__xludf.DUMMYFUNCTION("""COMPUTED_VALUE"""),"LandPlane")</f>
        <v>LandPlane</v>
      </c>
      <c r="E760" s="5" t="str">
        <f ca="1">IFERROR(__xludf.DUMMYFUNCTION("""COMPUTED_VALUE"""),"Piston")</f>
        <v>Piston</v>
      </c>
      <c r="F760" s="5">
        <f ca="1">IFERROR(__xludf.DUMMYFUNCTION("""COMPUTED_VALUE"""),2)</f>
        <v>2</v>
      </c>
    </row>
    <row r="761" spans="1:6" ht="15" customHeight="1" x14ac:dyDescent="0.2">
      <c r="A761" s="5" t="str">
        <f ca="1">IFERROR(__xludf.DUMMYFUNCTION("""COMPUTED_VALUE"""),"DC3")</f>
        <v>DC3</v>
      </c>
      <c r="B761" s="5" t="str">
        <f ca="1">IFERROR(__xludf.DUMMYFUNCTION("""COMPUTED_VALUE"""),"DOUGLAS")</f>
        <v>DOUGLAS</v>
      </c>
      <c r="C761" s="5" t="str">
        <f ca="1">IFERROR(__xludf.DUMMYFUNCTION("""COMPUTED_VALUE"""),"DC-3")</f>
        <v>DC-3</v>
      </c>
      <c r="D761" s="5" t="str">
        <f ca="1">IFERROR(__xludf.DUMMYFUNCTION("""COMPUTED_VALUE"""),"LandPlane")</f>
        <v>LandPlane</v>
      </c>
      <c r="E761" s="5" t="str">
        <f ca="1">IFERROR(__xludf.DUMMYFUNCTION("""COMPUTED_VALUE"""),"Piston")</f>
        <v>Piston</v>
      </c>
      <c r="F761" s="5">
        <f ca="1">IFERROR(__xludf.DUMMYFUNCTION("""COMPUTED_VALUE"""),2)</f>
        <v>2</v>
      </c>
    </row>
    <row r="762" spans="1:6" ht="15" customHeight="1" x14ac:dyDescent="0.2">
      <c r="A762" s="5" t="str">
        <f ca="1">IFERROR(__xludf.DUMMYFUNCTION("""COMPUTED_VALUE"""),"DC3S")</f>
        <v>DC3S</v>
      </c>
      <c r="B762" s="5" t="str">
        <f ca="1">IFERROR(__xludf.DUMMYFUNCTION("""COMPUTED_VALUE"""),"DOUGLAS")</f>
        <v>DOUGLAS</v>
      </c>
      <c r="C762" s="5" t="str">
        <f ca="1">IFERROR(__xludf.DUMMYFUNCTION("""COMPUTED_VALUE"""),"Super DC-3")</f>
        <v>Super DC-3</v>
      </c>
      <c r="D762" s="5" t="str">
        <f ca="1">IFERROR(__xludf.DUMMYFUNCTION("""COMPUTED_VALUE"""),"LandPlane")</f>
        <v>LandPlane</v>
      </c>
      <c r="E762" s="5" t="str">
        <f ca="1">IFERROR(__xludf.DUMMYFUNCTION("""COMPUTED_VALUE"""),"Piston")</f>
        <v>Piston</v>
      </c>
      <c r="F762" s="5">
        <f ca="1">IFERROR(__xludf.DUMMYFUNCTION("""COMPUTED_VALUE"""),2)</f>
        <v>2</v>
      </c>
    </row>
    <row r="763" spans="1:6" ht="15" customHeight="1" x14ac:dyDescent="0.2">
      <c r="A763" s="5" t="str">
        <f ca="1">IFERROR(__xludf.DUMMYFUNCTION("""COMPUTED_VALUE"""),"DC3T")</f>
        <v>DC3T</v>
      </c>
      <c r="B763" s="5" t="str">
        <f ca="1">IFERROR(__xludf.DUMMYFUNCTION("""COMPUTED_VALUE"""),"BASLER")</f>
        <v>BASLER</v>
      </c>
      <c r="C763" s="5" t="str">
        <f ca="1">IFERROR(__xludf.DUMMYFUNCTION("""COMPUTED_VALUE"""),"BT-67 Turbo 67")</f>
        <v>BT-67 Turbo 67</v>
      </c>
      <c r="D763" s="5" t="str">
        <f ca="1">IFERROR(__xludf.DUMMYFUNCTION("""COMPUTED_VALUE"""),"LandPlane")</f>
        <v>LandPlane</v>
      </c>
      <c r="E763" s="5" t="str">
        <f ca="1">IFERROR(__xludf.DUMMYFUNCTION("""COMPUTED_VALUE"""),"Turboprop/Turboshaft")</f>
        <v>Turboprop/Turboshaft</v>
      </c>
      <c r="F763" s="5">
        <f ca="1">IFERROR(__xludf.DUMMYFUNCTION("""COMPUTED_VALUE"""),2)</f>
        <v>2</v>
      </c>
    </row>
    <row r="764" spans="1:6" ht="15" customHeight="1" x14ac:dyDescent="0.2">
      <c r="A764" s="5" t="str">
        <f ca="1">IFERROR(__xludf.DUMMYFUNCTION("""COMPUTED_VALUE"""),"DC4")</f>
        <v>DC4</v>
      </c>
      <c r="B764" s="5" t="str">
        <f ca="1">IFERROR(__xludf.DUMMYFUNCTION("""COMPUTED_VALUE"""),"DOUGLAS")</f>
        <v>DOUGLAS</v>
      </c>
      <c r="C764" s="5" t="str">
        <f ca="1">IFERROR(__xludf.DUMMYFUNCTION("""COMPUTED_VALUE"""),"DC-4")</f>
        <v>DC-4</v>
      </c>
      <c r="D764" s="5" t="str">
        <f ca="1">IFERROR(__xludf.DUMMYFUNCTION("""COMPUTED_VALUE"""),"LandPlane")</f>
        <v>LandPlane</v>
      </c>
      <c r="E764" s="5" t="str">
        <f ca="1">IFERROR(__xludf.DUMMYFUNCTION("""COMPUTED_VALUE"""),"Piston")</f>
        <v>Piston</v>
      </c>
      <c r="F764" s="5">
        <f ca="1">IFERROR(__xludf.DUMMYFUNCTION("""COMPUTED_VALUE"""),4)</f>
        <v>4</v>
      </c>
    </row>
    <row r="765" spans="1:6" ht="15" customHeight="1" x14ac:dyDescent="0.2">
      <c r="A765" s="5" t="str">
        <f ca="1">IFERROR(__xludf.DUMMYFUNCTION("""COMPUTED_VALUE"""),"DC6")</f>
        <v>DC6</v>
      </c>
      <c r="B765" s="5" t="str">
        <f ca="1">IFERROR(__xludf.DUMMYFUNCTION("""COMPUTED_VALUE"""),"DOUGLAS")</f>
        <v>DOUGLAS</v>
      </c>
      <c r="C765" s="5" t="str">
        <f ca="1">IFERROR(__xludf.DUMMYFUNCTION("""COMPUTED_VALUE"""),"DC-6")</f>
        <v>DC-6</v>
      </c>
      <c r="D765" s="5" t="str">
        <f ca="1">IFERROR(__xludf.DUMMYFUNCTION("""COMPUTED_VALUE"""),"LandPlane")</f>
        <v>LandPlane</v>
      </c>
      <c r="E765" s="5" t="str">
        <f ca="1">IFERROR(__xludf.DUMMYFUNCTION("""COMPUTED_VALUE"""),"Piston")</f>
        <v>Piston</v>
      </c>
      <c r="F765" s="5">
        <f ca="1">IFERROR(__xludf.DUMMYFUNCTION("""COMPUTED_VALUE"""),4)</f>
        <v>4</v>
      </c>
    </row>
    <row r="766" spans="1:6" ht="15" customHeight="1" x14ac:dyDescent="0.2">
      <c r="A766" s="5" t="str">
        <f ca="1">IFERROR(__xludf.DUMMYFUNCTION("""COMPUTED_VALUE"""),"DC7")</f>
        <v>DC7</v>
      </c>
      <c r="B766" s="5" t="str">
        <f ca="1">IFERROR(__xludf.DUMMYFUNCTION("""COMPUTED_VALUE"""),"DOUGLAS")</f>
        <v>DOUGLAS</v>
      </c>
      <c r="C766" s="5" t="str">
        <f ca="1">IFERROR(__xludf.DUMMYFUNCTION("""COMPUTED_VALUE"""),"DC-7")</f>
        <v>DC-7</v>
      </c>
      <c r="D766" s="5" t="str">
        <f ca="1">IFERROR(__xludf.DUMMYFUNCTION("""COMPUTED_VALUE"""),"LandPlane")</f>
        <v>LandPlane</v>
      </c>
      <c r="E766" s="5" t="str">
        <f ca="1">IFERROR(__xludf.DUMMYFUNCTION("""COMPUTED_VALUE"""),"Piston")</f>
        <v>Piston</v>
      </c>
      <c r="F766" s="5">
        <f ca="1">IFERROR(__xludf.DUMMYFUNCTION("""COMPUTED_VALUE"""),4)</f>
        <v>4</v>
      </c>
    </row>
    <row r="767" spans="1:6" ht="15" customHeight="1" x14ac:dyDescent="0.2">
      <c r="A767" s="5" t="str">
        <f ca="1">IFERROR(__xludf.DUMMYFUNCTION("""COMPUTED_VALUE"""),"DC85")</f>
        <v>DC85</v>
      </c>
      <c r="B767" s="5" t="str">
        <f ca="1">IFERROR(__xludf.DUMMYFUNCTION("""COMPUTED_VALUE"""),"MCDONNELL DOUGLAS")</f>
        <v>MCDONNELL DOUGLAS</v>
      </c>
      <c r="C767" s="5" t="str">
        <f ca="1">IFERROR(__xludf.DUMMYFUNCTION("""COMPUTED_VALUE"""),"DC-8-50")</f>
        <v>DC-8-50</v>
      </c>
      <c r="D767" s="5" t="str">
        <f ca="1">IFERROR(__xludf.DUMMYFUNCTION("""COMPUTED_VALUE"""),"LandPlane")</f>
        <v>LandPlane</v>
      </c>
      <c r="E767" s="5" t="str">
        <f ca="1">IFERROR(__xludf.DUMMYFUNCTION("""COMPUTED_VALUE"""),"Jet")</f>
        <v>Jet</v>
      </c>
      <c r="F767" s="5">
        <f ca="1">IFERROR(__xludf.DUMMYFUNCTION("""COMPUTED_VALUE"""),4)</f>
        <v>4</v>
      </c>
    </row>
    <row r="768" spans="1:6" ht="15" customHeight="1" x14ac:dyDescent="0.2">
      <c r="A768" s="5" t="str">
        <f ca="1">IFERROR(__xludf.DUMMYFUNCTION("""COMPUTED_VALUE"""),"DC86")</f>
        <v>DC86</v>
      </c>
      <c r="B768" s="5" t="str">
        <f ca="1">IFERROR(__xludf.DUMMYFUNCTION("""COMPUTED_VALUE"""),"MCDONNELL DOUGLAS")</f>
        <v>MCDONNELL DOUGLAS</v>
      </c>
      <c r="C768" s="5" t="str">
        <f ca="1">IFERROR(__xludf.DUMMYFUNCTION("""COMPUTED_VALUE"""),"DC-8-60")</f>
        <v>DC-8-60</v>
      </c>
      <c r="D768" s="5" t="str">
        <f ca="1">IFERROR(__xludf.DUMMYFUNCTION("""COMPUTED_VALUE"""),"LandPlane")</f>
        <v>LandPlane</v>
      </c>
      <c r="E768" s="5" t="str">
        <f ca="1">IFERROR(__xludf.DUMMYFUNCTION("""COMPUTED_VALUE"""),"Jet")</f>
        <v>Jet</v>
      </c>
      <c r="F768" s="5">
        <f ca="1">IFERROR(__xludf.DUMMYFUNCTION("""COMPUTED_VALUE"""),4)</f>
        <v>4</v>
      </c>
    </row>
    <row r="769" spans="1:6" ht="15" customHeight="1" x14ac:dyDescent="0.2">
      <c r="A769" s="5" t="str">
        <f ca="1">IFERROR(__xludf.DUMMYFUNCTION("""COMPUTED_VALUE"""),"DC87")</f>
        <v>DC87</v>
      </c>
      <c r="B769" s="5" t="str">
        <f ca="1">IFERROR(__xludf.DUMMYFUNCTION("""COMPUTED_VALUE"""),"MCDONNELL DOUGLAS")</f>
        <v>MCDONNELL DOUGLAS</v>
      </c>
      <c r="C769" s="5" t="str">
        <f ca="1">IFERROR(__xludf.DUMMYFUNCTION("""COMPUTED_VALUE"""),"DC-8-70")</f>
        <v>DC-8-70</v>
      </c>
      <c r="D769" s="5" t="str">
        <f ca="1">IFERROR(__xludf.DUMMYFUNCTION("""COMPUTED_VALUE"""),"LandPlane")</f>
        <v>LandPlane</v>
      </c>
      <c r="E769" s="5" t="str">
        <f ca="1">IFERROR(__xludf.DUMMYFUNCTION("""COMPUTED_VALUE"""),"Jet")</f>
        <v>Jet</v>
      </c>
      <c r="F769" s="5">
        <f ca="1">IFERROR(__xludf.DUMMYFUNCTION("""COMPUTED_VALUE"""),4)</f>
        <v>4</v>
      </c>
    </row>
    <row r="770" spans="1:6" ht="15" customHeight="1" x14ac:dyDescent="0.2">
      <c r="A770" s="5" t="str">
        <f ca="1">IFERROR(__xludf.DUMMYFUNCTION("""COMPUTED_VALUE"""),"DC91")</f>
        <v>DC91</v>
      </c>
      <c r="B770" s="5" t="str">
        <f ca="1">IFERROR(__xludf.DUMMYFUNCTION("""COMPUTED_VALUE"""),"MCDONNELL DOUGLAS")</f>
        <v>MCDONNELL DOUGLAS</v>
      </c>
      <c r="C770" s="5" t="str">
        <f ca="1">IFERROR(__xludf.DUMMYFUNCTION("""COMPUTED_VALUE"""),"DC-9-10")</f>
        <v>DC-9-10</v>
      </c>
      <c r="D770" s="5" t="str">
        <f ca="1">IFERROR(__xludf.DUMMYFUNCTION("""COMPUTED_VALUE"""),"LandPlane")</f>
        <v>LandPlane</v>
      </c>
      <c r="E770" s="5" t="str">
        <f ca="1">IFERROR(__xludf.DUMMYFUNCTION("""COMPUTED_VALUE"""),"Jet")</f>
        <v>Jet</v>
      </c>
      <c r="F770" s="5">
        <f ca="1">IFERROR(__xludf.DUMMYFUNCTION("""COMPUTED_VALUE"""),2)</f>
        <v>2</v>
      </c>
    </row>
    <row r="771" spans="1:6" ht="15" customHeight="1" x14ac:dyDescent="0.2">
      <c r="A771" s="5" t="str">
        <f ca="1">IFERROR(__xludf.DUMMYFUNCTION("""COMPUTED_VALUE"""),"DC92")</f>
        <v>DC92</v>
      </c>
      <c r="B771" s="5" t="str">
        <f ca="1">IFERROR(__xludf.DUMMYFUNCTION("""COMPUTED_VALUE"""),"MCDONNELL DOUGLAS")</f>
        <v>MCDONNELL DOUGLAS</v>
      </c>
      <c r="C771" s="5" t="str">
        <f ca="1">IFERROR(__xludf.DUMMYFUNCTION("""COMPUTED_VALUE"""),"DC-9-20")</f>
        <v>DC-9-20</v>
      </c>
      <c r="D771" s="5" t="str">
        <f ca="1">IFERROR(__xludf.DUMMYFUNCTION("""COMPUTED_VALUE"""),"LandPlane")</f>
        <v>LandPlane</v>
      </c>
      <c r="E771" s="5" t="str">
        <f ca="1">IFERROR(__xludf.DUMMYFUNCTION("""COMPUTED_VALUE"""),"Jet")</f>
        <v>Jet</v>
      </c>
      <c r="F771" s="5">
        <f ca="1">IFERROR(__xludf.DUMMYFUNCTION("""COMPUTED_VALUE"""),2)</f>
        <v>2</v>
      </c>
    </row>
    <row r="772" spans="1:6" ht="15" customHeight="1" x14ac:dyDescent="0.2">
      <c r="A772" s="5" t="str">
        <f ca="1">IFERROR(__xludf.DUMMYFUNCTION("""COMPUTED_VALUE"""),"DC93")</f>
        <v>DC93</v>
      </c>
      <c r="B772" s="5" t="str">
        <f ca="1">IFERROR(__xludf.DUMMYFUNCTION("""COMPUTED_VALUE"""),"MCDONNELL DOUGLAS")</f>
        <v>MCDONNELL DOUGLAS</v>
      </c>
      <c r="C772" s="5" t="str">
        <f ca="1">IFERROR(__xludf.DUMMYFUNCTION("""COMPUTED_VALUE"""),"DC-9-30")</f>
        <v>DC-9-30</v>
      </c>
      <c r="D772" s="5" t="str">
        <f ca="1">IFERROR(__xludf.DUMMYFUNCTION("""COMPUTED_VALUE"""),"LandPlane")</f>
        <v>LandPlane</v>
      </c>
      <c r="E772" s="5" t="str">
        <f ca="1">IFERROR(__xludf.DUMMYFUNCTION("""COMPUTED_VALUE"""),"Jet")</f>
        <v>Jet</v>
      </c>
      <c r="F772" s="5">
        <f ca="1">IFERROR(__xludf.DUMMYFUNCTION("""COMPUTED_VALUE"""),2)</f>
        <v>2</v>
      </c>
    </row>
    <row r="773" spans="1:6" ht="15" customHeight="1" x14ac:dyDescent="0.2">
      <c r="A773" s="5" t="str">
        <f ca="1">IFERROR(__xludf.DUMMYFUNCTION("""COMPUTED_VALUE"""),"DC94")</f>
        <v>DC94</v>
      </c>
      <c r="B773" s="5" t="str">
        <f ca="1">IFERROR(__xludf.DUMMYFUNCTION("""COMPUTED_VALUE"""),"MCDONNELL DOUGLAS")</f>
        <v>MCDONNELL DOUGLAS</v>
      </c>
      <c r="C773" s="5" t="str">
        <f ca="1">IFERROR(__xludf.DUMMYFUNCTION("""COMPUTED_VALUE"""),"DC-9-40")</f>
        <v>DC-9-40</v>
      </c>
      <c r="D773" s="5" t="str">
        <f ca="1">IFERROR(__xludf.DUMMYFUNCTION("""COMPUTED_VALUE"""),"LandPlane")</f>
        <v>LandPlane</v>
      </c>
      <c r="E773" s="5" t="str">
        <f ca="1">IFERROR(__xludf.DUMMYFUNCTION("""COMPUTED_VALUE"""),"Jet")</f>
        <v>Jet</v>
      </c>
      <c r="F773" s="5">
        <f ca="1">IFERROR(__xludf.DUMMYFUNCTION("""COMPUTED_VALUE"""),2)</f>
        <v>2</v>
      </c>
    </row>
    <row r="774" spans="1:6" ht="15" customHeight="1" x14ac:dyDescent="0.2">
      <c r="A774" s="5" t="str">
        <f ca="1">IFERROR(__xludf.DUMMYFUNCTION("""COMPUTED_VALUE"""),"DC95")</f>
        <v>DC95</v>
      </c>
      <c r="B774" s="5" t="str">
        <f ca="1">IFERROR(__xludf.DUMMYFUNCTION("""COMPUTED_VALUE"""),"MCDONNELL DOUGLAS")</f>
        <v>MCDONNELL DOUGLAS</v>
      </c>
      <c r="C774" s="5" t="str">
        <f ca="1">IFERROR(__xludf.DUMMYFUNCTION("""COMPUTED_VALUE"""),"DC-9-50")</f>
        <v>DC-9-50</v>
      </c>
      <c r="D774" s="5" t="str">
        <f ca="1">IFERROR(__xludf.DUMMYFUNCTION("""COMPUTED_VALUE"""),"LandPlane")</f>
        <v>LandPlane</v>
      </c>
      <c r="E774" s="5" t="str">
        <f ca="1">IFERROR(__xludf.DUMMYFUNCTION("""COMPUTED_VALUE"""),"Jet")</f>
        <v>Jet</v>
      </c>
      <c r="F774" s="5">
        <f ca="1">IFERROR(__xludf.DUMMYFUNCTION("""COMPUTED_VALUE"""),2)</f>
        <v>2</v>
      </c>
    </row>
    <row r="775" spans="1:6" ht="15" customHeight="1" x14ac:dyDescent="0.2">
      <c r="A775" s="5" t="str">
        <f ca="1">IFERROR(__xludf.DUMMYFUNCTION("""COMPUTED_VALUE"""),"DEAG")</f>
        <v>DEAG</v>
      </c>
      <c r="B775" s="5" t="str">
        <f ca="1">IFERROR(__xludf.DUMMYFUNCTION("""COMPUTED_VALUE"""),"AMAX")</f>
        <v>AMAX</v>
      </c>
      <c r="C775" s="5" t="str">
        <f ca="1">IFERROR(__xludf.DUMMYFUNCTION("""COMPUTED_VALUE"""),"Double Eagle")</f>
        <v>Double Eagle</v>
      </c>
      <c r="D775" s="5" t="str">
        <f ca="1">IFERROR(__xludf.DUMMYFUNCTION("""COMPUTED_VALUE"""),"Gyrocopter")</f>
        <v>Gyrocopter</v>
      </c>
      <c r="E775" s="5" t="str">
        <f ca="1">IFERROR(__xludf.DUMMYFUNCTION("""COMPUTED_VALUE"""),"Piston")</f>
        <v>Piston</v>
      </c>
      <c r="F775" s="5">
        <f ca="1">IFERROR(__xludf.DUMMYFUNCTION("""COMPUTED_VALUE"""),1)</f>
        <v>1</v>
      </c>
    </row>
    <row r="776" spans="1:6" ht="15" customHeight="1" x14ac:dyDescent="0.2">
      <c r="A776" s="5" t="str">
        <f ca="1">IFERROR(__xludf.DUMMYFUNCTION("""COMPUTED_VALUE"""),"DEFI")</f>
        <v>DEFI</v>
      </c>
      <c r="B776" s="5" t="str">
        <f ca="1">IFERROR(__xludf.DUMMYFUNCTION("""COMPUTED_VALUE"""),"RUTAN")</f>
        <v>RUTAN</v>
      </c>
      <c r="C776" s="5" t="str">
        <f ca="1">IFERROR(__xludf.DUMMYFUNCTION("""COMPUTED_VALUE"""),"40 Defiant")</f>
        <v>40 Defiant</v>
      </c>
      <c r="D776" s="5" t="str">
        <f ca="1">IFERROR(__xludf.DUMMYFUNCTION("""COMPUTED_VALUE"""),"LandPlane")</f>
        <v>LandPlane</v>
      </c>
      <c r="E776" s="5" t="str">
        <f ca="1">IFERROR(__xludf.DUMMYFUNCTION("""COMPUTED_VALUE"""),"Piston")</f>
        <v>Piston</v>
      </c>
      <c r="F776" s="5">
        <f ca="1">IFERROR(__xludf.DUMMYFUNCTION("""COMPUTED_VALUE"""),2)</f>
        <v>2</v>
      </c>
    </row>
    <row r="777" spans="1:6" ht="15" customHeight="1" x14ac:dyDescent="0.2">
      <c r="A777" s="5" t="str">
        <f ca="1">IFERROR(__xludf.DUMMYFUNCTION("""COMPUTED_VALUE"""),"DELF")</f>
        <v>DELF</v>
      </c>
      <c r="B777" s="5" t="str">
        <f ca="1">IFERROR(__xludf.DUMMYFUNCTION("""COMPUTED_VALUE"""),"LYAVIN")</f>
        <v>LYAVIN</v>
      </c>
      <c r="C777" s="5" t="str">
        <f ca="1">IFERROR(__xludf.DUMMYFUNCTION("""COMPUTED_VALUE"""),"Delfin")</f>
        <v>Delfin</v>
      </c>
      <c r="D777" s="5" t="str">
        <f ca="1">IFERROR(__xludf.DUMMYFUNCTION("""COMPUTED_VALUE"""),"LandPlane")</f>
        <v>LandPlane</v>
      </c>
      <c r="E777" s="5" t="str">
        <f ca="1">IFERROR(__xludf.DUMMYFUNCTION("""COMPUTED_VALUE"""),"Piston")</f>
        <v>Piston</v>
      </c>
      <c r="F777" s="5">
        <f ca="1">IFERROR(__xludf.DUMMYFUNCTION("""COMPUTED_VALUE"""),1)</f>
        <v>1</v>
      </c>
    </row>
    <row r="778" spans="1:6" ht="15" customHeight="1" x14ac:dyDescent="0.2">
      <c r="A778" s="5" t="str">
        <f ca="1">IFERROR(__xludf.DUMMYFUNCTION("""COMPUTED_VALUE"""),"DFL6")</f>
        <v>DFL6</v>
      </c>
      <c r="B778" s="5" t="str">
        <f ca="1">IFERROR(__xludf.DUMMYFUNCTION("""COMPUTED_VALUE"""),"DAMOURE-FABRE")</f>
        <v>DAMOURE-FABRE</v>
      </c>
      <c r="C778" s="5" t="str">
        <f ca="1">IFERROR(__xludf.DUMMYFUNCTION("""COMPUTED_VALUE"""),"DFL-6 Saphir")</f>
        <v>DFL-6 Saphir</v>
      </c>
      <c r="D778" s="5" t="str">
        <f ca="1">IFERROR(__xludf.DUMMYFUNCTION("""COMPUTED_VALUE"""),"LandPlane")</f>
        <v>LandPlane</v>
      </c>
      <c r="E778" s="5" t="str">
        <f ca="1">IFERROR(__xludf.DUMMYFUNCTION("""COMPUTED_VALUE"""),"Piston")</f>
        <v>Piston</v>
      </c>
      <c r="F778" s="5">
        <f ca="1">IFERROR(__xludf.DUMMYFUNCTION("""COMPUTED_VALUE"""),1)</f>
        <v>1</v>
      </c>
    </row>
    <row r="779" spans="1:6" ht="15" customHeight="1" x14ac:dyDescent="0.2">
      <c r="A779" s="5" t="str">
        <f ca="1">IFERROR(__xludf.DUMMYFUNCTION("""COMPUTED_VALUE"""),"DFLY")</f>
        <v>DFLY</v>
      </c>
      <c r="B779" s="5" t="str">
        <f ca="1">IFERROR(__xludf.DUMMYFUNCTION("""COMPUTED_VALUE"""),"VIKING (1)")</f>
        <v>VIKING (1)</v>
      </c>
      <c r="C779" s="5" t="str">
        <f ca="1">IFERROR(__xludf.DUMMYFUNCTION("""COMPUTED_VALUE"""),"Dragonfly")</f>
        <v>Dragonfly</v>
      </c>
      <c r="D779" s="5" t="str">
        <f ca="1">IFERROR(__xludf.DUMMYFUNCTION("""COMPUTED_VALUE"""),"LandPlane")</f>
        <v>LandPlane</v>
      </c>
      <c r="E779" s="5" t="str">
        <f ca="1">IFERROR(__xludf.DUMMYFUNCTION("""COMPUTED_VALUE"""),"Piston")</f>
        <v>Piston</v>
      </c>
      <c r="F779" s="5">
        <f ca="1">IFERROR(__xludf.DUMMYFUNCTION("""COMPUTED_VALUE"""),1)</f>
        <v>1</v>
      </c>
    </row>
    <row r="780" spans="1:6" ht="15" customHeight="1" x14ac:dyDescent="0.2">
      <c r="A780" s="5" t="str">
        <f ca="1">IFERROR(__xludf.DUMMYFUNCTION("""COMPUTED_VALUE"""),"DG15")</f>
        <v>DG15</v>
      </c>
      <c r="B780" s="5" t="str">
        <f ca="1">IFERROR(__xludf.DUMMYFUNCTION("""COMPUTED_VALUE"""),"HOWARD (1)")</f>
        <v>HOWARD (1)</v>
      </c>
      <c r="C780" s="5" t="str">
        <f ca="1">IFERROR(__xludf.DUMMYFUNCTION("""COMPUTED_VALUE"""),"DGA-15")</f>
        <v>DGA-15</v>
      </c>
      <c r="D780" s="5" t="str">
        <f ca="1">IFERROR(__xludf.DUMMYFUNCTION("""COMPUTED_VALUE"""),"LandPlane")</f>
        <v>LandPlane</v>
      </c>
      <c r="E780" s="5" t="str">
        <f ca="1">IFERROR(__xludf.DUMMYFUNCTION("""COMPUTED_VALUE"""),"Piston")</f>
        <v>Piston</v>
      </c>
      <c r="F780" s="5">
        <f ca="1">IFERROR(__xludf.DUMMYFUNCTION("""COMPUTED_VALUE"""),1)</f>
        <v>1</v>
      </c>
    </row>
    <row r="781" spans="1:6" ht="15" customHeight="1" x14ac:dyDescent="0.2">
      <c r="A781" s="5" t="str">
        <f ca="1">IFERROR(__xludf.DUMMYFUNCTION("""COMPUTED_VALUE"""),"DG1T")</f>
        <v>DG1T</v>
      </c>
      <c r="B781" s="5" t="str">
        <f ca="1">IFERROR(__xludf.DUMMYFUNCTION("""COMPUTED_VALUE"""),"DG FLUGZEUGBAU")</f>
        <v>DG FLUGZEUGBAU</v>
      </c>
      <c r="C781" s="5" t="str">
        <f ca="1">IFERROR(__xludf.DUMMYFUNCTION("""COMPUTED_VALUE"""),"DG-1000T")</f>
        <v>DG-1000T</v>
      </c>
      <c r="D781" s="5" t="str">
        <f ca="1">IFERROR(__xludf.DUMMYFUNCTION("""COMPUTED_VALUE"""),"LandPlane")</f>
        <v>LandPlane</v>
      </c>
      <c r="E781" s="5" t="str">
        <f ca="1">IFERROR(__xludf.DUMMYFUNCTION("""COMPUTED_VALUE"""),"Piston")</f>
        <v>Piston</v>
      </c>
      <c r="F781" s="5">
        <f ca="1">IFERROR(__xludf.DUMMYFUNCTION("""COMPUTED_VALUE"""),1)</f>
        <v>1</v>
      </c>
    </row>
    <row r="782" spans="1:6" ht="15" customHeight="1" x14ac:dyDescent="0.2">
      <c r="A782" s="5" t="str">
        <f ca="1">IFERROR(__xludf.DUMMYFUNCTION("""COMPUTED_VALUE"""),"DG40")</f>
        <v>DG40</v>
      </c>
      <c r="B782" s="5" t="str">
        <f ca="1">IFERROR(__xludf.DUMMYFUNCTION("""COMPUTED_VALUE"""),"GLASER-DIRKS")</f>
        <v>GLASER-DIRKS</v>
      </c>
      <c r="C782" s="5" t="str">
        <f ca="1">IFERROR(__xludf.DUMMYFUNCTION("""COMPUTED_VALUE"""),"DG-400")</f>
        <v>DG-400</v>
      </c>
      <c r="D782" s="5" t="str">
        <f ca="1">IFERROR(__xludf.DUMMYFUNCTION("""COMPUTED_VALUE"""),"LandPlane")</f>
        <v>LandPlane</v>
      </c>
      <c r="E782" s="5" t="str">
        <f ca="1">IFERROR(__xludf.DUMMYFUNCTION("""COMPUTED_VALUE"""),"Piston")</f>
        <v>Piston</v>
      </c>
      <c r="F782" s="5">
        <f ca="1">IFERROR(__xludf.DUMMYFUNCTION("""COMPUTED_VALUE"""),1)</f>
        <v>1</v>
      </c>
    </row>
    <row r="783" spans="1:6" ht="15" customHeight="1" x14ac:dyDescent="0.2">
      <c r="A783" s="5" t="str">
        <f ca="1">IFERROR(__xludf.DUMMYFUNCTION("""COMPUTED_VALUE"""),"DG50")</f>
        <v>DG50</v>
      </c>
      <c r="B783" s="5" t="str">
        <f ca="1">IFERROR(__xludf.DUMMYFUNCTION("""COMPUTED_VALUE"""),"GLASER-DIRKS")</f>
        <v>GLASER-DIRKS</v>
      </c>
      <c r="C783" s="5" t="str">
        <f ca="1">IFERROR(__xludf.DUMMYFUNCTION("""COMPUTED_VALUE"""),"DG-500M")</f>
        <v>DG-500M</v>
      </c>
      <c r="D783" s="5" t="str">
        <f ca="1">IFERROR(__xludf.DUMMYFUNCTION("""COMPUTED_VALUE"""),"LandPlane")</f>
        <v>LandPlane</v>
      </c>
      <c r="E783" s="5" t="str">
        <f ca="1">IFERROR(__xludf.DUMMYFUNCTION("""COMPUTED_VALUE"""),"Piston")</f>
        <v>Piston</v>
      </c>
      <c r="F783" s="5">
        <f ca="1">IFERROR(__xludf.DUMMYFUNCTION("""COMPUTED_VALUE"""),1)</f>
        <v>1</v>
      </c>
    </row>
    <row r="784" spans="1:6" ht="15" customHeight="1" x14ac:dyDescent="0.2">
      <c r="A784" s="5" t="str">
        <f ca="1">IFERROR(__xludf.DUMMYFUNCTION("""COMPUTED_VALUE"""),"DG60")</f>
        <v>DG60</v>
      </c>
      <c r="B784" s="5" t="str">
        <f ca="1">IFERROR(__xludf.DUMMYFUNCTION("""COMPUTED_VALUE"""),"GLASER-DIRKS")</f>
        <v>GLASER-DIRKS</v>
      </c>
      <c r="C784" s="5" t="str">
        <f ca="1">IFERROR(__xludf.DUMMYFUNCTION("""COMPUTED_VALUE"""),"DG-600M")</f>
        <v>DG-600M</v>
      </c>
      <c r="D784" s="5" t="str">
        <f ca="1">IFERROR(__xludf.DUMMYFUNCTION("""COMPUTED_VALUE"""),"LandPlane")</f>
        <v>LandPlane</v>
      </c>
      <c r="E784" s="5" t="str">
        <f ca="1">IFERROR(__xludf.DUMMYFUNCTION("""COMPUTED_VALUE"""),"Piston")</f>
        <v>Piston</v>
      </c>
      <c r="F784" s="5">
        <f ca="1">IFERROR(__xludf.DUMMYFUNCTION("""COMPUTED_VALUE"""),1)</f>
        <v>1</v>
      </c>
    </row>
    <row r="785" spans="1:6" ht="15" customHeight="1" x14ac:dyDescent="0.2">
      <c r="A785" s="5" t="str">
        <f ca="1">IFERROR(__xludf.DUMMYFUNCTION("""COMPUTED_VALUE"""),"DG80")</f>
        <v>DG80</v>
      </c>
      <c r="B785" s="5" t="str">
        <f ca="1">IFERROR(__xludf.DUMMYFUNCTION("""COMPUTED_VALUE"""),"DG FLUGZEUGBAU")</f>
        <v>DG FLUGZEUGBAU</v>
      </c>
      <c r="C785" s="5" t="str">
        <f ca="1">IFERROR(__xludf.DUMMYFUNCTION("""COMPUTED_VALUE"""),"DG-800")</f>
        <v>DG-800</v>
      </c>
      <c r="D785" s="5" t="str">
        <f ca="1">IFERROR(__xludf.DUMMYFUNCTION("""COMPUTED_VALUE"""),"LandPlane")</f>
        <v>LandPlane</v>
      </c>
      <c r="E785" s="5" t="str">
        <f ca="1">IFERROR(__xludf.DUMMYFUNCTION("""COMPUTED_VALUE"""),"Piston")</f>
        <v>Piston</v>
      </c>
      <c r="F785" s="5">
        <f ca="1">IFERROR(__xludf.DUMMYFUNCTION("""COMPUTED_VALUE"""),1)</f>
        <v>1</v>
      </c>
    </row>
    <row r="786" spans="1:6" ht="15" customHeight="1" x14ac:dyDescent="0.2">
      <c r="A786" s="5" t="str">
        <f ca="1">IFERROR(__xludf.DUMMYFUNCTION("""COMPUTED_VALUE"""),"DH2T")</f>
        <v>DH2T</v>
      </c>
      <c r="B786" s="5" t="str">
        <f ca="1">IFERROR(__xludf.DUMMYFUNCTION("""COMPUTED_VALUE"""),"DE HAVILLAND CANADA")</f>
        <v>DE HAVILLAND CANADA</v>
      </c>
      <c r="C786" s="5" t="str">
        <f ca="1">IFERROR(__xludf.DUMMYFUNCTION("""COMPUTED_VALUE"""),"DHC-2 Mk3 Turbo Beaver")</f>
        <v>DHC-2 Mk3 Turbo Beaver</v>
      </c>
      <c r="D786" s="5" t="str">
        <f ca="1">IFERROR(__xludf.DUMMYFUNCTION("""COMPUTED_VALUE"""),"LandPlane")</f>
        <v>LandPlane</v>
      </c>
      <c r="E786" s="5" t="str">
        <f ca="1">IFERROR(__xludf.DUMMYFUNCTION("""COMPUTED_VALUE"""),"Turboprop/Turboshaft")</f>
        <v>Turboprop/Turboshaft</v>
      </c>
      <c r="F786" s="5">
        <f ca="1">IFERROR(__xludf.DUMMYFUNCTION("""COMPUTED_VALUE"""),1)</f>
        <v>1</v>
      </c>
    </row>
    <row r="787" spans="1:6" ht="15" customHeight="1" x14ac:dyDescent="0.2">
      <c r="A787" s="5" t="str">
        <f ca="1">IFERROR(__xludf.DUMMYFUNCTION("""COMPUTED_VALUE"""),"DH3T")</f>
        <v>DH3T</v>
      </c>
      <c r="B787" s="5" t="str">
        <f ca="1">IFERROR(__xludf.DUMMYFUNCTION("""COMPUTED_VALUE"""),"DE HAVILLAND CANADA")</f>
        <v>DE HAVILLAND CANADA</v>
      </c>
      <c r="C787" s="5" t="str">
        <f ca="1">IFERROR(__xludf.DUMMYFUNCTION("""COMPUTED_VALUE"""),"DHC-3 Turbo Otter")</f>
        <v>DHC-3 Turbo Otter</v>
      </c>
      <c r="D787" s="5" t="str">
        <f ca="1">IFERROR(__xludf.DUMMYFUNCTION("""COMPUTED_VALUE"""),"LandPlane")</f>
        <v>LandPlane</v>
      </c>
      <c r="E787" s="5" t="str">
        <f ca="1">IFERROR(__xludf.DUMMYFUNCTION("""COMPUTED_VALUE"""),"Turboprop/Turboshaft")</f>
        <v>Turboprop/Turboshaft</v>
      </c>
      <c r="F787" s="5">
        <f ca="1">IFERROR(__xludf.DUMMYFUNCTION("""COMPUTED_VALUE"""),1)</f>
        <v>1</v>
      </c>
    </row>
    <row r="788" spans="1:6" ht="15" customHeight="1" x14ac:dyDescent="0.2">
      <c r="A788" s="5" t="str">
        <f ca="1">IFERROR(__xludf.DUMMYFUNCTION("""COMPUTED_VALUE"""),"DH4T")</f>
        <v>DH4T</v>
      </c>
      <c r="B788" s="5" t="str">
        <f ca="1">IFERROR(__xludf.DUMMYFUNCTION("""COMPUTED_VALUE"""),"DE HAVILLAND CANADA")</f>
        <v>DE HAVILLAND CANADA</v>
      </c>
      <c r="C788" s="5" t="str">
        <f ca="1">IFERROR(__xludf.DUMMYFUNCTION("""COMPUTED_VALUE"""),"DHC-4 Turbo Caribou")</f>
        <v>DHC-4 Turbo Caribou</v>
      </c>
      <c r="D788" s="5" t="str">
        <f ca="1">IFERROR(__xludf.DUMMYFUNCTION("""COMPUTED_VALUE"""),"LandPlane")</f>
        <v>LandPlane</v>
      </c>
      <c r="E788" s="5" t="str">
        <f ca="1">IFERROR(__xludf.DUMMYFUNCTION("""COMPUTED_VALUE"""),"Turboprop/Turboshaft")</f>
        <v>Turboprop/Turboshaft</v>
      </c>
      <c r="F788" s="5">
        <f ca="1">IFERROR(__xludf.DUMMYFUNCTION("""COMPUTED_VALUE"""),2)</f>
        <v>2</v>
      </c>
    </row>
    <row r="789" spans="1:6" ht="15" customHeight="1" x14ac:dyDescent="0.2">
      <c r="A789" s="5" t="str">
        <f ca="1">IFERROR(__xludf.DUMMYFUNCTION("""COMPUTED_VALUE"""),"DH60")</f>
        <v>DH60</v>
      </c>
      <c r="B789" s="5" t="str">
        <f ca="1">IFERROR(__xludf.DUMMYFUNCTION("""COMPUTED_VALUE"""),"DE HAVILLAND")</f>
        <v>DE HAVILLAND</v>
      </c>
      <c r="C789" s="5" t="str">
        <f ca="1">IFERROR(__xludf.DUMMYFUNCTION("""COMPUTED_VALUE"""),"DH-60 Moth")</f>
        <v>DH-60 Moth</v>
      </c>
      <c r="D789" s="5" t="str">
        <f ca="1">IFERROR(__xludf.DUMMYFUNCTION("""COMPUTED_VALUE"""),"LandPlane")</f>
        <v>LandPlane</v>
      </c>
      <c r="E789" s="5" t="str">
        <f ca="1">IFERROR(__xludf.DUMMYFUNCTION("""COMPUTED_VALUE"""),"Piston")</f>
        <v>Piston</v>
      </c>
      <c r="F789" s="5">
        <f ca="1">IFERROR(__xludf.DUMMYFUNCTION("""COMPUTED_VALUE"""),1)</f>
        <v>1</v>
      </c>
    </row>
    <row r="790" spans="1:6" ht="15" customHeight="1" x14ac:dyDescent="0.2">
      <c r="A790" s="5" t="str">
        <f ca="1">IFERROR(__xludf.DUMMYFUNCTION("""COMPUTED_VALUE"""),"DH80")</f>
        <v>DH80</v>
      </c>
      <c r="B790" s="5" t="str">
        <f ca="1">IFERROR(__xludf.DUMMYFUNCTION("""COMPUTED_VALUE"""),"DE HAVILLAND")</f>
        <v>DE HAVILLAND</v>
      </c>
      <c r="C790" s="5" t="str">
        <f ca="1">IFERROR(__xludf.DUMMYFUNCTION("""COMPUTED_VALUE"""),"DH-80 Puss Moth")</f>
        <v>DH-80 Puss Moth</v>
      </c>
      <c r="D790" s="5" t="str">
        <f ca="1">IFERROR(__xludf.DUMMYFUNCTION("""COMPUTED_VALUE"""),"LandPlane")</f>
        <v>LandPlane</v>
      </c>
      <c r="E790" s="5" t="str">
        <f ca="1">IFERROR(__xludf.DUMMYFUNCTION("""COMPUTED_VALUE"""),"Piston")</f>
        <v>Piston</v>
      </c>
      <c r="F790" s="5">
        <f ca="1">IFERROR(__xludf.DUMMYFUNCTION("""COMPUTED_VALUE"""),1)</f>
        <v>1</v>
      </c>
    </row>
    <row r="791" spans="1:6" ht="15" customHeight="1" x14ac:dyDescent="0.2">
      <c r="A791" s="5" t="str">
        <f ca="1">IFERROR(__xludf.DUMMYFUNCTION("""COMPUTED_VALUE"""),"DH82")</f>
        <v>DH82</v>
      </c>
      <c r="B791" s="5" t="str">
        <f ca="1">IFERROR(__xludf.DUMMYFUNCTION("""COMPUTED_VALUE"""),"DE HAVILLAND")</f>
        <v>DE HAVILLAND</v>
      </c>
      <c r="C791" s="5" t="str">
        <f ca="1">IFERROR(__xludf.DUMMYFUNCTION("""COMPUTED_VALUE"""),"DH-82 Tiger Moth")</f>
        <v>DH-82 Tiger Moth</v>
      </c>
      <c r="D791" s="5" t="str">
        <f ca="1">IFERROR(__xludf.DUMMYFUNCTION("""COMPUTED_VALUE"""),"LandPlane")</f>
        <v>LandPlane</v>
      </c>
      <c r="E791" s="5" t="str">
        <f ca="1">IFERROR(__xludf.DUMMYFUNCTION("""COMPUTED_VALUE"""),"Piston")</f>
        <v>Piston</v>
      </c>
      <c r="F791" s="5">
        <f ca="1">IFERROR(__xludf.DUMMYFUNCTION("""COMPUTED_VALUE"""),1)</f>
        <v>1</v>
      </c>
    </row>
    <row r="792" spans="1:6" ht="15" customHeight="1" x14ac:dyDescent="0.2">
      <c r="A792" s="5" t="str">
        <f ca="1">IFERROR(__xludf.DUMMYFUNCTION("""COMPUTED_VALUE"""),"DH83")</f>
        <v>DH83</v>
      </c>
      <c r="B792" s="5" t="str">
        <f ca="1">IFERROR(__xludf.DUMMYFUNCTION("""COMPUTED_VALUE"""),"DE HAVILLAND")</f>
        <v>DE HAVILLAND</v>
      </c>
      <c r="C792" s="5" t="str">
        <f ca="1">IFERROR(__xludf.DUMMYFUNCTION("""COMPUTED_VALUE"""),"DH-83 Fox Moth")</f>
        <v>DH-83 Fox Moth</v>
      </c>
      <c r="D792" s="5" t="str">
        <f ca="1">IFERROR(__xludf.DUMMYFUNCTION("""COMPUTED_VALUE"""),"LandPlane")</f>
        <v>LandPlane</v>
      </c>
      <c r="E792" s="5" t="str">
        <f ca="1">IFERROR(__xludf.DUMMYFUNCTION("""COMPUTED_VALUE"""),"Piston")</f>
        <v>Piston</v>
      </c>
      <c r="F792" s="5">
        <f ca="1">IFERROR(__xludf.DUMMYFUNCTION("""COMPUTED_VALUE"""),1)</f>
        <v>1</v>
      </c>
    </row>
    <row r="793" spans="1:6" ht="15" customHeight="1" x14ac:dyDescent="0.2">
      <c r="A793" s="5" t="str">
        <f ca="1">IFERROR(__xludf.DUMMYFUNCTION("""COMPUTED_VALUE"""),"DH84")</f>
        <v>DH84</v>
      </c>
      <c r="B793" s="5" t="str">
        <f ca="1">IFERROR(__xludf.DUMMYFUNCTION("""COMPUTED_VALUE"""),"DE HAVILLAND")</f>
        <v>DE HAVILLAND</v>
      </c>
      <c r="C793" s="5" t="str">
        <f ca="1">IFERROR(__xludf.DUMMYFUNCTION("""COMPUTED_VALUE"""),"DH-84 Dragon")</f>
        <v>DH-84 Dragon</v>
      </c>
      <c r="D793" s="5" t="str">
        <f ca="1">IFERROR(__xludf.DUMMYFUNCTION("""COMPUTED_VALUE"""),"LandPlane")</f>
        <v>LandPlane</v>
      </c>
      <c r="E793" s="5" t="str">
        <f ca="1">IFERROR(__xludf.DUMMYFUNCTION("""COMPUTED_VALUE"""),"Piston")</f>
        <v>Piston</v>
      </c>
      <c r="F793" s="5">
        <f ca="1">IFERROR(__xludf.DUMMYFUNCTION("""COMPUTED_VALUE"""),2)</f>
        <v>2</v>
      </c>
    </row>
    <row r="794" spans="1:6" ht="15" customHeight="1" x14ac:dyDescent="0.2">
      <c r="A794" s="5" t="str">
        <f ca="1">IFERROR(__xludf.DUMMYFUNCTION("""COMPUTED_VALUE"""),"DH85")</f>
        <v>DH85</v>
      </c>
      <c r="B794" s="5" t="str">
        <f ca="1">IFERROR(__xludf.DUMMYFUNCTION("""COMPUTED_VALUE"""),"DE HAVILLAND")</f>
        <v>DE HAVILLAND</v>
      </c>
      <c r="C794" s="5" t="str">
        <f ca="1">IFERROR(__xludf.DUMMYFUNCTION("""COMPUTED_VALUE"""),"DH-85 Leopard Moth")</f>
        <v>DH-85 Leopard Moth</v>
      </c>
      <c r="D794" s="5" t="str">
        <f ca="1">IFERROR(__xludf.DUMMYFUNCTION("""COMPUTED_VALUE"""),"LandPlane")</f>
        <v>LandPlane</v>
      </c>
      <c r="E794" s="5" t="str">
        <f ca="1">IFERROR(__xludf.DUMMYFUNCTION("""COMPUTED_VALUE"""),"Piston")</f>
        <v>Piston</v>
      </c>
      <c r="F794" s="5">
        <f ca="1">IFERROR(__xludf.DUMMYFUNCTION("""COMPUTED_VALUE"""),1)</f>
        <v>1</v>
      </c>
    </row>
    <row r="795" spans="1:6" ht="15" customHeight="1" x14ac:dyDescent="0.2">
      <c r="A795" s="5" t="str">
        <f ca="1">IFERROR(__xludf.DUMMYFUNCTION("""COMPUTED_VALUE"""),"DH87")</f>
        <v>DH87</v>
      </c>
      <c r="B795" s="5" t="str">
        <f ca="1">IFERROR(__xludf.DUMMYFUNCTION("""COMPUTED_VALUE"""),"DE HAVILLAND")</f>
        <v>DE HAVILLAND</v>
      </c>
      <c r="C795" s="5" t="str">
        <f ca="1">IFERROR(__xludf.DUMMYFUNCTION("""COMPUTED_VALUE"""),"DH-87 Hornet Moth")</f>
        <v>DH-87 Hornet Moth</v>
      </c>
      <c r="D795" s="5" t="str">
        <f ca="1">IFERROR(__xludf.DUMMYFUNCTION("""COMPUTED_VALUE"""),"LandPlane")</f>
        <v>LandPlane</v>
      </c>
      <c r="E795" s="5" t="str">
        <f ca="1">IFERROR(__xludf.DUMMYFUNCTION("""COMPUTED_VALUE"""),"Piston")</f>
        <v>Piston</v>
      </c>
      <c r="F795" s="5">
        <f ca="1">IFERROR(__xludf.DUMMYFUNCTION("""COMPUTED_VALUE"""),1)</f>
        <v>1</v>
      </c>
    </row>
    <row r="796" spans="1:6" ht="15" customHeight="1" x14ac:dyDescent="0.2">
      <c r="A796" s="5" t="str">
        <f ca="1">IFERROR(__xludf.DUMMYFUNCTION("""COMPUTED_VALUE"""),"DH88")</f>
        <v>DH88</v>
      </c>
      <c r="B796" s="5" t="str">
        <f ca="1">IFERROR(__xludf.DUMMYFUNCTION("""COMPUTED_VALUE"""),"DE HAVILLAND")</f>
        <v>DE HAVILLAND</v>
      </c>
      <c r="C796" s="5" t="str">
        <f ca="1">IFERROR(__xludf.DUMMYFUNCTION("""COMPUTED_VALUE"""),"DH-88 Comet Replica")</f>
        <v>DH-88 Comet Replica</v>
      </c>
      <c r="D796" s="5" t="str">
        <f ca="1">IFERROR(__xludf.DUMMYFUNCTION("""COMPUTED_VALUE"""),"LandPlane")</f>
        <v>LandPlane</v>
      </c>
      <c r="E796" s="5" t="str">
        <f ca="1">IFERROR(__xludf.DUMMYFUNCTION("""COMPUTED_VALUE"""),"Piston")</f>
        <v>Piston</v>
      </c>
      <c r="F796" s="5">
        <f ca="1">IFERROR(__xludf.DUMMYFUNCTION("""COMPUTED_VALUE"""),2)</f>
        <v>2</v>
      </c>
    </row>
    <row r="797" spans="1:6" ht="15" customHeight="1" x14ac:dyDescent="0.2">
      <c r="A797" s="5" t="str">
        <f ca="1">IFERROR(__xludf.DUMMYFUNCTION("""COMPUTED_VALUE"""),"DH89")</f>
        <v>DH89</v>
      </c>
      <c r="B797" s="5" t="str">
        <f ca="1">IFERROR(__xludf.DUMMYFUNCTION("""COMPUTED_VALUE"""),"DE HAVILLAND")</f>
        <v>DE HAVILLAND</v>
      </c>
      <c r="C797" s="5" t="str">
        <f ca="1">IFERROR(__xludf.DUMMYFUNCTION("""COMPUTED_VALUE"""),"DH-89 Dragon Rapide")</f>
        <v>DH-89 Dragon Rapide</v>
      </c>
      <c r="D797" s="5" t="str">
        <f ca="1">IFERROR(__xludf.DUMMYFUNCTION("""COMPUTED_VALUE"""),"LandPlane")</f>
        <v>LandPlane</v>
      </c>
      <c r="E797" s="5" t="str">
        <f ca="1">IFERROR(__xludf.DUMMYFUNCTION("""COMPUTED_VALUE"""),"Piston")</f>
        <v>Piston</v>
      </c>
      <c r="F797" s="5">
        <f ca="1">IFERROR(__xludf.DUMMYFUNCTION("""COMPUTED_VALUE"""),2)</f>
        <v>2</v>
      </c>
    </row>
    <row r="798" spans="1:6" ht="15" customHeight="1" x14ac:dyDescent="0.2">
      <c r="A798" s="5" t="str">
        <f ca="1">IFERROR(__xludf.DUMMYFUNCTION("""COMPUTED_VALUE"""),"DH8A")</f>
        <v>DH8A</v>
      </c>
      <c r="B798" s="5" t="str">
        <f ca="1">IFERROR(__xludf.DUMMYFUNCTION("""COMPUTED_VALUE"""),"DE HAVILLAND CANADA")</f>
        <v>DE HAVILLAND CANADA</v>
      </c>
      <c r="C798" s="5" t="str">
        <f ca="1">IFERROR(__xludf.DUMMYFUNCTION("""COMPUTED_VALUE"""),"DHC-8-100 Dash 8")</f>
        <v>DHC-8-100 Dash 8</v>
      </c>
      <c r="D798" s="5" t="str">
        <f ca="1">IFERROR(__xludf.DUMMYFUNCTION("""COMPUTED_VALUE"""),"LandPlane")</f>
        <v>LandPlane</v>
      </c>
      <c r="E798" s="5" t="str">
        <f ca="1">IFERROR(__xludf.DUMMYFUNCTION("""COMPUTED_VALUE"""),"Turboprop/Turboshaft")</f>
        <v>Turboprop/Turboshaft</v>
      </c>
      <c r="F798" s="5">
        <f ca="1">IFERROR(__xludf.DUMMYFUNCTION("""COMPUTED_VALUE"""),2)</f>
        <v>2</v>
      </c>
    </row>
    <row r="799" spans="1:6" ht="15" customHeight="1" x14ac:dyDescent="0.2">
      <c r="A799" s="5" t="str">
        <f ca="1">IFERROR(__xludf.DUMMYFUNCTION("""COMPUTED_VALUE"""),"DH8B")</f>
        <v>DH8B</v>
      </c>
      <c r="B799" s="5" t="str">
        <f ca="1">IFERROR(__xludf.DUMMYFUNCTION("""COMPUTED_VALUE"""),"DE HAVILLAND CANADA")</f>
        <v>DE HAVILLAND CANADA</v>
      </c>
      <c r="C799" s="5" t="str">
        <f ca="1">IFERROR(__xludf.DUMMYFUNCTION("""COMPUTED_VALUE"""),"DHC-8-200 Dash 8")</f>
        <v>DHC-8-200 Dash 8</v>
      </c>
      <c r="D799" s="5" t="str">
        <f ca="1">IFERROR(__xludf.DUMMYFUNCTION("""COMPUTED_VALUE"""),"LandPlane")</f>
        <v>LandPlane</v>
      </c>
      <c r="E799" s="5" t="str">
        <f ca="1">IFERROR(__xludf.DUMMYFUNCTION("""COMPUTED_VALUE"""),"Turboprop/Turboshaft")</f>
        <v>Turboprop/Turboshaft</v>
      </c>
      <c r="F799" s="5">
        <f ca="1">IFERROR(__xludf.DUMMYFUNCTION("""COMPUTED_VALUE"""),2)</f>
        <v>2</v>
      </c>
    </row>
    <row r="800" spans="1:6" ht="15" customHeight="1" x14ac:dyDescent="0.2">
      <c r="A800" s="5" t="str">
        <f ca="1">IFERROR(__xludf.DUMMYFUNCTION("""COMPUTED_VALUE"""),"DH8C")</f>
        <v>DH8C</v>
      </c>
      <c r="B800" s="5" t="str">
        <f ca="1">IFERROR(__xludf.DUMMYFUNCTION("""COMPUTED_VALUE"""),"DE HAVILLAND CANADA")</f>
        <v>DE HAVILLAND CANADA</v>
      </c>
      <c r="C800" s="5" t="str">
        <f ca="1">IFERROR(__xludf.DUMMYFUNCTION("""COMPUTED_VALUE"""),"DHC-8-300 Dash 8")</f>
        <v>DHC-8-300 Dash 8</v>
      </c>
      <c r="D800" s="5" t="str">
        <f ca="1">IFERROR(__xludf.DUMMYFUNCTION("""COMPUTED_VALUE"""),"LandPlane")</f>
        <v>LandPlane</v>
      </c>
      <c r="E800" s="5" t="str">
        <f ca="1">IFERROR(__xludf.DUMMYFUNCTION("""COMPUTED_VALUE"""),"Turboprop/Turboshaft")</f>
        <v>Turboprop/Turboshaft</v>
      </c>
      <c r="F800" s="5">
        <f ca="1">IFERROR(__xludf.DUMMYFUNCTION("""COMPUTED_VALUE"""),2)</f>
        <v>2</v>
      </c>
    </row>
    <row r="801" spans="1:6" ht="15" customHeight="1" x14ac:dyDescent="0.2">
      <c r="A801" s="5" t="str">
        <f ca="1">IFERROR(__xludf.DUMMYFUNCTION("""COMPUTED_VALUE"""),"DH8D")</f>
        <v>DH8D</v>
      </c>
      <c r="B801" s="5" t="str">
        <f ca="1">IFERROR(__xludf.DUMMYFUNCTION("""COMPUTED_VALUE"""),"DE HAVILLAND CANADA")</f>
        <v>DE HAVILLAND CANADA</v>
      </c>
      <c r="C801" s="5" t="str">
        <f ca="1">IFERROR(__xludf.DUMMYFUNCTION("""COMPUTED_VALUE"""),"DHC-8-400 Dash 8")</f>
        <v>DHC-8-400 Dash 8</v>
      </c>
      <c r="D801" s="5" t="str">
        <f ca="1">IFERROR(__xludf.DUMMYFUNCTION("""COMPUTED_VALUE"""),"LandPlane")</f>
        <v>LandPlane</v>
      </c>
      <c r="E801" s="5" t="str">
        <f ca="1">IFERROR(__xludf.DUMMYFUNCTION("""COMPUTED_VALUE"""),"Turboprop/Turboshaft")</f>
        <v>Turboprop/Turboshaft</v>
      </c>
      <c r="F801" s="5">
        <f ca="1">IFERROR(__xludf.DUMMYFUNCTION("""COMPUTED_VALUE"""),2)</f>
        <v>2</v>
      </c>
    </row>
    <row r="802" spans="1:6" ht="15" customHeight="1" x14ac:dyDescent="0.2">
      <c r="A802" s="5" t="str">
        <f ca="1">IFERROR(__xludf.DUMMYFUNCTION("""COMPUTED_VALUE"""),"DH90")</f>
        <v>DH90</v>
      </c>
      <c r="B802" s="5" t="str">
        <f ca="1">IFERROR(__xludf.DUMMYFUNCTION("""COMPUTED_VALUE"""),"DE HAVILLAND")</f>
        <v>DE HAVILLAND</v>
      </c>
      <c r="C802" s="5" t="str">
        <f ca="1">IFERROR(__xludf.DUMMYFUNCTION("""COMPUTED_VALUE"""),"DH-90 Dragonfly")</f>
        <v>DH-90 Dragonfly</v>
      </c>
      <c r="D802" s="5" t="str">
        <f ca="1">IFERROR(__xludf.DUMMYFUNCTION("""COMPUTED_VALUE"""),"LandPlane")</f>
        <v>LandPlane</v>
      </c>
      <c r="E802" s="5" t="str">
        <f ca="1">IFERROR(__xludf.DUMMYFUNCTION("""COMPUTED_VALUE"""),"Piston")</f>
        <v>Piston</v>
      </c>
      <c r="F802" s="5">
        <f ca="1">IFERROR(__xludf.DUMMYFUNCTION("""COMPUTED_VALUE"""),2)</f>
        <v>2</v>
      </c>
    </row>
    <row r="803" spans="1:6" ht="15" customHeight="1" x14ac:dyDescent="0.2">
      <c r="A803" s="5" t="str">
        <f ca="1">IFERROR(__xludf.DUMMYFUNCTION("""COMPUTED_VALUE"""),"DH94")</f>
        <v>DH94</v>
      </c>
      <c r="B803" s="5" t="str">
        <f ca="1">IFERROR(__xludf.DUMMYFUNCTION("""COMPUTED_VALUE"""),"DE HAVILLAND")</f>
        <v>DE HAVILLAND</v>
      </c>
      <c r="C803" s="5" t="str">
        <f ca="1">IFERROR(__xludf.DUMMYFUNCTION("""COMPUTED_VALUE"""),"DH-94 Moth Minor")</f>
        <v>DH-94 Moth Minor</v>
      </c>
      <c r="D803" s="5" t="str">
        <f ca="1">IFERROR(__xludf.DUMMYFUNCTION("""COMPUTED_VALUE"""),"LandPlane")</f>
        <v>LandPlane</v>
      </c>
      <c r="E803" s="5" t="str">
        <f ca="1">IFERROR(__xludf.DUMMYFUNCTION("""COMPUTED_VALUE"""),"Piston")</f>
        <v>Piston</v>
      </c>
      <c r="F803" s="5">
        <f ca="1">IFERROR(__xludf.DUMMYFUNCTION("""COMPUTED_VALUE"""),1)</f>
        <v>1</v>
      </c>
    </row>
    <row r="804" spans="1:6" ht="15" customHeight="1" x14ac:dyDescent="0.2">
      <c r="A804" s="5" t="str">
        <f ca="1">IFERROR(__xludf.DUMMYFUNCTION("""COMPUTED_VALUE"""),"DHA3")</f>
        <v>DHA3</v>
      </c>
      <c r="B804" s="5" t="str">
        <f ca="1">IFERROR(__xludf.DUMMYFUNCTION("""COMPUTED_VALUE"""),"DE HAVILLAND AUSTRALIA")</f>
        <v>DE HAVILLAND AUSTRALIA</v>
      </c>
      <c r="C804" s="5" t="str">
        <f ca="1">IFERROR(__xludf.DUMMYFUNCTION("""COMPUTED_VALUE"""),"DHA-3 Drover")</f>
        <v>DHA-3 Drover</v>
      </c>
      <c r="D804" s="5" t="str">
        <f ca="1">IFERROR(__xludf.DUMMYFUNCTION("""COMPUTED_VALUE"""),"LandPlane")</f>
        <v>LandPlane</v>
      </c>
      <c r="E804" s="5" t="str">
        <f ca="1">IFERROR(__xludf.DUMMYFUNCTION("""COMPUTED_VALUE"""),"Piston")</f>
        <v>Piston</v>
      </c>
      <c r="F804" s="5">
        <f ca="1">IFERROR(__xludf.DUMMYFUNCTION("""COMPUTED_VALUE"""),3)</f>
        <v>3</v>
      </c>
    </row>
    <row r="805" spans="1:6" ht="15" customHeight="1" x14ac:dyDescent="0.2">
      <c r="A805" s="5" t="str">
        <f ca="1">IFERROR(__xludf.DUMMYFUNCTION("""COMPUTED_VALUE"""),"DHC1")</f>
        <v>DHC1</v>
      </c>
      <c r="B805" s="5" t="str">
        <f ca="1">IFERROR(__xludf.DUMMYFUNCTION("""COMPUTED_VALUE"""),"DE HAVILLAND")</f>
        <v>DE HAVILLAND</v>
      </c>
      <c r="C805" s="5" t="str">
        <f ca="1">IFERROR(__xludf.DUMMYFUNCTION("""COMPUTED_VALUE"""),"DHC-1 Chipmunk")</f>
        <v>DHC-1 Chipmunk</v>
      </c>
      <c r="D805" s="5" t="str">
        <f ca="1">IFERROR(__xludf.DUMMYFUNCTION("""COMPUTED_VALUE"""),"LandPlane")</f>
        <v>LandPlane</v>
      </c>
      <c r="E805" s="5" t="str">
        <f ca="1">IFERROR(__xludf.DUMMYFUNCTION("""COMPUTED_VALUE"""),"Piston")</f>
        <v>Piston</v>
      </c>
      <c r="F805" s="5">
        <f ca="1">IFERROR(__xludf.DUMMYFUNCTION("""COMPUTED_VALUE"""),1)</f>
        <v>1</v>
      </c>
    </row>
    <row r="806" spans="1:6" ht="15" customHeight="1" x14ac:dyDescent="0.2">
      <c r="A806" s="5" t="str">
        <f ca="1">IFERROR(__xludf.DUMMYFUNCTION("""COMPUTED_VALUE"""),"DHC2")</f>
        <v>DHC2</v>
      </c>
      <c r="B806" s="5" t="str">
        <f ca="1">IFERROR(__xludf.DUMMYFUNCTION("""COMPUTED_VALUE"""),"DE HAVILLAND CANADA")</f>
        <v>DE HAVILLAND CANADA</v>
      </c>
      <c r="C806" s="5" t="str">
        <f ca="1">IFERROR(__xludf.DUMMYFUNCTION("""COMPUTED_VALUE"""),"DHC-2 Mk1 Beaver")</f>
        <v>DHC-2 Mk1 Beaver</v>
      </c>
      <c r="D806" s="5" t="str">
        <f ca="1">IFERROR(__xludf.DUMMYFUNCTION("""COMPUTED_VALUE"""),"LandPlane")</f>
        <v>LandPlane</v>
      </c>
      <c r="E806" s="5" t="str">
        <f ca="1">IFERROR(__xludf.DUMMYFUNCTION("""COMPUTED_VALUE"""),"Piston")</f>
        <v>Piston</v>
      </c>
      <c r="F806" s="5">
        <f ca="1">IFERROR(__xludf.DUMMYFUNCTION("""COMPUTED_VALUE"""),1)</f>
        <v>1</v>
      </c>
    </row>
    <row r="807" spans="1:6" ht="15" customHeight="1" x14ac:dyDescent="0.2">
      <c r="A807" s="5" t="str">
        <f ca="1">IFERROR(__xludf.DUMMYFUNCTION("""COMPUTED_VALUE"""),"DHC3")</f>
        <v>DHC3</v>
      </c>
      <c r="B807" s="5" t="str">
        <f ca="1">IFERROR(__xludf.DUMMYFUNCTION("""COMPUTED_VALUE"""),"DE HAVILLAND CANADA")</f>
        <v>DE HAVILLAND CANADA</v>
      </c>
      <c r="C807" s="5" t="str">
        <f ca="1">IFERROR(__xludf.DUMMYFUNCTION("""COMPUTED_VALUE"""),"DHC-3 Otter")</f>
        <v>DHC-3 Otter</v>
      </c>
      <c r="D807" s="5" t="str">
        <f ca="1">IFERROR(__xludf.DUMMYFUNCTION("""COMPUTED_VALUE"""),"LandPlane")</f>
        <v>LandPlane</v>
      </c>
      <c r="E807" s="5" t="str">
        <f ca="1">IFERROR(__xludf.DUMMYFUNCTION("""COMPUTED_VALUE"""),"Piston")</f>
        <v>Piston</v>
      </c>
      <c r="F807" s="5">
        <f ca="1">IFERROR(__xludf.DUMMYFUNCTION("""COMPUTED_VALUE"""),1)</f>
        <v>1</v>
      </c>
    </row>
    <row r="808" spans="1:6" ht="15" customHeight="1" x14ac:dyDescent="0.2">
      <c r="A808" s="5" t="str">
        <f ca="1">IFERROR(__xludf.DUMMYFUNCTION("""COMPUTED_VALUE"""),"DHC4")</f>
        <v>DHC4</v>
      </c>
      <c r="B808" s="5" t="str">
        <f ca="1">IFERROR(__xludf.DUMMYFUNCTION("""COMPUTED_VALUE"""),"DE HAVILLAND CANADA")</f>
        <v>DE HAVILLAND CANADA</v>
      </c>
      <c r="C808" s="5" t="str">
        <f ca="1">IFERROR(__xludf.DUMMYFUNCTION("""COMPUTED_VALUE"""),"DHC-4 Caribou")</f>
        <v>DHC-4 Caribou</v>
      </c>
      <c r="D808" s="5" t="str">
        <f ca="1">IFERROR(__xludf.DUMMYFUNCTION("""COMPUTED_VALUE"""),"LandPlane")</f>
        <v>LandPlane</v>
      </c>
      <c r="E808" s="5" t="str">
        <f ca="1">IFERROR(__xludf.DUMMYFUNCTION("""COMPUTED_VALUE"""),"Piston")</f>
        <v>Piston</v>
      </c>
      <c r="F808" s="5">
        <f ca="1">IFERROR(__xludf.DUMMYFUNCTION("""COMPUTED_VALUE"""),2)</f>
        <v>2</v>
      </c>
    </row>
    <row r="809" spans="1:6" ht="15" customHeight="1" x14ac:dyDescent="0.2">
      <c r="A809" s="5" t="str">
        <f ca="1">IFERROR(__xludf.DUMMYFUNCTION("""COMPUTED_VALUE"""),"DHC5")</f>
        <v>DHC5</v>
      </c>
      <c r="B809" s="5" t="str">
        <f ca="1">IFERROR(__xludf.DUMMYFUNCTION("""COMPUTED_VALUE"""),"DE HAVILLAND CANADA")</f>
        <v>DE HAVILLAND CANADA</v>
      </c>
      <c r="C809" s="5" t="str">
        <f ca="1">IFERROR(__xludf.DUMMYFUNCTION("""COMPUTED_VALUE"""),"DHC-5 Buffalo")</f>
        <v>DHC-5 Buffalo</v>
      </c>
      <c r="D809" s="5" t="str">
        <f ca="1">IFERROR(__xludf.DUMMYFUNCTION("""COMPUTED_VALUE"""),"LandPlane")</f>
        <v>LandPlane</v>
      </c>
      <c r="E809" s="5" t="str">
        <f ca="1">IFERROR(__xludf.DUMMYFUNCTION("""COMPUTED_VALUE"""),"Turboprop/Turboshaft")</f>
        <v>Turboprop/Turboshaft</v>
      </c>
      <c r="F809" s="5">
        <f ca="1">IFERROR(__xludf.DUMMYFUNCTION("""COMPUTED_VALUE"""),2)</f>
        <v>2</v>
      </c>
    </row>
    <row r="810" spans="1:6" ht="15" customHeight="1" x14ac:dyDescent="0.2">
      <c r="A810" s="5" t="str">
        <f ca="1">IFERROR(__xludf.DUMMYFUNCTION("""COMPUTED_VALUE"""),"DHC6")</f>
        <v>DHC6</v>
      </c>
      <c r="B810" s="5" t="str">
        <f ca="1">IFERROR(__xludf.DUMMYFUNCTION("""COMPUTED_VALUE"""),"DE HAVILLAND CANADA")</f>
        <v>DE HAVILLAND CANADA</v>
      </c>
      <c r="C810" s="5" t="str">
        <f ca="1">IFERROR(__xludf.DUMMYFUNCTION("""COMPUTED_VALUE"""),"DHC-6 Twin Otter")</f>
        <v>DHC-6 Twin Otter</v>
      </c>
      <c r="D810" s="5" t="str">
        <f ca="1">IFERROR(__xludf.DUMMYFUNCTION("""COMPUTED_VALUE"""),"LandPlane")</f>
        <v>LandPlane</v>
      </c>
      <c r="E810" s="5" t="str">
        <f ca="1">IFERROR(__xludf.DUMMYFUNCTION("""COMPUTED_VALUE"""),"Turboprop/Turboshaft")</f>
        <v>Turboprop/Turboshaft</v>
      </c>
      <c r="F810" s="5">
        <f ca="1">IFERROR(__xludf.DUMMYFUNCTION("""COMPUTED_VALUE"""),2)</f>
        <v>2</v>
      </c>
    </row>
    <row r="811" spans="1:6" ht="15" customHeight="1" x14ac:dyDescent="0.2">
      <c r="A811" s="5" t="str">
        <f ca="1">IFERROR(__xludf.DUMMYFUNCTION("""COMPUTED_VALUE"""),"DHC7")</f>
        <v>DHC7</v>
      </c>
      <c r="B811" s="5" t="str">
        <f ca="1">IFERROR(__xludf.DUMMYFUNCTION("""COMPUTED_VALUE"""),"DE HAVILLAND CANADA")</f>
        <v>DE HAVILLAND CANADA</v>
      </c>
      <c r="C811" s="5" t="str">
        <f ca="1">IFERROR(__xludf.DUMMYFUNCTION("""COMPUTED_VALUE"""),"DHC-7 Dash 7")</f>
        <v>DHC-7 Dash 7</v>
      </c>
      <c r="D811" s="5" t="str">
        <f ca="1">IFERROR(__xludf.DUMMYFUNCTION("""COMPUTED_VALUE"""),"LandPlane")</f>
        <v>LandPlane</v>
      </c>
      <c r="E811" s="5" t="str">
        <f ca="1">IFERROR(__xludf.DUMMYFUNCTION("""COMPUTED_VALUE"""),"Turboprop/Turboshaft")</f>
        <v>Turboprop/Turboshaft</v>
      </c>
      <c r="F811" s="5">
        <f ca="1">IFERROR(__xludf.DUMMYFUNCTION("""COMPUTED_VALUE"""),4)</f>
        <v>4</v>
      </c>
    </row>
    <row r="812" spans="1:6" ht="15" customHeight="1" x14ac:dyDescent="0.2">
      <c r="A812" s="5" t="str">
        <f ca="1">IFERROR(__xludf.DUMMYFUNCTION("""COMPUTED_VALUE"""),"DIES")</f>
        <v>DIES</v>
      </c>
      <c r="B812" s="5" t="str">
        <f ca="1">IFERROR(__xludf.DUMMYFUNCTION("""COMPUTED_VALUE"""),"PENNEC-LUCAS")</f>
        <v>PENNEC-LUCAS</v>
      </c>
      <c r="C812" s="5" t="str">
        <f ca="1">IFERROR(__xludf.DUMMYFUNCTION("""COMPUTED_VALUE"""),"Dieselis")</f>
        <v>Dieselis</v>
      </c>
      <c r="D812" s="5" t="str">
        <f ca="1">IFERROR(__xludf.DUMMYFUNCTION("""COMPUTED_VALUE"""),"LandPlane")</f>
        <v>LandPlane</v>
      </c>
      <c r="E812" s="5" t="str">
        <f ca="1">IFERROR(__xludf.DUMMYFUNCTION("""COMPUTED_VALUE"""),"Piston")</f>
        <v>Piston</v>
      </c>
      <c r="F812" s="5">
        <f ca="1">IFERROR(__xludf.DUMMYFUNCTION("""COMPUTED_VALUE"""),1)</f>
        <v>1</v>
      </c>
    </row>
    <row r="813" spans="1:6" ht="15" customHeight="1" x14ac:dyDescent="0.2">
      <c r="A813" s="5" t="str">
        <f ca="1">IFERROR(__xludf.DUMMYFUNCTION("""COMPUTED_VALUE"""),"DIJ3")</f>
        <v>DIJ3</v>
      </c>
      <c r="B813" s="5" t="str">
        <f ca="1">IFERROR(__xludf.DUMMYFUNCTION("""COMPUTED_VALUE"""),"DIJKMAN-DULKES")</f>
        <v>DIJKMAN-DULKES</v>
      </c>
      <c r="C813" s="5" t="str">
        <f ca="1">IFERROR(__xludf.DUMMYFUNCTION("""COMPUTED_VALUE"""),"Dijkhastar 3")</f>
        <v>Dijkhastar 3</v>
      </c>
      <c r="D813" s="5" t="str">
        <f ca="1">IFERROR(__xludf.DUMMYFUNCTION("""COMPUTED_VALUE"""),"LandPlane")</f>
        <v>LandPlane</v>
      </c>
      <c r="E813" s="5" t="str">
        <f ca="1">IFERROR(__xludf.DUMMYFUNCTION("""COMPUTED_VALUE"""),"Piston")</f>
        <v>Piston</v>
      </c>
      <c r="F813" s="5">
        <f ca="1">IFERROR(__xludf.DUMMYFUNCTION("""COMPUTED_VALUE"""),1)</f>
        <v>1</v>
      </c>
    </row>
    <row r="814" spans="1:6" ht="15" customHeight="1" x14ac:dyDescent="0.2">
      <c r="A814" s="5" t="str">
        <f ca="1">IFERROR(__xludf.DUMMYFUNCTION("""COMPUTED_VALUE"""),"DIJ4")</f>
        <v>DIJ4</v>
      </c>
      <c r="B814" s="5" t="str">
        <f ca="1">IFERROR(__xludf.DUMMYFUNCTION("""COMPUTED_VALUE"""),"DIJKMAN-DULKES")</f>
        <v>DIJKMAN-DULKES</v>
      </c>
      <c r="C814" s="5" t="str">
        <f ca="1">IFERROR(__xludf.DUMMYFUNCTION("""COMPUTED_VALUE"""),"Dijkhastar 4")</f>
        <v>Dijkhastar 4</v>
      </c>
      <c r="D814" s="5" t="str">
        <f ca="1">IFERROR(__xludf.DUMMYFUNCTION("""COMPUTED_VALUE"""),"Amphibian")</f>
        <v>Amphibian</v>
      </c>
      <c r="E814" s="5" t="str">
        <f ca="1">IFERROR(__xludf.DUMMYFUNCTION("""COMPUTED_VALUE"""),"Piston")</f>
        <v>Piston</v>
      </c>
      <c r="F814" s="5">
        <f ca="1">IFERROR(__xludf.DUMMYFUNCTION("""COMPUTED_VALUE"""),1)</f>
        <v>1</v>
      </c>
    </row>
    <row r="815" spans="1:6" ht="15" customHeight="1" x14ac:dyDescent="0.2">
      <c r="A815" s="5" t="str">
        <f ca="1">IFERROR(__xludf.DUMMYFUNCTION("""COMPUTED_VALUE"""),"DIMO")</f>
        <v>DIMO</v>
      </c>
      <c r="B815" s="5" t="str">
        <f ca="1">IFERROR(__xludf.DUMMYFUNCTION("""COMPUTED_VALUE"""),"DIAMOND")</f>
        <v>DIAMOND</v>
      </c>
      <c r="C815" s="5" t="str">
        <f ca="1">IFERROR(__xludf.DUMMYFUNCTION("""COMPUTED_VALUE"""),"HK-36 Super Dimona")</f>
        <v>HK-36 Super Dimona</v>
      </c>
      <c r="D815" s="5" t="str">
        <f ca="1">IFERROR(__xludf.DUMMYFUNCTION("""COMPUTED_VALUE"""),"LandPlane")</f>
        <v>LandPlane</v>
      </c>
      <c r="E815" s="5" t="str">
        <f ca="1">IFERROR(__xludf.DUMMYFUNCTION("""COMPUTED_VALUE"""),"Piston")</f>
        <v>Piston</v>
      </c>
      <c r="F815" s="5">
        <f ca="1">IFERROR(__xludf.DUMMYFUNCTION("""COMPUTED_VALUE"""),1)</f>
        <v>1</v>
      </c>
    </row>
    <row r="816" spans="1:6" ht="15" customHeight="1" x14ac:dyDescent="0.2">
      <c r="A816" s="5" t="str">
        <f ca="1">IFERROR(__xludf.DUMMYFUNCTION("""COMPUTED_VALUE"""),"DINO")</f>
        <v>DINO</v>
      </c>
      <c r="B816" s="5" t="str">
        <f ca="1">IFERROR(__xludf.DUMMYFUNCTION("""COMPUTED_VALUE"""),"GANZAVIA")</f>
        <v>GANZAVIA</v>
      </c>
      <c r="C816" s="5" t="str">
        <f ca="1">IFERROR(__xludf.DUMMYFUNCTION("""COMPUTED_VALUE"""),"GAK-22 Dinó")</f>
        <v>GAK-22 Dinó</v>
      </c>
      <c r="D816" s="5" t="str">
        <f ca="1">IFERROR(__xludf.DUMMYFUNCTION("""COMPUTED_VALUE"""),"LandPlane")</f>
        <v>LandPlane</v>
      </c>
      <c r="E816" s="5" t="str">
        <f ca="1">IFERROR(__xludf.DUMMYFUNCTION("""COMPUTED_VALUE"""),"Piston")</f>
        <v>Piston</v>
      </c>
      <c r="F816" s="5">
        <f ca="1">IFERROR(__xludf.DUMMYFUNCTION("""COMPUTED_VALUE"""),1)</f>
        <v>1</v>
      </c>
    </row>
    <row r="817" spans="1:6" ht="15" customHeight="1" x14ac:dyDescent="0.2">
      <c r="A817" s="5" t="str">
        <f ca="1">IFERROR(__xludf.DUMMYFUNCTION("""COMPUTED_VALUE"""),"DIPR")</f>
        <v>DIPR</v>
      </c>
      <c r="B817" s="5" t="str">
        <f ca="1">IFERROR(__xludf.DUMMYFUNCTION("""COMPUTED_VALUE"""),"COLLINS")</f>
        <v>COLLINS</v>
      </c>
      <c r="C817" s="5" t="str">
        <f ca="1">IFERROR(__xludf.DUMMYFUNCTION("""COMPUTED_VALUE"""),"Dipper")</f>
        <v>Dipper</v>
      </c>
      <c r="D817" s="5" t="str">
        <f ca="1">IFERROR(__xludf.DUMMYFUNCTION("""COMPUTED_VALUE"""),"Amphibian")</f>
        <v>Amphibian</v>
      </c>
      <c r="E817" s="5" t="str">
        <f ca="1">IFERROR(__xludf.DUMMYFUNCTION("""COMPUTED_VALUE"""),"Piston")</f>
        <v>Piston</v>
      </c>
      <c r="F817" s="5">
        <f ca="1">IFERROR(__xludf.DUMMYFUNCTION("""COMPUTED_VALUE"""),1)</f>
        <v>1</v>
      </c>
    </row>
    <row r="818" spans="1:6" ht="15" customHeight="1" x14ac:dyDescent="0.2">
      <c r="A818" s="5" t="str">
        <f ca="1">IFERROR(__xludf.DUMMYFUNCTION("""COMPUTED_VALUE"""),"DISC")</f>
        <v>DISC</v>
      </c>
      <c r="B818" s="5" t="str">
        <f ca="1">IFERROR(__xludf.DUMMYFUNCTION("""COMPUTED_VALUE"""),"SCHEMPP-HIRTH")</f>
        <v>SCHEMPP-HIRTH</v>
      </c>
      <c r="C818" s="5" t="str">
        <f ca="1">IFERROR(__xludf.DUMMYFUNCTION("""COMPUTED_VALUE"""),"Discus 2T")</f>
        <v>Discus 2T</v>
      </c>
      <c r="D818" s="5" t="str">
        <f ca="1">IFERROR(__xludf.DUMMYFUNCTION("""COMPUTED_VALUE"""),"LandPlane")</f>
        <v>LandPlane</v>
      </c>
      <c r="E818" s="5" t="str">
        <f ca="1">IFERROR(__xludf.DUMMYFUNCTION("""COMPUTED_VALUE"""),"Piston")</f>
        <v>Piston</v>
      </c>
      <c r="F818" s="5">
        <f ca="1">IFERROR(__xludf.DUMMYFUNCTION("""COMPUTED_VALUE"""),1)</f>
        <v>1</v>
      </c>
    </row>
    <row r="819" spans="1:6" ht="15" customHeight="1" x14ac:dyDescent="0.2">
      <c r="A819" s="5" t="str">
        <f ca="1">IFERROR(__xludf.DUMMYFUNCTION("""COMPUTED_VALUE"""),"DJET")</f>
        <v>DJET</v>
      </c>
      <c r="B819" s="5" t="str">
        <f ca="1">IFERROR(__xludf.DUMMYFUNCTION("""COMPUTED_VALUE"""),"DIAMOND")</f>
        <v>DIAMOND</v>
      </c>
      <c r="C819" s="5" t="str">
        <f ca="1">IFERROR(__xludf.DUMMYFUNCTION("""COMPUTED_VALUE"""),"DJ-1 D-Jet")</f>
        <v>DJ-1 D-Jet</v>
      </c>
      <c r="D819" s="5" t="str">
        <f ca="1">IFERROR(__xludf.DUMMYFUNCTION("""COMPUTED_VALUE"""),"LandPlane")</f>
        <v>LandPlane</v>
      </c>
      <c r="E819" s="5" t="str">
        <f ca="1">IFERROR(__xludf.DUMMYFUNCTION("""COMPUTED_VALUE"""),"Jet")</f>
        <v>Jet</v>
      </c>
      <c r="F819" s="5">
        <f ca="1">IFERROR(__xludf.DUMMYFUNCTION("""COMPUTED_VALUE"""),1)</f>
        <v>1</v>
      </c>
    </row>
    <row r="820" spans="1:6" ht="15" customHeight="1" x14ac:dyDescent="0.2">
      <c r="A820" s="5" t="str">
        <f ca="1">IFERROR(__xludf.DUMMYFUNCTION("""COMPUTED_VALUE"""),"DJIN")</f>
        <v>DJIN</v>
      </c>
      <c r="B820" s="5" t="str">
        <f ca="1">IFERROR(__xludf.DUMMYFUNCTION("""COMPUTED_VALUE"""),"SUD-OUEST")</f>
        <v>SUD-OUEST</v>
      </c>
      <c r="C820" s="5" t="str">
        <f ca="1">IFERROR(__xludf.DUMMYFUNCTION("""COMPUTED_VALUE"""),"SO-1221 Djinn")</f>
        <v>SO-1221 Djinn</v>
      </c>
      <c r="D820" s="5" t="str">
        <f ca="1">IFERROR(__xludf.DUMMYFUNCTION("""COMPUTED_VALUE"""),"Helicopter")</f>
        <v>Helicopter</v>
      </c>
      <c r="E820" s="5" t="str">
        <f ca="1">IFERROR(__xludf.DUMMYFUNCTION("""COMPUTED_VALUE"""),"Turboprop/Turboshaft")</f>
        <v>Turboprop/Turboshaft</v>
      </c>
      <c r="F820" s="5">
        <f ca="1">IFERROR(__xludf.DUMMYFUNCTION("""COMPUTED_VALUE"""),1)</f>
        <v>1</v>
      </c>
    </row>
    <row r="821" spans="1:6" ht="15" customHeight="1" x14ac:dyDescent="0.2">
      <c r="A821" s="5" t="str">
        <f ca="1">IFERROR(__xludf.DUMMYFUNCTION("""COMPUTED_VALUE"""),"DLH2")</f>
        <v>DLH2</v>
      </c>
      <c r="B821" s="5" t="str">
        <f ca="1">IFERROR(__xludf.DUMMYFUNCTION("""COMPUTED_VALUE"""),"LANGE")</f>
        <v>LANGE</v>
      </c>
      <c r="C821" s="5" t="str">
        <f ca="1">IFERROR(__xludf.DUMMYFUNCTION("""COMPUTED_VALUE"""),"E-1 Antares DLR-H2")</f>
        <v>E-1 Antares DLR-H2</v>
      </c>
      <c r="D821" s="5" t="str">
        <f ca="1">IFERROR(__xludf.DUMMYFUNCTION("""COMPUTED_VALUE"""),"LandPlane")</f>
        <v>LandPlane</v>
      </c>
      <c r="E821" s="5" t="str">
        <f ca="1">IFERROR(__xludf.DUMMYFUNCTION("""COMPUTED_VALUE"""),"Electric")</f>
        <v>Electric</v>
      </c>
      <c r="F821" s="5">
        <f ca="1">IFERROR(__xludf.DUMMYFUNCTION("""COMPUTED_VALUE"""),1)</f>
        <v>1</v>
      </c>
    </row>
    <row r="822" spans="1:6" ht="15" customHeight="1" x14ac:dyDescent="0.2">
      <c r="A822" s="5" t="str">
        <f ca="1">IFERROR(__xludf.DUMMYFUNCTION("""COMPUTED_VALUE"""),"DNGO")</f>
        <v>DNGO</v>
      </c>
      <c r="B822" s="5" t="str">
        <f ca="1">IFERROR(__xludf.DUMMYFUNCTION("""COMPUTED_VALUE"""),"AERORIC")</f>
        <v>AERORIC</v>
      </c>
      <c r="C822" s="5" t="str">
        <f ca="1">IFERROR(__xludf.DUMMYFUNCTION("""COMPUTED_VALUE"""),"Dingo")</f>
        <v>Dingo</v>
      </c>
      <c r="D822" s="5" t="str">
        <f ca="1">IFERROR(__xludf.DUMMYFUNCTION("""COMPUTED_VALUE"""),"Amphibian")</f>
        <v>Amphibian</v>
      </c>
      <c r="E822" s="5" t="str">
        <f ca="1">IFERROR(__xludf.DUMMYFUNCTION("""COMPUTED_VALUE"""),"Turboprop/Turboshaft")</f>
        <v>Turboprop/Turboshaft</v>
      </c>
      <c r="F822" s="5">
        <f ca="1">IFERROR(__xludf.DUMMYFUNCTION("""COMPUTED_VALUE"""),1)</f>
        <v>1</v>
      </c>
    </row>
    <row r="823" spans="1:6" ht="15" customHeight="1" x14ac:dyDescent="0.2">
      <c r="A823" s="5" t="str">
        <f ca="1">IFERROR(__xludf.DUMMYFUNCTION("""COMPUTED_VALUE"""),"DO27")</f>
        <v>DO27</v>
      </c>
      <c r="B823" s="5" t="str">
        <f ca="1">IFERROR(__xludf.DUMMYFUNCTION("""COMPUTED_VALUE"""),"DORNIER")</f>
        <v>DORNIER</v>
      </c>
      <c r="C823" s="5" t="str">
        <f ca="1">IFERROR(__xludf.DUMMYFUNCTION("""COMPUTED_VALUE"""),"Do-27")</f>
        <v>Do-27</v>
      </c>
      <c r="D823" s="5" t="str">
        <f ca="1">IFERROR(__xludf.DUMMYFUNCTION("""COMPUTED_VALUE"""),"LandPlane")</f>
        <v>LandPlane</v>
      </c>
      <c r="E823" s="5" t="str">
        <f ca="1">IFERROR(__xludf.DUMMYFUNCTION("""COMPUTED_VALUE"""),"Piston")</f>
        <v>Piston</v>
      </c>
      <c r="F823" s="5">
        <f ca="1">IFERROR(__xludf.DUMMYFUNCTION("""COMPUTED_VALUE"""),1)</f>
        <v>1</v>
      </c>
    </row>
    <row r="824" spans="1:6" ht="15" customHeight="1" x14ac:dyDescent="0.2">
      <c r="A824" s="5" t="str">
        <f ca="1">IFERROR(__xludf.DUMMYFUNCTION("""COMPUTED_VALUE"""),"DOCX")</f>
        <v>DOCX</v>
      </c>
      <c r="B824" s="5" t="str">
        <f ca="1">IFERROR(__xludf.DUMMYFUNCTION("""COMPUTED_VALUE"""),"KOVACH-ELMENDORF")</f>
        <v>KOVACH-ELMENDORF</v>
      </c>
      <c r="C824" s="5" t="str">
        <f ca="1">IFERROR(__xludf.DUMMYFUNCTION("""COMPUTED_VALUE"""),"ES-3 Doc's RX")</f>
        <v>ES-3 Doc's RX</v>
      </c>
      <c r="D824" s="5" t="str">
        <f ca="1">IFERROR(__xludf.DUMMYFUNCTION("""COMPUTED_VALUE"""),"LandPlane")</f>
        <v>LandPlane</v>
      </c>
      <c r="E824" s="5" t="str">
        <f ca="1">IFERROR(__xludf.DUMMYFUNCTION("""COMPUTED_VALUE"""),"Piston")</f>
        <v>Piston</v>
      </c>
      <c r="F824" s="5">
        <f ca="1">IFERROR(__xludf.DUMMYFUNCTION("""COMPUTED_VALUE"""),1)</f>
        <v>1</v>
      </c>
    </row>
    <row r="825" spans="1:6" ht="15" customHeight="1" x14ac:dyDescent="0.2">
      <c r="A825" s="5" t="str">
        <f ca="1">IFERROR(__xludf.DUMMYFUNCTION("""COMPUTED_VALUE"""),"DON")</f>
        <v>DON</v>
      </c>
      <c r="B825" s="5" t="str">
        <f ca="1">IFERROR(__xludf.DUMMYFUNCTION("""COMPUTED_VALUE"""),"UNIKOMTRANSO")</f>
        <v>UNIKOMTRANSO</v>
      </c>
      <c r="C825" s="5" t="str">
        <f ca="1">IFERROR(__xludf.DUMMYFUNCTION("""COMPUTED_VALUE"""),"Don")</f>
        <v>Don</v>
      </c>
      <c r="D825" s="5" t="str">
        <f ca="1">IFERROR(__xludf.DUMMYFUNCTION("""COMPUTED_VALUE"""),"LandPlane")</f>
        <v>LandPlane</v>
      </c>
      <c r="E825" s="5" t="str">
        <f ca="1">IFERROR(__xludf.DUMMYFUNCTION("""COMPUTED_VALUE"""),"Piston")</f>
        <v>Piston</v>
      </c>
      <c r="F825" s="5">
        <f ca="1">IFERROR(__xludf.DUMMYFUNCTION("""COMPUTED_VALUE"""),1)</f>
        <v>1</v>
      </c>
    </row>
    <row r="826" spans="1:6" ht="15" customHeight="1" x14ac:dyDescent="0.2">
      <c r="A826" s="5" t="str">
        <f ca="1">IFERROR(__xludf.DUMMYFUNCTION("""COMPUTED_VALUE"""),"DOVE")</f>
        <v>DOVE</v>
      </c>
      <c r="B826" s="5" t="str">
        <f ca="1">IFERROR(__xludf.DUMMYFUNCTION("""COMPUTED_VALUE"""),"DE HAVILLAND")</f>
        <v>DE HAVILLAND</v>
      </c>
      <c r="C826" s="5" t="str">
        <f ca="1">IFERROR(__xludf.DUMMYFUNCTION("""COMPUTED_VALUE"""),"DH-104 Dove")</f>
        <v>DH-104 Dove</v>
      </c>
      <c r="D826" s="5" t="str">
        <f ca="1">IFERROR(__xludf.DUMMYFUNCTION("""COMPUTED_VALUE"""),"LandPlane")</f>
        <v>LandPlane</v>
      </c>
      <c r="E826" s="5" t="str">
        <f ca="1">IFERROR(__xludf.DUMMYFUNCTION("""COMPUTED_VALUE"""),"Piston")</f>
        <v>Piston</v>
      </c>
      <c r="F826" s="5">
        <f ca="1">IFERROR(__xludf.DUMMYFUNCTION("""COMPUTED_VALUE"""),2)</f>
        <v>2</v>
      </c>
    </row>
    <row r="827" spans="1:6" ht="15" customHeight="1" x14ac:dyDescent="0.2">
      <c r="A827" s="5" t="str">
        <f ca="1">IFERROR(__xludf.DUMMYFUNCTION("""COMPUTED_VALUE"""),"DR1")</f>
        <v>DR1</v>
      </c>
      <c r="B827" s="5" t="str">
        <f ca="1">IFERROR(__xludf.DUMMYFUNCTION("""COMPUTED_VALUE"""),"FOKKER")</f>
        <v>FOKKER</v>
      </c>
      <c r="C827" s="5" t="str">
        <f ca="1">IFERROR(__xludf.DUMMYFUNCTION("""COMPUTED_VALUE"""),"Dr-1 Replica")</f>
        <v>Dr-1 Replica</v>
      </c>
      <c r="D827" s="5" t="str">
        <f ca="1">IFERROR(__xludf.DUMMYFUNCTION("""COMPUTED_VALUE"""),"LandPlane")</f>
        <v>LandPlane</v>
      </c>
      <c r="E827" s="5" t="str">
        <f ca="1">IFERROR(__xludf.DUMMYFUNCTION("""COMPUTED_VALUE"""),"Piston")</f>
        <v>Piston</v>
      </c>
      <c r="F827" s="5">
        <f ca="1">IFERROR(__xludf.DUMMYFUNCTION("""COMPUTED_VALUE"""),1)</f>
        <v>1</v>
      </c>
    </row>
    <row r="828" spans="1:6" ht="15" customHeight="1" x14ac:dyDescent="0.2">
      <c r="A828" s="5" t="str">
        <f ca="1">IFERROR(__xludf.DUMMYFUNCTION("""COMPUTED_VALUE"""),"DR10")</f>
        <v>DR10</v>
      </c>
      <c r="B828" s="5" t="str">
        <f ca="1">IFERROR(__xludf.DUMMYFUNCTION("""COMPUTED_VALUE"""),"CENTRE EST")</f>
        <v>CENTRE EST</v>
      </c>
      <c r="C828" s="5" t="str">
        <f ca="1">IFERROR(__xludf.DUMMYFUNCTION("""COMPUTED_VALUE"""),"DR-1050 Ambassadeur")</f>
        <v>DR-1050 Ambassadeur</v>
      </c>
      <c r="D828" s="5" t="str">
        <f ca="1">IFERROR(__xludf.DUMMYFUNCTION("""COMPUTED_VALUE"""),"LandPlane")</f>
        <v>LandPlane</v>
      </c>
      <c r="E828" s="5" t="str">
        <f ca="1">IFERROR(__xludf.DUMMYFUNCTION("""COMPUTED_VALUE"""),"Piston")</f>
        <v>Piston</v>
      </c>
      <c r="F828" s="5">
        <f ca="1">IFERROR(__xludf.DUMMYFUNCTION("""COMPUTED_VALUE"""),1)</f>
        <v>1</v>
      </c>
    </row>
    <row r="829" spans="1:6" ht="15" customHeight="1" x14ac:dyDescent="0.2">
      <c r="A829" s="5" t="str">
        <f ca="1">IFERROR(__xludf.DUMMYFUNCTION("""COMPUTED_VALUE"""),"DR22")</f>
        <v>DR22</v>
      </c>
      <c r="B829" s="5" t="str">
        <f ca="1">IFERROR(__xludf.DUMMYFUNCTION("""COMPUTED_VALUE"""),"CENTRE EST")</f>
        <v>CENTRE EST</v>
      </c>
      <c r="C829" s="5" t="str">
        <f ca="1">IFERROR(__xludf.DUMMYFUNCTION("""COMPUTED_VALUE"""),"DR-220 2+2")</f>
        <v>DR-220 2+2</v>
      </c>
      <c r="D829" s="5" t="str">
        <f ca="1">IFERROR(__xludf.DUMMYFUNCTION("""COMPUTED_VALUE"""),"LandPlane")</f>
        <v>LandPlane</v>
      </c>
      <c r="E829" s="5" t="str">
        <f ca="1">IFERROR(__xludf.DUMMYFUNCTION("""COMPUTED_VALUE"""),"Piston")</f>
        <v>Piston</v>
      </c>
      <c r="F829" s="5">
        <f ca="1">IFERROR(__xludf.DUMMYFUNCTION("""COMPUTED_VALUE"""),1)</f>
        <v>1</v>
      </c>
    </row>
    <row r="830" spans="1:6" ht="15" customHeight="1" x14ac:dyDescent="0.2">
      <c r="A830" s="5" t="str">
        <f ca="1">IFERROR(__xludf.DUMMYFUNCTION("""COMPUTED_VALUE"""),"DR30")</f>
        <v>DR30</v>
      </c>
      <c r="B830" s="5" t="str">
        <f ca="1">IFERROR(__xludf.DUMMYFUNCTION("""COMPUTED_VALUE"""),"CENTRE EST")</f>
        <v>CENTRE EST</v>
      </c>
      <c r="C830" s="5" t="str">
        <f ca="1">IFERROR(__xludf.DUMMYFUNCTION("""COMPUTED_VALUE"""),"DR-315 Petit Prince")</f>
        <v>DR-315 Petit Prince</v>
      </c>
      <c r="D830" s="5" t="str">
        <f ca="1">IFERROR(__xludf.DUMMYFUNCTION("""COMPUTED_VALUE"""),"LandPlane")</f>
        <v>LandPlane</v>
      </c>
      <c r="E830" s="5" t="str">
        <f ca="1">IFERROR(__xludf.DUMMYFUNCTION("""COMPUTED_VALUE"""),"Piston")</f>
        <v>Piston</v>
      </c>
      <c r="F830" s="5">
        <f ca="1">IFERROR(__xludf.DUMMYFUNCTION("""COMPUTED_VALUE"""),1)</f>
        <v>1</v>
      </c>
    </row>
    <row r="831" spans="1:6" ht="15" customHeight="1" x14ac:dyDescent="0.2">
      <c r="A831" s="5" t="str">
        <f ca="1">IFERROR(__xludf.DUMMYFUNCTION("""COMPUTED_VALUE"""),"DR30")</f>
        <v>DR30</v>
      </c>
      <c r="B831" s="5" t="str">
        <f ca="1">IFERROR(__xludf.DUMMYFUNCTION("""COMPUTED_VALUE"""),"CENTRE EST")</f>
        <v>CENTRE EST</v>
      </c>
      <c r="C831" s="5" t="str">
        <f ca="1">IFERROR(__xludf.DUMMYFUNCTION("""COMPUTED_VALUE"""),"DR-340 Major")</f>
        <v>DR-340 Major</v>
      </c>
      <c r="D831" s="5" t="str">
        <f ca="1">IFERROR(__xludf.DUMMYFUNCTION("""COMPUTED_VALUE"""),"LandPlane")</f>
        <v>LandPlane</v>
      </c>
      <c r="E831" s="5" t="str">
        <f ca="1">IFERROR(__xludf.DUMMYFUNCTION("""COMPUTED_VALUE"""),"Piston")</f>
        <v>Piston</v>
      </c>
      <c r="F831" s="5">
        <f ca="1">IFERROR(__xludf.DUMMYFUNCTION("""COMPUTED_VALUE"""),1)</f>
        <v>1</v>
      </c>
    </row>
    <row r="832" spans="1:6" ht="15" customHeight="1" x14ac:dyDescent="0.2">
      <c r="A832" s="5" t="str">
        <f ca="1">IFERROR(__xludf.DUMMYFUNCTION("""COMPUTED_VALUE"""),"DR30")</f>
        <v>DR30</v>
      </c>
      <c r="B832" s="5" t="str">
        <f ca="1">IFERROR(__xludf.DUMMYFUNCTION("""COMPUTED_VALUE"""),"ROBIN")</f>
        <v>ROBIN</v>
      </c>
      <c r="C832" s="5" t="str">
        <f ca="1">IFERROR(__xludf.DUMMYFUNCTION("""COMPUTED_VALUE"""),"DR-300")</f>
        <v>DR-300</v>
      </c>
      <c r="D832" s="5" t="str">
        <f ca="1">IFERROR(__xludf.DUMMYFUNCTION("""COMPUTED_VALUE"""),"LandPlane")</f>
        <v>LandPlane</v>
      </c>
      <c r="E832" s="5" t="str">
        <f ca="1">IFERROR(__xludf.DUMMYFUNCTION("""COMPUTED_VALUE"""),"Piston")</f>
        <v>Piston</v>
      </c>
      <c r="F832" s="5">
        <f ca="1">IFERROR(__xludf.DUMMYFUNCTION("""COMPUTED_VALUE"""),1)</f>
        <v>1</v>
      </c>
    </row>
    <row r="833" spans="1:6" ht="15" customHeight="1" x14ac:dyDescent="0.2">
      <c r="A833" s="5" t="str">
        <f ca="1">IFERROR(__xludf.DUMMYFUNCTION("""COMPUTED_VALUE"""),"DR40")</f>
        <v>DR40</v>
      </c>
      <c r="B833" s="5" t="str">
        <f ca="1">IFERROR(__xludf.DUMMYFUNCTION("""COMPUTED_VALUE"""),"ROBIN")</f>
        <v>ROBIN</v>
      </c>
      <c r="C833" s="5" t="str">
        <f ca="1">IFERROR(__xludf.DUMMYFUNCTION("""COMPUTED_VALUE"""),"DR-400 2+2")</f>
        <v>DR-400 2+2</v>
      </c>
      <c r="D833" s="5" t="str">
        <f ca="1">IFERROR(__xludf.DUMMYFUNCTION("""COMPUTED_VALUE"""),"LandPlane")</f>
        <v>LandPlane</v>
      </c>
      <c r="E833" s="5" t="str">
        <f ca="1">IFERROR(__xludf.DUMMYFUNCTION("""COMPUTED_VALUE"""),"Piston")</f>
        <v>Piston</v>
      </c>
      <c r="F833" s="5">
        <f ca="1">IFERROR(__xludf.DUMMYFUNCTION("""COMPUTED_VALUE"""),1)</f>
        <v>1</v>
      </c>
    </row>
    <row r="834" spans="1:6" ht="15" customHeight="1" x14ac:dyDescent="0.2">
      <c r="A834" s="5" t="str">
        <f ca="1">IFERROR(__xludf.DUMMYFUNCTION("""COMPUTED_VALUE"""),"DRAG")</f>
        <v>DRAG</v>
      </c>
      <c r="B834" s="5" t="str">
        <f ca="1">IFERROR(__xludf.DUMMYFUNCTION("""COMPUTED_VALUE"""),"DRAGON FLY")</f>
        <v>DRAGON FLY</v>
      </c>
      <c r="C834" s="5" t="str">
        <f ca="1">IFERROR(__xludf.DUMMYFUNCTION("""COMPUTED_VALUE"""),"Dragon Fly")</f>
        <v>Dragon Fly</v>
      </c>
      <c r="D834" s="5" t="str">
        <f ca="1">IFERROR(__xludf.DUMMYFUNCTION("""COMPUTED_VALUE"""),"Helicopter")</f>
        <v>Helicopter</v>
      </c>
      <c r="E834" s="5" t="str">
        <f ca="1">IFERROR(__xludf.DUMMYFUNCTION("""COMPUTED_VALUE"""),"Piston")</f>
        <v>Piston</v>
      </c>
      <c r="F834" s="5">
        <f ca="1">IFERROR(__xludf.DUMMYFUNCTION("""COMPUTED_VALUE"""),1)</f>
        <v>1</v>
      </c>
    </row>
    <row r="835" spans="1:6" ht="15" customHeight="1" x14ac:dyDescent="0.2">
      <c r="A835" s="5" t="str">
        <f ca="1">IFERROR(__xludf.DUMMYFUNCTION("""COMPUTED_VALUE"""),"DRIF")</f>
        <v>DRIF</v>
      </c>
      <c r="B835" s="5" t="str">
        <f ca="1">IFERROR(__xludf.DUMMYFUNCTION("""COMPUTED_VALUE"""),"AUSTFLIGHT")</f>
        <v>AUSTFLIGHT</v>
      </c>
      <c r="C835" s="5" t="str">
        <f ca="1">IFERROR(__xludf.DUMMYFUNCTION("""COMPUTED_VALUE"""),"Drifter")</f>
        <v>Drifter</v>
      </c>
      <c r="D835" s="5" t="str">
        <f ca="1">IFERROR(__xludf.DUMMYFUNCTION("""COMPUTED_VALUE"""),"LandPlane")</f>
        <v>LandPlane</v>
      </c>
      <c r="E835" s="5" t="str">
        <f ca="1">IFERROR(__xludf.DUMMYFUNCTION("""COMPUTED_VALUE"""),"Piston")</f>
        <v>Piston</v>
      </c>
      <c r="F835" s="5">
        <f ca="1">IFERROR(__xludf.DUMMYFUNCTION("""COMPUTED_VALUE"""),1)</f>
        <v>1</v>
      </c>
    </row>
    <row r="836" spans="1:6" ht="15" customHeight="1" x14ac:dyDescent="0.2">
      <c r="A836" s="5" t="str">
        <f ca="1">IFERROR(__xludf.DUMMYFUNCTION("""COMPUTED_VALUE"""),"DRTG")</f>
        <v>DRTG</v>
      </c>
      <c r="B836" s="5" t="str">
        <f ca="1">IFERROR(__xludf.DUMMYFUNCTION("""COMPUTED_VALUE"""),"DART")</f>
        <v>DART</v>
      </c>
      <c r="C836" s="5" t="str">
        <f ca="1">IFERROR(__xludf.DUMMYFUNCTION("""COMPUTED_VALUE"""),"G")</f>
        <v>G</v>
      </c>
      <c r="D836" s="5" t="str">
        <f ca="1">IFERROR(__xludf.DUMMYFUNCTION("""COMPUTED_VALUE"""),"LandPlane")</f>
        <v>LandPlane</v>
      </c>
      <c r="E836" s="5" t="str">
        <f ca="1">IFERROR(__xludf.DUMMYFUNCTION("""COMPUTED_VALUE"""),"Piston")</f>
        <v>Piston</v>
      </c>
      <c r="F836" s="5">
        <f ca="1">IFERROR(__xludf.DUMMYFUNCTION("""COMPUTED_VALUE"""),1)</f>
        <v>1</v>
      </c>
    </row>
    <row r="837" spans="1:6" ht="15" customHeight="1" x14ac:dyDescent="0.2">
      <c r="A837" s="5" t="str">
        <f ca="1">IFERROR(__xludf.DUMMYFUNCTION("""COMPUTED_VALUE"""),"DSA1")</f>
        <v>DSA1</v>
      </c>
      <c r="B837" s="5" t="str">
        <f ca="1">IFERROR(__xludf.DUMMYFUNCTION("""COMPUTED_VALUE"""),"SMITH (1)")</f>
        <v>SMITH (1)</v>
      </c>
      <c r="C837" s="5" t="str">
        <f ca="1">IFERROR(__xludf.DUMMYFUNCTION("""COMPUTED_VALUE"""),"DSA-1 Miniplane")</f>
        <v>DSA-1 Miniplane</v>
      </c>
      <c r="D837" s="5" t="str">
        <f ca="1">IFERROR(__xludf.DUMMYFUNCTION("""COMPUTED_VALUE"""),"LandPlane")</f>
        <v>LandPlane</v>
      </c>
      <c r="E837" s="5" t="str">
        <f ca="1">IFERROR(__xludf.DUMMYFUNCTION("""COMPUTED_VALUE"""),"Piston")</f>
        <v>Piston</v>
      </c>
      <c r="F837" s="5">
        <f ca="1">IFERROR(__xludf.DUMMYFUNCTION("""COMPUTED_VALUE"""),1)</f>
        <v>1</v>
      </c>
    </row>
    <row r="838" spans="1:6" ht="15" customHeight="1" x14ac:dyDescent="0.2">
      <c r="A838" s="5" t="str">
        <f ca="1">IFERROR(__xludf.DUMMYFUNCTION("""COMPUTED_VALUE"""),"DSK")</f>
        <v>DSK</v>
      </c>
      <c r="B838" s="5" t="str">
        <f ca="1">IFERROR(__xludf.DUMMYFUNCTION("""COMPUTED_VALUE"""),"KILLINGSWORTH")</f>
        <v>KILLINGSWORTH</v>
      </c>
      <c r="C838" s="5" t="str">
        <f ca="1">IFERROR(__xludf.DUMMYFUNCTION("""COMPUTED_VALUE"""),"DSK-1 Hawk")</f>
        <v>DSK-1 Hawk</v>
      </c>
      <c r="D838" s="5" t="str">
        <f ca="1">IFERROR(__xludf.DUMMYFUNCTION("""COMPUTED_VALUE"""),"LandPlane")</f>
        <v>LandPlane</v>
      </c>
      <c r="E838" s="5" t="str">
        <f ca="1">IFERROR(__xludf.DUMMYFUNCTION("""COMPUTED_VALUE"""),"Piston")</f>
        <v>Piston</v>
      </c>
      <c r="F838" s="5">
        <f ca="1">IFERROR(__xludf.DUMMYFUNCTION("""COMPUTED_VALUE"""),1)</f>
        <v>1</v>
      </c>
    </row>
    <row r="839" spans="1:6" ht="15" customHeight="1" x14ac:dyDescent="0.2">
      <c r="A839" s="5" t="str">
        <f ca="1">IFERROR(__xludf.DUMMYFUNCTION("""COMPUTED_VALUE"""),"DSLK")</f>
        <v>DSLK</v>
      </c>
      <c r="B839" s="5" t="str">
        <f ca="1">IFERROR(__xludf.DUMMYFUNCTION("""COMPUTED_VALUE"""),"DRIGGS")</f>
        <v>DRIGGS</v>
      </c>
      <c r="C839" s="5" t="str">
        <f ca="1">IFERROR(__xludf.DUMMYFUNCTION("""COMPUTED_VALUE"""),"Skylark")</f>
        <v>Skylark</v>
      </c>
      <c r="D839" s="5" t="str">
        <f ca="1">IFERROR(__xludf.DUMMYFUNCTION("""COMPUTED_VALUE"""),"LandPlane")</f>
        <v>LandPlane</v>
      </c>
      <c r="E839" s="5" t="str">
        <f ca="1">IFERROR(__xludf.DUMMYFUNCTION("""COMPUTED_VALUE"""),"Piston")</f>
        <v>Piston</v>
      </c>
      <c r="F839" s="5">
        <f ca="1">IFERROR(__xludf.DUMMYFUNCTION("""COMPUTED_VALUE"""),1)</f>
        <v>1</v>
      </c>
    </row>
    <row r="840" spans="1:6" ht="15" customHeight="1" x14ac:dyDescent="0.2">
      <c r="A840" s="5" t="str">
        <f ca="1">IFERROR(__xludf.DUMMYFUNCTION("""COMPUTED_VALUE"""),"DT45")</f>
        <v>DT45</v>
      </c>
      <c r="B840" s="5" t="str">
        <f ca="1">IFERROR(__xludf.DUMMYFUNCTION("""COMPUTED_VALUE"""),"DIAMOND")</f>
        <v>DIAMOND</v>
      </c>
      <c r="C840" s="5" t="str">
        <f ca="1">IFERROR(__xludf.DUMMYFUNCTION("""COMPUTED_VALUE"""),"DART-450")</f>
        <v>DART-450</v>
      </c>
      <c r="D840" s="5" t="str">
        <f ca="1">IFERROR(__xludf.DUMMYFUNCTION("""COMPUTED_VALUE"""),"LandPlane")</f>
        <v>LandPlane</v>
      </c>
      <c r="E840" s="5" t="str">
        <f ca="1">IFERROR(__xludf.DUMMYFUNCTION("""COMPUTED_VALUE"""),"Turboprop/Turboshaft")</f>
        <v>Turboprop/Turboshaft</v>
      </c>
      <c r="F840" s="5">
        <f ca="1">IFERROR(__xludf.DUMMYFUNCTION("""COMPUTED_VALUE"""),1)</f>
        <v>1</v>
      </c>
    </row>
    <row r="841" spans="1:6" ht="15" customHeight="1" x14ac:dyDescent="0.2">
      <c r="A841" s="5" t="str">
        <f ca="1">IFERROR(__xludf.DUMMYFUNCTION("""COMPUTED_VALUE"""),"DTA1")</f>
        <v>DTA1</v>
      </c>
      <c r="B841" s="5" t="str">
        <f ca="1">IFERROR(__xludf.DUMMYFUNCTION("""COMPUTED_VALUE"""),"VERHEES")</f>
        <v>VERHEES</v>
      </c>
      <c r="C841" s="5" t="str">
        <f ca="1">IFERROR(__xludf.DUMMYFUNCTION("""COMPUTED_VALUE"""),"D-1 Delta")</f>
        <v>D-1 Delta</v>
      </c>
      <c r="D841" s="5" t="str">
        <f ca="1">IFERROR(__xludf.DUMMYFUNCTION("""COMPUTED_VALUE"""),"LandPlane")</f>
        <v>LandPlane</v>
      </c>
      <c r="E841" s="5" t="str">
        <f ca="1">IFERROR(__xludf.DUMMYFUNCTION("""COMPUTED_VALUE"""),"Piston")</f>
        <v>Piston</v>
      </c>
      <c r="F841" s="5">
        <f ca="1">IFERROR(__xludf.DUMMYFUNCTION("""COMPUTED_VALUE"""),1)</f>
        <v>1</v>
      </c>
    </row>
    <row r="842" spans="1:6" ht="15" customHeight="1" x14ac:dyDescent="0.2">
      <c r="A842" s="5" t="str">
        <f ca="1">IFERROR(__xludf.DUMMYFUNCTION("""COMPUTED_VALUE"""),"DTA2")</f>
        <v>DTA2</v>
      </c>
      <c r="B842" s="5" t="str">
        <f ca="1">IFERROR(__xludf.DUMMYFUNCTION("""COMPUTED_VALUE"""),"VERHEES")</f>
        <v>VERHEES</v>
      </c>
      <c r="C842" s="5" t="str">
        <f ca="1">IFERROR(__xludf.DUMMYFUNCTION("""COMPUTED_VALUE"""),"D-2 Delta")</f>
        <v>D-2 Delta</v>
      </c>
      <c r="D842" s="5" t="str">
        <f ca="1">IFERROR(__xludf.DUMMYFUNCTION("""COMPUTED_VALUE"""),"LandPlane")</f>
        <v>LandPlane</v>
      </c>
      <c r="E842" s="5" t="str">
        <f ca="1">IFERROR(__xludf.DUMMYFUNCTION("""COMPUTED_VALUE"""),"Piston")</f>
        <v>Piston</v>
      </c>
      <c r="F842" s="5">
        <f ca="1">IFERROR(__xludf.DUMMYFUNCTION("""COMPUTED_VALUE"""),1)</f>
        <v>1</v>
      </c>
    </row>
    <row r="843" spans="1:6" ht="15" customHeight="1" x14ac:dyDescent="0.2">
      <c r="A843" s="5" t="str">
        <f ca="1">IFERROR(__xludf.DUMMYFUNCTION("""COMPUTED_VALUE"""),"DUB2")</f>
        <v>DUB2</v>
      </c>
      <c r="B843" s="5" t="str">
        <f ca="1">IFERROR(__xludf.DUMMYFUNCTION("""COMPUTED_VALUE"""),"DUBNA")</f>
        <v>DUBNA</v>
      </c>
      <c r="C843" s="5" t="str">
        <f ca="1">IFERROR(__xludf.DUMMYFUNCTION("""COMPUTED_VALUE"""),"2 Osa")</f>
        <v>2 Osa</v>
      </c>
      <c r="D843" s="5" t="str">
        <f ca="1">IFERROR(__xludf.DUMMYFUNCTION("""COMPUTED_VALUE"""),"LandPlane")</f>
        <v>LandPlane</v>
      </c>
      <c r="E843" s="5" t="str">
        <f ca="1">IFERROR(__xludf.DUMMYFUNCTION("""COMPUTED_VALUE"""),"Piston")</f>
        <v>Piston</v>
      </c>
      <c r="F843" s="5">
        <f ca="1">IFERROR(__xludf.DUMMYFUNCTION("""COMPUTED_VALUE"""),1)</f>
        <v>1</v>
      </c>
    </row>
    <row r="844" spans="1:6" ht="15" customHeight="1" x14ac:dyDescent="0.2">
      <c r="A844" s="5" t="str">
        <f ca="1">IFERROR(__xludf.DUMMYFUNCTION("""COMPUTED_VALUE"""),"DUCE")</f>
        <v>DUCE</v>
      </c>
      <c r="B844" s="5" t="str">
        <f ca="1">IFERROR(__xludf.DUMMYFUNCTION("""COMPUTED_VALUE"""),"BAKENG")</f>
        <v>BAKENG</v>
      </c>
      <c r="C844" s="5" t="str">
        <f ca="1">IFERROR(__xludf.DUMMYFUNCTION("""COMPUTED_VALUE"""),"Duce")</f>
        <v>Duce</v>
      </c>
      <c r="D844" s="5" t="str">
        <f ca="1">IFERROR(__xludf.DUMMYFUNCTION("""COMPUTED_VALUE"""),"LandPlane")</f>
        <v>LandPlane</v>
      </c>
      <c r="E844" s="5" t="str">
        <f ca="1">IFERROR(__xludf.DUMMYFUNCTION("""COMPUTED_VALUE"""),"Piston")</f>
        <v>Piston</v>
      </c>
      <c r="F844" s="5">
        <f ca="1">IFERROR(__xludf.DUMMYFUNCTION("""COMPUTED_VALUE"""),1)</f>
        <v>1</v>
      </c>
    </row>
    <row r="845" spans="1:6" ht="15" customHeight="1" x14ac:dyDescent="0.2">
      <c r="A845" s="5" t="str">
        <f ca="1">IFERROR(__xludf.DUMMYFUNCTION("""COMPUTED_VALUE"""),"DUOD")</f>
        <v>DUOD</v>
      </c>
      <c r="B845" s="5" t="str">
        <f ca="1">IFERROR(__xludf.DUMMYFUNCTION("""COMPUTED_VALUE"""),"SCHEMPP-HIRTH")</f>
        <v>SCHEMPP-HIRTH</v>
      </c>
      <c r="C845" s="5" t="str">
        <f ca="1">IFERROR(__xludf.DUMMYFUNCTION("""COMPUTED_VALUE"""),"Duo Discus T")</f>
        <v>Duo Discus T</v>
      </c>
      <c r="D845" s="5" t="str">
        <f ca="1">IFERROR(__xludf.DUMMYFUNCTION("""COMPUTED_VALUE"""),"LandPlane")</f>
        <v>LandPlane</v>
      </c>
      <c r="E845" s="5" t="str">
        <f ca="1">IFERROR(__xludf.DUMMYFUNCTION("""COMPUTED_VALUE"""),"Piston")</f>
        <v>Piston</v>
      </c>
      <c r="F845" s="5">
        <f ca="1">IFERROR(__xludf.DUMMYFUNCTION("""COMPUTED_VALUE"""),1)</f>
        <v>1</v>
      </c>
    </row>
    <row r="846" spans="1:6" ht="15" customHeight="1" x14ac:dyDescent="0.2">
      <c r="A846" s="5" t="str">
        <f ca="1">IFERROR(__xludf.DUMMYFUNCTION("""COMPUTED_VALUE"""),"DUR5")</f>
        <v>DUR5</v>
      </c>
      <c r="B846" s="5" t="str">
        <f ca="1">IFERROR(__xludf.DUMMYFUNCTION("""COMPUTED_VALUE"""),"DURAND")</f>
        <v>DURAND</v>
      </c>
      <c r="C846" s="5" t="str">
        <f ca="1">IFERROR(__xludf.DUMMYFUNCTION("""COMPUTED_VALUE"""),"Mk5")</f>
        <v>Mk5</v>
      </c>
      <c r="D846" s="5" t="str">
        <f ca="1">IFERROR(__xludf.DUMMYFUNCTION("""COMPUTED_VALUE"""),"LandPlane")</f>
        <v>LandPlane</v>
      </c>
      <c r="E846" s="5" t="str">
        <f ca="1">IFERROR(__xludf.DUMMYFUNCTION("""COMPUTED_VALUE"""),"Piston")</f>
        <v>Piston</v>
      </c>
      <c r="F846" s="5">
        <f ca="1">IFERROR(__xludf.DUMMYFUNCTION("""COMPUTED_VALUE"""),1)</f>
        <v>1</v>
      </c>
    </row>
    <row r="847" spans="1:6" ht="15" customHeight="1" x14ac:dyDescent="0.2">
      <c r="A847" s="5" t="str">
        <f ca="1">IFERROR(__xludf.DUMMYFUNCTION("""COMPUTED_VALUE"""),"DV1")</f>
        <v>DV1</v>
      </c>
      <c r="B847" s="5" t="str">
        <f ca="1">IFERROR(__xludf.DUMMYFUNCTION("""COMPUTED_VALUE"""),"DOVA")</f>
        <v>DOVA</v>
      </c>
      <c r="C847" s="5" t="str">
        <f ca="1">IFERROR(__xludf.DUMMYFUNCTION("""COMPUTED_VALUE"""),"DV-1 Skylark")</f>
        <v>DV-1 Skylark</v>
      </c>
      <c r="D847" s="5" t="str">
        <f ca="1">IFERROR(__xludf.DUMMYFUNCTION("""COMPUTED_VALUE"""),"LandPlane")</f>
        <v>LandPlane</v>
      </c>
      <c r="E847" s="5" t="str">
        <f ca="1">IFERROR(__xludf.DUMMYFUNCTION("""COMPUTED_VALUE"""),"Piston")</f>
        <v>Piston</v>
      </c>
      <c r="F847" s="5">
        <f ca="1">IFERROR(__xludf.DUMMYFUNCTION("""COMPUTED_VALUE"""),1)</f>
        <v>1</v>
      </c>
    </row>
    <row r="848" spans="1:6" ht="15" customHeight="1" x14ac:dyDescent="0.2">
      <c r="A848" s="5" t="str">
        <f ca="1">IFERROR(__xludf.DUMMYFUNCTION("""COMPUTED_VALUE"""),"DV2")</f>
        <v>DV2</v>
      </c>
      <c r="B848" s="5" t="str">
        <f ca="1">IFERROR(__xludf.DUMMYFUNCTION("""COMPUTED_VALUE"""),"DOVA")</f>
        <v>DOVA</v>
      </c>
      <c r="C848" s="5" t="str">
        <f ca="1">IFERROR(__xludf.DUMMYFUNCTION("""COMPUTED_VALUE"""),"DV-2 Infinity")</f>
        <v>DV-2 Infinity</v>
      </c>
      <c r="D848" s="5" t="str">
        <f ca="1">IFERROR(__xludf.DUMMYFUNCTION("""COMPUTED_VALUE"""),"LandPlane")</f>
        <v>LandPlane</v>
      </c>
      <c r="E848" s="5" t="str">
        <f ca="1">IFERROR(__xludf.DUMMYFUNCTION("""COMPUTED_VALUE"""),"Piston")</f>
        <v>Piston</v>
      </c>
      <c r="F848" s="5">
        <f ca="1">IFERROR(__xludf.DUMMYFUNCTION("""COMPUTED_VALUE"""),1)</f>
        <v>1</v>
      </c>
    </row>
    <row r="849" spans="1:6" ht="15" customHeight="1" x14ac:dyDescent="0.2">
      <c r="A849" s="5" t="str">
        <f ca="1">IFERROR(__xludf.DUMMYFUNCTION("""COMPUTED_VALUE"""),"DV20")</f>
        <v>DV20</v>
      </c>
      <c r="B849" s="5" t="str">
        <f ca="1">IFERROR(__xludf.DUMMYFUNCTION("""COMPUTED_VALUE"""),"DIAMOND")</f>
        <v>DIAMOND</v>
      </c>
      <c r="C849" s="5" t="str">
        <f ca="1">IFERROR(__xludf.DUMMYFUNCTION("""COMPUTED_VALUE"""),"DV-20 Katana")</f>
        <v>DV-20 Katana</v>
      </c>
      <c r="D849" s="5" t="str">
        <f ca="1">IFERROR(__xludf.DUMMYFUNCTION("""COMPUTED_VALUE"""),"LandPlane")</f>
        <v>LandPlane</v>
      </c>
      <c r="E849" s="5" t="str">
        <f ca="1">IFERROR(__xludf.DUMMYFUNCTION("""COMPUTED_VALUE"""),"Piston")</f>
        <v>Piston</v>
      </c>
      <c r="F849" s="5">
        <f ca="1">IFERROR(__xludf.DUMMYFUNCTION("""COMPUTED_VALUE"""),1)</f>
        <v>1</v>
      </c>
    </row>
    <row r="850" spans="1:6" ht="15" customHeight="1" x14ac:dyDescent="0.2">
      <c r="A850" s="5" t="str">
        <f ca="1">IFERROR(__xludf.DUMMYFUNCTION("""COMPUTED_VALUE"""),"DW1")</f>
        <v>DW1</v>
      </c>
      <c r="B850" s="5" t="str">
        <f ca="1">IFERROR(__xludf.DUMMYFUNCTION("""COMPUTED_VALUE"""),"EAGLE")</f>
        <v>EAGLE</v>
      </c>
      <c r="C850" s="5" t="str">
        <f ca="1">IFERROR(__xludf.DUMMYFUNCTION("""COMPUTED_VALUE"""),"DW-1 Eagle")</f>
        <v>DW-1 Eagle</v>
      </c>
      <c r="D850" s="5" t="str">
        <f ca="1">IFERROR(__xludf.DUMMYFUNCTION("""COMPUTED_VALUE"""),"LandPlane")</f>
        <v>LandPlane</v>
      </c>
      <c r="E850" s="5" t="str">
        <f ca="1">IFERROR(__xludf.DUMMYFUNCTION("""COMPUTED_VALUE"""),"Piston")</f>
        <v>Piston</v>
      </c>
      <c r="F850" s="5">
        <f ca="1">IFERROR(__xludf.DUMMYFUNCTION("""COMPUTED_VALUE"""),1)</f>
        <v>1</v>
      </c>
    </row>
    <row r="851" spans="1:6" ht="15" customHeight="1" x14ac:dyDescent="0.2">
      <c r="A851" s="5" t="str">
        <f ca="1">IFERROR(__xludf.DUMMYFUNCTION("""COMPUTED_VALUE"""),"DWD2")</f>
        <v>DWD2</v>
      </c>
      <c r="B851" s="5" t="str">
        <f ca="1">IFERROR(__xludf.DUMMYFUNCTION("""COMPUTED_VALUE"""),"DEWOITINE")</f>
        <v>DEWOITINE</v>
      </c>
      <c r="C851" s="5" t="str">
        <f ca="1">IFERROR(__xludf.DUMMYFUNCTION("""COMPUTED_VALUE"""),"D-26")</f>
        <v>D-26</v>
      </c>
      <c r="D851" s="5" t="str">
        <f ca="1">IFERROR(__xludf.DUMMYFUNCTION("""COMPUTED_VALUE"""),"LandPlane")</f>
        <v>LandPlane</v>
      </c>
      <c r="E851" s="5" t="str">
        <f ca="1">IFERROR(__xludf.DUMMYFUNCTION("""COMPUTED_VALUE"""),"Piston")</f>
        <v>Piston</v>
      </c>
      <c r="F851" s="5">
        <f ca="1">IFERROR(__xludf.DUMMYFUNCTION("""COMPUTED_VALUE"""),1)</f>
        <v>1</v>
      </c>
    </row>
    <row r="852" spans="1:6" ht="15" customHeight="1" x14ac:dyDescent="0.2">
      <c r="A852" s="5" t="str">
        <f ca="1">IFERROR(__xludf.DUMMYFUNCTION("""COMPUTED_VALUE"""),"DYH2")</f>
        <v>DYH2</v>
      </c>
      <c r="B852" s="5" t="str">
        <f ca="1">IFERROR(__xludf.DUMMYFUNCTION("""COMPUTED_VALUE"""),"DYNALI")</f>
        <v>DYNALI</v>
      </c>
      <c r="C852" s="5" t="str">
        <f ca="1">IFERROR(__xludf.DUMMYFUNCTION("""COMPUTED_VALUE"""),"H-2")</f>
        <v>H-2</v>
      </c>
      <c r="D852" s="5" t="str">
        <f ca="1">IFERROR(__xludf.DUMMYFUNCTION("""COMPUTED_VALUE"""),"Helicopter")</f>
        <v>Helicopter</v>
      </c>
      <c r="E852" s="5" t="str">
        <f ca="1">IFERROR(__xludf.DUMMYFUNCTION("""COMPUTED_VALUE"""),"Piston")</f>
        <v>Piston</v>
      </c>
      <c r="F852" s="5">
        <f ca="1">IFERROR(__xludf.DUMMYFUNCTION("""COMPUTED_VALUE"""),1)</f>
        <v>1</v>
      </c>
    </row>
    <row r="853" spans="1:6" ht="15" customHeight="1" x14ac:dyDescent="0.2">
      <c r="A853" s="5" t="str">
        <f ca="1">IFERROR(__xludf.DUMMYFUNCTION("""COMPUTED_VALUE"""),"E110")</f>
        <v>E110</v>
      </c>
      <c r="B853" s="5" t="str">
        <f ca="1">IFERROR(__xludf.DUMMYFUNCTION("""COMPUTED_VALUE"""),"EMBRAER")</f>
        <v>EMBRAER</v>
      </c>
      <c r="C853" s="5" t="str">
        <f ca="1">IFERROR(__xludf.DUMMYFUNCTION("""COMPUTED_VALUE"""),"EMB-110 Bandeirante")</f>
        <v>EMB-110 Bandeirante</v>
      </c>
      <c r="D853" s="5" t="str">
        <f ca="1">IFERROR(__xludf.DUMMYFUNCTION("""COMPUTED_VALUE"""),"LandPlane")</f>
        <v>LandPlane</v>
      </c>
      <c r="E853" s="5" t="str">
        <f ca="1">IFERROR(__xludf.DUMMYFUNCTION("""COMPUTED_VALUE"""),"Turboprop/Turboshaft")</f>
        <v>Turboprop/Turboshaft</v>
      </c>
      <c r="F853" s="5">
        <f ca="1">IFERROR(__xludf.DUMMYFUNCTION("""COMPUTED_VALUE"""),2)</f>
        <v>2</v>
      </c>
    </row>
    <row r="854" spans="1:6" ht="15" customHeight="1" x14ac:dyDescent="0.2">
      <c r="A854" s="5" t="str">
        <f ca="1">IFERROR(__xludf.DUMMYFUNCTION("""COMPUTED_VALUE"""),"E120")</f>
        <v>E120</v>
      </c>
      <c r="B854" s="5" t="str">
        <f ca="1">IFERROR(__xludf.DUMMYFUNCTION("""COMPUTED_VALUE"""),"EMBRAER")</f>
        <v>EMBRAER</v>
      </c>
      <c r="C854" s="5" t="str">
        <f ca="1">IFERROR(__xludf.DUMMYFUNCTION("""COMPUTED_VALUE"""),"EMB-120 Brasilia")</f>
        <v>EMB-120 Brasilia</v>
      </c>
      <c r="D854" s="5" t="str">
        <f ca="1">IFERROR(__xludf.DUMMYFUNCTION("""COMPUTED_VALUE"""),"LandPlane")</f>
        <v>LandPlane</v>
      </c>
      <c r="E854" s="5" t="str">
        <f ca="1">IFERROR(__xludf.DUMMYFUNCTION("""COMPUTED_VALUE"""),"Turboprop/Turboshaft")</f>
        <v>Turboprop/Turboshaft</v>
      </c>
      <c r="F854" s="5">
        <f ca="1">IFERROR(__xludf.DUMMYFUNCTION("""COMPUTED_VALUE"""),2)</f>
        <v>2</v>
      </c>
    </row>
    <row r="855" spans="1:6" ht="15" customHeight="1" x14ac:dyDescent="0.2">
      <c r="A855" s="5" t="str">
        <f ca="1">IFERROR(__xludf.DUMMYFUNCTION("""COMPUTED_VALUE"""),"E121")</f>
        <v>E121</v>
      </c>
      <c r="B855" s="5" t="str">
        <f ca="1">IFERROR(__xludf.DUMMYFUNCTION("""COMPUTED_VALUE"""),"EMBRAER")</f>
        <v>EMBRAER</v>
      </c>
      <c r="C855" s="5" t="str">
        <f ca="1">IFERROR(__xludf.DUMMYFUNCTION("""COMPUTED_VALUE"""),"EMB-121 Xingu")</f>
        <v>EMB-121 Xingu</v>
      </c>
      <c r="D855" s="5" t="str">
        <f ca="1">IFERROR(__xludf.DUMMYFUNCTION("""COMPUTED_VALUE"""),"LandPlane")</f>
        <v>LandPlane</v>
      </c>
      <c r="E855" s="5" t="str">
        <f ca="1">IFERROR(__xludf.DUMMYFUNCTION("""COMPUTED_VALUE"""),"Turboprop/Turboshaft")</f>
        <v>Turboprop/Turboshaft</v>
      </c>
      <c r="F855" s="5">
        <f ca="1">IFERROR(__xludf.DUMMYFUNCTION("""COMPUTED_VALUE"""),2)</f>
        <v>2</v>
      </c>
    </row>
    <row r="856" spans="1:6" ht="15" customHeight="1" x14ac:dyDescent="0.2">
      <c r="A856" s="5" t="str">
        <f ca="1">IFERROR(__xludf.DUMMYFUNCTION("""COMPUTED_VALUE"""),"E135")</f>
        <v>E135</v>
      </c>
      <c r="B856" s="5" t="str">
        <f ca="1">IFERROR(__xludf.DUMMYFUNCTION("""COMPUTED_VALUE"""),"EMBRAER")</f>
        <v>EMBRAER</v>
      </c>
      <c r="C856" s="5" t="str">
        <f ca="1">IFERROR(__xludf.DUMMYFUNCTION("""COMPUTED_VALUE"""),"ERJ-135")</f>
        <v>ERJ-135</v>
      </c>
      <c r="D856" s="5" t="str">
        <f ca="1">IFERROR(__xludf.DUMMYFUNCTION("""COMPUTED_VALUE"""),"LandPlane")</f>
        <v>LandPlane</v>
      </c>
      <c r="E856" s="5" t="str">
        <f ca="1">IFERROR(__xludf.DUMMYFUNCTION("""COMPUTED_VALUE"""),"Jet")</f>
        <v>Jet</v>
      </c>
      <c r="F856" s="5">
        <f ca="1">IFERROR(__xludf.DUMMYFUNCTION("""COMPUTED_VALUE"""),2)</f>
        <v>2</v>
      </c>
    </row>
    <row r="857" spans="1:6" ht="15" customHeight="1" x14ac:dyDescent="0.2">
      <c r="A857" s="5" t="str">
        <f ca="1">IFERROR(__xludf.DUMMYFUNCTION("""COMPUTED_VALUE"""),"E145")</f>
        <v>E145</v>
      </c>
      <c r="B857" s="5" t="str">
        <f ca="1">IFERROR(__xludf.DUMMYFUNCTION("""COMPUTED_VALUE"""),"EMBRAER")</f>
        <v>EMBRAER</v>
      </c>
      <c r="C857" s="5" t="str">
        <f ca="1">IFERROR(__xludf.DUMMYFUNCTION("""COMPUTED_VALUE"""),"ERJ-145EP")</f>
        <v>ERJ-145EP</v>
      </c>
      <c r="D857" s="5" t="str">
        <f ca="1">IFERROR(__xludf.DUMMYFUNCTION("""COMPUTED_VALUE"""),"LandPlane")</f>
        <v>LandPlane</v>
      </c>
      <c r="E857" s="5" t="str">
        <f ca="1">IFERROR(__xludf.DUMMYFUNCTION("""COMPUTED_VALUE"""),"Jet")</f>
        <v>Jet</v>
      </c>
      <c r="F857" s="5">
        <f ca="1">IFERROR(__xludf.DUMMYFUNCTION("""COMPUTED_VALUE"""),2)</f>
        <v>2</v>
      </c>
    </row>
    <row r="858" spans="1:6" ht="15" customHeight="1" x14ac:dyDescent="0.2">
      <c r="A858" s="5" t="str">
        <f ca="1">IFERROR(__xludf.DUMMYFUNCTION("""COMPUTED_VALUE"""),"E170")</f>
        <v>E170</v>
      </c>
      <c r="B858" s="5" t="str">
        <f ca="1">IFERROR(__xludf.DUMMYFUNCTION("""COMPUTED_VALUE"""),"EMBRAER")</f>
        <v>EMBRAER</v>
      </c>
      <c r="C858" s="5" t="str">
        <f ca="1">IFERROR(__xludf.DUMMYFUNCTION("""COMPUTED_VALUE"""),"170")</f>
        <v>170</v>
      </c>
      <c r="D858" s="5" t="str">
        <f ca="1">IFERROR(__xludf.DUMMYFUNCTION("""COMPUTED_VALUE"""),"LandPlane")</f>
        <v>LandPlane</v>
      </c>
      <c r="E858" s="5" t="str">
        <f ca="1">IFERROR(__xludf.DUMMYFUNCTION("""COMPUTED_VALUE"""),"Jet")</f>
        <v>Jet</v>
      </c>
      <c r="F858" s="5">
        <f ca="1">IFERROR(__xludf.DUMMYFUNCTION("""COMPUTED_VALUE"""),2)</f>
        <v>2</v>
      </c>
    </row>
    <row r="859" spans="1:6" ht="15" customHeight="1" x14ac:dyDescent="0.2">
      <c r="A859" s="5" t="str">
        <f ca="1">IFERROR(__xludf.DUMMYFUNCTION("""COMPUTED_VALUE"""),"E170")</f>
        <v>E170</v>
      </c>
      <c r="B859" s="5" t="str">
        <f ca="1">IFERROR(__xludf.DUMMYFUNCTION("""COMPUTED_VALUE"""),"EMBRAER")</f>
        <v>EMBRAER</v>
      </c>
      <c r="C859" s="5" t="str">
        <f ca="1">IFERROR(__xludf.DUMMYFUNCTION("""COMPUTED_VALUE"""),"ERJ-170-100")</f>
        <v>ERJ-170-100</v>
      </c>
      <c r="D859" s="5" t="str">
        <f ca="1">IFERROR(__xludf.DUMMYFUNCTION("""COMPUTED_VALUE"""),"LandPlane")</f>
        <v>LandPlane</v>
      </c>
      <c r="E859" s="5" t="str">
        <f ca="1">IFERROR(__xludf.DUMMYFUNCTION("""COMPUTED_VALUE"""),"Jet")</f>
        <v>Jet</v>
      </c>
      <c r="F859" s="5">
        <f ca="1">IFERROR(__xludf.DUMMYFUNCTION("""COMPUTED_VALUE"""),2)</f>
        <v>2</v>
      </c>
    </row>
    <row r="860" spans="1:6" ht="15" customHeight="1" x14ac:dyDescent="0.2">
      <c r="A860" s="5" t="str">
        <f ca="1">IFERROR(__xludf.DUMMYFUNCTION("""COMPUTED_VALUE"""),"E190")</f>
        <v>E190</v>
      </c>
      <c r="B860" s="5" t="str">
        <f ca="1">IFERROR(__xludf.DUMMYFUNCTION("""COMPUTED_VALUE"""),"EMBRAER")</f>
        <v>EMBRAER</v>
      </c>
      <c r="C860" s="5" t="str">
        <f ca="1">IFERROR(__xludf.DUMMYFUNCTION("""COMPUTED_VALUE"""),"ERJ-190-100")</f>
        <v>ERJ-190-100</v>
      </c>
      <c r="D860" s="5" t="str">
        <f ca="1">IFERROR(__xludf.DUMMYFUNCTION("""COMPUTED_VALUE"""),"LandPlane")</f>
        <v>LandPlane</v>
      </c>
      <c r="E860" s="5" t="str">
        <f ca="1">IFERROR(__xludf.DUMMYFUNCTION("""COMPUTED_VALUE"""),"Jet")</f>
        <v>Jet</v>
      </c>
      <c r="F860" s="5">
        <f ca="1">IFERROR(__xludf.DUMMYFUNCTION("""COMPUTED_VALUE"""),2)</f>
        <v>2</v>
      </c>
    </row>
    <row r="861" spans="1:6" ht="15" customHeight="1" x14ac:dyDescent="0.2">
      <c r="A861" s="5" t="str">
        <f ca="1">IFERROR(__xludf.DUMMYFUNCTION("""COMPUTED_VALUE"""),"E195")</f>
        <v>E195</v>
      </c>
      <c r="B861" s="5" t="str">
        <f ca="1">IFERROR(__xludf.DUMMYFUNCTION("""COMPUTED_VALUE"""),"EMBRAER")</f>
        <v>EMBRAER</v>
      </c>
      <c r="C861" s="5" t="str">
        <f ca="1">IFERROR(__xludf.DUMMYFUNCTION("""COMPUTED_VALUE"""),"ERJ-190-200")</f>
        <v>ERJ-190-200</v>
      </c>
      <c r="D861" s="5" t="str">
        <f ca="1">IFERROR(__xludf.DUMMYFUNCTION("""COMPUTED_VALUE"""),"LandPlane")</f>
        <v>LandPlane</v>
      </c>
      <c r="E861" s="5" t="str">
        <f ca="1">IFERROR(__xludf.DUMMYFUNCTION("""COMPUTED_VALUE"""),"Jet")</f>
        <v>Jet</v>
      </c>
      <c r="F861" s="5">
        <f ca="1">IFERROR(__xludf.DUMMYFUNCTION("""COMPUTED_VALUE"""),2)</f>
        <v>2</v>
      </c>
    </row>
    <row r="862" spans="1:6" ht="15" customHeight="1" x14ac:dyDescent="0.2">
      <c r="A862" s="5" t="str">
        <f ca="1">IFERROR(__xludf.DUMMYFUNCTION("""COMPUTED_VALUE"""),"E2")</f>
        <v>E2</v>
      </c>
      <c r="B862" s="5" t="str">
        <f ca="1">IFERROR(__xludf.DUMMYFUNCTION("""COMPUTED_VALUE"""),"GRUMMAN")</f>
        <v>GRUMMAN</v>
      </c>
      <c r="C862" s="5" t="str">
        <f ca="1">IFERROR(__xludf.DUMMYFUNCTION("""COMPUTED_VALUE"""),"E-2 Hawkeye")</f>
        <v>E-2 Hawkeye</v>
      </c>
      <c r="D862" s="5" t="str">
        <f ca="1">IFERROR(__xludf.DUMMYFUNCTION("""COMPUTED_VALUE"""),"LandPlane")</f>
        <v>LandPlane</v>
      </c>
      <c r="E862" s="5" t="str">
        <f ca="1">IFERROR(__xludf.DUMMYFUNCTION("""COMPUTED_VALUE"""),"Turboprop/Turboshaft")</f>
        <v>Turboprop/Turboshaft</v>
      </c>
      <c r="F862" s="5">
        <f ca="1">IFERROR(__xludf.DUMMYFUNCTION("""COMPUTED_VALUE"""),2)</f>
        <v>2</v>
      </c>
    </row>
    <row r="863" spans="1:6" ht="15" customHeight="1" x14ac:dyDescent="0.2">
      <c r="A863" s="5" t="str">
        <f ca="1">IFERROR(__xludf.DUMMYFUNCTION("""COMPUTED_VALUE"""),"E200")</f>
        <v>E200</v>
      </c>
      <c r="B863" s="5" t="str">
        <f ca="1">IFERROR(__xludf.DUMMYFUNCTION("""COMPUTED_VALUE"""),"EXTRA")</f>
        <v>EXTRA</v>
      </c>
      <c r="C863" s="5" t="str">
        <f ca="1">IFERROR(__xludf.DUMMYFUNCTION("""COMPUTED_VALUE"""),"EA-200")</f>
        <v>EA-200</v>
      </c>
      <c r="D863" s="5" t="str">
        <f ca="1">IFERROR(__xludf.DUMMYFUNCTION("""COMPUTED_VALUE"""),"LandPlane")</f>
        <v>LandPlane</v>
      </c>
      <c r="E863" s="5" t="str">
        <f ca="1">IFERROR(__xludf.DUMMYFUNCTION("""COMPUTED_VALUE"""),"Piston")</f>
        <v>Piston</v>
      </c>
      <c r="F863" s="5">
        <f ca="1">IFERROR(__xludf.DUMMYFUNCTION("""COMPUTED_VALUE"""),1)</f>
        <v>1</v>
      </c>
    </row>
    <row r="864" spans="1:6" ht="15" customHeight="1" x14ac:dyDescent="0.2">
      <c r="A864" s="5" t="str">
        <f ca="1">IFERROR(__xludf.DUMMYFUNCTION("""COMPUTED_VALUE"""),"E230")</f>
        <v>E230</v>
      </c>
      <c r="B864" s="5" t="str">
        <f ca="1">IFERROR(__xludf.DUMMYFUNCTION("""COMPUTED_VALUE"""),"EXTRA")</f>
        <v>EXTRA</v>
      </c>
      <c r="C864" s="5" t="str">
        <f ca="1">IFERROR(__xludf.DUMMYFUNCTION("""COMPUTED_VALUE"""),"EA-230")</f>
        <v>EA-230</v>
      </c>
      <c r="D864" s="5" t="str">
        <f ca="1">IFERROR(__xludf.DUMMYFUNCTION("""COMPUTED_VALUE"""),"LandPlane")</f>
        <v>LandPlane</v>
      </c>
      <c r="E864" s="5" t="str">
        <f ca="1">IFERROR(__xludf.DUMMYFUNCTION("""COMPUTED_VALUE"""),"Piston")</f>
        <v>Piston</v>
      </c>
      <c r="F864" s="5">
        <f ca="1">IFERROR(__xludf.DUMMYFUNCTION("""COMPUTED_VALUE"""),1)</f>
        <v>1</v>
      </c>
    </row>
    <row r="865" spans="1:6" ht="15" customHeight="1" x14ac:dyDescent="0.2">
      <c r="A865" s="5" t="str">
        <f ca="1">IFERROR(__xludf.DUMMYFUNCTION("""COMPUTED_VALUE"""),"E275")</f>
        <v>E275</v>
      </c>
      <c r="B865" s="5" t="str">
        <f ca="1">IFERROR(__xludf.DUMMYFUNCTION("""COMPUTED_VALUE"""),"EMBRAER")</f>
        <v>EMBRAER</v>
      </c>
      <c r="C865" s="5" t="str">
        <f ca="1">IFERROR(__xludf.DUMMYFUNCTION("""COMPUTED_VALUE"""),"ERJ-190-500")</f>
        <v>ERJ-190-500</v>
      </c>
      <c r="D865" s="5" t="str">
        <f ca="1">IFERROR(__xludf.DUMMYFUNCTION("""COMPUTED_VALUE"""),"LandPlane")</f>
        <v>LandPlane</v>
      </c>
      <c r="E865" s="5" t="str">
        <f ca="1">IFERROR(__xludf.DUMMYFUNCTION("""COMPUTED_VALUE"""),"Jet")</f>
        <v>Jet</v>
      </c>
      <c r="F865" s="5">
        <f ca="1">IFERROR(__xludf.DUMMYFUNCTION("""COMPUTED_VALUE"""),2)</f>
        <v>2</v>
      </c>
    </row>
    <row r="866" spans="1:6" ht="15" customHeight="1" x14ac:dyDescent="0.2">
      <c r="A866" s="5" t="str">
        <f ca="1">IFERROR(__xludf.DUMMYFUNCTION("""COMPUTED_VALUE"""),"E290")</f>
        <v>E290</v>
      </c>
      <c r="B866" s="5" t="str">
        <f ca="1">IFERROR(__xludf.DUMMYFUNCTION("""COMPUTED_VALUE"""),"EMBRAER")</f>
        <v>EMBRAER</v>
      </c>
      <c r="C866" s="5" t="str">
        <f ca="1">IFERROR(__xludf.DUMMYFUNCTION("""COMPUTED_VALUE"""),"ERJ-190-300")</f>
        <v>ERJ-190-300</v>
      </c>
      <c r="D866" s="5" t="str">
        <f ca="1">IFERROR(__xludf.DUMMYFUNCTION("""COMPUTED_VALUE"""),"LandPlane")</f>
        <v>LandPlane</v>
      </c>
      <c r="E866" s="5" t="str">
        <f ca="1">IFERROR(__xludf.DUMMYFUNCTION("""COMPUTED_VALUE"""),"Jet")</f>
        <v>Jet</v>
      </c>
      <c r="F866" s="5">
        <f ca="1">IFERROR(__xludf.DUMMYFUNCTION("""COMPUTED_VALUE"""),2)</f>
        <v>2</v>
      </c>
    </row>
    <row r="867" spans="1:6" ht="15" customHeight="1" x14ac:dyDescent="0.2">
      <c r="A867" s="5" t="str">
        <f ca="1">IFERROR(__xludf.DUMMYFUNCTION("""COMPUTED_VALUE"""),"E295")</f>
        <v>E295</v>
      </c>
      <c r="B867" s="5" t="str">
        <f ca="1">IFERROR(__xludf.DUMMYFUNCTION("""COMPUTED_VALUE"""),"EMBRAER")</f>
        <v>EMBRAER</v>
      </c>
      <c r="C867" s="5" t="str">
        <f ca="1">IFERROR(__xludf.DUMMYFUNCTION("""COMPUTED_VALUE"""),"ERJ-190-400")</f>
        <v>ERJ-190-400</v>
      </c>
      <c r="D867" s="5" t="str">
        <f ca="1">IFERROR(__xludf.DUMMYFUNCTION("""COMPUTED_VALUE"""),"LandPlane")</f>
        <v>LandPlane</v>
      </c>
      <c r="E867" s="5" t="str">
        <f ca="1">IFERROR(__xludf.DUMMYFUNCTION("""COMPUTED_VALUE"""),"Jet")</f>
        <v>Jet</v>
      </c>
      <c r="F867" s="5">
        <f ca="1">IFERROR(__xludf.DUMMYFUNCTION("""COMPUTED_VALUE"""),2)</f>
        <v>2</v>
      </c>
    </row>
    <row r="868" spans="1:6" ht="15" customHeight="1" x14ac:dyDescent="0.2">
      <c r="A868" s="5" t="str">
        <f ca="1">IFERROR(__xludf.DUMMYFUNCTION("""COMPUTED_VALUE"""),"E29E")</f>
        <v>E29E</v>
      </c>
      <c r="B868" s="5" t="str">
        <f ca="1">IFERROR(__xludf.DUMMYFUNCTION("""COMPUTED_VALUE"""),"BINDER (2)")</f>
        <v>BINDER (2)</v>
      </c>
      <c r="C868" s="5" t="str">
        <f ca="1">IFERROR(__xludf.DUMMYFUNCTION("""COMPUTED_VALUE"""),"EB-29DE")</f>
        <v>EB-29DE</v>
      </c>
      <c r="D868" s="5" t="str">
        <f ca="1">IFERROR(__xludf.DUMMYFUNCTION("""COMPUTED_VALUE"""),"LandPlane")</f>
        <v>LandPlane</v>
      </c>
      <c r="E868" s="5" t="str">
        <f ca="1">IFERROR(__xludf.DUMMYFUNCTION("""COMPUTED_VALUE"""),"Electric")</f>
        <v>Electric</v>
      </c>
      <c r="F868" s="5">
        <f ca="1">IFERROR(__xludf.DUMMYFUNCTION("""COMPUTED_VALUE"""),1)</f>
        <v>1</v>
      </c>
    </row>
    <row r="869" spans="1:6" ht="15" customHeight="1" x14ac:dyDescent="0.2">
      <c r="A869" s="5" t="str">
        <f ca="1">IFERROR(__xludf.DUMMYFUNCTION("""COMPUTED_VALUE"""),"E2CB")</f>
        <v>E2CB</v>
      </c>
      <c r="B869" s="5" t="str">
        <f ca="1">IFERROR(__xludf.DUMMYFUNCTION("""COMPUTED_VALUE"""),"TAYLOR (1)")</f>
        <v>TAYLOR (1)</v>
      </c>
      <c r="C869" s="5" t="str">
        <f ca="1">IFERROR(__xludf.DUMMYFUNCTION("""COMPUTED_VALUE"""),"E-2 Cub")</f>
        <v>E-2 Cub</v>
      </c>
      <c r="D869" s="5" t="str">
        <f ca="1">IFERROR(__xludf.DUMMYFUNCTION("""COMPUTED_VALUE"""),"LandPlane")</f>
        <v>LandPlane</v>
      </c>
      <c r="E869" s="5" t="str">
        <f ca="1">IFERROR(__xludf.DUMMYFUNCTION("""COMPUTED_VALUE"""),"Piston")</f>
        <v>Piston</v>
      </c>
      <c r="F869" s="5">
        <f ca="1">IFERROR(__xludf.DUMMYFUNCTION("""COMPUTED_VALUE"""),1)</f>
        <v>1</v>
      </c>
    </row>
    <row r="870" spans="1:6" ht="15" customHeight="1" x14ac:dyDescent="0.2">
      <c r="A870" s="5" t="str">
        <f ca="1">IFERROR(__xludf.DUMMYFUNCTION("""COMPUTED_VALUE"""),"E300")</f>
        <v>E300</v>
      </c>
      <c r="B870" s="5" t="str">
        <f ca="1">IFERROR(__xludf.DUMMYFUNCTION("""COMPUTED_VALUE"""),"EXTRA")</f>
        <v>EXTRA</v>
      </c>
      <c r="C870" s="5" t="str">
        <f ca="1">IFERROR(__xludf.DUMMYFUNCTION("""COMPUTED_VALUE"""),"EA-300")</f>
        <v>EA-300</v>
      </c>
      <c r="D870" s="5" t="str">
        <f ca="1">IFERROR(__xludf.DUMMYFUNCTION("""COMPUTED_VALUE"""),"LandPlane")</f>
        <v>LandPlane</v>
      </c>
      <c r="E870" s="5" t="str">
        <f ca="1">IFERROR(__xludf.DUMMYFUNCTION("""COMPUTED_VALUE"""),"Piston")</f>
        <v>Piston</v>
      </c>
      <c r="F870" s="5">
        <f ca="1">IFERROR(__xludf.DUMMYFUNCTION("""COMPUTED_VALUE"""),1)</f>
        <v>1</v>
      </c>
    </row>
    <row r="871" spans="1:6" ht="15" customHeight="1" x14ac:dyDescent="0.2">
      <c r="A871" s="5" t="str">
        <f ca="1">IFERROR(__xludf.DUMMYFUNCTION("""COMPUTED_VALUE"""),"E314")</f>
        <v>E314</v>
      </c>
      <c r="B871" s="5" t="str">
        <f ca="1">IFERROR(__xludf.DUMMYFUNCTION("""COMPUTED_VALUE"""),"EMBRAER")</f>
        <v>EMBRAER</v>
      </c>
      <c r="C871" s="5" t="str">
        <f ca="1">IFERROR(__xludf.DUMMYFUNCTION("""COMPUTED_VALUE"""),"EMB-314 Super Tucano")</f>
        <v>EMB-314 Super Tucano</v>
      </c>
      <c r="D871" s="5" t="str">
        <f ca="1">IFERROR(__xludf.DUMMYFUNCTION("""COMPUTED_VALUE"""),"LandPlane")</f>
        <v>LandPlane</v>
      </c>
      <c r="E871" s="5" t="str">
        <f ca="1">IFERROR(__xludf.DUMMYFUNCTION("""COMPUTED_VALUE"""),"Turboprop/Turboshaft")</f>
        <v>Turboprop/Turboshaft</v>
      </c>
      <c r="F871" s="5">
        <f ca="1">IFERROR(__xludf.DUMMYFUNCTION("""COMPUTED_VALUE"""),1)</f>
        <v>1</v>
      </c>
    </row>
    <row r="872" spans="1:6" ht="15" customHeight="1" x14ac:dyDescent="0.2">
      <c r="A872" s="5" t="str">
        <f ca="1">IFERROR(__xludf.DUMMYFUNCTION("""COMPUTED_VALUE"""),"E350")</f>
        <v>E350</v>
      </c>
      <c r="B872" s="5" t="str">
        <f ca="1">IFERROR(__xludf.DUMMYFUNCTION("""COMPUTED_VALUE"""),"CESSNA")</f>
        <v>CESSNA</v>
      </c>
      <c r="C872" s="5" t="str">
        <f ca="1">IFERROR(__xludf.DUMMYFUNCTION("""COMPUTED_VALUE"""),"E350")</f>
        <v>E350</v>
      </c>
      <c r="D872" s="5" t="str">
        <f ca="1">IFERROR(__xludf.DUMMYFUNCTION("""COMPUTED_VALUE"""),"LandPlane")</f>
        <v>LandPlane</v>
      </c>
      <c r="E872" s="5" t="str">
        <f ca="1">IFERROR(__xludf.DUMMYFUNCTION("""COMPUTED_VALUE"""),"Turboprop/Turboshaft")</f>
        <v>Turboprop/Turboshaft</v>
      </c>
      <c r="F872" s="5">
        <f ca="1">IFERROR(__xludf.DUMMYFUNCTION("""COMPUTED_VALUE"""),1)</f>
        <v>1</v>
      </c>
    </row>
    <row r="873" spans="1:6" ht="15" customHeight="1" x14ac:dyDescent="0.2">
      <c r="A873" s="5" t="str">
        <f ca="1">IFERROR(__xludf.DUMMYFUNCTION("""COMPUTED_VALUE"""),"E35L")</f>
        <v>E35L</v>
      </c>
      <c r="B873" s="5" t="str">
        <f ca="1">IFERROR(__xludf.DUMMYFUNCTION("""COMPUTED_VALUE"""),"EMBRAER")</f>
        <v>EMBRAER</v>
      </c>
      <c r="C873" s="5" t="str">
        <f ca="1">IFERROR(__xludf.DUMMYFUNCTION("""COMPUTED_VALUE"""),"EMB-135BJ Legacy")</f>
        <v>EMB-135BJ Legacy</v>
      </c>
      <c r="D873" s="5" t="str">
        <f ca="1">IFERROR(__xludf.DUMMYFUNCTION("""COMPUTED_VALUE"""),"LandPlane")</f>
        <v>LandPlane</v>
      </c>
      <c r="E873" s="5" t="str">
        <f ca="1">IFERROR(__xludf.DUMMYFUNCTION("""COMPUTED_VALUE"""),"Jet")</f>
        <v>Jet</v>
      </c>
      <c r="F873" s="5">
        <f ca="1">IFERROR(__xludf.DUMMYFUNCTION("""COMPUTED_VALUE"""),2)</f>
        <v>2</v>
      </c>
    </row>
    <row r="874" spans="1:6" ht="15" customHeight="1" x14ac:dyDescent="0.2">
      <c r="A874" s="5" t="str">
        <f ca="1">IFERROR(__xludf.DUMMYFUNCTION("""COMPUTED_VALUE"""),"E390")</f>
        <v>E390</v>
      </c>
      <c r="B874" s="5" t="str">
        <f ca="1">IFERROR(__xludf.DUMMYFUNCTION("""COMPUTED_VALUE"""),"EMBRAER")</f>
        <v>EMBRAER</v>
      </c>
      <c r="C874" s="5" t="str">
        <f ca="1">IFERROR(__xludf.DUMMYFUNCTION("""COMPUTED_VALUE"""),"EMB-390")</f>
        <v>EMB-390</v>
      </c>
      <c r="D874" s="5" t="str">
        <f ca="1">IFERROR(__xludf.DUMMYFUNCTION("""COMPUTED_VALUE"""),"LandPlane")</f>
        <v>LandPlane</v>
      </c>
      <c r="E874" s="5" t="str">
        <f ca="1">IFERROR(__xludf.DUMMYFUNCTION("""COMPUTED_VALUE"""),"Jet")</f>
        <v>Jet</v>
      </c>
      <c r="F874" s="5">
        <f ca="1">IFERROR(__xludf.DUMMYFUNCTION("""COMPUTED_VALUE"""),2)</f>
        <v>2</v>
      </c>
    </row>
    <row r="875" spans="1:6" ht="15" customHeight="1" x14ac:dyDescent="0.2">
      <c r="A875" s="5" t="str">
        <f ca="1">IFERROR(__xludf.DUMMYFUNCTION("""COMPUTED_VALUE"""),"E3CF")</f>
        <v>E3CF</v>
      </c>
      <c r="B875" s="5" t="str">
        <f ca="1">IFERROR(__xludf.DUMMYFUNCTION("""COMPUTED_VALUE"""),"BOEING")</f>
        <v>BOEING</v>
      </c>
      <c r="C875" s="5" t="str">
        <f ca="1">IFERROR(__xludf.DUMMYFUNCTION("""COMPUTED_VALUE"""),"E-3A (CFM56) Sentry")</f>
        <v>E-3A (CFM56) Sentry</v>
      </c>
      <c r="D875" s="5" t="str">
        <f ca="1">IFERROR(__xludf.DUMMYFUNCTION("""COMPUTED_VALUE"""),"LandPlane")</f>
        <v>LandPlane</v>
      </c>
      <c r="E875" s="5" t="str">
        <f ca="1">IFERROR(__xludf.DUMMYFUNCTION("""COMPUTED_VALUE"""),"Jet")</f>
        <v>Jet</v>
      </c>
      <c r="F875" s="5">
        <f ca="1">IFERROR(__xludf.DUMMYFUNCTION("""COMPUTED_VALUE"""),4)</f>
        <v>4</v>
      </c>
    </row>
    <row r="876" spans="1:6" ht="15" customHeight="1" x14ac:dyDescent="0.2">
      <c r="A876" s="5" t="str">
        <f ca="1">IFERROR(__xludf.DUMMYFUNCTION("""COMPUTED_VALUE"""),"E3TF")</f>
        <v>E3TF</v>
      </c>
      <c r="B876" s="5" t="str">
        <f ca="1">IFERROR(__xludf.DUMMYFUNCTION("""COMPUTED_VALUE"""),"BOEING")</f>
        <v>BOEING</v>
      </c>
      <c r="C876" s="5" t="str">
        <f ca="1">IFERROR(__xludf.DUMMYFUNCTION("""COMPUTED_VALUE"""),"E-3A (TF33) Sentry")</f>
        <v>E-3A (TF33) Sentry</v>
      </c>
      <c r="D876" s="5" t="str">
        <f ca="1">IFERROR(__xludf.DUMMYFUNCTION("""COMPUTED_VALUE"""),"LandPlane")</f>
        <v>LandPlane</v>
      </c>
      <c r="E876" s="5" t="str">
        <f ca="1">IFERROR(__xludf.DUMMYFUNCTION("""COMPUTED_VALUE"""),"Jet")</f>
        <v>Jet</v>
      </c>
      <c r="F876" s="5">
        <f ca="1">IFERROR(__xludf.DUMMYFUNCTION("""COMPUTED_VALUE"""),4)</f>
        <v>4</v>
      </c>
    </row>
    <row r="877" spans="1:6" ht="15" customHeight="1" x14ac:dyDescent="0.2">
      <c r="A877" s="5" t="str">
        <f ca="1">IFERROR(__xludf.DUMMYFUNCTION("""COMPUTED_VALUE"""),"E400")</f>
        <v>E400</v>
      </c>
      <c r="B877" s="5" t="str">
        <f ca="1">IFERROR(__xludf.DUMMYFUNCTION("""COMPUTED_VALUE"""),"EXTRA")</f>
        <v>EXTRA</v>
      </c>
      <c r="C877" s="5" t="str">
        <f ca="1">IFERROR(__xludf.DUMMYFUNCTION("""COMPUTED_VALUE"""),"EA-400")</f>
        <v>EA-400</v>
      </c>
      <c r="D877" s="5" t="str">
        <f ca="1">IFERROR(__xludf.DUMMYFUNCTION("""COMPUTED_VALUE"""),"LandPlane")</f>
        <v>LandPlane</v>
      </c>
      <c r="E877" s="5" t="str">
        <f ca="1">IFERROR(__xludf.DUMMYFUNCTION("""COMPUTED_VALUE"""),"Piston")</f>
        <v>Piston</v>
      </c>
      <c r="F877" s="5">
        <f ca="1">IFERROR(__xludf.DUMMYFUNCTION("""COMPUTED_VALUE"""),1)</f>
        <v>1</v>
      </c>
    </row>
    <row r="878" spans="1:6" ht="15" customHeight="1" x14ac:dyDescent="0.2">
      <c r="A878" s="5" t="str">
        <f ca="1">IFERROR(__xludf.DUMMYFUNCTION("""COMPUTED_VALUE"""),"E45X")</f>
        <v>E45X</v>
      </c>
      <c r="B878" s="5" t="str">
        <f ca="1">IFERROR(__xludf.DUMMYFUNCTION("""COMPUTED_VALUE"""),"EMBRAER")</f>
        <v>EMBRAER</v>
      </c>
      <c r="C878" s="5" t="str">
        <f ca="1">IFERROR(__xludf.DUMMYFUNCTION("""COMPUTED_VALUE"""),"EMB-145XR")</f>
        <v>EMB-145XR</v>
      </c>
      <c r="D878" s="5" t="str">
        <f ca="1">IFERROR(__xludf.DUMMYFUNCTION("""COMPUTED_VALUE"""),"LandPlane")</f>
        <v>LandPlane</v>
      </c>
      <c r="E878" s="5" t="str">
        <f ca="1">IFERROR(__xludf.DUMMYFUNCTION("""COMPUTED_VALUE"""),"Jet")</f>
        <v>Jet</v>
      </c>
      <c r="F878" s="5">
        <f ca="1">IFERROR(__xludf.DUMMYFUNCTION("""COMPUTED_VALUE"""),2)</f>
        <v>2</v>
      </c>
    </row>
    <row r="879" spans="1:6" ht="15" customHeight="1" x14ac:dyDescent="0.2">
      <c r="A879" s="5" t="str">
        <f ca="1">IFERROR(__xludf.DUMMYFUNCTION("""COMPUTED_VALUE"""),"E500")</f>
        <v>E500</v>
      </c>
      <c r="B879" s="5" t="str">
        <f ca="1">IFERROR(__xludf.DUMMYFUNCTION("""COMPUTED_VALUE"""),"EXTRA")</f>
        <v>EXTRA</v>
      </c>
      <c r="C879" s="5" t="str">
        <f ca="1">IFERROR(__xludf.DUMMYFUNCTION("""COMPUTED_VALUE"""),"EA-500")</f>
        <v>EA-500</v>
      </c>
      <c r="D879" s="5" t="str">
        <f ca="1">IFERROR(__xludf.DUMMYFUNCTION("""COMPUTED_VALUE"""),"LandPlane")</f>
        <v>LandPlane</v>
      </c>
      <c r="E879" s="5" t="str">
        <f ca="1">IFERROR(__xludf.DUMMYFUNCTION("""COMPUTED_VALUE"""),"Turboprop/Turboshaft")</f>
        <v>Turboprop/Turboshaft</v>
      </c>
      <c r="F879" s="5">
        <f ca="1">IFERROR(__xludf.DUMMYFUNCTION("""COMPUTED_VALUE"""),1)</f>
        <v>1</v>
      </c>
    </row>
    <row r="880" spans="1:6" ht="15" customHeight="1" x14ac:dyDescent="0.2">
      <c r="A880" s="5" t="str">
        <f ca="1">IFERROR(__xludf.DUMMYFUNCTION("""COMPUTED_VALUE"""),"E50P")</f>
        <v>E50P</v>
      </c>
      <c r="B880" s="5" t="str">
        <f ca="1">IFERROR(__xludf.DUMMYFUNCTION("""COMPUTED_VALUE"""),"EMBRAER")</f>
        <v>EMBRAER</v>
      </c>
      <c r="C880" s="5" t="str">
        <f ca="1">IFERROR(__xludf.DUMMYFUNCTION("""COMPUTED_VALUE"""),"EMB-500 Phenom 100")</f>
        <v>EMB-500 Phenom 100</v>
      </c>
      <c r="D880" s="5" t="str">
        <f ca="1">IFERROR(__xludf.DUMMYFUNCTION("""COMPUTED_VALUE"""),"LandPlane")</f>
        <v>LandPlane</v>
      </c>
      <c r="E880" s="5" t="str">
        <f ca="1">IFERROR(__xludf.DUMMYFUNCTION("""COMPUTED_VALUE"""),"Jet")</f>
        <v>Jet</v>
      </c>
      <c r="F880" s="5">
        <f ca="1">IFERROR(__xludf.DUMMYFUNCTION("""COMPUTED_VALUE"""),2)</f>
        <v>2</v>
      </c>
    </row>
    <row r="881" spans="1:6" ht="15" customHeight="1" x14ac:dyDescent="0.2">
      <c r="A881" s="5" t="str">
        <f ca="1">IFERROR(__xludf.DUMMYFUNCTION("""COMPUTED_VALUE"""),"E530")</f>
        <v>E530</v>
      </c>
      <c r="B881" s="5" t="str">
        <f ca="1">IFERROR(__xludf.DUMMYFUNCTION("""COMPUTED_VALUE"""),"CESSNA")</f>
        <v>CESSNA</v>
      </c>
      <c r="C881" s="5" t="str">
        <f ca="1">IFERROR(__xludf.DUMMYFUNCTION("""COMPUTED_VALUE"""),"E530 Scorpion")</f>
        <v>E530 Scorpion</v>
      </c>
      <c r="D881" s="5" t="str">
        <f ca="1">IFERROR(__xludf.DUMMYFUNCTION("""COMPUTED_VALUE"""),"LandPlane")</f>
        <v>LandPlane</v>
      </c>
      <c r="E881" s="5" t="str">
        <f ca="1">IFERROR(__xludf.DUMMYFUNCTION("""COMPUTED_VALUE"""),"Jet")</f>
        <v>Jet</v>
      </c>
      <c r="F881" s="5">
        <f ca="1">IFERROR(__xludf.DUMMYFUNCTION("""COMPUTED_VALUE"""),2)</f>
        <v>2</v>
      </c>
    </row>
    <row r="882" spans="1:6" ht="15" customHeight="1" x14ac:dyDescent="0.2">
      <c r="A882" s="5" t="str">
        <f ca="1">IFERROR(__xludf.DUMMYFUNCTION("""COMPUTED_VALUE"""),"E545")</f>
        <v>E545</v>
      </c>
      <c r="B882" s="5" t="str">
        <f ca="1">IFERROR(__xludf.DUMMYFUNCTION("""COMPUTED_VALUE"""),"EMBRAER")</f>
        <v>EMBRAER</v>
      </c>
      <c r="C882" s="5" t="str">
        <f ca="1">IFERROR(__xludf.DUMMYFUNCTION("""COMPUTED_VALUE"""),"EMB-545 Praetor 500")</f>
        <v>EMB-545 Praetor 500</v>
      </c>
      <c r="D882" s="5" t="str">
        <f ca="1">IFERROR(__xludf.DUMMYFUNCTION("""COMPUTED_VALUE"""),"LandPlane")</f>
        <v>LandPlane</v>
      </c>
      <c r="E882" s="5" t="str">
        <f ca="1">IFERROR(__xludf.DUMMYFUNCTION("""COMPUTED_VALUE"""),"Jet")</f>
        <v>Jet</v>
      </c>
      <c r="F882" s="5">
        <f ca="1">IFERROR(__xludf.DUMMYFUNCTION("""COMPUTED_VALUE"""),2)</f>
        <v>2</v>
      </c>
    </row>
    <row r="883" spans="1:6" ht="15" customHeight="1" x14ac:dyDescent="0.2">
      <c r="A883" s="5" t="str">
        <f ca="1">IFERROR(__xludf.DUMMYFUNCTION("""COMPUTED_VALUE"""),"E550")</f>
        <v>E550</v>
      </c>
      <c r="B883" s="5" t="str">
        <f ca="1">IFERROR(__xludf.DUMMYFUNCTION("""COMPUTED_VALUE"""),"EMBRAER")</f>
        <v>EMBRAER</v>
      </c>
      <c r="C883" s="5" t="str">
        <f ca="1">IFERROR(__xludf.DUMMYFUNCTION("""COMPUTED_VALUE"""),"EMB-550 Praetor 600")</f>
        <v>EMB-550 Praetor 600</v>
      </c>
      <c r="D883" s="5" t="str">
        <f ca="1">IFERROR(__xludf.DUMMYFUNCTION("""COMPUTED_VALUE"""),"LandPlane")</f>
        <v>LandPlane</v>
      </c>
      <c r="E883" s="5" t="str">
        <f ca="1">IFERROR(__xludf.DUMMYFUNCTION("""COMPUTED_VALUE"""),"Jet")</f>
        <v>Jet</v>
      </c>
      <c r="F883" s="5">
        <f ca="1">IFERROR(__xludf.DUMMYFUNCTION("""COMPUTED_VALUE"""),2)</f>
        <v>2</v>
      </c>
    </row>
    <row r="884" spans="1:6" ht="15" customHeight="1" x14ac:dyDescent="0.2">
      <c r="A884" s="5" t="str">
        <f ca="1">IFERROR(__xludf.DUMMYFUNCTION("""COMPUTED_VALUE"""),"E55P")</f>
        <v>E55P</v>
      </c>
      <c r="B884" s="5" t="str">
        <f ca="1">IFERROR(__xludf.DUMMYFUNCTION("""COMPUTED_VALUE"""),"EMBRAER")</f>
        <v>EMBRAER</v>
      </c>
      <c r="C884" s="5" t="str">
        <f ca="1">IFERROR(__xludf.DUMMYFUNCTION("""COMPUTED_VALUE"""),"EMB-505 Phenom 300")</f>
        <v>EMB-505 Phenom 300</v>
      </c>
      <c r="D884" s="5" t="str">
        <f ca="1">IFERROR(__xludf.DUMMYFUNCTION("""COMPUTED_VALUE"""),"LandPlane")</f>
        <v>LandPlane</v>
      </c>
      <c r="E884" s="5" t="str">
        <f ca="1">IFERROR(__xludf.DUMMYFUNCTION("""COMPUTED_VALUE"""),"Jet")</f>
        <v>Jet</v>
      </c>
      <c r="F884" s="5">
        <f ca="1">IFERROR(__xludf.DUMMYFUNCTION("""COMPUTED_VALUE"""),2)</f>
        <v>2</v>
      </c>
    </row>
    <row r="885" spans="1:6" ht="15" customHeight="1" x14ac:dyDescent="0.2">
      <c r="A885" s="5" t="str">
        <f ca="1">IFERROR(__xludf.DUMMYFUNCTION("""COMPUTED_VALUE"""),"E6")</f>
        <v>E6</v>
      </c>
      <c r="B885" s="5" t="str">
        <f ca="1">IFERROR(__xludf.DUMMYFUNCTION("""COMPUTED_VALUE"""),"BOEING")</f>
        <v>BOEING</v>
      </c>
      <c r="C885" s="5" t="str">
        <f ca="1">IFERROR(__xludf.DUMMYFUNCTION("""COMPUTED_VALUE"""),"E-6 Mercury")</f>
        <v>E-6 Mercury</v>
      </c>
      <c r="D885" s="5" t="str">
        <f ca="1">IFERROR(__xludf.DUMMYFUNCTION("""COMPUTED_VALUE"""),"LandPlane")</f>
        <v>LandPlane</v>
      </c>
      <c r="E885" s="5" t="str">
        <f ca="1">IFERROR(__xludf.DUMMYFUNCTION("""COMPUTED_VALUE"""),"Jet")</f>
        <v>Jet</v>
      </c>
      <c r="F885" s="5">
        <f ca="1">IFERROR(__xludf.DUMMYFUNCTION("""COMPUTED_VALUE"""),4)</f>
        <v>4</v>
      </c>
    </row>
    <row r="886" spans="1:6" ht="15" customHeight="1" x14ac:dyDescent="0.2">
      <c r="A886" s="5" t="str">
        <f ca="1">IFERROR(__xludf.DUMMYFUNCTION("""COMPUTED_VALUE"""),"E737")</f>
        <v>E737</v>
      </c>
      <c r="B886" s="5" t="str">
        <f ca="1">IFERROR(__xludf.DUMMYFUNCTION("""COMPUTED_VALUE"""),"BOEING")</f>
        <v>BOEING</v>
      </c>
      <c r="C886" s="5" t="str">
        <f ca="1">IFERROR(__xludf.DUMMYFUNCTION("""COMPUTED_VALUE"""),"737-700 Wedgetail")</f>
        <v>737-700 Wedgetail</v>
      </c>
      <c r="D886" s="5" t="str">
        <f ca="1">IFERROR(__xludf.DUMMYFUNCTION("""COMPUTED_VALUE"""),"LandPlane")</f>
        <v>LandPlane</v>
      </c>
      <c r="E886" s="5" t="str">
        <f ca="1">IFERROR(__xludf.DUMMYFUNCTION("""COMPUTED_VALUE"""),"Jet")</f>
        <v>Jet</v>
      </c>
      <c r="F886" s="5">
        <f ca="1">IFERROR(__xludf.DUMMYFUNCTION("""COMPUTED_VALUE"""),2)</f>
        <v>2</v>
      </c>
    </row>
    <row r="887" spans="1:6" ht="15" customHeight="1" x14ac:dyDescent="0.2">
      <c r="A887" s="5" t="str">
        <f ca="1">IFERROR(__xludf.DUMMYFUNCTION("""COMPUTED_VALUE"""),"E75L")</f>
        <v>E75L</v>
      </c>
      <c r="B887" s="5" t="str">
        <f ca="1">IFERROR(__xludf.DUMMYFUNCTION("""COMPUTED_VALUE"""),"EMBRAER")</f>
        <v>EMBRAER</v>
      </c>
      <c r="C887" s="5" t="str">
        <f ca="1">IFERROR(__xludf.DUMMYFUNCTION("""COMPUTED_VALUE"""),"ERJ-170-200 (long wing)")</f>
        <v>ERJ-170-200 (long wing)</v>
      </c>
      <c r="D887" s="5" t="str">
        <f ca="1">IFERROR(__xludf.DUMMYFUNCTION("""COMPUTED_VALUE"""),"LandPlane")</f>
        <v>LandPlane</v>
      </c>
      <c r="E887" s="5" t="str">
        <f ca="1">IFERROR(__xludf.DUMMYFUNCTION("""COMPUTED_VALUE"""),"Jet")</f>
        <v>Jet</v>
      </c>
      <c r="F887" s="5">
        <f ca="1">IFERROR(__xludf.DUMMYFUNCTION("""COMPUTED_VALUE"""),2)</f>
        <v>2</v>
      </c>
    </row>
    <row r="888" spans="1:6" ht="15" customHeight="1" x14ac:dyDescent="0.2">
      <c r="A888" s="5" t="str">
        <f ca="1">IFERROR(__xludf.DUMMYFUNCTION("""COMPUTED_VALUE"""),"E75S")</f>
        <v>E75S</v>
      </c>
      <c r="B888" s="5" t="str">
        <f ca="1">IFERROR(__xludf.DUMMYFUNCTION("""COMPUTED_VALUE"""),"EMBRAER")</f>
        <v>EMBRAER</v>
      </c>
      <c r="C888" s="5" t="str">
        <f ca="1">IFERROR(__xludf.DUMMYFUNCTION("""COMPUTED_VALUE"""),"ERJ-170-200 (short wing)")</f>
        <v>ERJ-170-200 (short wing)</v>
      </c>
      <c r="D888" s="5" t="str">
        <f ca="1">IFERROR(__xludf.DUMMYFUNCTION("""COMPUTED_VALUE"""),"LandPlane")</f>
        <v>LandPlane</v>
      </c>
      <c r="E888" s="5" t="str">
        <f ca="1">IFERROR(__xludf.DUMMYFUNCTION("""COMPUTED_VALUE"""),"Jet")</f>
        <v>Jet</v>
      </c>
      <c r="F888" s="5">
        <f ca="1">IFERROR(__xludf.DUMMYFUNCTION("""COMPUTED_VALUE"""),2)</f>
        <v>2</v>
      </c>
    </row>
    <row r="889" spans="1:6" ht="15" customHeight="1" x14ac:dyDescent="0.2">
      <c r="A889" s="5" t="str">
        <f ca="1">IFERROR(__xludf.DUMMYFUNCTION("""COMPUTED_VALUE"""),"E767")</f>
        <v>E767</v>
      </c>
      <c r="B889" s="5" t="str">
        <f ca="1">IFERROR(__xludf.DUMMYFUNCTION("""COMPUTED_VALUE"""),"BOEING")</f>
        <v>BOEING</v>
      </c>
      <c r="C889" s="5" t="str">
        <f ca="1">IFERROR(__xludf.DUMMYFUNCTION("""COMPUTED_VALUE"""),"E-767")</f>
        <v>E-767</v>
      </c>
      <c r="D889" s="5" t="str">
        <f ca="1">IFERROR(__xludf.DUMMYFUNCTION("""COMPUTED_VALUE"""),"LandPlane")</f>
        <v>LandPlane</v>
      </c>
      <c r="E889" s="5" t="str">
        <f ca="1">IFERROR(__xludf.DUMMYFUNCTION("""COMPUTED_VALUE"""),"Jet")</f>
        <v>Jet</v>
      </c>
      <c r="F889" s="5">
        <f ca="1">IFERROR(__xludf.DUMMYFUNCTION("""COMPUTED_VALUE"""),2)</f>
        <v>2</v>
      </c>
    </row>
    <row r="890" spans="1:6" ht="15" customHeight="1" x14ac:dyDescent="0.2">
      <c r="A890" s="5" t="str">
        <f ca="1">IFERROR(__xludf.DUMMYFUNCTION("""COMPUTED_VALUE"""),"E7BH")</f>
        <v>E7BH</v>
      </c>
      <c r="B890" s="5" t="str">
        <f ca="1">IFERROR(__xludf.DUMMYFUNCTION("""COMPUTED_VALUE"""),"E-7 GROUP")</f>
        <v>E-7 GROUP</v>
      </c>
      <c r="C890" s="5" t="str">
        <f ca="1">IFERROR(__xludf.DUMMYFUNCTION("""COMPUTED_VALUE"""),"E-7 Bush Hog")</f>
        <v>E-7 Bush Hog</v>
      </c>
      <c r="D890" s="5" t="str">
        <f ca="1">IFERROR(__xludf.DUMMYFUNCTION("""COMPUTED_VALUE"""),"LandPlane")</f>
        <v>LandPlane</v>
      </c>
      <c r="E890" s="5" t="str">
        <f ca="1">IFERROR(__xludf.DUMMYFUNCTION("""COMPUTED_VALUE"""),"Piston")</f>
        <v>Piston</v>
      </c>
      <c r="F890" s="5">
        <f ca="1">IFERROR(__xludf.DUMMYFUNCTION("""COMPUTED_VALUE"""),1)</f>
        <v>1</v>
      </c>
    </row>
    <row r="891" spans="1:6" ht="15" customHeight="1" x14ac:dyDescent="0.2">
      <c r="A891" s="5" t="str">
        <f ca="1">IFERROR(__xludf.DUMMYFUNCTION("""COMPUTED_VALUE"""),"EA40")</f>
        <v>EA40</v>
      </c>
      <c r="B891" s="5" t="str">
        <f ca="1">IFERROR(__xludf.DUMMYFUNCTION("""COMPUTED_VALUE"""),"ECLIPSE")</f>
        <v>ECLIPSE</v>
      </c>
      <c r="C891" s="5" t="str">
        <f ca="1">IFERROR(__xludf.DUMMYFUNCTION("""COMPUTED_VALUE"""),"Eclipse 400")</f>
        <v>Eclipse 400</v>
      </c>
      <c r="D891" s="5" t="str">
        <f ca="1">IFERROR(__xludf.DUMMYFUNCTION("""COMPUTED_VALUE"""),"LandPlane")</f>
        <v>LandPlane</v>
      </c>
      <c r="E891" s="5" t="str">
        <f ca="1">IFERROR(__xludf.DUMMYFUNCTION("""COMPUTED_VALUE"""),"Jet")</f>
        <v>Jet</v>
      </c>
      <c r="F891" s="5">
        <f ca="1">IFERROR(__xludf.DUMMYFUNCTION("""COMPUTED_VALUE"""),1)</f>
        <v>1</v>
      </c>
    </row>
    <row r="892" spans="1:6" ht="15" customHeight="1" x14ac:dyDescent="0.2">
      <c r="A892" s="5" t="str">
        <f ca="1">IFERROR(__xludf.DUMMYFUNCTION("""COMPUTED_VALUE"""),"EA50")</f>
        <v>EA50</v>
      </c>
      <c r="B892" s="5" t="str">
        <f ca="1">IFERROR(__xludf.DUMMYFUNCTION("""COMPUTED_VALUE"""),"ECLIPSE")</f>
        <v>ECLIPSE</v>
      </c>
      <c r="C892" s="5" t="str">
        <f ca="1">IFERROR(__xludf.DUMMYFUNCTION("""COMPUTED_VALUE"""),"Eclipse 500")</f>
        <v>Eclipse 500</v>
      </c>
      <c r="D892" s="5" t="str">
        <f ca="1">IFERROR(__xludf.DUMMYFUNCTION("""COMPUTED_VALUE"""),"LandPlane")</f>
        <v>LandPlane</v>
      </c>
      <c r="E892" s="5" t="str">
        <f ca="1">IFERROR(__xludf.DUMMYFUNCTION("""COMPUTED_VALUE"""),"Jet")</f>
        <v>Jet</v>
      </c>
      <c r="F892" s="5">
        <f ca="1">IFERROR(__xludf.DUMMYFUNCTION("""COMPUTED_VALUE"""),2)</f>
        <v>2</v>
      </c>
    </row>
    <row r="893" spans="1:6" ht="15" customHeight="1" x14ac:dyDescent="0.2">
      <c r="A893" s="5" t="str">
        <f ca="1">IFERROR(__xludf.DUMMYFUNCTION("""COMPUTED_VALUE"""),"EA50")</f>
        <v>EA50</v>
      </c>
      <c r="B893" s="5" t="str">
        <f ca="1">IFERROR(__xludf.DUMMYFUNCTION("""COMPUTED_VALUE"""),"ECLIPSE")</f>
        <v>ECLIPSE</v>
      </c>
      <c r="C893" s="5" t="str">
        <f ca="1">IFERROR(__xludf.DUMMYFUNCTION("""COMPUTED_VALUE"""),"Eclipse 550")</f>
        <v>Eclipse 550</v>
      </c>
      <c r="D893" s="5" t="str">
        <f ca="1">IFERROR(__xludf.DUMMYFUNCTION("""COMPUTED_VALUE"""),"LandPlane")</f>
        <v>LandPlane</v>
      </c>
      <c r="E893" s="5" t="str">
        <f ca="1">IFERROR(__xludf.DUMMYFUNCTION("""COMPUTED_VALUE"""),"Jet")</f>
        <v>Jet</v>
      </c>
      <c r="F893" s="5">
        <f ca="1">IFERROR(__xludf.DUMMYFUNCTION("""COMPUTED_VALUE"""),2)</f>
        <v>2</v>
      </c>
    </row>
    <row r="894" spans="1:6" ht="15" customHeight="1" x14ac:dyDescent="0.2">
      <c r="A894" s="5" t="str">
        <f ca="1">IFERROR(__xludf.DUMMYFUNCTION("""COMPUTED_VALUE"""),"EAEA")</f>
        <v>EAEA</v>
      </c>
      <c r="B894" s="5" t="str">
        <f ca="1">IFERROR(__xludf.DUMMYFUNCTION("""COMPUTED_VALUE"""),"GROSSO")</f>
        <v>GROSSO</v>
      </c>
      <c r="C894" s="5" t="str">
        <f ca="1">IFERROR(__xludf.DUMMYFUNCTION("""COMPUTED_VALUE"""),"Easy Eagle")</f>
        <v>Easy Eagle</v>
      </c>
      <c r="D894" s="5" t="str">
        <f ca="1">IFERROR(__xludf.DUMMYFUNCTION("""COMPUTED_VALUE"""),"LandPlane")</f>
        <v>LandPlane</v>
      </c>
      <c r="E894" s="5" t="str">
        <f ca="1">IFERROR(__xludf.DUMMYFUNCTION("""COMPUTED_VALUE"""),"Piston")</f>
        <v>Piston</v>
      </c>
      <c r="F894" s="5">
        <f ca="1">IFERROR(__xludf.DUMMYFUNCTION("""COMPUTED_VALUE"""),1)</f>
        <v>1</v>
      </c>
    </row>
    <row r="895" spans="1:6" ht="15" customHeight="1" x14ac:dyDescent="0.2">
      <c r="A895" s="5" t="str">
        <f ca="1">IFERROR(__xludf.DUMMYFUNCTION("""COMPUTED_VALUE"""),"EAGL")</f>
        <v>EAGL</v>
      </c>
      <c r="B895" s="5" t="str">
        <f ca="1">IFERROR(__xludf.DUMMYFUNCTION("""COMPUTED_VALUE"""),"CHRISTEN")</f>
        <v>CHRISTEN</v>
      </c>
      <c r="C895" s="5" t="str">
        <f ca="1">IFERROR(__xludf.DUMMYFUNCTION("""COMPUTED_VALUE"""),"Eagle")</f>
        <v>Eagle</v>
      </c>
      <c r="D895" s="5" t="str">
        <f ca="1">IFERROR(__xludf.DUMMYFUNCTION("""COMPUTED_VALUE"""),"LandPlane")</f>
        <v>LandPlane</v>
      </c>
      <c r="E895" s="5" t="str">
        <f ca="1">IFERROR(__xludf.DUMMYFUNCTION("""COMPUTED_VALUE"""),"Piston")</f>
        <v>Piston</v>
      </c>
      <c r="F895" s="5">
        <f ca="1">IFERROR(__xludf.DUMMYFUNCTION("""COMPUTED_VALUE"""),1)</f>
        <v>1</v>
      </c>
    </row>
    <row r="896" spans="1:6" ht="15" customHeight="1" x14ac:dyDescent="0.2">
      <c r="A896" s="5" t="str">
        <f ca="1">IFERROR(__xludf.DUMMYFUNCTION("""COMPUTED_VALUE"""),"EAGT")</f>
        <v>EAGT</v>
      </c>
      <c r="B896" s="5" t="str">
        <f ca="1">IFERROR(__xludf.DUMMYFUNCTION("""COMPUTED_VALUE"""),"AMEAGLE")</f>
        <v>AMEAGLE</v>
      </c>
      <c r="C896" s="5" t="str">
        <f ca="1">IFERROR(__xludf.DUMMYFUNCTION("""COMPUTED_VALUE"""),"American Eaglet")</f>
        <v>American Eaglet</v>
      </c>
      <c r="D896" s="5" t="str">
        <f ca="1">IFERROR(__xludf.DUMMYFUNCTION("""COMPUTED_VALUE"""),"LandPlane")</f>
        <v>LandPlane</v>
      </c>
      <c r="E896" s="5" t="str">
        <f ca="1">IFERROR(__xludf.DUMMYFUNCTION("""COMPUTED_VALUE"""),"Piston")</f>
        <v>Piston</v>
      </c>
      <c r="F896" s="5">
        <f ca="1">IFERROR(__xludf.DUMMYFUNCTION("""COMPUTED_VALUE"""),1)</f>
        <v>1</v>
      </c>
    </row>
    <row r="897" spans="1:6" ht="15" customHeight="1" x14ac:dyDescent="0.2">
      <c r="A897" s="5" t="str">
        <f ca="1">IFERROR(__xludf.DUMMYFUNCTION("""COMPUTED_VALUE"""),"EAGX")</f>
        <v>EAGX</v>
      </c>
      <c r="B897" s="5" t="str">
        <f ca="1">IFERROR(__xludf.DUMMYFUNCTION("""COMPUTED_VALUE"""),"CTRM")</f>
        <v>CTRM</v>
      </c>
      <c r="C897" s="5" t="str">
        <f ca="1">IFERROR(__xludf.DUMMYFUNCTION("""COMPUTED_VALUE"""),"Eagle 150")</f>
        <v>Eagle 150</v>
      </c>
      <c r="D897" s="5" t="str">
        <f ca="1">IFERROR(__xludf.DUMMYFUNCTION("""COMPUTED_VALUE"""),"LandPlane")</f>
        <v>LandPlane</v>
      </c>
      <c r="E897" s="5" t="str">
        <f ca="1">IFERROR(__xludf.DUMMYFUNCTION("""COMPUTED_VALUE"""),"Piston")</f>
        <v>Piston</v>
      </c>
      <c r="F897" s="5">
        <f ca="1">IFERROR(__xludf.DUMMYFUNCTION("""COMPUTED_VALUE"""),1)</f>
        <v>1</v>
      </c>
    </row>
    <row r="898" spans="1:6" ht="15" customHeight="1" x14ac:dyDescent="0.2">
      <c r="A898" s="5" t="str">
        <f ca="1">IFERROR(__xludf.DUMMYFUNCTION("""COMPUTED_VALUE"""),"EAGX")</f>
        <v>EAGX</v>
      </c>
      <c r="B898" s="5" t="str">
        <f ca="1">IFERROR(__xludf.DUMMYFUNCTION("""COMPUTED_VALUE"""),"EAGLE AIRCRAFT")</f>
        <v>EAGLE AIRCRAFT</v>
      </c>
      <c r="C898" s="5" t="str">
        <f ca="1">IFERROR(__xludf.DUMMYFUNCTION("""COMPUTED_VALUE"""),"Eagle 100")</f>
        <v>Eagle 100</v>
      </c>
      <c r="D898" s="5" t="str">
        <f ca="1">IFERROR(__xludf.DUMMYFUNCTION("""COMPUTED_VALUE"""),"LandPlane")</f>
        <v>LandPlane</v>
      </c>
      <c r="E898" s="5" t="str">
        <f ca="1">IFERROR(__xludf.DUMMYFUNCTION("""COMPUTED_VALUE"""),"Piston")</f>
        <v>Piston</v>
      </c>
      <c r="F898" s="5">
        <f ca="1">IFERROR(__xludf.DUMMYFUNCTION("""COMPUTED_VALUE"""),1)</f>
        <v>1</v>
      </c>
    </row>
    <row r="899" spans="1:6" ht="15" customHeight="1" x14ac:dyDescent="0.2">
      <c r="A899" s="5" t="str">
        <f ca="1">IFERROR(__xludf.DUMMYFUNCTION("""COMPUTED_VALUE"""),"EB29")</f>
        <v>EB29</v>
      </c>
      <c r="B899" s="5" t="str">
        <f ca="1">IFERROR(__xludf.DUMMYFUNCTION("""COMPUTED_VALUE"""),"BINDER (2)")</f>
        <v>BINDER (2)</v>
      </c>
      <c r="C899" s="5" t="str">
        <f ca="1">IFERROR(__xludf.DUMMYFUNCTION("""COMPUTED_VALUE"""),"EB-29")</f>
        <v>EB-29</v>
      </c>
      <c r="D899" s="5" t="str">
        <f ca="1">IFERROR(__xludf.DUMMYFUNCTION("""COMPUTED_VALUE"""),"LandPlane")</f>
        <v>LandPlane</v>
      </c>
      <c r="E899" s="5" t="str">
        <f ca="1">IFERROR(__xludf.DUMMYFUNCTION("""COMPUTED_VALUE"""),"Piston")</f>
        <v>Piston</v>
      </c>
      <c r="F899" s="5">
        <f ca="1">IFERROR(__xludf.DUMMYFUNCTION("""COMPUTED_VALUE"""),1)</f>
        <v>1</v>
      </c>
    </row>
    <row r="900" spans="1:6" ht="15" customHeight="1" x14ac:dyDescent="0.2">
      <c r="A900" s="5" t="str">
        <f ca="1">IFERROR(__xludf.DUMMYFUNCTION("""COMPUTED_VALUE"""),"EBOY")</f>
        <v>EBOY</v>
      </c>
      <c r="B900" s="5" t="str">
        <f ca="1">IFERROR(__xludf.DUMMYFUNCTION("""COMPUTED_VALUE"""),"FMA")</f>
        <v>FMA</v>
      </c>
      <c r="C900" s="5" t="str">
        <f ca="1">IFERROR(__xludf.DUMMYFUNCTION("""COMPUTED_VALUE"""),"20 El Boyero")</f>
        <v>20 El Boyero</v>
      </c>
      <c r="D900" s="5" t="str">
        <f ca="1">IFERROR(__xludf.DUMMYFUNCTION("""COMPUTED_VALUE"""),"LandPlane")</f>
        <v>LandPlane</v>
      </c>
      <c r="E900" s="5" t="str">
        <f ca="1">IFERROR(__xludf.DUMMYFUNCTION("""COMPUTED_VALUE"""),"Piston")</f>
        <v>Piston</v>
      </c>
      <c r="F900" s="5">
        <f ca="1">IFERROR(__xludf.DUMMYFUNCTION("""COMPUTED_VALUE"""),1)</f>
        <v>1</v>
      </c>
    </row>
    <row r="901" spans="1:6" ht="15" customHeight="1" x14ac:dyDescent="0.2">
      <c r="A901" s="5" t="str">
        <f ca="1">IFERROR(__xludf.DUMMYFUNCTION("""COMPUTED_VALUE"""),"EC20")</f>
        <v>EC20</v>
      </c>
      <c r="B901" s="5" t="str">
        <f ca="1">IFERROR(__xludf.DUMMYFUNCTION("""COMPUTED_VALUE"""),"AIRBUS HELICOPTERS")</f>
        <v>AIRBUS HELICOPTERS</v>
      </c>
      <c r="C901" s="5" t="str">
        <f ca="1">IFERROR(__xludf.DUMMYFUNCTION("""COMPUTED_VALUE"""),"EC-120 Colibri")</f>
        <v>EC-120 Colibri</v>
      </c>
      <c r="D901" s="5" t="str">
        <f ca="1">IFERROR(__xludf.DUMMYFUNCTION("""COMPUTED_VALUE"""),"Helicopter")</f>
        <v>Helicopter</v>
      </c>
      <c r="E901" s="5" t="str">
        <f ca="1">IFERROR(__xludf.DUMMYFUNCTION("""COMPUTED_VALUE"""),"Turboprop/Turboshaft")</f>
        <v>Turboprop/Turboshaft</v>
      </c>
      <c r="F901" s="5">
        <f ca="1">IFERROR(__xludf.DUMMYFUNCTION("""COMPUTED_VALUE"""),1)</f>
        <v>1</v>
      </c>
    </row>
    <row r="902" spans="1:6" ht="15" customHeight="1" x14ac:dyDescent="0.2">
      <c r="A902" s="5" t="str">
        <f ca="1">IFERROR(__xludf.DUMMYFUNCTION("""COMPUTED_VALUE"""),"EC25")</f>
        <v>EC25</v>
      </c>
      <c r="B902" s="5" t="str">
        <f ca="1">IFERROR(__xludf.DUMMYFUNCTION("""COMPUTED_VALUE"""),"AIRBUS HELICOPTERS")</f>
        <v>AIRBUS HELICOPTERS</v>
      </c>
      <c r="C902" s="5" t="str">
        <f ca="1">IFERROR(__xludf.DUMMYFUNCTION("""COMPUTED_VALUE"""),"EC-225 Super Puma Mk2+")</f>
        <v>EC-225 Super Puma Mk2+</v>
      </c>
      <c r="D902" s="5" t="str">
        <f ca="1">IFERROR(__xludf.DUMMYFUNCTION("""COMPUTED_VALUE"""),"Helicopter")</f>
        <v>Helicopter</v>
      </c>
      <c r="E902" s="5" t="str">
        <f ca="1">IFERROR(__xludf.DUMMYFUNCTION("""COMPUTED_VALUE"""),"Turboprop/Turboshaft")</f>
        <v>Turboprop/Turboshaft</v>
      </c>
      <c r="F902" s="5">
        <f ca="1">IFERROR(__xludf.DUMMYFUNCTION("""COMPUTED_VALUE"""),2)</f>
        <v>2</v>
      </c>
    </row>
    <row r="903" spans="1:6" ht="15" customHeight="1" x14ac:dyDescent="0.2">
      <c r="A903" s="5" t="str">
        <f ca="1">IFERROR(__xludf.DUMMYFUNCTION("""COMPUTED_VALUE"""),"EC30")</f>
        <v>EC30</v>
      </c>
      <c r="B903" s="5" t="str">
        <f ca="1">IFERROR(__xludf.DUMMYFUNCTION("""COMPUTED_VALUE"""),"AIRBUS HELICOPTERS")</f>
        <v>AIRBUS HELICOPTERS</v>
      </c>
      <c r="C903" s="5" t="str">
        <f ca="1">IFERROR(__xludf.DUMMYFUNCTION("""COMPUTED_VALUE"""),"EC-130")</f>
        <v>EC-130</v>
      </c>
      <c r="D903" s="5" t="str">
        <f ca="1">IFERROR(__xludf.DUMMYFUNCTION("""COMPUTED_VALUE"""),"Helicopter")</f>
        <v>Helicopter</v>
      </c>
      <c r="E903" s="5" t="str">
        <f ca="1">IFERROR(__xludf.DUMMYFUNCTION("""COMPUTED_VALUE"""),"Turboprop/Turboshaft")</f>
        <v>Turboprop/Turboshaft</v>
      </c>
      <c r="F903" s="5">
        <f ca="1">IFERROR(__xludf.DUMMYFUNCTION("""COMPUTED_VALUE"""),1)</f>
        <v>1</v>
      </c>
    </row>
    <row r="904" spans="1:6" ht="15" customHeight="1" x14ac:dyDescent="0.2">
      <c r="A904" s="5" t="str">
        <f ca="1">IFERROR(__xludf.DUMMYFUNCTION("""COMPUTED_VALUE"""),"EC35")</f>
        <v>EC35</v>
      </c>
      <c r="B904" s="5" t="str">
        <f ca="1">IFERROR(__xludf.DUMMYFUNCTION("""COMPUTED_VALUE"""),"AIRBUS HELICOPTERS")</f>
        <v>AIRBUS HELICOPTERS</v>
      </c>
      <c r="C904" s="5" t="str">
        <f ca="1">IFERROR(__xludf.DUMMYFUNCTION("""COMPUTED_VALUE"""),"EC-135")</f>
        <v>EC-135</v>
      </c>
      <c r="D904" s="5" t="str">
        <f ca="1">IFERROR(__xludf.DUMMYFUNCTION("""COMPUTED_VALUE"""),"Helicopter")</f>
        <v>Helicopter</v>
      </c>
      <c r="E904" s="5" t="str">
        <f ca="1">IFERROR(__xludf.DUMMYFUNCTION("""COMPUTED_VALUE"""),"Turboprop/Turboshaft")</f>
        <v>Turboprop/Turboshaft</v>
      </c>
      <c r="F904" s="5">
        <f ca="1">IFERROR(__xludf.DUMMYFUNCTION("""COMPUTED_VALUE"""),2)</f>
        <v>2</v>
      </c>
    </row>
    <row r="905" spans="1:6" ht="15" customHeight="1" x14ac:dyDescent="0.2">
      <c r="A905" s="5" t="str">
        <f ca="1">IFERROR(__xludf.DUMMYFUNCTION("""COMPUTED_VALUE"""),"EC45")</f>
        <v>EC45</v>
      </c>
      <c r="B905" s="5" t="str">
        <f ca="1">IFERROR(__xludf.DUMMYFUNCTION("""COMPUTED_VALUE"""),"AIRBUS HELICOPTERS-KAWASAKI")</f>
        <v>AIRBUS HELICOPTERS-KAWASAKI</v>
      </c>
      <c r="C905" s="5" t="str">
        <f ca="1">IFERROR(__xludf.DUMMYFUNCTION("""COMPUTED_VALUE"""),"EC-145")</f>
        <v>EC-145</v>
      </c>
      <c r="D905" s="5" t="str">
        <f ca="1">IFERROR(__xludf.DUMMYFUNCTION("""COMPUTED_VALUE"""),"Helicopter")</f>
        <v>Helicopter</v>
      </c>
      <c r="E905" s="5" t="str">
        <f ca="1">IFERROR(__xludf.DUMMYFUNCTION("""COMPUTED_VALUE"""),"Turboprop/Turboshaft")</f>
        <v>Turboprop/Turboshaft</v>
      </c>
      <c r="F905" s="5">
        <f ca="1">IFERROR(__xludf.DUMMYFUNCTION("""COMPUTED_VALUE"""),2)</f>
        <v>2</v>
      </c>
    </row>
    <row r="906" spans="1:6" ht="15" customHeight="1" x14ac:dyDescent="0.2">
      <c r="A906" s="5" t="str">
        <f ca="1">IFERROR(__xludf.DUMMYFUNCTION("""COMPUTED_VALUE"""),"EC55")</f>
        <v>EC55</v>
      </c>
      <c r="B906" s="5" t="str">
        <f ca="1">IFERROR(__xludf.DUMMYFUNCTION("""COMPUTED_VALUE"""),"AIRBUS HELICOPTERS")</f>
        <v>AIRBUS HELICOPTERS</v>
      </c>
      <c r="C906" s="5" t="str">
        <f ca="1">IFERROR(__xludf.DUMMYFUNCTION("""COMPUTED_VALUE"""),"EC-155")</f>
        <v>EC-155</v>
      </c>
      <c r="D906" s="5" t="str">
        <f ca="1">IFERROR(__xludf.DUMMYFUNCTION("""COMPUTED_VALUE"""),"Helicopter")</f>
        <v>Helicopter</v>
      </c>
      <c r="E906" s="5" t="str">
        <f ca="1">IFERROR(__xludf.DUMMYFUNCTION("""COMPUTED_VALUE"""),"Turboprop/Turboshaft")</f>
        <v>Turboprop/Turboshaft</v>
      </c>
      <c r="F906" s="5">
        <f ca="1">IFERROR(__xludf.DUMMYFUNCTION("""COMPUTED_VALUE"""),2)</f>
        <v>2</v>
      </c>
    </row>
    <row r="907" spans="1:6" ht="15" customHeight="1" x14ac:dyDescent="0.2">
      <c r="A907" s="5" t="str">
        <f ca="1">IFERROR(__xludf.DUMMYFUNCTION("""COMPUTED_VALUE"""),"EC6")</f>
        <v>EC6</v>
      </c>
      <c r="B907" s="5" t="str">
        <f ca="1">IFERROR(__xludf.DUMMYFUNCTION("""COMPUTED_VALUE"""),"CROSES")</f>
        <v>CROSES</v>
      </c>
      <c r="C907" s="5" t="str">
        <f ca="1">IFERROR(__xludf.DUMMYFUNCTION("""COMPUTED_VALUE"""),"EC-6 Criquet")</f>
        <v>EC-6 Criquet</v>
      </c>
      <c r="D907" s="5" t="str">
        <f ca="1">IFERROR(__xludf.DUMMYFUNCTION("""COMPUTED_VALUE"""),"LandPlane")</f>
        <v>LandPlane</v>
      </c>
      <c r="E907" s="5" t="str">
        <f ca="1">IFERROR(__xludf.DUMMYFUNCTION("""COMPUTED_VALUE"""),"Piston")</f>
        <v>Piston</v>
      </c>
      <c r="F907" s="5">
        <f ca="1">IFERROR(__xludf.DUMMYFUNCTION("""COMPUTED_VALUE"""),1)</f>
        <v>1</v>
      </c>
    </row>
    <row r="908" spans="1:6" ht="15" customHeight="1" x14ac:dyDescent="0.2">
      <c r="A908" s="5" t="str">
        <f ca="1">IFERROR(__xludf.DUMMYFUNCTION("""COMPUTED_VALUE"""),"EC75")</f>
        <v>EC75</v>
      </c>
      <c r="B908" s="5" t="str">
        <f ca="1">IFERROR(__xludf.DUMMYFUNCTION("""COMPUTED_VALUE"""),"AIRBUS HELICOPTERS-HARBIN")</f>
        <v>AIRBUS HELICOPTERS-HARBIN</v>
      </c>
      <c r="C908" s="5" t="str">
        <f ca="1">IFERROR(__xludf.DUMMYFUNCTION("""COMPUTED_VALUE"""),"EC-175")</f>
        <v>EC-175</v>
      </c>
      <c r="D908" s="5" t="str">
        <f ca="1">IFERROR(__xludf.DUMMYFUNCTION("""COMPUTED_VALUE"""),"Helicopter")</f>
        <v>Helicopter</v>
      </c>
      <c r="E908" s="5" t="str">
        <f ca="1">IFERROR(__xludf.DUMMYFUNCTION("""COMPUTED_VALUE"""),"Turboprop/Turboshaft")</f>
        <v>Turboprop/Turboshaft</v>
      </c>
      <c r="F908" s="5">
        <f ca="1">IFERROR(__xludf.DUMMYFUNCTION("""COMPUTED_VALUE"""),2)</f>
        <v>2</v>
      </c>
    </row>
    <row r="909" spans="1:6" ht="15" customHeight="1" x14ac:dyDescent="0.2">
      <c r="A909" s="5" t="str">
        <f ca="1">IFERROR(__xludf.DUMMYFUNCTION("""COMPUTED_VALUE"""),"ECHO")</f>
        <v>ECHO</v>
      </c>
      <c r="B909" s="5" t="str">
        <f ca="1">IFERROR(__xludf.DUMMYFUNCTION("""COMPUTED_VALUE"""),"TECNAM")</f>
        <v>TECNAM</v>
      </c>
      <c r="C909" s="5" t="str">
        <f ca="1">IFERROR(__xludf.DUMMYFUNCTION("""COMPUTED_VALUE"""),"P-92 Echo")</f>
        <v>P-92 Echo</v>
      </c>
      <c r="D909" s="5" t="str">
        <f ca="1">IFERROR(__xludf.DUMMYFUNCTION("""COMPUTED_VALUE"""),"LandPlane")</f>
        <v>LandPlane</v>
      </c>
      <c r="E909" s="5" t="str">
        <f ca="1">IFERROR(__xludf.DUMMYFUNCTION("""COMPUTED_VALUE"""),"Piston")</f>
        <v>Piston</v>
      </c>
      <c r="F909" s="5">
        <f ca="1">IFERROR(__xludf.DUMMYFUNCTION("""COMPUTED_VALUE"""),1)</f>
        <v>1</v>
      </c>
    </row>
    <row r="910" spans="1:6" ht="15" customHeight="1" x14ac:dyDescent="0.2">
      <c r="A910" s="5" t="str">
        <f ca="1">IFERROR(__xludf.DUMMYFUNCTION("""COMPUTED_VALUE"""),"EDGE")</f>
        <v>EDGE</v>
      </c>
      <c r="B910" s="5" t="str">
        <f ca="1">IFERROR(__xludf.DUMMYFUNCTION("""COMPUTED_VALUE"""),"ZIVKO")</f>
        <v>ZIVKO</v>
      </c>
      <c r="C910" s="5" t="str">
        <f ca="1">IFERROR(__xludf.DUMMYFUNCTION("""COMPUTED_VALUE"""),"Edge 540")</f>
        <v>Edge 540</v>
      </c>
      <c r="D910" s="5" t="str">
        <f ca="1">IFERROR(__xludf.DUMMYFUNCTION("""COMPUTED_VALUE"""),"LandPlane")</f>
        <v>LandPlane</v>
      </c>
      <c r="E910" s="5" t="str">
        <f ca="1">IFERROR(__xludf.DUMMYFUNCTION("""COMPUTED_VALUE"""),"Piston")</f>
        <v>Piston</v>
      </c>
      <c r="F910" s="5">
        <f ca="1">IFERROR(__xludf.DUMMYFUNCTION("""COMPUTED_VALUE"""),1)</f>
        <v>1</v>
      </c>
    </row>
    <row r="911" spans="1:6" ht="15" customHeight="1" x14ac:dyDescent="0.2">
      <c r="A911" s="5" t="str">
        <f ca="1">IFERROR(__xludf.DUMMYFUNCTION("""COMPUTED_VALUE"""),"EF2")</f>
        <v>EF2</v>
      </c>
      <c r="B911" s="5" t="str">
        <f ca="1">IFERROR(__xludf.DUMMYFUNCTION("""COMPUTED_VALUE"""),"BYE AEROSPACE")</f>
        <v>BYE AEROSPACE</v>
      </c>
      <c r="C911" s="5" t="str">
        <f ca="1">IFERROR(__xludf.DUMMYFUNCTION("""COMPUTED_VALUE"""),"eFlyer 2")</f>
        <v>eFlyer 2</v>
      </c>
      <c r="D911" s="5" t="str">
        <f ca="1">IFERROR(__xludf.DUMMYFUNCTION("""COMPUTED_VALUE"""),"LandPlane")</f>
        <v>LandPlane</v>
      </c>
      <c r="E911" s="5" t="str">
        <f ca="1">IFERROR(__xludf.DUMMYFUNCTION("""COMPUTED_VALUE"""),"Electric")</f>
        <v>Electric</v>
      </c>
      <c r="F911" s="5">
        <f ca="1">IFERROR(__xludf.DUMMYFUNCTION("""COMPUTED_VALUE"""),1)</f>
        <v>1</v>
      </c>
    </row>
    <row r="912" spans="1:6" ht="15" customHeight="1" x14ac:dyDescent="0.2">
      <c r="A912" s="5" t="str">
        <f ca="1">IFERROR(__xludf.DUMMYFUNCTION("""COMPUTED_VALUE"""),"EFAN")</f>
        <v>EFAN</v>
      </c>
      <c r="B912" s="5" t="str">
        <f ca="1">IFERROR(__xludf.DUMMYFUNCTION("""COMPUTED_VALUE"""),"AIRBUS")</f>
        <v>AIRBUS</v>
      </c>
      <c r="C912" s="5" t="str">
        <f ca="1">IFERROR(__xludf.DUMMYFUNCTION("""COMPUTED_VALUE"""),"E-Fan")</f>
        <v>E-Fan</v>
      </c>
      <c r="D912" s="5" t="str">
        <f ca="1">IFERROR(__xludf.DUMMYFUNCTION("""COMPUTED_VALUE"""),"LandPlane")</f>
        <v>LandPlane</v>
      </c>
      <c r="E912" s="5" t="str">
        <f ca="1">IFERROR(__xludf.DUMMYFUNCTION("""COMPUTED_VALUE"""),"Electric")</f>
        <v>Electric</v>
      </c>
      <c r="F912" s="5">
        <f ca="1">IFERROR(__xludf.DUMMYFUNCTION("""COMPUTED_VALUE"""),2)</f>
        <v>2</v>
      </c>
    </row>
    <row r="913" spans="1:6" ht="15" customHeight="1" x14ac:dyDescent="0.2">
      <c r="A913" s="5" t="str">
        <f ca="1">IFERROR(__xludf.DUMMYFUNCTION("""COMPUTED_VALUE"""),"EFOX")</f>
        <v>EFOX</v>
      </c>
      <c r="B913" s="5" t="str">
        <f ca="1">IFERROR(__xludf.DUMMYFUNCTION("""COMPUTED_VALUE"""),"AEROPRO")</f>
        <v>AEROPRO</v>
      </c>
      <c r="C913" s="5" t="str">
        <f ca="1">IFERROR(__xludf.DUMMYFUNCTION("""COMPUTED_VALUE"""),"Eurofox")</f>
        <v>Eurofox</v>
      </c>
      <c r="D913" s="5" t="str">
        <f ca="1">IFERROR(__xludf.DUMMYFUNCTION("""COMPUTED_VALUE"""),"LandPlane")</f>
        <v>LandPlane</v>
      </c>
      <c r="E913" s="5" t="str">
        <f ca="1">IFERROR(__xludf.DUMMYFUNCTION("""COMPUTED_VALUE"""),"Piston")</f>
        <v>Piston</v>
      </c>
      <c r="F913" s="5">
        <f ca="1">IFERROR(__xludf.DUMMYFUNCTION("""COMPUTED_VALUE"""),1)</f>
        <v>1</v>
      </c>
    </row>
    <row r="914" spans="1:6" ht="15" customHeight="1" x14ac:dyDescent="0.2">
      <c r="A914" s="5" t="str">
        <f ca="1">IFERROR(__xludf.DUMMYFUNCTION("""COMPUTED_VALUE"""),"EFUS")</f>
        <v>EFUS</v>
      </c>
      <c r="B914" s="5" t="str">
        <f ca="1">IFERROR(__xludf.DUMMYFUNCTION("""COMPUTED_VALUE"""),"MAGNUS")</f>
        <v>MAGNUS</v>
      </c>
      <c r="C914" s="5" t="str">
        <f ca="1">IFERROR(__xludf.DUMMYFUNCTION("""COMPUTED_VALUE"""),"MG-11 eFusion")</f>
        <v>MG-11 eFusion</v>
      </c>
      <c r="D914" s="5" t="str">
        <f ca="1">IFERROR(__xludf.DUMMYFUNCTION("""COMPUTED_VALUE"""),"LandPlane")</f>
        <v>LandPlane</v>
      </c>
      <c r="E914" s="5" t="str">
        <f ca="1">IFERROR(__xludf.DUMMYFUNCTION("""COMPUTED_VALUE"""),"Electric")</f>
        <v>Electric</v>
      </c>
      <c r="F914" s="5">
        <f ca="1">IFERROR(__xludf.DUMMYFUNCTION("""COMPUTED_VALUE"""),1)</f>
        <v>1</v>
      </c>
    </row>
    <row r="915" spans="1:6" ht="15" customHeight="1" x14ac:dyDescent="0.2">
      <c r="A915" s="5" t="str">
        <f ca="1">IFERROR(__xludf.DUMMYFUNCTION("""COMPUTED_VALUE"""),"EGL3")</f>
        <v>EGL3</v>
      </c>
      <c r="B915" s="5" t="str">
        <f ca="1">IFERROR(__xludf.DUMMYFUNCTION("""COMPUTED_VALUE"""),"ROTORWAY")</f>
        <v>ROTORWAY</v>
      </c>
      <c r="C915" s="5" t="str">
        <f ca="1">IFERROR(__xludf.DUMMYFUNCTION("""COMPUTED_VALUE"""),"Eagle 300T")</f>
        <v>Eagle 300T</v>
      </c>
      <c r="D915" s="5" t="str">
        <f ca="1">IFERROR(__xludf.DUMMYFUNCTION("""COMPUTED_VALUE"""),"Helicopter")</f>
        <v>Helicopter</v>
      </c>
      <c r="E915" s="5" t="str">
        <f ca="1">IFERROR(__xludf.DUMMYFUNCTION("""COMPUTED_VALUE"""),"Turboprop/Turboshaft")</f>
        <v>Turboprop/Turboshaft</v>
      </c>
      <c r="F915" s="5">
        <f ca="1">IFERROR(__xludf.DUMMYFUNCTION("""COMPUTED_VALUE"""),1)</f>
        <v>1</v>
      </c>
    </row>
    <row r="916" spans="1:6" ht="15" customHeight="1" x14ac:dyDescent="0.2">
      <c r="A916" s="5" t="str">
        <f ca="1">IFERROR(__xludf.DUMMYFUNCTION("""COMPUTED_VALUE"""),"EGRT")</f>
        <v>EGRT</v>
      </c>
      <c r="B916" s="5" t="str">
        <f ca="1">IFERROR(__xludf.DUMMYFUNCTION("""COMPUTED_VALUE"""),"GROB")</f>
        <v>GROB</v>
      </c>
      <c r="C916" s="5" t="str">
        <f ca="1">IFERROR(__xludf.DUMMYFUNCTION("""COMPUTED_VALUE"""),"D-500 Egrett 2")</f>
        <v>D-500 Egrett 2</v>
      </c>
      <c r="D916" s="5" t="str">
        <f ca="1">IFERROR(__xludf.DUMMYFUNCTION("""COMPUTED_VALUE"""),"LandPlane")</f>
        <v>LandPlane</v>
      </c>
      <c r="E916" s="5" t="str">
        <f ca="1">IFERROR(__xludf.DUMMYFUNCTION("""COMPUTED_VALUE"""),"Turboprop/Turboshaft")</f>
        <v>Turboprop/Turboshaft</v>
      </c>
      <c r="F916" s="5">
        <f ca="1">IFERROR(__xludf.DUMMYFUNCTION("""COMPUTED_VALUE"""),1)</f>
        <v>1</v>
      </c>
    </row>
    <row r="917" spans="1:6" ht="15" customHeight="1" x14ac:dyDescent="0.2">
      <c r="A917" s="5" t="str">
        <f ca="1">IFERROR(__xludf.DUMMYFUNCTION("""COMPUTED_VALUE"""),"EH10")</f>
        <v>EH10</v>
      </c>
      <c r="B917" s="5" t="str">
        <f ca="1">IFERROR(__xludf.DUMMYFUNCTION("""COMPUTED_VALUE"""),"AGUSTAWESTLAND")</f>
        <v>AGUSTAWESTLAND</v>
      </c>
      <c r="C917" s="5" t="str">
        <f ca="1">IFERROR(__xludf.DUMMYFUNCTION("""COMPUTED_VALUE"""),"AW-101")</f>
        <v>AW-101</v>
      </c>
      <c r="D917" s="5" t="str">
        <f ca="1">IFERROR(__xludf.DUMMYFUNCTION("""COMPUTED_VALUE"""),"Helicopter")</f>
        <v>Helicopter</v>
      </c>
      <c r="E917" s="5" t="str">
        <f ca="1">IFERROR(__xludf.DUMMYFUNCTION("""COMPUTED_VALUE"""),"Turboprop/Turboshaft")</f>
        <v>Turboprop/Turboshaft</v>
      </c>
      <c r="F917" s="5">
        <f ca="1">IFERROR(__xludf.DUMMYFUNCTION("""COMPUTED_VALUE"""),3)</f>
        <v>3</v>
      </c>
    </row>
    <row r="918" spans="1:6" ht="15" customHeight="1" x14ac:dyDescent="0.2">
      <c r="A918" s="5" t="str">
        <f ca="1">IFERROR(__xludf.DUMMYFUNCTION("""COMPUTED_VALUE"""),"EL20")</f>
        <v>EL20</v>
      </c>
      <c r="B918" s="5" t="str">
        <f ca="1">IFERROR(__xludf.DUMMYFUNCTION("""COMPUTED_VALUE"""),"ELITAR")</f>
        <v>ELITAR</v>
      </c>
      <c r="C918" s="5" t="str">
        <f ca="1">IFERROR(__xludf.DUMMYFUNCTION("""COMPUTED_VALUE"""),"IE-202")</f>
        <v>IE-202</v>
      </c>
      <c r="D918" s="5" t="str">
        <f ca="1">IFERROR(__xludf.DUMMYFUNCTION("""COMPUTED_VALUE"""),"LandPlane")</f>
        <v>LandPlane</v>
      </c>
      <c r="E918" s="5" t="str">
        <f ca="1">IFERROR(__xludf.DUMMYFUNCTION("""COMPUTED_VALUE"""),"Piston")</f>
        <v>Piston</v>
      </c>
      <c r="F918" s="5">
        <f ca="1">IFERROR(__xludf.DUMMYFUNCTION("""COMPUTED_VALUE"""),1)</f>
        <v>1</v>
      </c>
    </row>
    <row r="919" spans="1:6" ht="15" customHeight="1" x14ac:dyDescent="0.2">
      <c r="A919" s="5" t="str">
        <f ca="1">IFERROR(__xludf.DUMMYFUNCTION("""COMPUTED_VALUE"""),"ELA7")</f>
        <v>ELA7</v>
      </c>
      <c r="B919" s="5" t="str">
        <f ca="1">IFERROR(__xludf.DUMMYFUNCTION("""COMPUTED_VALUE"""),"ELA AVIACION")</f>
        <v>ELA AVIACION</v>
      </c>
      <c r="C919" s="5" t="str">
        <f ca="1">IFERROR(__xludf.DUMMYFUNCTION("""COMPUTED_VALUE"""),"ELA-07")</f>
        <v>ELA-07</v>
      </c>
      <c r="D919" s="5" t="str">
        <f ca="1">IFERROR(__xludf.DUMMYFUNCTION("""COMPUTED_VALUE"""),"Gyrocopter")</f>
        <v>Gyrocopter</v>
      </c>
      <c r="E919" s="5" t="str">
        <f ca="1">IFERROR(__xludf.DUMMYFUNCTION("""COMPUTED_VALUE"""),"Piston")</f>
        <v>Piston</v>
      </c>
      <c r="F919" s="5">
        <f ca="1">IFERROR(__xludf.DUMMYFUNCTION("""COMPUTED_VALUE"""),1)</f>
        <v>1</v>
      </c>
    </row>
    <row r="920" spans="1:6" ht="15" customHeight="1" x14ac:dyDescent="0.2">
      <c r="A920" s="5" t="str">
        <f ca="1">IFERROR(__xludf.DUMMYFUNCTION("""COMPUTED_VALUE"""),"ELF")</f>
        <v>ELF</v>
      </c>
      <c r="B920" s="5" t="str">
        <f ca="1">IFERROR(__xludf.DUMMYFUNCTION("""COMPUTED_VALUE"""),"PARNALL")</f>
        <v>PARNALL</v>
      </c>
      <c r="C920" s="5" t="str">
        <f ca="1">IFERROR(__xludf.DUMMYFUNCTION("""COMPUTED_VALUE"""),"Elf")</f>
        <v>Elf</v>
      </c>
      <c r="D920" s="5" t="str">
        <f ca="1">IFERROR(__xludf.DUMMYFUNCTION("""COMPUTED_VALUE"""),"LandPlane")</f>
        <v>LandPlane</v>
      </c>
      <c r="E920" s="5" t="str">
        <f ca="1">IFERROR(__xludf.DUMMYFUNCTION("""COMPUTED_VALUE"""),"Piston")</f>
        <v>Piston</v>
      </c>
      <c r="F920" s="5">
        <f ca="1">IFERROR(__xludf.DUMMYFUNCTION("""COMPUTED_VALUE"""),1)</f>
        <v>1</v>
      </c>
    </row>
    <row r="921" spans="1:6" ht="15" customHeight="1" x14ac:dyDescent="0.2">
      <c r="A921" s="5" t="str">
        <f ca="1">IFERROR(__xludf.DUMMYFUNCTION("""COMPUTED_VALUE"""),"ELIT")</f>
        <v>ELIT</v>
      </c>
      <c r="B921" s="5" t="str">
        <f ca="1">IFERROR(__xludf.DUMMYFUNCTION("""COMPUTED_VALUE"""),"EPIC AIRCRAFT")</f>
        <v>EPIC AIRCRAFT</v>
      </c>
      <c r="C921" s="5" t="str">
        <f ca="1">IFERROR(__xludf.DUMMYFUNCTION("""COMPUTED_VALUE"""),"Epic Elite")</f>
        <v>Epic Elite</v>
      </c>
      <c r="D921" s="5" t="str">
        <f ca="1">IFERROR(__xludf.DUMMYFUNCTION("""COMPUTED_VALUE"""),"LandPlane")</f>
        <v>LandPlane</v>
      </c>
      <c r="E921" s="5" t="str">
        <f ca="1">IFERROR(__xludf.DUMMYFUNCTION("""COMPUTED_VALUE"""),"Jet")</f>
        <v>Jet</v>
      </c>
      <c r="F921" s="5">
        <f ca="1">IFERROR(__xludf.DUMMYFUNCTION("""COMPUTED_VALUE"""),2)</f>
        <v>2</v>
      </c>
    </row>
    <row r="922" spans="1:6" ht="15" customHeight="1" x14ac:dyDescent="0.2">
      <c r="A922" s="5" t="str">
        <f ca="1">IFERROR(__xludf.DUMMYFUNCTION("""COMPUTED_VALUE"""),"ELPS")</f>
        <v>ELPS</v>
      </c>
      <c r="B922" s="5" t="str">
        <f ca="1">IFERROR(__xludf.DUMMYFUNCTION("""COMPUTED_VALUE"""),"EXPLORER (1)")</f>
        <v>EXPLORER (1)</v>
      </c>
      <c r="C922" s="5" t="str">
        <f ca="1">IFERROR(__xludf.DUMMYFUNCTION("""COMPUTED_VALUE"""),"Ellipse")</f>
        <v>Ellipse</v>
      </c>
      <c r="D922" s="5" t="str">
        <f ca="1">IFERROR(__xludf.DUMMYFUNCTION("""COMPUTED_VALUE"""),"LandPlane")</f>
        <v>LandPlane</v>
      </c>
      <c r="E922" s="5" t="str">
        <f ca="1">IFERROR(__xludf.DUMMYFUNCTION("""COMPUTED_VALUE"""),"Piston")</f>
        <v>Piston</v>
      </c>
      <c r="F922" s="5">
        <f ca="1">IFERROR(__xludf.DUMMYFUNCTION("""COMPUTED_VALUE"""),1)</f>
        <v>1</v>
      </c>
    </row>
    <row r="923" spans="1:6" ht="15" customHeight="1" x14ac:dyDescent="0.2">
      <c r="A923" s="5" t="str">
        <f ca="1">IFERROR(__xludf.DUMMYFUNCTION("""COMPUTED_VALUE"""),"ELSP")</f>
        <v>ELSP</v>
      </c>
      <c r="B923" s="5" t="str">
        <f ca="1">IFERROR(__xludf.DUMMYFUNCTION("""COMPUTED_VALUE"""),"A2 CZ")</f>
        <v>A2 CZ</v>
      </c>
      <c r="C923" s="5" t="str">
        <f ca="1">IFERROR(__xludf.DUMMYFUNCTION("""COMPUTED_VALUE"""),"Ellipse Spirit")</f>
        <v>Ellipse Spirit</v>
      </c>
      <c r="D923" s="5" t="str">
        <f ca="1">IFERROR(__xludf.DUMMYFUNCTION("""COMPUTED_VALUE"""),"LandPlane")</f>
        <v>LandPlane</v>
      </c>
      <c r="E923" s="5" t="str">
        <f ca="1">IFERROR(__xludf.DUMMYFUNCTION("""COMPUTED_VALUE"""),"Piston")</f>
        <v>Piston</v>
      </c>
      <c r="F923" s="5">
        <f ca="1">IFERROR(__xludf.DUMMYFUNCTION("""COMPUTED_VALUE"""),1)</f>
        <v>1</v>
      </c>
    </row>
    <row r="924" spans="1:6" ht="15" customHeight="1" x14ac:dyDescent="0.2">
      <c r="A924" s="5" t="str">
        <f ca="1">IFERROR(__xludf.DUMMYFUNCTION("""COMPUTED_VALUE"""),"ELST")</f>
        <v>ELST</v>
      </c>
      <c r="B924" s="5" t="str">
        <f ca="1">IFERROR(__xludf.DUMMYFUNCTION("""COMPUTED_VALUE"""),"PUTZER")</f>
        <v>PUTZER</v>
      </c>
      <c r="C924" s="5" t="str">
        <f ca="1">IFERROR(__xludf.DUMMYFUNCTION("""COMPUTED_VALUE"""),"Elster")</f>
        <v>Elster</v>
      </c>
      <c r="D924" s="5" t="str">
        <f ca="1">IFERROR(__xludf.DUMMYFUNCTION("""COMPUTED_VALUE"""),"LandPlane")</f>
        <v>LandPlane</v>
      </c>
      <c r="E924" s="5" t="str">
        <f ca="1">IFERROR(__xludf.DUMMYFUNCTION("""COMPUTED_VALUE"""),"Piston")</f>
        <v>Piston</v>
      </c>
      <c r="F924" s="5">
        <f ca="1">IFERROR(__xludf.DUMMYFUNCTION("""COMPUTED_VALUE"""),1)</f>
        <v>1</v>
      </c>
    </row>
    <row r="925" spans="1:6" ht="15" customHeight="1" x14ac:dyDescent="0.2">
      <c r="A925" s="5" t="str">
        <f ca="1">IFERROR(__xludf.DUMMYFUNCTION("""COMPUTED_VALUE"""),"ELTO")</f>
        <v>ELTO</v>
      </c>
      <c r="B925" s="5" t="str">
        <f ca="1">IFERROR(__xludf.DUMMYFUNCTION("""COMPUTED_VALUE"""),"CONTINENTAL COPTERS")</f>
        <v>CONTINENTAL COPTERS</v>
      </c>
      <c r="C925" s="5" t="str">
        <f ca="1">IFERROR(__xludf.DUMMYFUNCTION("""COMPUTED_VALUE"""),"El Tomcat")</f>
        <v>El Tomcat</v>
      </c>
      <c r="D925" s="5" t="str">
        <f ca="1">IFERROR(__xludf.DUMMYFUNCTION("""COMPUTED_VALUE"""),"Helicopter")</f>
        <v>Helicopter</v>
      </c>
      <c r="E925" s="5" t="str">
        <f ca="1">IFERROR(__xludf.DUMMYFUNCTION("""COMPUTED_VALUE"""),"Piston")</f>
        <v>Piston</v>
      </c>
      <c r="F925" s="5">
        <f ca="1">IFERROR(__xludf.DUMMYFUNCTION("""COMPUTED_VALUE"""),1)</f>
        <v>1</v>
      </c>
    </row>
    <row r="926" spans="1:6" ht="15" customHeight="1" x14ac:dyDescent="0.2">
      <c r="A926" s="5" t="str">
        <f ca="1">IFERROR(__xludf.DUMMYFUNCTION("""COMPUTED_VALUE"""),"ELTR")</f>
        <v>ELTR</v>
      </c>
      <c r="B926" s="5" t="str">
        <f ca="1">IFERROR(__xludf.DUMMYFUNCTION("""COMPUTED_VALUE"""),"ELITAR")</f>
        <v>ELITAR</v>
      </c>
      <c r="C926" s="5" t="str">
        <f ca="1">IFERROR(__xludf.DUMMYFUNCTION("""COMPUTED_VALUE"""),"IE-101 Elitar")</f>
        <v>IE-101 Elitar</v>
      </c>
      <c r="D926" s="5" t="str">
        <f ca="1">IFERROR(__xludf.DUMMYFUNCTION("""COMPUTED_VALUE"""),"LandPlane")</f>
        <v>LandPlane</v>
      </c>
      <c r="E926" s="5" t="str">
        <f ca="1">IFERROR(__xludf.DUMMYFUNCTION("""COMPUTED_VALUE"""),"Piston")</f>
        <v>Piston</v>
      </c>
      <c r="F926" s="5">
        <f ca="1">IFERROR(__xludf.DUMMYFUNCTION("""COMPUTED_VALUE"""),1)</f>
        <v>1</v>
      </c>
    </row>
    <row r="927" spans="1:6" ht="15" customHeight="1" x14ac:dyDescent="0.2">
      <c r="A927" s="5" t="str">
        <f ca="1">IFERROR(__xludf.DUMMYFUNCTION("""COMPUTED_VALUE"""),"EM10")</f>
        <v>EM10</v>
      </c>
      <c r="B927" s="5" t="str">
        <f ca="1">IFERROR(__xludf.DUMMYFUNCTION("""COMPUTED_VALUE"""),"MARGANSKI")</f>
        <v>MARGANSKI</v>
      </c>
      <c r="C927" s="5" t="str">
        <f ca="1">IFERROR(__xludf.DUMMYFUNCTION("""COMPUTED_VALUE"""),"EM-10 Bielik")</f>
        <v>EM-10 Bielik</v>
      </c>
      <c r="D927" s="5" t="str">
        <f ca="1">IFERROR(__xludf.DUMMYFUNCTION("""COMPUTED_VALUE"""),"LandPlane")</f>
        <v>LandPlane</v>
      </c>
      <c r="E927" s="5" t="str">
        <f ca="1">IFERROR(__xludf.DUMMYFUNCTION("""COMPUTED_VALUE"""),"Jet")</f>
        <v>Jet</v>
      </c>
      <c r="F927" s="5">
        <f ca="1">IFERROR(__xludf.DUMMYFUNCTION("""COMPUTED_VALUE"""),1)</f>
        <v>1</v>
      </c>
    </row>
    <row r="928" spans="1:6" ht="15" customHeight="1" x14ac:dyDescent="0.2">
      <c r="A928" s="5" t="str">
        <f ca="1">IFERROR(__xludf.DUMMYFUNCTION("""COMPUTED_VALUE"""),"EM11")</f>
        <v>EM11</v>
      </c>
      <c r="B928" s="5" t="str">
        <f ca="1">IFERROR(__xludf.DUMMYFUNCTION("""COMPUTED_VALUE"""),"MARGANSKI")</f>
        <v>MARGANSKI</v>
      </c>
      <c r="C928" s="5" t="str">
        <f ca="1">IFERROR(__xludf.DUMMYFUNCTION("""COMPUTED_VALUE"""),"EM-11 Orka")</f>
        <v>EM-11 Orka</v>
      </c>
      <c r="D928" s="5" t="str">
        <f ca="1">IFERROR(__xludf.DUMMYFUNCTION("""COMPUTED_VALUE"""),"LandPlane")</f>
        <v>LandPlane</v>
      </c>
      <c r="E928" s="5" t="str">
        <f ca="1">IFERROR(__xludf.DUMMYFUNCTION("""COMPUTED_VALUE"""),"Piston")</f>
        <v>Piston</v>
      </c>
      <c r="F928" s="5">
        <f ca="1">IFERROR(__xludf.DUMMYFUNCTION("""COMPUTED_VALUE"""),2)</f>
        <v>2</v>
      </c>
    </row>
    <row r="929" spans="1:6" ht="15" customHeight="1" x14ac:dyDescent="0.2">
      <c r="A929" s="5" t="str">
        <f ca="1">IFERROR(__xludf.DUMMYFUNCTION("""COMPUTED_VALUE"""),"EN28")</f>
        <v>EN28</v>
      </c>
      <c r="B929" s="5" t="str">
        <f ca="1">IFERROR(__xludf.DUMMYFUNCTION("""COMPUTED_VALUE"""),"ENSTROM")</f>
        <v>ENSTROM</v>
      </c>
      <c r="C929" s="5" t="str">
        <f ca="1">IFERROR(__xludf.DUMMYFUNCTION("""COMPUTED_VALUE"""),"280 Shark")</f>
        <v>280 Shark</v>
      </c>
      <c r="D929" s="5" t="str">
        <f ca="1">IFERROR(__xludf.DUMMYFUNCTION("""COMPUTED_VALUE"""),"Helicopter")</f>
        <v>Helicopter</v>
      </c>
      <c r="E929" s="5" t="str">
        <f ca="1">IFERROR(__xludf.DUMMYFUNCTION("""COMPUTED_VALUE"""),"Piston")</f>
        <v>Piston</v>
      </c>
      <c r="F929" s="5">
        <f ca="1">IFERROR(__xludf.DUMMYFUNCTION("""COMPUTED_VALUE"""),1)</f>
        <v>1</v>
      </c>
    </row>
    <row r="930" spans="1:6" ht="15" customHeight="1" x14ac:dyDescent="0.2">
      <c r="A930" s="5" t="str">
        <f ca="1">IFERROR(__xludf.DUMMYFUNCTION("""COMPUTED_VALUE"""),"EN48")</f>
        <v>EN48</v>
      </c>
      <c r="B930" s="5" t="str">
        <f ca="1">IFERROR(__xludf.DUMMYFUNCTION("""COMPUTED_VALUE"""),"ENSTROM")</f>
        <v>ENSTROM</v>
      </c>
      <c r="C930" s="5" t="str">
        <f ca="1">IFERROR(__xludf.DUMMYFUNCTION("""COMPUTED_VALUE"""),"480")</f>
        <v>480</v>
      </c>
      <c r="D930" s="5" t="str">
        <f ca="1">IFERROR(__xludf.DUMMYFUNCTION("""COMPUTED_VALUE"""),"Helicopter")</f>
        <v>Helicopter</v>
      </c>
      <c r="E930" s="5" t="str">
        <f ca="1">IFERROR(__xludf.DUMMYFUNCTION("""COMPUTED_VALUE"""),"Turboprop/Turboshaft")</f>
        <v>Turboprop/Turboshaft</v>
      </c>
      <c r="F930" s="5">
        <f ca="1">IFERROR(__xludf.DUMMYFUNCTION("""COMPUTED_VALUE"""),1)</f>
        <v>1</v>
      </c>
    </row>
    <row r="931" spans="1:6" ht="15" customHeight="1" x14ac:dyDescent="0.2">
      <c r="A931" s="5" t="str">
        <f ca="1">IFERROR(__xludf.DUMMYFUNCTION("""COMPUTED_VALUE"""),"EP9")</f>
        <v>EP9</v>
      </c>
      <c r="B931" s="5" t="str">
        <f ca="1">IFERROR(__xludf.DUMMYFUNCTION("""COMPUTED_VALUE"""),"LANCASHIRE")</f>
        <v>LANCASHIRE</v>
      </c>
      <c r="C931" s="5" t="str">
        <f ca="1">IFERROR(__xludf.DUMMYFUNCTION("""COMPUTED_VALUE"""),"EP-9 Prospector")</f>
        <v>EP-9 Prospector</v>
      </c>
      <c r="D931" s="5" t="str">
        <f ca="1">IFERROR(__xludf.DUMMYFUNCTION("""COMPUTED_VALUE"""),"LandPlane")</f>
        <v>LandPlane</v>
      </c>
      <c r="E931" s="5" t="str">
        <f ca="1">IFERROR(__xludf.DUMMYFUNCTION("""COMPUTED_VALUE"""),"Piston")</f>
        <v>Piston</v>
      </c>
      <c r="F931" s="5">
        <f ca="1">IFERROR(__xludf.DUMMYFUNCTION("""COMPUTED_VALUE"""),1)</f>
        <v>1</v>
      </c>
    </row>
    <row r="932" spans="1:6" ht="15" customHeight="1" x14ac:dyDescent="0.2">
      <c r="A932" s="5" t="str">
        <f ca="1">IFERROR(__xludf.DUMMYFUNCTION("""COMPUTED_VALUE"""),"EPER")</f>
        <v>EPER</v>
      </c>
      <c r="B932" s="5" t="str">
        <f ca="1">IFERROR(__xludf.DUMMYFUNCTION("""COMPUTED_VALUE"""),"EPERVIER (1)")</f>
        <v>EPERVIER (1)</v>
      </c>
      <c r="C932" s="5" t="str">
        <f ca="1">IFERROR(__xludf.DUMMYFUNCTION("""COMPUTED_VALUE"""),"Epervier")</f>
        <v>Epervier</v>
      </c>
      <c r="D932" s="5" t="str">
        <f ca="1">IFERROR(__xludf.DUMMYFUNCTION("""COMPUTED_VALUE"""),"LandPlane")</f>
        <v>LandPlane</v>
      </c>
      <c r="E932" s="5" t="str">
        <f ca="1">IFERROR(__xludf.DUMMYFUNCTION("""COMPUTED_VALUE"""),"Piston")</f>
        <v>Piston</v>
      </c>
      <c r="F932" s="5">
        <f ca="1">IFERROR(__xludf.DUMMYFUNCTION("""COMPUTED_VALUE"""),1)</f>
        <v>1</v>
      </c>
    </row>
    <row r="933" spans="1:6" ht="15" customHeight="1" x14ac:dyDescent="0.2">
      <c r="A933" s="5" t="str">
        <f ca="1">IFERROR(__xludf.DUMMYFUNCTION("""COMPUTED_VALUE"""),"EPIC")</f>
        <v>EPIC</v>
      </c>
      <c r="B933" s="5" t="str">
        <f ca="1">IFERROR(__xludf.DUMMYFUNCTION("""COMPUTED_VALUE"""),"EPIC AIRCRAFT")</f>
        <v>EPIC AIRCRAFT</v>
      </c>
      <c r="C933" s="5" t="str">
        <f ca="1">IFERROR(__xludf.DUMMYFUNCTION("""COMPUTED_VALUE"""),"E1000")</f>
        <v>E1000</v>
      </c>
      <c r="D933" s="5" t="str">
        <f ca="1">IFERROR(__xludf.DUMMYFUNCTION("""COMPUTED_VALUE"""),"LandPlane")</f>
        <v>LandPlane</v>
      </c>
      <c r="E933" s="5" t="str">
        <f ca="1">IFERROR(__xludf.DUMMYFUNCTION("""COMPUTED_VALUE"""),"Turboprop/Turboshaft")</f>
        <v>Turboprop/Turboshaft</v>
      </c>
      <c r="F933" s="5">
        <f ca="1">IFERROR(__xludf.DUMMYFUNCTION("""COMPUTED_VALUE"""),1)</f>
        <v>1</v>
      </c>
    </row>
    <row r="934" spans="1:6" ht="15" customHeight="1" x14ac:dyDescent="0.2">
      <c r="A934" s="5" t="str">
        <f ca="1">IFERROR(__xludf.DUMMYFUNCTION("""COMPUTED_VALUE"""),"EPX1")</f>
        <v>EPX1</v>
      </c>
      <c r="B934" s="5" t="str">
        <f ca="1">IFERROR(__xludf.DUMMYFUNCTION("""COMPUTED_VALUE"""),"EPERVIER (2)")</f>
        <v>EPERVIER (2)</v>
      </c>
      <c r="C934" s="5" t="str">
        <f ca="1">IFERROR(__xludf.DUMMYFUNCTION("""COMPUTED_VALUE"""),"X-1")</f>
        <v>X-1</v>
      </c>
      <c r="D934" s="5" t="str">
        <f ca="1">IFERROR(__xludf.DUMMYFUNCTION("""COMPUTED_VALUE"""),"LandPlane")</f>
        <v>LandPlane</v>
      </c>
      <c r="E934" s="5" t="str">
        <f ca="1">IFERROR(__xludf.DUMMYFUNCTION("""COMPUTED_VALUE"""),"Piston")</f>
        <v>Piston</v>
      </c>
      <c r="F934" s="5">
        <f ca="1">IFERROR(__xludf.DUMMYFUNCTION("""COMPUTED_VALUE"""),1)</f>
        <v>1</v>
      </c>
    </row>
    <row r="935" spans="1:6" ht="15" customHeight="1" x14ac:dyDescent="0.2">
      <c r="A935" s="5" t="str">
        <f ca="1">IFERROR(__xludf.DUMMYFUNCTION("""COMPUTED_VALUE"""),"ERAC")</f>
        <v>ERAC</v>
      </c>
      <c r="B935" s="5" t="str">
        <f ca="1">IFERROR(__xludf.DUMMYFUNCTION("""COMPUTED_VALUE"""),"DICKEY")</f>
        <v>DICKEY</v>
      </c>
      <c r="C935" s="5" t="str">
        <f ca="1">IFERROR(__xludf.DUMMYFUNCTION("""COMPUTED_VALUE"""),"E-Racer")</f>
        <v>E-Racer</v>
      </c>
      <c r="D935" s="5" t="str">
        <f ca="1">IFERROR(__xludf.DUMMYFUNCTION("""COMPUTED_VALUE"""),"LandPlane")</f>
        <v>LandPlane</v>
      </c>
      <c r="E935" s="5" t="str">
        <f ca="1">IFERROR(__xludf.DUMMYFUNCTION("""COMPUTED_VALUE"""),"Piston")</f>
        <v>Piston</v>
      </c>
      <c r="F935" s="5">
        <f ca="1">IFERROR(__xludf.DUMMYFUNCTION("""COMPUTED_VALUE"""),1)</f>
        <v>1</v>
      </c>
    </row>
    <row r="936" spans="1:6" ht="15" customHeight="1" x14ac:dyDescent="0.2">
      <c r="A936" s="5" t="str">
        <f ca="1">IFERROR(__xludf.DUMMYFUNCTION("""COMPUTED_VALUE"""),"ERCO")</f>
        <v>ERCO</v>
      </c>
      <c r="B936" s="5" t="str">
        <f ca="1">IFERROR(__xludf.DUMMYFUNCTION("""COMPUTED_VALUE"""),"ERCO")</f>
        <v>ERCO</v>
      </c>
      <c r="C936" s="5" t="str">
        <f ca="1">IFERROR(__xludf.DUMMYFUNCTION("""COMPUTED_VALUE"""),"415 Ercoupe")</f>
        <v>415 Ercoupe</v>
      </c>
      <c r="D936" s="5" t="str">
        <f ca="1">IFERROR(__xludf.DUMMYFUNCTION("""COMPUTED_VALUE"""),"LandPlane")</f>
        <v>LandPlane</v>
      </c>
      <c r="E936" s="5" t="str">
        <f ca="1">IFERROR(__xludf.DUMMYFUNCTION("""COMPUTED_VALUE"""),"Piston")</f>
        <v>Piston</v>
      </c>
      <c r="F936" s="5">
        <f ca="1">IFERROR(__xludf.DUMMYFUNCTION("""COMPUTED_VALUE"""),1)</f>
        <v>1</v>
      </c>
    </row>
    <row r="937" spans="1:6" ht="15" customHeight="1" x14ac:dyDescent="0.2">
      <c r="A937" s="5" t="str">
        <f ca="1">IFERROR(__xludf.DUMMYFUNCTION("""COMPUTED_VALUE"""),"ES11")</f>
        <v>ES11</v>
      </c>
      <c r="B937" s="5" t="str">
        <f ca="1">IFERROR(__xludf.DUMMYFUNCTION("""COMPUTED_VALUE"""),"ALPI")</f>
        <v>ALPI</v>
      </c>
      <c r="C937" s="5" t="str">
        <f ca="1">IFERROR(__xludf.DUMMYFUNCTION("""COMPUTED_VALUE"""),"AH-130 Syton")</f>
        <v>AH-130 Syton</v>
      </c>
      <c r="D937" s="5" t="str">
        <f ca="1">IFERROR(__xludf.DUMMYFUNCTION("""COMPUTED_VALUE"""),"Helicopter")</f>
        <v>Helicopter</v>
      </c>
      <c r="E937" s="5" t="str">
        <f ca="1">IFERROR(__xludf.DUMMYFUNCTION("""COMPUTED_VALUE"""),"Turboprop/Turboshaft")</f>
        <v>Turboprop/Turboshaft</v>
      </c>
      <c r="F937" s="5">
        <f ca="1">IFERROR(__xludf.DUMMYFUNCTION("""COMPUTED_VALUE"""),1)</f>
        <v>1</v>
      </c>
    </row>
    <row r="938" spans="1:6" ht="15" customHeight="1" x14ac:dyDescent="0.2">
      <c r="A938" s="5" t="str">
        <f ca="1">IFERROR(__xludf.DUMMYFUNCTION("""COMPUTED_VALUE"""),"ES13")</f>
        <v>ES13</v>
      </c>
      <c r="B938" s="5" t="str">
        <f ca="1">IFERROR(__xludf.DUMMYFUNCTION("""COMPUTED_VALUE"""),"EARLY BIRD")</f>
        <v>EARLY BIRD</v>
      </c>
      <c r="C938" s="5" t="str">
        <f ca="1">IFERROR(__xludf.DUMMYFUNCTION("""COMPUTED_VALUE"""),"Spad 13 80%")</f>
        <v>Spad 13 80%</v>
      </c>
      <c r="D938" s="5" t="str">
        <f ca="1">IFERROR(__xludf.DUMMYFUNCTION("""COMPUTED_VALUE"""),"LandPlane")</f>
        <v>LandPlane</v>
      </c>
      <c r="E938" s="5" t="str">
        <f ca="1">IFERROR(__xludf.DUMMYFUNCTION("""COMPUTED_VALUE"""),"Piston")</f>
        <v>Piston</v>
      </c>
      <c r="F938" s="5">
        <f ca="1">IFERROR(__xludf.DUMMYFUNCTION("""COMPUTED_VALUE"""),1)</f>
        <v>1</v>
      </c>
    </row>
    <row r="939" spans="1:6" ht="15" customHeight="1" x14ac:dyDescent="0.2">
      <c r="A939" s="5" t="str">
        <f ca="1">IFERROR(__xludf.DUMMYFUNCTION("""COMPUTED_VALUE"""),"ESCA")</f>
        <v>ESCA</v>
      </c>
      <c r="B939" s="5" t="str">
        <f ca="1">IFERROR(__xludf.DUMMYFUNCTION("""COMPUTED_VALUE"""),"EPIC AIRCRAFT")</f>
        <v>EPIC AIRCRAFT</v>
      </c>
      <c r="C939" s="5" t="str">
        <f ca="1">IFERROR(__xludf.DUMMYFUNCTION("""COMPUTED_VALUE"""),"Epic Escape")</f>
        <v>Epic Escape</v>
      </c>
      <c r="D939" s="5" t="str">
        <f ca="1">IFERROR(__xludf.DUMMYFUNCTION("""COMPUTED_VALUE"""),"LandPlane")</f>
        <v>LandPlane</v>
      </c>
      <c r="E939" s="5" t="str">
        <f ca="1">IFERROR(__xludf.DUMMYFUNCTION("""COMPUTED_VALUE"""),"Turboprop/Turboshaft")</f>
        <v>Turboprop/Turboshaft</v>
      </c>
      <c r="F939" s="5">
        <f ca="1">IFERROR(__xludf.DUMMYFUNCTION("""COMPUTED_VALUE"""),1)</f>
        <v>1</v>
      </c>
    </row>
    <row r="940" spans="1:6" ht="15" customHeight="1" x14ac:dyDescent="0.2">
      <c r="A940" s="5" t="str">
        <f ca="1">IFERROR(__xludf.DUMMYFUNCTION("""COMPUTED_VALUE"""),"ESCP")</f>
        <v>ESCP</v>
      </c>
      <c r="B940" s="5" t="str">
        <f ca="1">IFERROR(__xludf.DUMMYFUNCTION("""COMPUTED_VALUE"""),"JUST")</f>
        <v>JUST</v>
      </c>
      <c r="C940" s="5" t="str">
        <f ca="1">IFERROR(__xludf.DUMMYFUNCTION("""COMPUTED_VALUE"""),"Escapade")</f>
        <v>Escapade</v>
      </c>
      <c r="D940" s="5" t="str">
        <f ca="1">IFERROR(__xludf.DUMMYFUNCTION("""COMPUTED_VALUE"""),"LandPlane")</f>
        <v>LandPlane</v>
      </c>
      <c r="E940" s="5" t="str">
        <f ca="1">IFERROR(__xludf.DUMMYFUNCTION("""COMPUTED_VALUE"""),"Piston")</f>
        <v>Piston</v>
      </c>
      <c r="F940" s="5">
        <f ca="1">IFERROR(__xludf.DUMMYFUNCTION("""COMPUTED_VALUE"""),1)</f>
        <v>1</v>
      </c>
    </row>
    <row r="941" spans="1:6" ht="15" customHeight="1" x14ac:dyDescent="0.2">
      <c r="A941" s="5" t="str">
        <f ca="1">IFERROR(__xludf.DUMMYFUNCTION("""COMPUTED_VALUE"""),"ESQL")</f>
        <v>ESQL</v>
      </c>
      <c r="B941" s="5" t="str">
        <f ca="1">IFERROR(__xludf.DUMMYFUNCTION("""COMPUTED_VALUE"""),"MOURA")</f>
        <v>MOURA</v>
      </c>
      <c r="C941" s="5" t="str">
        <f ca="1">IFERROR(__xludf.DUMMYFUNCTION("""COMPUTED_VALUE"""),"Esqualo")</f>
        <v>Esqualo</v>
      </c>
      <c r="D941" s="5" t="str">
        <f ca="1">IFERROR(__xludf.DUMMYFUNCTION("""COMPUTED_VALUE"""),"LandPlane")</f>
        <v>LandPlane</v>
      </c>
      <c r="E941" s="5" t="str">
        <f ca="1">IFERROR(__xludf.DUMMYFUNCTION("""COMPUTED_VALUE"""),"Piston")</f>
        <v>Piston</v>
      </c>
      <c r="F941" s="5">
        <f ca="1">IFERROR(__xludf.DUMMYFUNCTION("""COMPUTED_VALUE"""),1)</f>
        <v>1</v>
      </c>
    </row>
    <row r="942" spans="1:6" ht="15" customHeight="1" x14ac:dyDescent="0.2">
      <c r="A942" s="5" t="str">
        <f ca="1">IFERROR(__xludf.DUMMYFUNCTION("""COMPUTED_VALUE"""),"ETA")</f>
        <v>ETA</v>
      </c>
      <c r="B942" s="5" t="str">
        <f ca="1">IFERROR(__xludf.DUMMYFUNCTION("""COMPUTED_VALUE"""),"ETA AIRCRAFT")</f>
        <v>ETA AIRCRAFT</v>
      </c>
      <c r="C942" s="5" t="str">
        <f ca="1">IFERROR(__xludf.DUMMYFUNCTION("""COMPUTED_VALUE"""),"Eta")</f>
        <v>Eta</v>
      </c>
      <c r="D942" s="5" t="str">
        <f ca="1">IFERROR(__xludf.DUMMYFUNCTION("""COMPUTED_VALUE"""),"LandPlane")</f>
        <v>LandPlane</v>
      </c>
      <c r="E942" s="5" t="str">
        <f ca="1">IFERROR(__xludf.DUMMYFUNCTION("""COMPUTED_VALUE"""),"Piston")</f>
        <v>Piston</v>
      </c>
      <c r="F942" s="5">
        <f ca="1">IFERROR(__xludf.DUMMYFUNCTION("""COMPUTED_VALUE"""),1)</f>
        <v>1</v>
      </c>
    </row>
    <row r="943" spans="1:6" ht="15" customHeight="1" x14ac:dyDescent="0.2">
      <c r="A943" s="5" t="str">
        <f ca="1">IFERROR(__xludf.DUMMYFUNCTION("""COMPUTED_VALUE"""),"ETAR")</f>
        <v>ETAR</v>
      </c>
      <c r="B943" s="5" t="str">
        <f ca="1">IFERROR(__xludf.DUMMYFUNCTION("""COMPUTED_VALUE"""),"DASSAULT")</f>
        <v>DASSAULT</v>
      </c>
      <c r="C943" s="5" t="str">
        <f ca="1">IFERROR(__xludf.DUMMYFUNCTION("""COMPUTED_VALUE"""),"Super Etendard")</f>
        <v>Super Etendard</v>
      </c>
      <c r="D943" s="5" t="str">
        <f ca="1">IFERROR(__xludf.DUMMYFUNCTION("""COMPUTED_VALUE"""),"LandPlane")</f>
        <v>LandPlane</v>
      </c>
      <c r="E943" s="5" t="str">
        <f ca="1">IFERROR(__xludf.DUMMYFUNCTION("""COMPUTED_VALUE"""),"Jet")</f>
        <v>Jet</v>
      </c>
      <c r="F943" s="5">
        <f ca="1">IFERROR(__xludf.DUMMYFUNCTION("""COMPUTED_VALUE"""),1)</f>
        <v>1</v>
      </c>
    </row>
    <row r="944" spans="1:6" ht="15" customHeight="1" x14ac:dyDescent="0.2">
      <c r="A944" s="5" t="str">
        <f ca="1">IFERROR(__xludf.DUMMYFUNCTION("""COMPUTED_VALUE"""),"EUFI")</f>
        <v>EUFI</v>
      </c>
      <c r="B944" s="5" t="str">
        <f ca="1">IFERROR(__xludf.DUMMYFUNCTION("""COMPUTED_VALUE"""),"EUROFIGHTER")</f>
        <v>EUROFIGHTER</v>
      </c>
      <c r="C944" s="5" t="str">
        <f ca="1">IFERROR(__xludf.DUMMYFUNCTION("""COMPUTED_VALUE"""),"Eurofighter 2000")</f>
        <v>Eurofighter 2000</v>
      </c>
      <c r="D944" s="5" t="str">
        <f ca="1">IFERROR(__xludf.DUMMYFUNCTION("""COMPUTED_VALUE"""),"LandPlane")</f>
        <v>LandPlane</v>
      </c>
      <c r="E944" s="5" t="str">
        <f ca="1">IFERROR(__xludf.DUMMYFUNCTION("""COMPUTED_VALUE"""),"Jet")</f>
        <v>Jet</v>
      </c>
      <c r="F944" s="5">
        <f ca="1">IFERROR(__xludf.DUMMYFUNCTION("""COMPUTED_VALUE"""),2)</f>
        <v>2</v>
      </c>
    </row>
    <row r="945" spans="1:6" ht="15" customHeight="1" x14ac:dyDescent="0.2">
      <c r="A945" s="5" t="str">
        <f ca="1">IFERROR(__xludf.DUMMYFUNCTION("""COMPUTED_VALUE"""),"EUPA")</f>
        <v>EUPA</v>
      </c>
      <c r="B945" s="5" t="str">
        <f ca="1">IFERROR(__xludf.DUMMYFUNCTION("""COMPUTED_VALUE"""),"EUROPA")</f>
        <v>EUROPA</v>
      </c>
      <c r="C945" s="5" t="str">
        <f ca="1">IFERROR(__xludf.DUMMYFUNCTION("""COMPUTED_VALUE"""),"Europa")</f>
        <v>Europa</v>
      </c>
      <c r="D945" s="5" t="str">
        <f ca="1">IFERROR(__xludf.DUMMYFUNCTION("""COMPUTED_VALUE"""),"LandPlane")</f>
        <v>LandPlane</v>
      </c>
      <c r="E945" s="5" t="str">
        <f ca="1">IFERROR(__xludf.DUMMYFUNCTION("""COMPUTED_VALUE"""),"Piston")</f>
        <v>Piston</v>
      </c>
      <c r="F945" s="5">
        <f ca="1">IFERROR(__xludf.DUMMYFUNCTION("""COMPUTED_VALUE"""),1)</f>
        <v>1</v>
      </c>
    </row>
    <row r="946" spans="1:6" ht="15" customHeight="1" x14ac:dyDescent="0.2">
      <c r="A946" s="5" t="str">
        <f ca="1">IFERROR(__xludf.DUMMYFUNCTION("""COMPUTED_VALUE"""),"EURT")</f>
        <v>EURT</v>
      </c>
      <c r="B946" s="5" t="str">
        <f ca="1">IFERROR(__xludf.DUMMYFUNCTION("""COMPUTED_VALUE"""),"FFT")</f>
        <v>FFT</v>
      </c>
      <c r="C946" s="5" t="str">
        <f ca="1">IFERROR(__xludf.DUMMYFUNCTION("""COMPUTED_VALUE"""),"Eurotrainer 2000")</f>
        <v>Eurotrainer 2000</v>
      </c>
      <c r="D946" s="5" t="str">
        <f ca="1">IFERROR(__xludf.DUMMYFUNCTION("""COMPUTED_VALUE"""),"LandPlane")</f>
        <v>LandPlane</v>
      </c>
      <c r="E946" s="5" t="str">
        <f ca="1">IFERROR(__xludf.DUMMYFUNCTION("""COMPUTED_VALUE"""),"Piston")</f>
        <v>Piston</v>
      </c>
      <c r="F946" s="5">
        <f ca="1">IFERROR(__xludf.DUMMYFUNCTION("""COMPUTED_VALUE"""),1)</f>
        <v>1</v>
      </c>
    </row>
    <row r="947" spans="1:6" ht="15" customHeight="1" x14ac:dyDescent="0.2">
      <c r="A947" s="5" t="str">
        <f ca="1">IFERROR(__xludf.DUMMYFUNCTION("""COMPUTED_VALUE"""),"EV55")</f>
        <v>EV55</v>
      </c>
      <c r="B947" s="5" t="str">
        <f ca="1">IFERROR(__xludf.DUMMYFUNCTION("""COMPUTED_VALUE"""),"EVEKTOR")</f>
        <v>EVEKTOR</v>
      </c>
      <c r="C947" s="5" t="str">
        <f ca="1">IFERROR(__xludf.DUMMYFUNCTION("""COMPUTED_VALUE"""),"EV-55 Outback")</f>
        <v>EV-55 Outback</v>
      </c>
      <c r="D947" s="5" t="str">
        <f ca="1">IFERROR(__xludf.DUMMYFUNCTION("""COMPUTED_VALUE"""),"LandPlane")</f>
        <v>LandPlane</v>
      </c>
      <c r="E947" s="5" t="str">
        <f ca="1">IFERROR(__xludf.DUMMYFUNCTION("""COMPUTED_VALUE"""),"Piston")</f>
        <v>Piston</v>
      </c>
      <c r="F947" s="5">
        <f ca="1">IFERROR(__xludf.DUMMYFUNCTION("""COMPUTED_VALUE"""),2)</f>
        <v>2</v>
      </c>
    </row>
    <row r="948" spans="1:6" ht="15" customHeight="1" x14ac:dyDescent="0.2">
      <c r="A948" s="5" t="str">
        <f ca="1">IFERROR(__xludf.DUMMYFUNCTION("""COMPUTED_VALUE"""),"EV97")</f>
        <v>EV97</v>
      </c>
      <c r="B948" s="5" t="str">
        <f ca="1">IFERROR(__xludf.DUMMYFUNCTION("""COMPUTED_VALUE"""),"EVEKTOR")</f>
        <v>EVEKTOR</v>
      </c>
      <c r="C948" s="5" t="str">
        <f ca="1">IFERROR(__xludf.DUMMYFUNCTION("""COMPUTED_VALUE"""),"EV-97 EuroStar")</f>
        <v>EV-97 EuroStar</v>
      </c>
      <c r="D948" s="5" t="str">
        <f ca="1">IFERROR(__xludf.DUMMYFUNCTION("""COMPUTED_VALUE"""),"LandPlane")</f>
        <v>LandPlane</v>
      </c>
      <c r="E948" s="5" t="str">
        <f ca="1">IFERROR(__xludf.DUMMYFUNCTION("""COMPUTED_VALUE"""),"Piston")</f>
        <v>Piston</v>
      </c>
      <c r="F948" s="5">
        <f ca="1">IFERROR(__xludf.DUMMYFUNCTION("""COMPUTED_VALUE"""),1)</f>
        <v>1</v>
      </c>
    </row>
    <row r="949" spans="1:6" ht="15" customHeight="1" x14ac:dyDescent="0.2">
      <c r="A949" s="5" t="str">
        <f ca="1">IFERROR(__xludf.DUMMYFUNCTION("""COMPUTED_VALUE"""),"EVAN")</f>
        <v>EVAN</v>
      </c>
      <c r="B949" s="5" t="str">
        <f ca="1">IFERROR(__xludf.DUMMYFUNCTION("""COMPUTED_VALUE"""),"EVANGEL")</f>
        <v>EVANGEL</v>
      </c>
      <c r="C949" s="5" t="str">
        <f ca="1">IFERROR(__xludf.DUMMYFUNCTION("""COMPUTED_VALUE"""),"4500 Evangel")</f>
        <v>4500 Evangel</v>
      </c>
      <c r="D949" s="5" t="str">
        <f ca="1">IFERROR(__xludf.DUMMYFUNCTION("""COMPUTED_VALUE"""),"LandPlane")</f>
        <v>LandPlane</v>
      </c>
      <c r="E949" s="5" t="str">
        <f ca="1">IFERROR(__xludf.DUMMYFUNCTION("""COMPUTED_VALUE"""),"Piston")</f>
        <v>Piston</v>
      </c>
      <c r="F949" s="5">
        <f ca="1">IFERROR(__xludf.DUMMYFUNCTION("""COMPUTED_VALUE"""),2)</f>
        <v>2</v>
      </c>
    </row>
    <row r="950" spans="1:6" ht="15" customHeight="1" x14ac:dyDescent="0.2">
      <c r="A950" s="5" t="str">
        <f ca="1">IFERROR(__xludf.DUMMYFUNCTION("""COMPUTED_VALUE"""),"EVIC")</f>
        <v>EVIC</v>
      </c>
      <c r="B950" s="5" t="str">
        <f ca="1">IFERROR(__xludf.DUMMYFUNCTION("""COMPUTED_VALUE"""),"EPIC AIRCRAFT")</f>
        <v>EPIC AIRCRAFT</v>
      </c>
      <c r="C950" s="5" t="str">
        <f ca="1">IFERROR(__xludf.DUMMYFUNCTION("""COMPUTED_VALUE"""),"Epic Victory")</f>
        <v>Epic Victory</v>
      </c>
      <c r="D950" s="5" t="str">
        <f ca="1">IFERROR(__xludf.DUMMYFUNCTION("""COMPUTED_VALUE"""),"LandPlane")</f>
        <v>LandPlane</v>
      </c>
      <c r="E950" s="5" t="str">
        <f ca="1">IFERROR(__xludf.DUMMYFUNCTION("""COMPUTED_VALUE"""),"Jet")</f>
        <v>Jet</v>
      </c>
      <c r="F950" s="5">
        <f ca="1">IFERROR(__xludf.DUMMYFUNCTION("""COMPUTED_VALUE"""),1)</f>
        <v>1</v>
      </c>
    </row>
    <row r="951" spans="1:6" ht="15" customHeight="1" x14ac:dyDescent="0.2">
      <c r="A951" s="5" t="str">
        <f ca="1">IFERROR(__xludf.DUMMYFUNCTION("""COMPUTED_VALUE"""),"EVOP")</f>
        <v>EVOP</v>
      </c>
      <c r="B951" s="5" t="str">
        <f ca="1">IFERROR(__xludf.DUMMYFUNCTION("""COMPUTED_VALUE"""),"LANCAIR")</f>
        <v>LANCAIR</v>
      </c>
      <c r="C951" s="5" t="str">
        <f ca="1">IFERROR(__xludf.DUMMYFUNCTION("""COMPUTED_VALUE"""),"Evolution Piston")</f>
        <v>Evolution Piston</v>
      </c>
      <c r="D951" s="5" t="str">
        <f ca="1">IFERROR(__xludf.DUMMYFUNCTION("""COMPUTED_VALUE"""),"LandPlane")</f>
        <v>LandPlane</v>
      </c>
      <c r="E951" s="5" t="str">
        <f ca="1">IFERROR(__xludf.DUMMYFUNCTION("""COMPUTED_VALUE"""),"Piston")</f>
        <v>Piston</v>
      </c>
      <c r="F951" s="5">
        <f ca="1">IFERROR(__xludf.DUMMYFUNCTION("""COMPUTED_VALUE"""),1)</f>
        <v>1</v>
      </c>
    </row>
    <row r="952" spans="1:6" ht="15" customHeight="1" x14ac:dyDescent="0.2">
      <c r="A952" s="5" t="str">
        <f ca="1">IFERROR(__xludf.DUMMYFUNCTION("""COMPUTED_VALUE"""),"EVOT")</f>
        <v>EVOT</v>
      </c>
      <c r="B952" s="5" t="str">
        <f ca="1">IFERROR(__xludf.DUMMYFUNCTION("""COMPUTED_VALUE"""),"LANCAIR")</f>
        <v>LANCAIR</v>
      </c>
      <c r="C952" s="5" t="str">
        <f ca="1">IFERROR(__xludf.DUMMYFUNCTION("""COMPUTED_VALUE"""),"Evolution Turbine")</f>
        <v>Evolution Turbine</v>
      </c>
      <c r="D952" s="5" t="str">
        <f ca="1">IFERROR(__xludf.DUMMYFUNCTION("""COMPUTED_VALUE"""),"LandPlane")</f>
        <v>LandPlane</v>
      </c>
      <c r="E952" s="5" t="str">
        <f ca="1">IFERROR(__xludf.DUMMYFUNCTION("""COMPUTED_VALUE"""),"Turboprop/Turboshaft")</f>
        <v>Turboprop/Turboshaft</v>
      </c>
      <c r="F952" s="5">
        <f ca="1">IFERROR(__xludf.DUMMYFUNCTION("""COMPUTED_VALUE"""),1)</f>
        <v>1</v>
      </c>
    </row>
    <row r="953" spans="1:6" ht="15" customHeight="1" x14ac:dyDescent="0.2">
      <c r="A953" s="5" t="str">
        <f ca="1">IFERROR(__xludf.DUMMYFUNCTION("""COMPUTED_VALUE"""),"EVSS")</f>
        <v>EVSS</v>
      </c>
      <c r="B953" s="5" t="str">
        <f ca="1">IFERROR(__xludf.DUMMYFUNCTION("""COMPUTED_VALUE"""),"EVEKTOR")</f>
        <v>EVEKTOR</v>
      </c>
      <c r="C953" s="5" t="str">
        <f ca="1">IFERROR(__xludf.DUMMYFUNCTION("""COMPUTED_VALUE"""),"SportStar")</f>
        <v>SportStar</v>
      </c>
      <c r="D953" s="5" t="str">
        <f ca="1">IFERROR(__xludf.DUMMYFUNCTION("""COMPUTED_VALUE"""),"LandPlane")</f>
        <v>LandPlane</v>
      </c>
      <c r="E953" s="5" t="str">
        <f ca="1">IFERROR(__xludf.DUMMYFUNCTION("""COMPUTED_VALUE"""),"Piston")</f>
        <v>Piston</v>
      </c>
      <c r="F953" s="5">
        <f ca="1">IFERROR(__xludf.DUMMYFUNCTION("""COMPUTED_VALUE"""),1)</f>
        <v>1</v>
      </c>
    </row>
    <row r="954" spans="1:6" ht="15" customHeight="1" x14ac:dyDescent="0.2">
      <c r="A954" s="5" t="str">
        <f ca="1">IFERROR(__xludf.DUMMYFUNCTION("""COMPUTED_VALUE"""),"EX5T")</f>
        <v>EX5T</v>
      </c>
      <c r="B954" s="5" t="str">
        <f ca="1">IFERROR(__xludf.DUMMYFUNCTION("""COMPUTED_VALUE"""),"AEA")</f>
        <v>AEA</v>
      </c>
      <c r="C954" s="5" t="str">
        <f ca="1">IFERROR(__xludf.DUMMYFUNCTION("""COMPUTED_VALUE"""),"Explorer 500T")</f>
        <v>Explorer 500T</v>
      </c>
      <c r="D954" s="5" t="str">
        <f ca="1">IFERROR(__xludf.DUMMYFUNCTION("""COMPUTED_VALUE"""),"LandPlane")</f>
        <v>LandPlane</v>
      </c>
      <c r="E954" s="5" t="str">
        <f ca="1">IFERROR(__xludf.DUMMYFUNCTION("""COMPUTED_VALUE"""),"Turboprop/Turboshaft")</f>
        <v>Turboprop/Turboshaft</v>
      </c>
      <c r="F954" s="5">
        <f ca="1">IFERROR(__xludf.DUMMYFUNCTION("""COMPUTED_VALUE"""),1)</f>
        <v>1</v>
      </c>
    </row>
    <row r="955" spans="1:6" ht="15" customHeight="1" x14ac:dyDescent="0.2">
      <c r="A955" s="5" t="str">
        <f ca="1">IFERROR(__xludf.DUMMYFUNCTION("""COMPUTED_VALUE"""),"EXEC")</f>
        <v>EXEC</v>
      </c>
      <c r="B955" s="5" t="str">
        <f ca="1">IFERROR(__xludf.DUMMYFUNCTION("""COMPUTED_VALUE"""),"ROTORWAY")</f>
        <v>ROTORWAY</v>
      </c>
      <c r="C955" s="5" t="str">
        <f ca="1">IFERROR(__xludf.DUMMYFUNCTION("""COMPUTED_VALUE"""),"Exec")</f>
        <v>Exec</v>
      </c>
      <c r="D955" s="5" t="str">
        <f ca="1">IFERROR(__xludf.DUMMYFUNCTION("""COMPUTED_VALUE"""),"Helicopter")</f>
        <v>Helicopter</v>
      </c>
      <c r="E955" s="5" t="str">
        <f ca="1">IFERROR(__xludf.DUMMYFUNCTION("""COMPUTED_VALUE"""),"Piston")</f>
        <v>Piston</v>
      </c>
      <c r="F955" s="5">
        <f ca="1">IFERROR(__xludf.DUMMYFUNCTION("""COMPUTED_VALUE"""),1)</f>
        <v>1</v>
      </c>
    </row>
    <row r="956" spans="1:6" ht="15" customHeight="1" x14ac:dyDescent="0.2">
      <c r="A956" s="5" t="str">
        <f ca="1">IFERROR(__xludf.DUMMYFUNCTION("""COMPUTED_VALUE"""),"EXEJ")</f>
        <v>EXEJ</v>
      </c>
      <c r="B956" s="5" t="str">
        <f ca="1">IFERROR(__xludf.DUMMYFUNCTION("""COMPUTED_VALUE"""),"ROTORWAY")</f>
        <v>ROTORWAY</v>
      </c>
      <c r="C956" s="5" t="str">
        <f ca="1">IFERROR(__xludf.DUMMYFUNCTION("""COMPUTED_VALUE"""),"JetExec")</f>
        <v>JetExec</v>
      </c>
      <c r="D956" s="5" t="str">
        <f ca="1">IFERROR(__xludf.DUMMYFUNCTION("""COMPUTED_VALUE"""),"Helicopter")</f>
        <v>Helicopter</v>
      </c>
      <c r="E956" s="5" t="str">
        <f ca="1">IFERROR(__xludf.DUMMYFUNCTION("""COMPUTED_VALUE"""),"Turboprop/Turboshaft")</f>
        <v>Turboprop/Turboshaft</v>
      </c>
      <c r="F956" s="5">
        <f ca="1">IFERROR(__xludf.DUMMYFUNCTION("""COMPUTED_VALUE"""),1)</f>
        <v>1</v>
      </c>
    </row>
    <row r="957" spans="1:6" ht="15" customHeight="1" x14ac:dyDescent="0.2">
      <c r="A957" s="5" t="str">
        <f ca="1">IFERROR(__xludf.DUMMYFUNCTION("""COMPUTED_VALUE"""),"EXNG")</f>
        <v>EXNG</v>
      </c>
      <c r="B957" s="5" t="str">
        <f ca="1">IFERROR(__xludf.DUMMYFUNCTION("""COMPUTED_VALUE"""),"EXTRA")</f>
        <v>EXTRA</v>
      </c>
      <c r="C957" s="5" t="str">
        <f ca="1">IFERROR(__xludf.DUMMYFUNCTION("""COMPUTED_VALUE"""),"NG")</f>
        <v>NG</v>
      </c>
      <c r="D957" s="5" t="str">
        <f ca="1">IFERROR(__xludf.DUMMYFUNCTION("""COMPUTED_VALUE"""),"LandPlane")</f>
        <v>LandPlane</v>
      </c>
      <c r="E957" s="5" t="str">
        <f ca="1">IFERROR(__xludf.DUMMYFUNCTION("""COMPUTED_VALUE"""),"Piston")</f>
        <v>Piston</v>
      </c>
      <c r="F957" s="5">
        <f ca="1">IFERROR(__xludf.DUMMYFUNCTION("""COMPUTED_VALUE"""),1)</f>
        <v>1</v>
      </c>
    </row>
    <row r="958" spans="1:6" ht="15" customHeight="1" x14ac:dyDescent="0.2">
      <c r="A958" s="5" t="str">
        <f ca="1">IFERROR(__xludf.DUMMYFUNCTION("""COMPUTED_VALUE"""),"EXPL")</f>
        <v>EXPL</v>
      </c>
      <c r="B958" s="5" t="str">
        <f ca="1">IFERROR(__xludf.DUMMYFUNCTION("""COMPUTED_VALUE"""),"MCDONNELL DOUGLAS")</f>
        <v>MCDONNELL DOUGLAS</v>
      </c>
      <c r="C958" s="5" t="str">
        <f ca="1">IFERROR(__xludf.DUMMYFUNCTION("""COMPUTED_VALUE"""),"MD-900 Explorer")</f>
        <v>MD-900 Explorer</v>
      </c>
      <c r="D958" s="5" t="str">
        <f ca="1">IFERROR(__xludf.DUMMYFUNCTION("""COMPUTED_VALUE"""),"Helicopter")</f>
        <v>Helicopter</v>
      </c>
      <c r="E958" s="5" t="str">
        <f ca="1">IFERROR(__xludf.DUMMYFUNCTION("""COMPUTED_VALUE"""),"Turboprop/Turboshaft")</f>
        <v>Turboprop/Turboshaft</v>
      </c>
      <c r="F958" s="5">
        <f ca="1">IFERROR(__xludf.DUMMYFUNCTION("""COMPUTED_VALUE"""),2)</f>
        <v>2</v>
      </c>
    </row>
    <row r="959" spans="1:6" ht="15" customHeight="1" x14ac:dyDescent="0.2">
      <c r="A959" s="5" t="str">
        <f ca="1">IFERROR(__xludf.DUMMYFUNCTION("""COMPUTED_VALUE"""),"EXPR")</f>
        <v>EXPR</v>
      </c>
      <c r="B959" s="5" t="str">
        <f ca="1">IFERROR(__xludf.DUMMYFUNCTION("""COMPUTED_VALUE"""),"EXPRESS")</f>
        <v>EXPRESS</v>
      </c>
      <c r="C959" s="5" t="str">
        <f ca="1">IFERROR(__xludf.DUMMYFUNCTION("""COMPUTED_VALUE"""),"Express 2000RG")</f>
        <v>Express 2000RG</v>
      </c>
      <c r="D959" s="5" t="str">
        <f ca="1">IFERROR(__xludf.DUMMYFUNCTION("""COMPUTED_VALUE"""),"LandPlane")</f>
        <v>LandPlane</v>
      </c>
      <c r="E959" s="5" t="str">
        <f ca="1">IFERROR(__xludf.DUMMYFUNCTION("""COMPUTED_VALUE"""),"Piston")</f>
        <v>Piston</v>
      </c>
      <c r="F959" s="5">
        <f ca="1">IFERROR(__xludf.DUMMYFUNCTION("""COMPUTED_VALUE"""),1)</f>
        <v>1</v>
      </c>
    </row>
    <row r="960" spans="1:6" ht="15" customHeight="1" x14ac:dyDescent="0.2">
      <c r="A960" s="5" t="str">
        <f ca="1">IFERROR(__xludf.DUMMYFUNCTION("""COMPUTED_VALUE"""),"EZFL")</f>
        <v>EZFL</v>
      </c>
      <c r="B960" s="5" t="str">
        <f ca="1">IFERROR(__xludf.DUMMYFUNCTION("""COMPUTED_VALUE"""),"BLUE YONDER")</f>
        <v>BLUE YONDER</v>
      </c>
      <c r="C960" s="5" t="str">
        <f ca="1">IFERROR(__xludf.DUMMYFUNCTION("""COMPUTED_VALUE"""),"E-Z Flyer")</f>
        <v>E-Z Flyer</v>
      </c>
      <c r="D960" s="5" t="str">
        <f ca="1">IFERROR(__xludf.DUMMYFUNCTION("""COMPUTED_VALUE"""),"LandPlane")</f>
        <v>LandPlane</v>
      </c>
      <c r="E960" s="5" t="str">
        <f ca="1">IFERROR(__xludf.DUMMYFUNCTION("""COMPUTED_VALUE"""),"Piston")</f>
        <v>Piston</v>
      </c>
      <c r="F960" s="5">
        <f ca="1">IFERROR(__xludf.DUMMYFUNCTION("""COMPUTED_VALUE"""),1)</f>
        <v>1</v>
      </c>
    </row>
    <row r="961" spans="1:6" ht="15" customHeight="1" x14ac:dyDescent="0.2">
      <c r="A961" s="5" t="str">
        <f ca="1">IFERROR(__xludf.DUMMYFUNCTION("""COMPUTED_VALUE"""),"EZFT")</f>
        <v>EZFT</v>
      </c>
      <c r="B961" s="5" t="str">
        <f ca="1">IFERROR(__xludf.DUMMYFUNCTION("""COMPUTED_VALUE"""),"BLUE YONDER")</f>
        <v>BLUE YONDER</v>
      </c>
      <c r="C961" s="5" t="str">
        <f ca="1">IFERROR(__xludf.DUMMYFUNCTION("""COMPUTED_VALUE"""),"Twin E-Z Flyer")</f>
        <v>Twin E-Z Flyer</v>
      </c>
      <c r="D961" s="5" t="str">
        <f ca="1">IFERROR(__xludf.DUMMYFUNCTION("""COMPUTED_VALUE"""),"LandPlane")</f>
        <v>LandPlane</v>
      </c>
      <c r="E961" s="5" t="str">
        <f ca="1">IFERROR(__xludf.DUMMYFUNCTION("""COMPUTED_VALUE"""),"Piston")</f>
        <v>Piston</v>
      </c>
      <c r="F961" s="5">
        <f ca="1">IFERROR(__xludf.DUMMYFUNCTION("""COMPUTED_VALUE"""),2)</f>
        <v>2</v>
      </c>
    </row>
    <row r="962" spans="1:6" ht="15" customHeight="1" x14ac:dyDescent="0.2">
      <c r="A962" s="5" t="str">
        <f ca="1">IFERROR(__xludf.DUMMYFUNCTION("""COMPUTED_VALUE"""),"EZHV")</f>
        <v>EZHV</v>
      </c>
      <c r="B962" s="5" t="str">
        <f ca="1">IFERROR(__xludf.DUMMYFUNCTION("""COMPUTED_VALUE"""),"BLUE YONDER")</f>
        <v>BLUE YONDER</v>
      </c>
      <c r="C962" s="5" t="str">
        <f ca="1">IFERROR(__xludf.DUMMYFUNCTION("""COMPUTED_VALUE"""),"E-Z Harvard")</f>
        <v>E-Z Harvard</v>
      </c>
      <c r="D962" s="5" t="str">
        <f ca="1">IFERROR(__xludf.DUMMYFUNCTION("""COMPUTED_VALUE"""),"LandPlane")</f>
        <v>LandPlane</v>
      </c>
      <c r="E962" s="5" t="str">
        <f ca="1">IFERROR(__xludf.DUMMYFUNCTION("""COMPUTED_VALUE"""),"Piston")</f>
        <v>Piston</v>
      </c>
      <c r="F962" s="5">
        <f ca="1">IFERROR(__xludf.DUMMYFUNCTION("""COMPUTED_VALUE"""),1)</f>
        <v>1</v>
      </c>
    </row>
    <row r="963" spans="1:6" ht="15" customHeight="1" x14ac:dyDescent="0.2">
      <c r="A963" s="5" t="str">
        <f ca="1">IFERROR(__xludf.DUMMYFUNCTION("""COMPUTED_VALUE"""),"EZIK")</f>
        <v>EZIK</v>
      </c>
      <c r="B963" s="5" t="str">
        <f ca="1">IFERROR(__xludf.DUMMYFUNCTION("""COMPUTED_VALUE"""),"ISTRA")</f>
        <v>ISTRA</v>
      </c>
      <c r="C963" s="5" t="str">
        <f ca="1">IFERROR(__xludf.DUMMYFUNCTION("""COMPUTED_VALUE"""),"Ezhik")</f>
        <v>Ezhik</v>
      </c>
      <c r="D963" s="5" t="str">
        <f ca="1">IFERROR(__xludf.DUMMYFUNCTION("""COMPUTED_VALUE"""),"LandPlane")</f>
        <v>LandPlane</v>
      </c>
      <c r="E963" s="5" t="str">
        <f ca="1">IFERROR(__xludf.DUMMYFUNCTION("""COMPUTED_VALUE"""),"Piston")</f>
        <v>Piston</v>
      </c>
      <c r="F963" s="5">
        <f ca="1">IFERROR(__xludf.DUMMYFUNCTION("""COMPUTED_VALUE"""),1)</f>
        <v>1</v>
      </c>
    </row>
    <row r="964" spans="1:6" ht="15" customHeight="1" x14ac:dyDescent="0.2">
      <c r="A964" s="5" t="str">
        <f ca="1">IFERROR(__xludf.DUMMYFUNCTION("""COMPUTED_VALUE"""),"EZKC")</f>
        <v>EZKC</v>
      </c>
      <c r="B964" s="5" t="str">
        <f ca="1">IFERROR(__xludf.DUMMYFUNCTION("""COMPUTED_VALUE"""),"BLUE YONDER")</f>
        <v>BLUE YONDER</v>
      </c>
      <c r="C964" s="5" t="str">
        <f ca="1">IFERROR(__xludf.DUMMYFUNCTION("""COMPUTED_VALUE"""),"E-Z King Cobra")</f>
        <v>E-Z King Cobra</v>
      </c>
      <c r="D964" s="5" t="str">
        <f ca="1">IFERROR(__xludf.DUMMYFUNCTION("""COMPUTED_VALUE"""),"LandPlane")</f>
        <v>LandPlane</v>
      </c>
      <c r="E964" s="5" t="str">
        <f ca="1">IFERROR(__xludf.DUMMYFUNCTION("""COMPUTED_VALUE"""),"Piston")</f>
        <v>Piston</v>
      </c>
      <c r="F964" s="5">
        <f ca="1">IFERROR(__xludf.DUMMYFUNCTION("""COMPUTED_VALUE"""),1)</f>
        <v>1</v>
      </c>
    </row>
    <row r="965" spans="1:6" ht="15" customHeight="1" x14ac:dyDescent="0.2">
      <c r="A965" s="5" t="str">
        <f ca="1">IFERROR(__xludf.DUMMYFUNCTION("""COMPUTED_VALUE"""),"F1")</f>
        <v>F1</v>
      </c>
      <c r="B965" s="5" t="str">
        <f ca="1">IFERROR(__xludf.DUMMYFUNCTION("""COMPUTED_VALUE"""),"MITSUBISHI")</f>
        <v>MITSUBISHI</v>
      </c>
      <c r="C965" s="5" t="str">
        <f ca="1">IFERROR(__xludf.DUMMYFUNCTION("""COMPUTED_VALUE"""),"F-1")</f>
        <v>F-1</v>
      </c>
      <c r="D965" s="5" t="str">
        <f ca="1">IFERROR(__xludf.DUMMYFUNCTION("""COMPUTED_VALUE"""),"LandPlane")</f>
        <v>LandPlane</v>
      </c>
      <c r="E965" s="5" t="str">
        <f ca="1">IFERROR(__xludf.DUMMYFUNCTION("""COMPUTED_VALUE"""),"Jet")</f>
        <v>Jet</v>
      </c>
      <c r="F965" s="5">
        <f ca="1">IFERROR(__xludf.DUMMYFUNCTION("""COMPUTED_VALUE"""),2)</f>
        <v>2</v>
      </c>
    </row>
    <row r="966" spans="1:6" ht="15" customHeight="1" x14ac:dyDescent="0.2">
      <c r="A966" s="5" t="str">
        <f ca="1">IFERROR(__xludf.DUMMYFUNCTION("""COMPUTED_VALUE"""),"F100")</f>
        <v>F100</v>
      </c>
      <c r="B966" s="5" t="str">
        <f ca="1">IFERROR(__xludf.DUMMYFUNCTION("""COMPUTED_VALUE"""),"FOKKER")</f>
        <v>FOKKER</v>
      </c>
      <c r="C966" s="5" t="str">
        <f ca="1">IFERROR(__xludf.DUMMYFUNCTION("""COMPUTED_VALUE"""),"100")</f>
        <v>100</v>
      </c>
      <c r="D966" s="5" t="str">
        <f ca="1">IFERROR(__xludf.DUMMYFUNCTION("""COMPUTED_VALUE"""),"LandPlane")</f>
        <v>LandPlane</v>
      </c>
      <c r="E966" s="5" t="str">
        <f ca="1">IFERROR(__xludf.DUMMYFUNCTION("""COMPUTED_VALUE"""),"Jet")</f>
        <v>Jet</v>
      </c>
      <c r="F966" s="5">
        <f ca="1">IFERROR(__xludf.DUMMYFUNCTION("""COMPUTED_VALUE"""),2)</f>
        <v>2</v>
      </c>
    </row>
    <row r="967" spans="1:6" ht="15" customHeight="1" x14ac:dyDescent="0.2">
      <c r="A967" s="5" t="str">
        <f ca="1">IFERROR(__xludf.DUMMYFUNCTION("""COMPUTED_VALUE"""),"F104")</f>
        <v>F104</v>
      </c>
      <c r="B967" s="5" t="str">
        <f ca="1">IFERROR(__xludf.DUMMYFUNCTION("""COMPUTED_VALUE"""),"LOCKHEED")</f>
        <v>LOCKHEED</v>
      </c>
      <c r="C967" s="5" t="str">
        <f ca="1">IFERROR(__xludf.DUMMYFUNCTION("""COMPUTED_VALUE"""),"F-104 Starfighter")</f>
        <v>F-104 Starfighter</v>
      </c>
      <c r="D967" s="5" t="str">
        <f ca="1">IFERROR(__xludf.DUMMYFUNCTION("""COMPUTED_VALUE"""),"LandPlane")</f>
        <v>LandPlane</v>
      </c>
      <c r="E967" s="5" t="str">
        <f ca="1">IFERROR(__xludf.DUMMYFUNCTION("""COMPUTED_VALUE"""),"Jet")</f>
        <v>Jet</v>
      </c>
      <c r="F967" s="5">
        <f ca="1">IFERROR(__xludf.DUMMYFUNCTION("""COMPUTED_VALUE"""),1)</f>
        <v>1</v>
      </c>
    </row>
    <row r="968" spans="1:6" ht="15" customHeight="1" x14ac:dyDescent="0.2">
      <c r="A968" s="5" t="str">
        <f ca="1">IFERROR(__xludf.DUMMYFUNCTION("""COMPUTED_VALUE"""),"F106")</f>
        <v>F106</v>
      </c>
      <c r="B968" s="5" t="str">
        <f ca="1">IFERROR(__xludf.DUMMYFUNCTION("""COMPUTED_VALUE"""),"CONVAIR")</f>
        <v>CONVAIR</v>
      </c>
      <c r="C968" s="5" t="str">
        <f ca="1">IFERROR(__xludf.DUMMYFUNCTION("""COMPUTED_VALUE"""),"QF-106 Delta Dart")</f>
        <v>QF-106 Delta Dart</v>
      </c>
      <c r="D968" s="5" t="str">
        <f ca="1">IFERROR(__xludf.DUMMYFUNCTION("""COMPUTED_VALUE"""),"LandPlane")</f>
        <v>LandPlane</v>
      </c>
      <c r="E968" s="5" t="str">
        <f ca="1">IFERROR(__xludf.DUMMYFUNCTION("""COMPUTED_VALUE"""),"Jet")</f>
        <v>Jet</v>
      </c>
      <c r="F968" s="5">
        <f ca="1">IFERROR(__xludf.DUMMYFUNCTION("""COMPUTED_VALUE"""),1)</f>
        <v>1</v>
      </c>
    </row>
    <row r="969" spans="1:6" ht="15" customHeight="1" x14ac:dyDescent="0.2">
      <c r="A969" s="5" t="str">
        <f ca="1">IFERROR(__xludf.DUMMYFUNCTION("""COMPUTED_VALUE"""),"F111")</f>
        <v>F111</v>
      </c>
      <c r="B969" s="5" t="str">
        <f ca="1">IFERROR(__xludf.DUMMYFUNCTION("""COMPUTED_VALUE"""),"GENERAL DYNAMICS")</f>
        <v>GENERAL DYNAMICS</v>
      </c>
      <c r="C969" s="5" t="str">
        <f ca="1">IFERROR(__xludf.DUMMYFUNCTION("""COMPUTED_VALUE"""),"F-111 Aardvark")</f>
        <v>F-111 Aardvark</v>
      </c>
      <c r="D969" s="5" t="str">
        <f ca="1">IFERROR(__xludf.DUMMYFUNCTION("""COMPUTED_VALUE"""),"LandPlane")</f>
        <v>LandPlane</v>
      </c>
      <c r="E969" s="5" t="str">
        <f ca="1">IFERROR(__xludf.DUMMYFUNCTION("""COMPUTED_VALUE"""),"Jet")</f>
        <v>Jet</v>
      </c>
      <c r="F969" s="5">
        <f ca="1">IFERROR(__xludf.DUMMYFUNCTION("""COMPUTED_VALUE"""),2)</f>
        <v>2</v>
      </c>
    </row>
    <row r="970" spans="1:6" ht="15" customHeight="1" x14ac:dyDescent="0.2">
      <c r="A970" s="5" t="str">
        <f ca="1">IFERROR(__xludf.DUMMYFUNCTION("""COMPUTED_VALUE"""),"F117")</f>
        <v>F117</v>
      </c>
      <c r="B970" s="5" t="str">
        <f ca="1">IFERROR(__xludf.DUMMYFUNCTION("""COMPUTED_VALUE"""),"LOCKHEED")</f>
        <v>LOCKHEED</v>
      </c>
      <c r="C970" s="5" t="str">
        <f ca="1">IFERROR(__xludf.DUMMYFUNCTION("""COMPUTED_VALUE"""),"F-117 Nighthawk")</f>
        <v>F-117 Nighthawk</v>
      </c>
      <c r="D970" s="5" t="str">
        <f ca="1">IFERROR(__xludf.DUMMYFUNCTION("""COMPUTED_VALUE"""),"LandPlane")</f>
        <v>LandPlane</v>
      </c>
      <c r="E970" s="5" t="str">
        <f ca="1">IFERROR(__xludf.DUMMYFUNCTION("""COMPUTED_VALUE"""),"Jet")</f>
        <v>Jet</v>
      </c>
      <c r="F970" s="5">
        <f ca="1">IFERROR(__xludf.DUMMYFUNCTION("""COMPUTED_VALUE"""),2)</f>
        <v>2</v>
      </c>
    </row>
    <row r="971" spans="1:6" ht="15" customHeight="1" x14ac:dyDescent="0.2">
      <c r="A971" s="5" t="str">
        <f ca="1">IFERROR(__xludf.DUMMYFUNCTION("""COMPUTED_VALUE"""),"F13")</f>
        <v>F13</v>
      </c>
      <c r="B971" s="5" t="str">
        <f ca="1">IFERROR(__xludf.DUMMYFUNCTION("""COMPUTED_VALUE"""),"JUNKERS")</f>
        <v>JUNKERS</v>
      </c>
      <c r="C971" s="5" t="str">
        <f ca="1">IFERROR(__xludf.DUMMYFUNCTION("""COMPUTED_VALUE"""),"F-13 Replica")</f>
        <v>F-13 Replica</v>
      </c>
      <c r="D971" s="5" t="str">
        <f ca="1">IFERROR(__xludf.DUMMYFUNCTION("""COMPUTED_VALUE"""),"LandPlane")</f>
        <v>LandPlane</v>
      </c>
      <c r="E971" s="5" t="str">
        <f ca="1">IFERROR(__xludf.DUMMYFUNCTION("""COMPUTED_VALUE"""),"Piston")</f>
        <v>Piston</v>
      </c>
      <c r="F971" s="5">
        <f ca="1">IFERROR(__xludf.DUMMYFUNCTION("""COMPUTED_VALUE"""),1)</f>
        <v>1</v>
      </c>
    </row>
    <row r="972" spans="1:6" ht="15" customHeight="1" x14ac:dyDescent="0.2">
      <c r="A972" s="5" t="str">
        <f ca="1">IFERROR(__xludf.DUMMYFUNCTION("""COMPUTED_VALUE"""),"F14")</f>
        <v>F14</v>
      </c>
      <c r="B972" s="5" t="str">
        <f ca="1">IFERROR(__xludf.DUMMYFUNCTION("""COMPUTED_VALUE"""),"GRUMMAN")</f>
        <v>GRUMMAN</v>
      </c>
      <c r="C972" s="5" t="str">
        <f ca="1">IFERROR(__xludf.DUMMYFUNCTION("""COMPUTED_VALUE"""),"F-14 Tomcat")</f>
        <v>F-14 Tomcat</v>
      </c>
      <c r="D972" s="5" t="str">
        <f ca="1">IFERROR(__xludf.DUMMYFUNCTION("""COMPUTED_VALUE"""),"LandPlane")</f>
        <v>LandPlane</v>
      </c>
      <c r="E972" s="5" t="str">
        <f ca="1">IFERROR(__xludf.DUMMYFUNCTION("""COMPUTED_VALUE"""),"Jet")</f>
        <v>Jet</v>
      </c>
      <c r="F972" s="5">
        <f ca="1">IFERROR(__xludf.DUMMYFUNCTION("""COMPUTED_VALUE"""),2)</f>
        <v>2</v>
      </c>
    </row>
    <row r="973" spans="1:6" ht="15" customHeight="1" x14ac:dyDescent="0.2">
      <c r="A973" s="5" t="str">
        <f ca="1">IFERROR(__xludf.DUMMYFUNCTION("""COMPUTED_VALUE"""),"F15")</f>
        <v>F15</v>
      </c>
      <c r="B973" s="5" t="str">
        <f ca="1">IFERROR(__xludf.DUMMYFUNCTION("""COMPUTED_VALUE"""),"MCDONNELL DOUGLAS")</f>
        <v>MCDONNELL DOUGLAS</v>
      </c>
      <c r="C973" s="5" t="str">
        <f ca="1">IFERROR(__xludf.DUMMYFUNCTION("""COMPUTED_VALUE"""),"F-15 Eagle")</f>
        <v>F-15 Eagle</v>
      </c>
      <c r="D973" s="5" t="str">
        <f ca="1">IFERROR(__xludf.DUMMYFUNCTION("""COMPUTED_VALUE"""),"LandPlane")</f>
        <v>LandPlane</v>
      </c>
      <c r="E973" s="5" t="str">
        <f ca="1">IFERROR(__xludf.DUMMYFUNCTION("""COMPUTED_VALUE"""),"Jet")</f>
        <v>Jet</v>
      </c>
      <c r="F973" s="5">
        <f ca="1">IFERROR(__xludf.DUMMYFUNCTION("""COMPUTED_VALUE"""),2)</f>
        <v>2</v>
      </c>
    </row>
    <row r="974" spans="1:6" ht="15" customHeight="1" x14ac:dyDescent="0.2">
      <c r="A974" s="5" t="str">
        <f ca="1">IFERROR(__xludf.DUMMYFUNCTION("""COMPUTED_VALUE"""),"F156")</f>
        <v>F156</v>
      </c>
      <c r="B974" s="5" t="str">
        <f ca="1">IFERROR(__xludf.DUMMYFUNCTION("""COMPUTED_VALUE"""),"FIESELER")</f>
        <v>FIESELER</v>
      </c>
      <c r="C974" s="5" t="str">
        <f ca="1">IFERROR(__xludf.DUMMYFUNCTION("""COMPUTED_VALUE"""),"Fi-156 Storch")</f>
        <v>Fi-156 Storch</v>
      </c>
      <c r="D974" s="5" t="str">
        <f ca="1">IFERROR(__xludf.DUMMYFUNCTION("""COMPUTED_VALUE"""),"LandPlane")</f>
        <v>LandPlane</v>
      </c>
      <c r="E974" s="5" t="str">
        <f ca="1">IFERROR(__xludf.DUMMYFUNCTION("""COMPUTED_VALUE"""),"Piston")</f>
        <v>Piston</v>
      </c>
      <c r="F974" s="5">
        <f ca="1">IFERROR(__xludf.DUMMYFUNCTION("""COMPUTED_VALUE"""),1)</f>
        <v>1</v>
      </c>
    </row>
    <row r="975" spans="1:6" ht="15" customHeight="1" x14ac:dyDescent="0.2">
      <c r="A975" s="5" t="str">
        <f ca="1">IFERROR(__xludf.DUMMYFUNCTION("""COMPUTED_VALUE"""),"F16")</f>
        <v>F16</v>
      </c>
      <c r="B975" s="5" t="str">
        <f ca="1">IFERROR(__xludf.DUMMYFUNCTION("""COMPUTED_VALUE"""),"GENERAL DYNAMICS")</f>
        <v>GENERAL DYNAMICS</v>
      </c>
      <c r="C975" s="5" t="str">
        <f ca="1">IFERROR(__xludf.DUMMYFUNCTION("""COMPUTED_VALUE"""),"F-16 Fighting Falcon")</f>
        <v>F-16 Fighting Falcon</v>
      </c>
      <c r="D975" s="5" t="str">
        <f ca="1">IFERROR(__xludf.DUMMYFUNCTION("""COMPUTED_VALUE"""),"LandPlane")</f>
        <v>LandPlane</v>
      </c>
      <c r="E975" s="5" t="str">
        <f ca="1">IFERROR(__xludf.DUMMYFUNCTION("""COMPUTED_VALUE"""),"Jet")</f>
        <v>Jet</v>
      </c>
      <c r="F975" s="5">
        <f ca="1">IFERROR(__xludf.DUMMYFUNCTION("""COMPUTED_VALUE"""),1)</f>
        <v>1</v>
      </c>
    </row>
    <row r="976" spans="1:6" ht="15" customHeight="1" x14ac:dyDescent="0.2">
      <c r="A976" s="5" t="str">
        <f ca="1">IFERROR(__xludf.DUMMYFUNCTION("""COMPUTED_VALUE"""),"F18H")</f>
        <v>F18H</v>
      </c>
      <c r="B976" s="5" t="str">
        <f ca="1">IFERROR(__xludf.DUMMYFUNCTION("""COMPUTED_VALUE"""),"MCDONNELL DOUGLAS")</f>
        <v>MCDONNELL DOUGLAS</v>
      </c>
      <c r="C976" s="5" t="str">
        <f ca="1">IFERROR(__xludf.DUMMYFUNCTION("""COMPUTED_VALUE"""),"FA-18C Hornet")</f>
        <v>FA-18C Hornet</v>
      </c>
      <c r="D976" s="5" t="str">
        <f ca="1">IFERROR(__xludf.DUMMYFUNCTION("""COMPUTED_VALUE"""),"LandPlane")</f>
        <v>LandPlane</v>
      </c>
      <c r="E976" s="5" t="str">
        <f ca="1">IFERROR(__xludf.DUMMYFUNCTION("""COMPUTED_VALUE"""),"Jet")</f>
        <v>Jet</v>
      </c>
      <c r="F976" s="5">
        <f ca="1">IFERROR(__xludf.DUMMYFUNCTION("""COMPUTED_VALUE"""),2)</f>
        <v>2</v>
      </c>
    </row>
    <row r="977" spans="1:6" ht="15" customHeight="1" x14ac:dyDescent="0.2">
      <c r="A977" s="5" t="str">
        <f ca="1">IFERROR(__xludf.DUMMYFUNCTION("""COMPUTED_VALUE"""),"F18S")</f>
        <v>F18S</v>
      </c>
      <c r="B977" s="5" t="str">
        <f ca="1">IFERROR(__xludf.DUMMYFUNCTION("""COMPUTED_VALUE"""),"MCDONNELL DOUGLAS")</f>
        <v>MCDONNELL DOUGLAS</v>
      </c>
      <c r="C977" s="5" t="str">
        <f ca="1">IFERROR(__xludf.DUMMYFUNCTION("""COMPUTED_VALUE"""),"FA-18E Super Hornet")</f>
        <v>FA-18E Super Hornet</v>
      </c>
      <c r="D977" s="5" t="str">
        <f ca="1">IFERROR(__xludf.DUMMYFUNCTION("""COMPUTED_VALUE"""),"LandPlane")</f>
        <v>LandPlane</v>
      </c>
      <c r="E977" s="5" t="str">
        <f ca="1">IFERROR(__xludf.DUMMYFUNCTION("""COMPUTED_VALUE"""),"Jet")</f>
        <v>Jet</v>
      </c>
      <c r="F977" s="5">
        <f ca="1">IFERROR(__xludf.DUMMYFUNCTION("""COMPUTED_VALUE"""),2)</f>
        <v>2</v>
      </c>
    </row>
    <row r="978" spans="1:6" ht="15" customHeight="1" x14ac:dyDescent="0.2">
      <c r="A978" s="5" t="str">
        <f ca="1">IFERROR(__xludf.DUMMYFUNCTION("""COMPUTED_VALUE"""),"F1FV")</f>
        <v>F1FV</v>
      </c>
      <c r="B978" s="5" t="str">
        <f ca="1">IFERROR(__xludf.DUMMYFUNCTION("""COMPUTED_VALUE"""),"AVION")</f>
        <v>AVION</v>
      </c>
      <c r="C978" s="5" t="str">
        <f ca="1">IFERROR(__xludf.DUMMYFUNCTION("""COMPUTED_VALUE"""),"F-1 Favorit")</f>
        <v>F-1 Favorit</v>
      </c>
      <c r="D978" s="5" t="str">
        <f ca="1">IFERROR(__xludf.DUMMYFUNCTION("""COMPUTED_VALUE"""),"LandPlane")</f>
        <v>LandPlane</v>
      </c>
      <c r="E978" s="5" t="str">
        <f ca="1">IFERROR(__xludf.DUMMYFUNCTION("""COMPUTED_VALUE"""),"Piston")</f>
        <v>Piston</v>
      </c>
      <c r="F978" s="5">
        <f ca="1">IFERROR(__xludf.DUMMYFUNCTION("""COMPUTED_VALUE"""),1)</f>
        <v>1</v>
      </c>
    </row>
    <row r="979" spans="1:6" ht="15" customHeight="1" x14ac:dyDescent="0.2">
      <c r="A979" s="5" t="str">
        <f ca="1">IFERROR(__xludf.DUMMYFUNCTION("""COMPUTED_VALUE"""),"F2")</f>
        <v>F2</v>
      </c>
      <c r="B979" s="5" t="str">
        <f ca="1">IFERROR(__xludf.DUMMYFUNCTION("""COMPUTED_VALUE"""),"MITSUBISHI")</f>
        <v>MITSUBISHI</v>
      </c>
      <c r="C979" s="5" t="str">
        <f ca="1">IFERROR(__xludf.DUMMYFUNCTION("""COMPUTED_VALUE"""),"F-2")</f>
        <v>F-2</v>
      </c>
      <c r="D979" s="5" t="str">
        <f ca="1">IFERROR(__xludf.DUMMYFUNCTION("""COMPUTED_VALUE"""),"LandPlane")</f>
        <v>LandPlane</v>
      </c>
      <c r="E979" s="5" t="str">
        <f ca="1">IFERROR(__xludf.DUMMYFUNCTION("""COMPUTED_VALUE"""),"Jet")</f>
        <v>Jet</v>
      </c>
      <c r="F979" s="5">
        <f ca="1">IFERROR(__xludf.DUMMYFUNCTION("""COMPUTED_VALUE"""),1)</f>
        <v>1</v>
      </c>
    </row>
    <row r="980" spans="1:6" ht="15" customHeight="1" x14ac:dyDescent="0.2">
      <c r="A980" s="5" t="str">
        <f ca="1">IFERROR(__xludf.DUMMYFUNCTION("""COMPUTED_VALUE"""),"F22")</f>
        <v>F22</v>
      </c>
      <c r="B980" s="5" t="str">
        <f ca="1">IFERROR(__xludf.DUMMYFUNCTION("""COMPUTED_VALUE"""),"LOCKHEED MARTIN")</f>
        <v>LOCKHEED MARTIN</v>
      </c>
      <c r="C980" s="5" t="str">
        <f ca="1">IFERROR(__xludf.DUMMYFUNCTION("""COMPUTED_VALUE"""),"F-22 Raptor")</f>
        <v>F-22 Raptor</v>
      </c>
      <c r="D980" s="5" t="str">
        <f ca="1">IFERROR(__xludf.DUMMYFUNCTION("""COMPUTED_VALUE"""),"LandPlane")</f>
        <v>LandPlane</v>
      </c>
      <c r="E980" s="5" t="str">
        <f ca="1">IFERROR(__xludf.DUMMYFUNCTION("""COMPUTED_VALUE"""),"Jet")</f>
        <v>Jet</v>
      </c>
      <c r="F980" s="5">
        <f ca="1">IFERROR(__xludf.DUMMYFUNCTION("""COMPUTED_VALUE"""),2)</f>
        <v>2</v>
      </c>
    </row>
    <row r="981" spans="1:6" ht="15" customHeight="1" x14ac:dyDescent="0.2">
      <c r="A981" s="5" t="str">
        <f ca="1">IFERROR(__xludf.DUMMYFUNCTION("""COMPUTED_VALUE"""),"F260")</f>
        <v>F260</v>
      </c>
      <c r="B981" s="5" t="str">
        <f ca="1">IFERROR(__xludf.DUMMYFUNCTION("""COMPUTED_VALUE"""),"SIAI-MARCHETTI")</f>
        <v>SIAI-MARCHETTI</v>
      </c>
      <c r="C981" s="5" t="str">
        <f ca="1">IFERROR(__xludf.DUMMYFUNCTION("""COMPUTED_VALUE"""),"SF-260")</f>
        <v>SF-260</v>
      </c>
      <c r="D981" s="5" t="str">
        <f ca="1">IFERROR(__xludf.DUMMYFUNCTION("""COMPUTED_VALUE"""),"LandPlane")</f>
        <v>LandPlane</v>
      </c>
      <c r="E981" s="5" t="str">
        <f ca="1">IFERROR(__xludf.DUMMYFUNCTION("""COMPUTED_VALUE"""),"Piston")</f>
        <v>Piston</v>
      </c>
      <c r="F981" s="5">
        <f ca="1">IFERROR(__xludf.DUMMYFUNCTION("""COMPUTED_VALUE"""),1)</f>
        <v>1</v>
      </c>
    </row>
    <row r="982" spans="1:6" ht="15" customHeight="1" x14ac:dyDescent="0.2">
      <c r="A982" s="5" t="str">
        <f ca="1">IFERROR(__xludf.DUMMYFUNCTION("""COMPUTED_VALUE"""),"F26T")</f>
        <v>F26T</v>
      </c>
      <c r="B982" s="5" t="str">
        <f ca="1">IFERROR(__xludf.DUMMYFUNCTION("""COMPUTED_VALUE"""),"SIAI-MARCHETTI")</f>
        <v>SIAI-MARCHETTI</v>
      </c>
      <c r="C982" s="5" t="str">
        <f ca="1">IFERROR(__xludf.DUMMYFUNCTION("""COMPUTED_VALUE"""),"SF-260T")</f>
        <v>SF-260T</v>
      </c>
      <c r="D982" s="5" t="str">
        <f ca="1">IFERROR(__xludf.DUMMYFUNCTION("""COMPUTED_VALUE"""),"LandPlane")</f>
        <v>LandPlane</v>
      </c>
      <c r="E982" s="5" t="str">
        <f ca="1">IFERROR(__xludf.DUMMYFUNCTION("""COMPUTED_VALUE"""),"Turboprop/Turboshaft")</f>
        <v>Turboprop/Turboshaft</v>
      </c>
      <c r="F982" s="5">
        <f ca="1">IFERROR(__xludf.DUMMYFUNCTION("""COMPUTED_VALUE"""),1)</f>
        <v>1</v>
      </c>
    </row>
    <row r="983" spans="1:6" ht="15" customHeight="1" x14ac:dyDescent="0.2">
      <c r="A983" s="5" t="str">
        <f ca="1">IFERROR(__xludf.DUMMYFUNCTION("""COMPUTED_VALUE"""),"F27")</f>
        <v>F27</v>
      </c>
      <c r="B983" s="5" t="str">
        <f ca="1">IFERROR(__xludf.DUMMYFUNCTION("""COMPUTED_VALUE"""),"FOKKER")</f>
        <v>FOKKER</v>
      </c>
      <c r="C983" s="5" t="str">
        <f ca="1">IFERROR(__xludf.DUMMYFUNCTION("""COMPUTED_VALUE"""),"F-27 Friendship")</f>
        <v>F-27 Friendship</v>
      </c>
      <c r="D983" s="5" t="str">
        <f ca="1">IFERROR(__xludf.DUMMYFUNCTION("""COMPUTED_VALUE"""),"LandPlane")</f>
        <v>LandPlane</v>
      </c>
      <c r="E983" s="5" t="str">
        <f ca="1">IFERROR(__xludf.DUMMYFUNCTION("""COMPUTED_VALUE"""),"Turboprop/Turboshaft")</f>
        <v>Turboprop/Turboshaft</v>
      </c>
      <c r="F983" s="5">
        <f ca="1">IFERROR(__xludf.DUMMYFUNCTION("""COMPUTED_VALUE"""),2)</f>
        <v>2</v>
      </c>
    </row>
    <row r="984" spans="1:6" ht="15" customHeight="1" x14ac:dyDescent="0.2">
      <c r="A984" s="5" t="str">
        <f ca="1">IFERROR(__xludf.DUMMYFUNCTION("""COMPUTED_VALUE"""),"F28")</f>
        <v>F28</v>
      </c>
      <c r="B984" s="5" t="str">
        <f ca="1">IFERROR(__xludf.DUMMYFUNCTION("""COMPUTED_VALUE"""),"FOKKER")</f>
        <v>FOKKER</v>
      </c>
      <c r="C984" s="5" t="str">
        <f ca="1">IFERROR(__xludf.DUMMYFUNCTION("""COMPUTED_VALUE"""),"F-28 Fellowship")</f>
        <v>F-28 Fellowship</v>
      </c>
      <c r="D984" s="5" t="str">
        <f ca="1">IFERROR(__xludf.DUMMYFUNCTION("""COMPUTED_VALUE"""),"LandPlane")</f>
        <v>LandPlane</v>
      </c>
      <c r="E984" s="5" t="str">
        <f ca="1">IFERROR(__xludf.DUMMYFUNCTION("""COMPUTED_VALUE"""),"Jet")</f>
        <v>Jet</v>
      </c>
      <c r="F984" s="5">
        <f ca="1">IFERROR(__xludf.DUMMYFUNCTION("""COMPUTED_VALUE"""),2)</f>
        <v>2</v>
      </c>
    </row>
    <row r="985" spans="1:6" ht="15" customHeight="1" x14ac:dyDescent="0.2">
      <c r="A985" s="5" t="str">
        <f ca="1">IFERROR(__xludf.DUMMYFUNCTION("""COMPUTED_VALUE"""),"F2TH")</f>
        <v>F2TH</v>
      </c>
      <c r="B985" s="5" t="str">
        <f ca="1">IFERROR(__xludf.DUMMYFUNCTION("""COMPUTED_VALUE"""),"DASSAULT")</f>
        <v>DASSAULT</v>
      </c>
      <c r="C985" s="5" t="str">
        <f ca="1">IFERROR(__xludf.DUMMYFUNCTION("""COMPUTED_VALUE"""),"Falcon 2000")</f>
        <v>Falcon 2000</v>
      </c>
      <c r="D985" s="5" t="str">
        <f ca="1">IFERROR(__xludf.DUMMYFUNCTION("""COMPUTED_VALUE"""),"LandPlane")</f>
        <v>LandPlane</v>
      </c>
      <c r="E985" s="5" t="str">
        <f ca="1">IFERROR(__xludf.DUMMYFUNCTION("""COMPUTED_VALUE"""),"Jet")</f>
        <v>Jet</v>
      </c>
      <c r="F985" s="5">
        <f ca="1">IFERROR(__xludf.DUMMYFUNCTION("""COMPUTED_VALUE"""),2)</f>
        <v>2</v>
      </c>
    </row>
    <row r="986" spans="1:6" ht="15" customHeight="1" x14ac:dyDescent="0.2">
      <c r="A986" s="5" t="str">
        <f ca="1">IFERROR(__xludf.DUMMYFUNCTION("""COMPUTED_VALUE"""),"F30")</f>
        <v>F30</v>
      </c>
      <c r="B986" s="5" t="str">
        <f ca="1">IFERROR(__xludf.DUMMYFUNCTION("""COMPUTED_VALUE"""),"GOLDEN CAR")</f>
        <v>GOLDEN CAR</v>
      </c>
      <c r="C986" s="5" t="str">
        <f ca="1">IFERROR(__xludf.DUMMYFUNCTION("""COMPUTED_VALUE"""),"F-30 Brio")</f>
        <v>F-30 Brio</v>
      </c>
      <c r="D986" s="5" t="str">
        <f ca="1">IFERROR(__xludf.DUMMYFUNCTION("""COMPUTED_VALUE"""),"LandPlane")</f>
        <v>LandPlane</v>
      </c>
      <c r="E986" s="5" t="str">
        <f ca="1">IFERROR(__xludf.DUMMYFUNCTION("""COMPUTED_VALUE"""),"Piston")</f>
        <v>Piston</v>
      </c>
      <c r="F986" s="5">
        <f ca="1">IFERROR(__xludf.DUMMYFUNCTION("""COMPUTED_VALUE"""),1)</f>
        <v>1</v>
      </c>
    </row>
    <row r="987" spans="1:6" ht="15" customHeight="1" x14ac:dyDescent="0.2">
      <c r="A987" s="5" t="str">
        <f ca="1">IFERROR(__xludf.DUMMYFUNCTION("""COMPUTED_VALUE"""),"F35")</f>
        <v>F35</v>
      </c>
      <c r="B987" s="5" t="str">
        <f ca="1">IFERROR(__xludf.DUMMYFUNCTION("""COMPUTED_VALUE"""),"LOCKHEED MARTIN")</f>
        <v>LOCKHEED MARTIN</v>
      </c>
      <c r="C987" s="5" t="str">
        <f ca="1">IFERROR(__xludf.DUMMYFUNCTION("""COMPUTED_VALUE"""),"F-35C Lightning 2")</f>
        <v>F-35C Lightning 2</v>
      </c>
      <c r="D987" s="5" t="str">
        <f ca="1">IFERROR(__xludf.DUMMYFUNCTION("""COMPUTED_VALUE"""),"LandPlane")</f>
        <v>LandPlane</v>
      </c>
      <c r="E987" s="5" t="str">
        <f ca="1">IFERROR(__xludf.DUMMYFUNCTION("""COMPUTED_VALUE"""),"Jet")</f>
        <v>Jet</v>
      </c>
      <c r="F987" s="5">
        <f ca="1">IFERROR(__xludf.DUMMYFUNCTION("""COMPUTED_VALUE"""),1)</f>
        <v>1</v>
      </c>
    </row>
    <row r="988" spans="1:6" ht="15" customHeight="1" x14ac:dyDescent="0.2">
      <c r="A988" s="5" t="str">
        <f ca="1">IFERROR(__xludf.DUMMYFUNCTION("""COMPUTED_VALUE"""),"F3F")</f>
        <v>F3F</v>
      </c>
      <c r="B988" s="5" t="str">
        <f ca="1">IFERROR(__xludf.DUMMYFUNCTION("""COMPUTED_VALUE"""),"GRUMMAN")</f>
        <v>GRUMMAN</v>
      </c>
      <c r="C988" s="5" t="str">
        <f ca="1">IFERROR(__xludf.DUMMYFUNCTION("""COMPUTED_VALUE"""),"F3F Replica")</f>
        <v>F3F Replica</v>
      </c>
      <c r="D988" s="5" t="str">
        <f ca="1">IFERROR(__xludf.DUMMYFUNCTION("""COMPUTED_VALUE"""),"LandPlane")</f>
        <v>LandPlane</v>
      </c>
      <c r="E988" s="5" t="str">
        <f ca="1">IFERROR(__xludf.DUMMYFUNCTION("""COMPUTED_VALUE"""),"Piston")</f>
        <v>Piston</v>
      </c>
      <c r="F988" s="5">
        <f ca="1">IFERROR(__xludf.DUMMYFUNCTION("""COMPUTED_VALUE"""),1)</f>
        <v>1</v>
      </c>
    </row>
    <row r="989" spans="1:6" ht="15" customHeight="1" x14ac:dyDescent="0.2">
      <c r="A989" s="5" t="str">
        <f ca="1">IFERROR(__xludf.DUMMYFUNCTION("""COMPUTED_VALUE"""),"F4")</f>
        <v>F4</v>
      </c>
      <c r="B989" s="5" t="str">
        <f ca="1">IFERROR(__xludf.DUMMYFUNCTION("""COMPUTED_VALUE"""),"MCDONNELL DOUGLAS")</f>
        <v>MCDONNELL DOUGLAS</v>
      </c>
      <c r="C989" s="5" t="str">
        <f ca="1">IFERROR(__xludf.DUMMYFUNCTION("""COMPUTED_VALUE"""),"F-4 Phantom 2")</f>
        <v>F-4 Phantom 2</v>
      </c>
      <c r="D989" s="5" t="str">
        <f ca="1">IFERROR(__xludf.DUMMYFUNCTION("""COMPUTED_VALUE"""),"LandPlane")</f>
        <v>LandPlane</v>
      </c>
      <c r="E989" s="5" t="str">
        <f ca="1">IFERROR(__xludf.DUMMYFUNCTION("""COMPUTED_VALUE"""),"Jet")</f>
        <v>Jet</v>
      </c>
      <c r="F989" s="5">
        <f ca="1">IFERROR(__xludf.DUMMYFUNCTION("""COMPUTED_VALUE"""),2)</f>
        <v>2</v>
      </c>
    </row>
    <row r="990" spans="1:6" ht="15" customHeight="1" x14ac:dyDescent="0.2">
      <c r="A990" s="5" t="str">
        <f ca="1">IFERROR(__xludf.DUMMYFUNCTION("""COMPUTED_VALUE"""),"F402")</f>
        <v>F402</v>
      </c>
      <c r="B990" s="5" t="str">
        <f ca="1">IFERROR(__xludf.DUMMYFUNCTION("""COMPUTED_VALUE"""),"FALCON AIR")</f>
        <v>FALCON AIR</v>
      </c>
      <c r="C990" s="5" t="str">
        <f ca="1">IFERROR(__xludf.DUMMYFUNCTION("""COMPUTED_VALUE"""),"Falcon 402")</f>
        <v>Falcon 402</v>
      </c>
      <c r="D990" s="5" t="str">
        <f ca="1">IFERROR(__xludf.DUMMYFUNCTION("""COMPUTED_VALUE"""),"LandPlane")</f>
        <v>LandPlane</v>
      </c>
      <c r="E990" s="5" t="str">
        <f ca="1">IFERROR(__xludf.DUMMYFUNCTION("""COMPUTED_VALUE"""),"Turboprop/Turboshaft")</f>
        <v>Turboprop/Turboshaft</v>
      </c>
      <c r="F990" s="5">
        <f ca="1">IFERROR(__xludf.DUMMYFUNCTION("""COMPUTED_VALUE"""),1)</f>
        <v>1</v>
      </c>
    </row>
    <row r="991" spans="1:6" ht="15" customHeight="1" x14ac:dyDescent="0.2">
      <c r="A991" s="5" t="str">
        <f ca="1">IFERROR(__xludf.DUMMYFUNCTION("""COMPUTED_VALUE"""),"F406")</f>
        <v>F406</v>
      </c>
      <c r="B991" s="5" t="str">
        <f ca="1">IFERROR(__xludf.DUMMYFUNCTION("""COMPUTED_VALUE"""),"CESSNA")</f>
        <v>CESSNA</v>
      </c>
      <c r="C991" s="5" t="str">
        <f ca="1">IFERROR(__xludf.DUMMYFUNCTION("""COMPUTED_VALUE"""),"F406 Caravan 2")</f>
        <v>F406 Caravan 2</v>
      </c>
      <c r="D991" s="5" t="str">
        <f ca="1">IFERROR(__xludf.DUMMYFUNCTION("""COMPUTED_VALUE"""),"LandPlane")</f>
        <v>LandPlane</v>
      </c>
      <c r="E991" s="5" t="str">
        <f ca="1">IFERROR(__xludf.DUMMYFUNCTION("""COMPUTED_VALUE"""),"Turboprop/Turboshaft")</f>
        <v>Turboprop/Turboshaft</v>
      </c>
      <c r="F991" s="5">
        <f ca="1">IFERROR(__xludf.DUMMYFUNCTION("""COMPUTED_VALUE"""),2)</f>
        <v>2</v>
      </c>
    </row>
    <row r="992" spans="1:6" ht="15" customHeight="1" x14ac:dyDescent="0.2">
      <c r="A992" s="5" t="str">
        <f ca="1">IFERROR(__xludf.DUMMYFUNCTION("""COMPUTED_VALUE"""),"F41E")</f>
        <v>F41E</v>
      </c>
      <c r="B992" s="5" t="str">
        <f ca="1">IFERROR(__xludf.DUMMYFUNCTION("""COMPUTED_VALUE"""),"AEROSAMARA")</f>
        <v>AEROSAMARA</v>
      </c>
      <c r="C992" s="5" t="str">
        <f ca="1">IFERROR(__xludf.DUMMYFUNCTION("""COMPUTED_VALUE"""),"F-41 El'brus")</f>
        <v>F-41 El'brus</v>
      </c>
      <c r="D992" s="5" t="str">
        <f ca="1">IFERROR(__xludf.DUMMYFUNCTION("""COMPUTED_VALUE"""),"LandPlane")</f>
        <v>LandPlane</v>
      </c>
      <c r="E992" s="5" t="str">
        <f ca="1">IFERROR(__xludf.DUMMYFUNCTION("""COMPUTED_VALUE"""),"Piston")</f>
        <v>Piston</v>
      </c>
      <c r="F992" s="5">
        <f ca="1">IFERROR(__xludf.DUMMYFUNCTION("""COMPUTED_VALUE"""),2)</f>
        <v>2</v>
      </c>
    </row>
    <row r="993" spans="1:6" ht="15" customHeight="1" x14ac:dyDescent="0.2">
      <c r="A993" s="5" t="str">
        <f ca="1">IFERROR(__xludf.DUMMYFUNCTION("""COMPUTED_VALUE"""),"F421")</f>
        <v>F421</v>
      </c>
      <c r="B993" s="5" t="str">
        <f ca="1">IFERROR(__xludf.DUMMYFUNCTION("""COMPUTED_VALUE"""),"FALCON AIR")</f>
        <v>FALCON AIR</v>
      </c>
      <c r="C993" s="5" t="str">
        <f ca="1">IFERROR(__xludf.DUMMYFUNCTION("""COMPUTED_VALUE"""),"Falcon 421")</f>
        <v>Falcon 421</v>
      </c>
      <c r="D993" s="5" t="str">
        <f ca="1">IFERROR(__xludf.DUMMYFUNCTION("""COMPUTED_VALUE"""),"LandPlane")</f>
        <v>LandPlane</v>
      </c>
      <c r="E993" s="5" t="str">
        <f ca="1">IFERROR(__xludf.DUMMYFUNCTION("""COMPUTED_VALUE"""),"Turboprop/Turboshaft")</f>
        <v>Turboprop/Turboshaft</v>
      </c>
      <c r="F993" s="5">
        <f ca="1">IFERROR(__xludf.DUMMYFUNCTION("""COMPUTED_VALUE"""),1)</f>
        <v>1</v>
      </c>
    </row>
    <row r="994" spans="1:6" ht="15" customHeight="1" x14ac:dyDescent="0.2">
      <c r="A994" s="5" t="str">
        <f ca="1">IFERROR(__xludf.DUMMYFUNCTION("""COMPUTED_VALUE"""),"F5")</f>
        <v>F5</v>
      </c>
      <c r="B994" s="5" t="str">
        <f ca="1">IFERROR(__xludf.DUMMYFUNCTION("""COMPUTED_VALUE"""),"NORTHROP")</f>
        <v>NORTHROP</v>
      </c>
      <c r="C994" s="5" t="str">
        <f ca="1">IFERROR(__xludf.DUMMYFUNCTION("""COMPUTED_VALUE"""),"F-5 Freedom Fighter")</f>
        <v>F-5 Freedom Fighter</v>
      </c>
      <c r="D994" s="5" t="str">
        <f ca="1">IFERROR(__xludf.DUMMYFUNCTION("""COMPUTED_VALUE"""),"LandPlane")</f>
        <v>LandPlane</v>
      </c>
      <c r="E994" s="5" t="str">
        <f ca="1">IFERROR(__xludf.DUMMYFUNCTION("""COMPUTED_VALUE"""),"Jet")</f>
        <v>Jet</v>
      </c>
      <c r="F994" s="5">
        <f ca="1">IFERROR(__xludf.DUMMYFUNCTION("""COMPUTED_VALUE"""),2)</f>
        <v>2</v>
      </c>
    </row>
    <row r="995" spans="1:6" ht="15" customHeight="1" x14ac:dyDescent="0.2">
      <c r="A995" s="5" t="str">
        <f ca="1">IFERROR(__xludf.DUMMYFUNCTION("""COMPUTED_VALUE"""),"F50")</f>
        <v>F50</v>
      </c>
      <c r="B995" s="5" t="str">
        <f ca="1">IFERROR(__xludf.DUMMYFUNCTION("""COMPUTED_VALUE"""),"FOKKER")</f>
        <v>FOKKER</v>
      </c>
      <c r="C995" s="5" t="str">
        <f ca="1">IFERROR(__xludf.DUMMYFUNCTION("""COMPUTED_VALUE"""),"50")</f>
        <v>50</v>
      </c>
      <c r="D995" s="5" t="str">
        <f ca="1">IFERROR(__xludf.DUMMYFUNCTION("""COMPUTED_VALUE"""),"LandPlane")</f>
        <v>LandPlane</v>
      </c>
      <c r="E995" s="5" t="str">
        <f ca="1">IFERROR(__xludf.DUMMYFUNCTION("""COMPUTED_VALUE"""),"Turboprop/Turboshaft")</f>
        <v>Turboprop/Turboshaft</v>
      </c>
      <c r="F995" s="5">
        <f ca="1">IFERROR(__xludf.DUMMYFUNCTION("""COMPUTED_VALUE"""),2)</f>
        <v>2</v>
      </c>
    </row>
    <row r="996" spans="1:6" ht="15" customHeight="1" x14ac:dyDescent="0.2">
      <c r="A996" s="5" t="str">
        <f ca="1">IFERROR(__xludf.DUMMYFUNCTION("""COMPUTED_VALUE"""),"F5SA")</f>
        <v>F5SA</v>
      </c>
      <c r="B996" s="5" t="str">
        <f ca="1">IFERROR(__xludf.DUMMYFUNCTION("""COMPUTED_VALUE"""),"IRIAF")</f>
        <v>IRIAF</v>
      </c>
      <c r="C996" s="5" t="str">
        <f ca="1">IFERROR(__xludf.DUMMYFUNCTION("""COMPUTED_VALUE"""),"S-100 Saeghe")</f>
        <v>S-100 Saeghe</v>
      </c>
      <c r="D996" s="5" t="str">
        <f ca="1">IFERROR(__xludf.DUMMYFUNCTION("""COMPUTED_VALUE"""),"LandPlane")</f>
        <v>LandPlane</v>
      </c>
      <c r="E996" s="5" t="str">
        <f ca="1">IFERROR(__xludf.DUMMYFUNCTION("""COMPUTED_VALUE"""),"Jet")</f>
        <v>Jet</v>
      </c>
      <c r="F996" s="5">
        <f ca="1">IFERROR(__xludf.DUMMYFUNCTION("""COMPUTED_VALUE"""),2)</f>
        <v>2</v>
      </c>
    </row>
    <row r="997" spans="1:6" ht="15" customHeight="1" x14ac:dyDescent="0.2">
      <c r="A997" s="5" t="str">
        <f ca="1">IFERROR(__xludf.DUMMYFUNCTION("""COMPUTED_VALUE"""),"F60")</f>
        <v>F60</v>
      </c>
      <c r="B997" s="5" t="str">
        <f ca="1">IFERROR(__xludf.DUMMYFUNCTION("""COMPUTED_VALUE"""),"FOKKER")</f>
        <v>FOKKER</v>
      </c>
      <c r="C997" s="5" t="str">
        <f ca="1">IFERROR(__xludf.DUMMYFUNCTION("""COMPUTED_VALUE"""),"60")</f>
        <v>60</v>
      </c>
      <c r="D997" s="5" t="str">
        <f ca="1">IFERROR(__xludf.DUMMYFUNCTION("""COMPUTED_VALUE"""),"LandPlane")</f>
        <v>LandPlane</v>
      </c>
      <c r="E997" s="5" t="str">
        <f ca="1">IFERROR(__xludf.DUMMYFUNCTION("""COMPUTED_VALUE"""),"Turboprop/Turboshaft")</f>
        <v>Turboprop/Turboshaft</v>
      </c>
      <c r="F997" s="5">
        <f ca="1">IFERROR(__xludf.DUMMYFUNCTION("""COMPUTED_VALUE"""),2)</f>
        <v>2</v>
      </c>
    </row>
    <row r="998" spans="1:6" ht="15" customHeight="1" x14ac:dyDescent="0.2">
      <c r="A998" s="5" t="str">
        <f ca="1">IFERROR(__xludf.DUMMYFUNCTION("""COMPUTED_VALUE"""),"F600")</f>
        <v>F600</v>
      </c>
      <c r="B998" s="5" t="str">
        <f ca="1">IFERROR(__xludf.DUMMYFUNCTION("""COMPUTED_VALUE"""),"VULCANAIR")</f>
        <v>VULCANAIR</v>
      </c>
      <c r="C998" s="5" t="str">
        <f ca="1">IFERROR(__xludf.DUMMYFUNCTION("""COMPUTED_VALUE"""),"SF-600 Canguro")</f>
        <v>SF-600 Canguro</v>
      </c>
      <c r="D998" s="5" t="str">
        <f ca="1">IFERROR(__xludf.DUMMYFUNCTION("""COMPUTED_VALUE"""),"LandPlane")</f>
        <v>LandPlane</v>
      </c>
      <c r="E998" s="5" t="str">
        <f ca="1">IFERROR(__xludf.DUMMYFUNCTION("""COMPUTED_VALUE"""),"Turboprop/Turboshaft")</f>
        <v>Turboprop/Turboshaft</v>
      </c>
      <c r="F998" s="5">
        <f ca="1">IFERROR(__xludf.DUMMYFUNCTION("""COMPUTED_VALUE"""),2)</f>
        <v>2</v>
      </c>
    </row>
    <row r="999" spans="1:6" ht="15" customHeight="1" x14ac:dyDescent="0.2">
      <c r="A999" s="5" t="str">
        <f ca="1">IFERROR(__xludf.DUMMYFUNCTION("""COMPUTED_VALUE"""),"F70")</f>
        <v>F70</v>
      </c>
      <c r="B999" s="5" t="str">
        <f ca="1">IFERROR(__xludf.DUMMYFUNCTION("""COMPUTED_VALUE"""),"FOKKER")</f>
        <v>FOKKER</v>
      </c>
      <c r="C999" s="5" t="str">
        <f ca="1">IFERROR(__xludf.DUMMYFUNCTION("""COMPUTED_VALUE"""),"70")</f>
        <v>70</v>
      </c>
      <c r="D999" s="5" t="str">
        <f ca="1">IFERROR(__xludf.DUMMYFUNCTION("""COMPUTED_VALUE"""),"LandPlane")</f>
        <v>LandPlane</v>
      </c>
      <c r="E999" s="5" t="str">
        <f ca="1">IFERROR(__xludf.DUMMYFUNCTION("""COMPUTED_VALUE"""),"Jet")</f>
        <v>Jet</v>
      </c>
      <c r="F999" s="5">
        <f ca="1">IFERROR(__xludf.DUMMYFUNCTION("""COMPUTED_VALUE"""),2)</f>
        <v>2</v>
      </c>
    </row>
    <row r="1000" spans="1:6" ht="15" customHeight="1" x14ac:dyDescent="0.2">
      <c r="A1000" s="5" t="str">
        <f ca="1">IFERROR(__xludf.DUMMYFUNCTION("""COMPUTED_VALUE"""),"F8")</f>
        <v>F8</v>
      </c>
      <c r="B1000" s="5" t="str">
        <f ca="1">IFERROR(__xludf.DUMMYFUNCTION("""COMPUTED_VALUE"""),"CHANCE VOUGHT")</f>
        <v>CHANCE VOUGHT</v>
      </c>
      <c r="C1000" s="5" t="str">
        <f ca="1">IFERROR(__xludf.DUMMYFUNCTION("""COMPUTED_VALUE"""),"F8U Crusader")</f>
        <v>F8U Crusader</v>
      </c>
      <c r="D1000" s="5" t="str">
        <f ca="1">IFERROR(__xludf.DUMMYFUNCTION("""COMPUTED_VALUE"""),"LandPlane")</f>
        <v>LandPlane</v>
      </c>
      <c r="E1000" s="5" t="str">
        <f ca="1">IFERROR(__xludf.DUMMYFUNCTION("""COMPUTED_VALUE"""),"Jet")</f>
        <v>Jet</v>
      </c>
      <c r="F1000" s="5">
        <f ca="1">IFERROR(__xludf.DUMMYFUNCTION("""COMPUTED_VALUE"""),1)</f>
        <v>1</v>
      </c>
    </row>
    <row r="1001" spans="1:6" ht="15" customHeight="1" x14ac:dyDescent="0.2">
      <c r="A1001" s="5" t="str">
        <f ca="1">IFERROR(__xludf.DUMMYFUNCTION("""COMPUTED_VALUE"""),"F86")</f>
        <v>F86</v>
      </c>
      <c r="B1001" s="5" t="str">
        <f ca="1">IFERROR(__xludf.DUMMYFUNCTION("""COMPUTED_VALUE"""),"NORTH AMERICAN")</f>
        <v>NORTH AMERICAN</v>
      </c>
      <c r="C1001" s="5" t="str">
        <f ca="1">IFERROR(__xludf.DUMMYFUNCTION("""COMPUTED_VALUE"""),"F-86 Sabre")</f>
        <v>F-86 Sabre</v>
      </c>
      <c r="D1001" s="5" t="str">
        <f ca="1">IFERROR(__xludf.DUMMYFUNCTION("""COMPUTED_VALUE"""),"LandPlane")</f>
        <v>LandPlane</v>
      </c>
      <c r="E1001" s="5" t="str">
        <f ca="1">IFERROR(__xludf.DUMMYFUNCTION("""COMPUTED_VALUE"""),"Jet")</f>
        <v>Jet</v>
      </c>
      <c r="F1001" s="5">
        <f ca="1">IFERROR(__xludf.DUMMYFUNCTION("""COMPUTED_VALUE"""),1)</f>
        <v>1</v>
      </c>
    </row>
    <row r="1002" spans="1:6" ht="15" customHeight="1" x14ac:dyDescent="0.2">
      <c r="A1002" s="5" t="str">
        <f ca="1">IFERROR(__xludf.DUMMYFUNCTION("""COMPUTED_VALUE"""),"F8L")</f>
        <v>F8L</v>
      </c>
      <c r="B1002" s="5" t="str">
        <f ca="1">IFERROR(__xludf.DUMMYFUNCTION("""COMPUTED_VALUE"""),"SEQUOIA")</f>
        <v>SEQUOIA</v>
      </c>
      <c r="C1002" s="5" t="str">
        <f ca="1">IFERROR(__xludf.DUMMYFUNCTION("""COMPUTED_VALUE"""),"F-8L Falco")</f>
        <v>F-8L Falco</v>
      </c>
      <c r="D1002" s="5" t="str">
        <f ca="1">IFERROR(__xludf.DUMMYFUNCTION("""COMPUTED_VALUE"""),"LandPlane")</f>
        <v>LandPlane</v>
      </c>
      <c r="E1002" s="5" t="str">
        <f ca="1">IFERROR(__xludf.DUMMYFUNCTION("""COMPUTED_VALUE"""),"Piston")</f>
        <v>Piston</v>
      </c>
      <c r="F1002" s="5">
        <f ca="1">IFERROR(__xludf.DUMMYFUNCTION("""COMPUTED_VALUE"""),1)</f>
        <v>1</v>
      </c>
    </row>
    <row r="1003" spans="1:6" ht="15" customHeight="1" x14ac:dyDescent="0.2">
      <c r="A1003" s="5" t="str">
        <f ca="1">IFERROR(__xludf.DUMMYFUNCTION("""COMPUTED_VALUE"""),"F900")</f>
        <v>F900</v>
      </c>
      <c r="B1003" s="5" t="str">
        <f ca="1">IFERROR(__xludf.DUMMYFUNCTION("""COMPUTED_VALUE"""),"DASSAULT")</f>
        <v>DASSAULT</v>
      </c>
      <c r="C1003" s="5" t="str">
        <f ca="1">IFERROR(__xludf.DUMMYFUNCTION("""COMPUTED_VALUE"""),"Falcon 900")</f>
        <v>Falcon 900</v>
      </c>
      <c r="D1003" s="5" t="str">
        <f ca="1">IFERROR(__xludf.DUMMYFUNCTION("""COMPUTED_VALUE"""),"LandPlane")</f>
        <v>LandPlane</v>
      </c>
      <c r="E1003" s="5" t="str">
        <f ca="1">IFERROR(__xludf.DUMMYFUNCTION("""COMPUTED_VALUE"""),"Jet")</f>
        <v>Jet</v>
      </c>
      <c r="F1003" s="5">
        <f ca="1">IFERROR(__xludf.DUMMYFUNCTION("""COMPUTED_VALUE"""),3)</f>
        <v>3</v>
      </c>
    </row>
    <row r="1004" spans="1:6" ht="15" customHeight="1" x14ac:dyDescent="0.2">
      <c r="A1004" s="5" t="str">
        <f ca="1">IFERROR(__xludf.DUMMYFUNCTION("""COMPUTED_VALUE"""),"F9F")</f>
        <v>F9F</v>
      </c>
      <c r="B1004" s="5" t="str">
        <f ca="1">IFERROR(__xludf.DUMMYFUNCTION("""COMPUTED_VALUE"""),"GRUMMAN")</f>
        <v>GRUMMAN</v>
      </c>
      <c r="C1004" s="5" t="str">
        <f ca="1">IFERROR(__xludf.DUMMYFUNCTION("""COMPUTED_VALUE"""),"F9F Panther")</f>
        <v>F9F Panther</v>
      </c>
      <c r="D1004" s="5" t="str">
        <f ca="1">IFERROR(__xludf.DUMMYFUNCTION("""COMPUTED_VALUE"""),"LandPlane")</f>
        <v>LandPlane</v>
      </c>
      <c r="E1004" s="5" t="str">
        <f ca="1">IFERROR(__xludf.DUMMYFUNCTION("""COMPUTED_VALUE"""),"Jet")</f>
        <v>Jet</v>
      </c>
      <c r="F1004" s="5">
        <f ca="1">IFERROR(__xludf.DUMMYFUNCTION("""COMPUTED_VALUE"""),1)</f>
        <v>1</v>
      </c>
    </row>
    <row r="1005" spans="1:6" ht="15" customHeight="1" x14ac:dyDescent="0.2">
      <c r="A1005" s="5" t="str">
        <f ca="1">IFERROR(__xludf.DUMMYFUNCTION("""COMPUTED_VALUE"""),"FA01")</f>
        <v>FA01</v>
      </c>
      <c r="B1005" s="5" t="str">
        <f ca="1">IFERROR(__xludf.DUMMYFUNCTION("""COMPUTED_VALUE"""),"FLÄMING AIR")</f>
        <v>FLÄMING AIR</v>
      </c>
      <c r="C1005" s="5" t="str">
        <f ca="1">IFERROR(__xludf.DUMMYFUNCTION("""COMPUTED_VALUE"""),"FA-01 Saphir")</f>
        <v>FA-01 Saphir</v>
      </c>
      <c r="D1005" s="5" t="str">
        <f ca="1">IFERROR(__xludf.DUMMYFUNCTION("""COMPUTED_VALUE"""),"LandPlane")</f>
        <v>LandPlane</v>
      </c>
      <c r="E1005" s="5" t="str">
        <f ca="1">IFERROR(__xludf.DUMMYFUNCTION("""COMPUTED_VALUE"""),"Piston")</f>
        <v>Piston</v>
      </c>
      <c r="F1005" s="5">
        <f ca="1">IFERROR(__xludf.DUMMYFUNCTION("""COMPUTED_VALUE"""),1)</f>
        <v>1</v>
      </c>
    </row>
    <row r="1006" spans="1:6" ht="15" customHeight="1" x14ac:dyDescent="0.2">
      <c r="A1006" s="5" t="str">
        <f ca="1">IFERROR(__xludf.DUMMYFUNCTION("""COMPUTED_VALUE"""),"FA02")</f>
        <v>FA02</v>
      </c>
      <c r="B1006" s="5" t="str">
        <f ca="1">IFERROR(__xludf.DUMMYFUNCTION("""COMPUTED_VALUE"""),"FLÄMING AIR")</f>
        <v>FLÄMING AIR</v>
      </c>
      <c r="C1006" s="5" t="str">
        <f ca="1">IFERROR(__xludf.DUMMYFUNCTION("""COMPUTED_VALUE"""),"FA-02 Smaragd VLA")</f>
        <v>FA-02 Smaragd VLA</v>
      </c>
      <c r="D1006" s="5" t="str">
        <f ca="1">IFERROR(__xludf.DUMMYFUNCTION("""COMPUTED_VALUE"""),"LandPlane")</f>
        <v>LandPlane</v>
      </c>
      <c r="E1006" s="5" t="str">
        <f ca="1">IFERROR(__xludf.DUMMYFUNCTION("""COMPUTED_VALUE"""),"Piston")</f>
        <v>Piston</v>
      </c>
      <c r="F1006" s="5">
        <f ca="1">IFERROR(__xludf.DUMMYFUNCTION("""COMPUTED_VALUE"""),1)</f>
        <v>1</v>
      </c>
    </row>
    <row r="1007" spans="1:6" ht="15" customHeight="1" x14ac:dyDescent="0.2">
      <c r="A1007" s="5" t="str">
        <f ca="1">IFERROR(__xludf.DUMMYFUNCTION("""COMPUTED_VALUE"""),"FA03")</f>
        <v>FA03</v>
      </c>
      <c r="B1007" s="5" t="str">
        <f ca="1">IFERROR(__xludf.DUMMYFUNCTION("""COMPUTED_VALUE"""),"FLÄMING AIR")</f>
        <v>FLÄMING AIR</v>
      </c>
      <c r="C1007" s="5" t="str">
        <f ca="1">IFERROR(__xludf.DUMMYFUNCTION("""COMPUTED_VALUE"""),"FA-03 Smaragd TMG")</f>
        <v>FA-03 Smaragd TMG</v>
      </c>
      <c r="D1007" s="5" t="str">
        <f ca="1">IFERROR(__xludf.DUMMYFUNCTION("""COMPUTED_VALUE"""),"LandPlane")</f>
        <v>LandPlane</v>
      </c>
      <c r="E1007" s="5" t="str">
        <f ca="1">IFERROR(__xludf.DUMMYFUNCTION("""COMPUTED_VALUE"""),"Piston")</f>
        <v>Piston</v>
      </c>
      <c r="F1007" s="5">
        <f ca="1">IFERROR(__xludf.DUMMYFUNCTION("""COMPUTED_VALUE"""),1)</f>
        <v>1</v>
      </c>
    </row>
    <row r="1008" spans="1:6" ht="15" customHeight="1" x14ac:dyDescent="0.2">
      <c r="A1008" s="5" t="str">
        <f ca="1">IFERROR(__xludf.DUMMYFUNCTION("""COMPUTED_VALUE"""),"FA04")</f>
        <v>FA04</v>
      </c>
      <c r="B1008" s="5" t="str">
        <f ca="1">IFERROR(__xludf.DUMMYFUNCTION("""COMPUTED_VALUE"""),"FLÄMING AIR")</f>
        <v>FLÄMING AIR</v>
      </c>
      <c r="C1008" s="5" t="str">
        <f ca="1">IFERROR(__xludf.DUMMYFUNCTION("""COMPUTED_VALUE"""),"FA-04 Peregrine")</f>
        <v>FA-04 Peregrine</v>
      </c>
      <c r="D1008" s="5" t="str">
        <f ca="1">IFERROR(__xludf.DUMMYFUNCTION("""COMPUTED_VALUE"""),"LandPlane")</f>
        <v>LandPlane</v>
      </c>
      <c r="E1008" s="5" t="str">
        <f ca="1">IFERROR(__xludf.DUMMYFUNCTION("""COMPUTED_VALUE"""),"Piston")</f>
        <v>Piston</v>
      </c>
      <c r="F1008" s="5">
        <f ca="1">IFERROR(__xludf.DUMMYFUNCTION("""COMPUTED_VALUE"""),1)</f>
        <v>1</v>
      </c>
    </row>
    <row r="1009" spans="1:6" ht="15" customHeight="1" x14ac:dyDescent="0.2">
      <c r="A1009" s="5" t="str">
        <f ca="1">IFERROR(__xludf.DUMMYFUNCTION("""COMPUTED_VALUE"""),"FA10")</f>
        <v>FA10</v>
      </c>
      <c r="B1009" s="5" t="str">
        <f ca="1">IFERROR(__xludf.DUMMYFUNCTION("""COMPUTED_VALUE"""),"DASSAULT")</f>
        <v>DASSAULT</v>
      </c>
      <c r="C1009" s="5" t="str">
        <f ca="1">IFERROR(__xludf.DUMMYFUNCTION("""COMPUTED_VALUE"""),"Falcon 10")</f>
        <v>Falcon 10</v>
      </c>
      <c r="D1009" s="5" t="str">
        <f ca="1">IFERROR(__xludf.DUMMYFUNCTION("""COMPUTED_VALUE"""),"LandPlane")</f>
        <v>LandPlane</v>
      </c>
      <c r="E1009" s="5" t="str">
        <f ca="1">IFERROR(__xludf.DUMMYFUNCTION("""COMPUTED_VALUE"""),"Jet")</f>
        <v>Jet</v>
      </c>
      <c r="F1009" s="5">
        <f ca="1">IFERROR(__xludf.DUMMYFUNCTION("""COMPUTED_VALUE"""),2)</f>
        <v>2</v>
      </c>
    </row>
    <row r="1010" spans="1:6" ht="15" customHeight="1" x14ac:dyDescent="0.2">
      <c r="A1010" s="5" t="str">
        <f ca="1">IFERROR(__xludf.DUMMYFUNCTION("""COMPUTED_VALUE"""),"FA11")</f>
        <v>FA11</v>
      </c>
      <c r="B1010" s="5" t="str">
        <f ca="1">IFERROR(__xludf.DUMMYFUNCTION("""COMPUTED_VALUE"""),"FAIRCHILD (2)")</f>
        <v>FAIRCHILD (2)</v>
      </c>
      <c r="C1010" s="5" t="str">
        <f ca="1">IFERROR(__xludf.DUMMYFUNCTION("""COMPUTED_VALUE"""),"F-11 Husky")</f>
        <v>F-11 Husky</v>
      </c>
      <c r="D1010" s="5" t="str">
        <f ca="1">IFERROR(__xludf.DUMMYFUNCTION("""COMPUTED_VALUE"""),"LandPlane")</f>
        <v>LandPlane</v>
      </c>
      <c r="E1010" s="5" t="str">
        <f ca="1">IFERROR(__xludf.DUMMYFUNCTION("""COMPUTED_VALUE"""),"Piston")</f>
        <v>Piston</v>
      </c>
      <c r="F1010" s="5">
        <f ca="1">IFERROR(__xludf.DUMMYFUNCTION("""COMPUTED_VALUE"""),1)</f>
        <v>1</v>
      </c>
    </row>
    <row r="1011" spans="1:6" ht="15" customHeight="1" x14ac:dyDescent="0.2">
      <c r="A1011" s="5" t="str">
        <f ca="1">IFERROR(__xludf.DUMMYFUNCTION("""COMPUTED_VALUE"""),"FA20")</f>
        <v>FA20</v>
      </c>
      <c r="B1011" s="5" t="str">
        <f ca="1">IFERROR(__xludf.DUMMYFUNCTION("""COMPUTED_VALUE"""),"DASSAULT")</f>
        <v>DASSAULT</v>
      </c>
      <c r="C1011" s="5" t="str">
        <f ca="1">IFERROR(__xludf.DUMMYFUNCTION("""COMPUTED_VALUE"""),"Falcon 20")</f>
        <v>Falcon 20</v>
      </c>
      <c r="D1011" s="5" t="str">
        <f ca="1">IFERROR(__xludf.DUMMYFUNCTION("""COMPUTED_VALUE"""),"LandPlane")</f>
        <v>LandPlane</v>
      </c>
      <c r="E1011" s="5" t="str">
        <f ca="1">IFERROR(__xludf.DUMMYFUNCTION("""COMPUTED_VALUE"""),"Jet")</f>
        <v>Jet</v>
      </c>
      <c r="F1011" s="5">
        <f ca="1">IFERROR(__xludf.DUMMYFUNCTION("""COMPUTED_VALUE"""),2)</f>
        <v>2</v>
      </c>
    </row>
    <row r="1012" spans="1:6" ht="15" customHeight="1" x14ac:dyDescent="0.2">
      <c r="A1012" s="5" t="str">
        <f ca="1">IFERROR(__xludf.DUMMYFUNCTION("""COMPUTED_VALUE"""),"FA24")</f>
        <v>FA24</v>
      </c>
      <c r="B1012" s="5" t="str">
        <f ca="1">IFERROR(__xludf.DUMMYFUNCTION("""COMPUTED_VALUE"""),"FAIRCHILD (1)")</f>
        <v>FAIRCHILD (1)</v>
      </c>
      <c r="C1012" s="5" t="str">
        <f ca="1">IFERROR(__xludf.DUMMYFUNCTION("""COMPUTED_VALUE"""),"F-24 Argus")</f>
        <v>F-24 Argus</v>
      </c>
      <c r="D1012" s="5" t="str">
        <f ca="1">IFERROR(__xludf.DUMMYFUNCTION("""COMPUTED_VALUE"""),"LandPlane")</f>
        <v>LandPlane</v>
      </c>
      <c r="E1012" s="5" t="str">
        <f ca="1">IFERROR(__xludf.DUMMYFUNCTION("""COMPUTED_VALUE"""),"Piston")</f>
        <v>Piston</v>
      </c>
      <c r="F1012" s="5">
        <f ca="1">IFERROR(__xludf.DUMMYFUNCTION("""COMPUTED_VALUE"""),1)</f>
        <v>1</v>
      </c>
    </row>
    <row r="1013" spans="1:6" ht="15" customHeight="1" x14ac:dyDescent="0.2">
      <c r="A1013" s="5" t="str">
        <f ca="1">IFERROR(__xludf.DUMMYFUNCTION("""COMPUTED_VALUE"""),"FA50")</f>
        <v>FA50</v>
      </c>
      <c r="B1013" s="5" t="str">
        <f ca="1">IFERROR(__xludf.DUMMYFUNCTION("""COMPUTED_VALUE"""),"DASSAULT")</f>
        <v>DASSAULT</v>
      </c>
      <c r="C1013" s="5" t="str">
        <f ca="1">IFERROR(__xludf.DUMMYFUNCTION("""COMPUTED_VALUE"""),"Falcon 50")</f>
        <v>Falcon 50</v>
      </c>
      <c r="D1013" s="5" t="str">
        <f ca="1">IFERROR(__xludf.DUMMYFUNCTION("""COMPUTED_VALUE"""),"LandPlane")</f>
        <v>LandPlane</v>
      </c>
      <c r="E1013" s="5" t="str">
        <f ca="1">IFERROR(__xludf.DUMMYFUNCTION("""COMPUTED_VALUE"""),"Jet")</f>
        <v>Jet</v>
      </c>
      <c r="F1013" s="5">
        <f ca="1">IFERROR(__xludf.DUMMYFUNCTION("""COMPUTED_VALUE"""),3)</f>
        <v>3</v>
      </c>
    </row>
    <row r="1014" spans="1:6" ht="15" customHeight="1" x14ac:dyDescent="0.2">
      <c r="A1014" s="5" t="str">
        <f ca="1">IFERROR(__xludf.DUMMYFUNCTION("""COMPUTED_VALUE"""),"FA62")</f>
        <v>FA62</v>
      </c>
      <c r="B1014" s="5" t="str">
        <f ca="1">IFERROR(__xludf.DUMMYFUNCTION("""COMPUTED_VALUE"""),"FAIRCHILD (1)")</f>
        <v>FAIRCHILD (1)</v>
      </c>
      <c r="C1014" s="5" t="str">
        <f ca="1">IFERROR(__xludf.DUMMYFUNCTION("""COMPUTED_VALUE"""),"PT-19 Cornell")</f>
        <v>PT-19 Cornell</v>
      </c>
      <c r="D1014" s="5" t="str">
        <f ca="1">IFERROR(__xludf.DUMMYFUNCTION("""COMPUTED_VALUE"""),"LandPlane")</f>
        <v>LandPlane</v>
      </c>
      <c r="E1014" s="5" t="str">
        <f ca="1">IFERROR(__xludf.DUMMYFUNCTION("""COMPUTED_VALUE"""),"Piston")</f>
        <v>Piston</v>
      </c>
      <c r="F1014" s="5">
        <f ca="1">IFERROR(__xludf.DUMMYFUNCTION("""COMPUTED_VALUE"""),1)</f>
        <v>1</v>
      </c>
    </row>
    <row r="1015" spans="1:6" ht="15" customHeight="1" x14ac:dyDescent="0.2">
      <c r="A1015" s="5" t="str">
        <f ca="1">IFERROR(__xludf.DUMMYFUNCTION("""COMPUTED_VALUE"""),"FA6X")</f>
        <v>FA6X</v>
      </c>
      <c r="B1015" s="5" t="str">
        <f ca="1">IFERROR(__xludf.DUMMYFUNCTION("""COMPUTED_VALUE"""),"DASSAULT")</f>
        <v>DASSAULT</v>
      </c>
      <c r="C1015" s="5" t="str">
        <f ca="1">IFERROR(__xludf.DUMMYFUNCTION("""COMPUTED_VALUE"""),"Falcon 6X")</f>
        <v>Falcon 6X</v>
      </c>
      <c r="D1015" s="5" t="str">
        <f ca="1">IFERROR(__xludf.DUMMYFUNCTION("""COMPUTED_VALUE"""),"LandPlane")</f>
        <v>LandPlane</v>
      </c>
      <c r="E1015" s="5" t="str">
        <f ca="1">IFERROR(__xludf.DUMMYFUNCTION("""COMPUTED_VALUE"""),"Jet")</f>
        <v>Jet</v>
      </c>
      <c r="F1015" s="5">
        <f ca="1">IFERROR(__xludf.DUMMYFUNCTION("""COMPUTED_VALUE"""),2)</f>
        <v>2</v>
      </c>
    </row>
    <row r="1016" spans="1:6" ht="15" customHeight="1" x14ac:dyDescent="0.2">
      <c r="A1016" s="5" t="str">
        <f ca="1">IFERROR(__xludf.DUMMYFUNCTION("""COMPUTED_VALUE"""),"FA7X")</f>
        <v>FA7X</v>
      </c>
      <c r="B1016" s="5" t="str">
        <f ca="1">IFERROR(__xludf.DUMMYFUNCTION("""COMPUTED_VALUE"""),"DASSAULT")</f>
        <v>DASSAULT</v>
      </c>
      <c r="C1016" s="5" t="str">
        <f ca="1">IFERROR(__xludf.DUMMYFUNCTION("""COMPUTED_VALUE"""),"Falcon 7X")</f>
        <v>Falcon 7X</v>
      </c>
      <c r="D1016" s="5" t="str">
        <f ca="1">IFERROR(__xludf.DUMMYFUNCTION("""COMPUTED_VALUE"""),"LandPlane")</f>
        <v>LandPlane</v>
      </c>
      <c r="E1016" s="5" t="str">
        <f ca="1">IFERROR(__xludf.DUMMYFUNCTION("""COMPUTED_VALUE"""),"Jet")</f>
        <v>Jet</v>
      </c>
      <c r="F1016" s="5">
        <f ca="1">IFERROR(__xludf.DUMMYFUNCTION("""COMPUTED_VALUE"""),3)</f>
        <v>3</v>
      </c>
    </row>
    <row r="1017" spans="1:6" ht="15" customHeight="1" x14ac:dyDescent="0.2">
      <c r="A1017" s="5" t="str">
        <f ca="1">IFERROR(__xludf.DUMMYFUNCTION("""COMPUTED_VALUE"""),"FA8X")</f>
        <v>FA8X</v>
      </c>
      <c r="B1017" s="5" t="str">
        <f ca="1">IFERROR(__xludf.DUMMYFUNCTION("""COMPUTED_VALUE"""),"DASSAULT")</f>
        <v>DASSAULT</v>
      </c>
      <c r="C1017" s="5" t="str">
        <f ca="1">IFERROR(__xludf.DUMMYFUNCTION("""COMPUTED_VALUE"""),"Falcon 8X")</f>
        <v>Falcon 8X</v>
      </c>
      <c r="D1017" s="5" t="str">
        <f ca="1">IFERROR(__xludf.DUMMYFUNCTION("""COMPUTED_VALUE"""),"LandPlane")</f>
        <v>LandPlane</v>
      </c>
      <c r="E1017" s="5" t="str">
        <f ca="1">IFERROR(__xludf.DUMMYFUNCTION("""COMPUTED_VALUE"""),"Jet")</f>
        <v>Jet</v>
      </c>
      <c r="F1017" s="5">
        <f ca="1">IFERROR(__xludf.DUMMYFUNCTION("""COMPUTED_VALUE"""),3)</f>
        <v>3</v>
      </c>
    </row>
    <row r="1018" spans="1:6" ht="15" customHeight="1" x14ac:dyDescent="0.2">
      <c r="A1018" s="5" t="str">
        <f ca="1">IFERROR(__xludf.DUMMYFUNCTION("""COMPUTED_VALUE"""),"FAET")</f>
        <v>FAET</v>
      </c>
      <c r="B1018" s="5" t="str">
        <f ca="1">IFERROR(__xludf.DUMMYFUNCTION("""COMPUTED_VALUE"""),"ATEC")</f>
        <v>ATEC</v>
      </c>
      <c r="C1018" s="5" t="str">
        <f ca="1">IFERROR(__xludf.DUMMYFUNCTION("""COMPUTED_VALUE"""),"321 Faeta")</f>
        <v>321 Faeta</v>
      </c>
      <c r="D1018" s="5" t="str">
        <f ca="1">IFERROR(__xludf.DUMMYFUNCTION("""COMPUTED_VALUE"""),"LandPlane")</f>
        <v>LandPlane</v>
      </c>
      <c r="E1018" s="5" t="str">
        <f ca="1">IFERROR(__xludf.DUMMYFUNCTION("""COMPUTED_VALUE"""),"Piston")</f>
        <v>Piston</v>
      </c>
      <c r="F1018" s="5">
        <f ca="1">IFERROR(__xludf.DUMMYFUNCTION("""COMPUTED_VALUE"""),1)</f>
        <v>1</v>
      </c>
    </row>
    <row r="1019" spans="1:6" ht="15" customHeight="1" x14ac:dyDescent="0.2">
      <c r="A1019" s="5" t="str">
        <f ca="1">IFERROR(__xludf.DUMMYFUNCTION("""COMPUTED_VALUE"""),"FALC")</f>
        <v>FALC</v>
      </c>
      <c r="B1019" s="5" t="str">
        <f ca="1">IFERROR(__xludf.DUMMYFUNCTION("""COMPUTED_VALUE"""),"AMERICAN AIRCRAFT")</f>
        <v>AMERICAN AIRCRAFT</v>
      </c>
      <c r="C1019" s="5" t="str">
        <f ca="1">IFERROR(__xludf.DUMMYFUNCTION("""COMPUTED_VALUE"""),"Falcon XP")</f>
        <v>Falcon XP</v>
      </c>
      <c r="D1019" s="5" t="str">
        <f ca="1">IFERROR(__xludf.DUMMYFUNCTION("""COMPUTED_VALUE"""),"LandPlane")</f>
        <v>LandPlane</v>
      </c>
      <c r="E1019" s="5" t="str">
        <f ca="1">IFERROR(__xludf.DUMMYFUNCTION("""COMPUTED_VALUE"""),"Piston")</f>
        <v>Piston</v>
      </c>
      <c r="F1019" s="5">
        <f ca="1">IFERROR(__xludf.DUMMYFUNCTION("""COMPUTED_VALUE"""),1)</f>
        <v>1</v>
      </c>
    </row>
    <row r="1020" spans="1:6" ht="15" customHeight="1" x14ac:dyDescent="0.2">
      <c r="A1020" s="5" t="str">
        <f ca="1">IFERROR(__xludf.DUMMYFUNCTION("""COMPUTED_VALUE"""),"FALM")</f>
        <v>FALM</v>
      </c>
      <c r="B1020" s="5" t="str">
        <f ca="1">IFERROR(__xludf.DUMMYFUNCTION("""COMPUTED_VALUE"""),"MILES")</f>
        <v>MILES</v>
      </c>
      <c r="C1020" s="5" t="str">
        <f ca="1">IFERROR(__xludf.DUMMYFUNCTION("""COMPUTED_VALUE"""),"M-3 Falcon Major")</f>
        <v>M-3 Falcon Major</v>
      </c>
      <c r="D1020" s="5" t="str">
        <f ca="1">IFERROR(__xludf.DUMMYFUNCTION("""COMPUTED_VALUE"""),"LandPlane")</f>
        <v>LandPlane</v>
      </c>
      <c r="E1020" s="5" t="str">
        <f ca="1">IFERROR(__xludf.DUMMYFUNCTION("""COMPUTED_VALUE"""),"Piston")</f>
        <v>Piston</v>
      </c>
      <c r="F1020" s="5">
        <f ca="1">IFERROR(__xludf.DUMMYFUNCTION("""COMPUTED_VALUE"""),1)</f>
        <v>1</v>
      </c>
    </row>
    <row r="1021" spans="1:6" ht="15" customHeight="1" x14ac:dyDescent="0.2">
      <c r="A1021" s="5" t="str">
        <f ca="1">IFERROR(__xludf.DUMMYFUNCTION("""COMPUTED_VALUE"""),"FANL")</f>
        <v>FANL</v>
      </c>
      <c r="B1021" s="5" t="str">
        <f ca="1">IFERROR(__xludf.DUMMYFUNCTION("""COMPUTED_VALUE"""),"RHEIN")</f>
        <v>RHEIN</v>
      </c>
      <c r="C1021" s="5" t="str">
        <f ca="1">IFERROR(__xludf.DUMMYFUNCTION("""COMPUTED_VALUE"""),"FL-1 Fanliner")</f>
        <v>FL-1 Fanliner</v>
      </c>
      <c r="D1021" s="5" t="str">
        <f ca="1">IFERROR(__xludf.DUMMYFUNCTION("""COMPUTED_VALUE"""),"LandPlane")</f>
        <v>LandPlane</v>
      </c>
      <c r="E1021" s="5" t="str">
        <f ca="1">IFERROR(__xludf.DUMMYFUNCTION("""COMPUTED_VALUE"""),"Piston")</f>
        <v>Piston</v>
      </c>
      <c r="F1021" s="5">
        <f ca="1">IFERROR(__xludf.DUMMYFUNCTION("""COMPUTED_VALUE"""),1)</f>
        <v>1</v>
      </c>
    </row>
    <row r="1022" spans="1:6" ht="15" customHeight="1" x14ac:dyDescent="0.2">
      <c r="A1022" s="5" t="str">
        <f ca="1">IFERROR(__xludf.DUMMYFUNCTION("""COMPUTED_VALUE"""),"FANT")</f>
        <v>FANT</v>
      </c>
      <c r="B1022" s="5" t="str">
        <f ca="1">IFERROR(__xludf.DUMMYFUNCTION("""COMPUTED_VALUE"""),"RHEIN")</f>
        <v>RHEIN</v>
      </c>
      <c r="C1022" s="5" t="str">
        <f ca="1">IFERROR(__xludf.DUMMYFUNCTION("""COMPUTED_VALUE"""),"Fantrainer")</f>
        <v>Fantrainer</v>
      </c>
      <c r="D1022" s="5" t="str">
        <f ca="1">IFERROR(__xludf.DUMMYFUNCTION("""COMPUTED_VALUE"""),"LandPlane")</f>
        <v>LandPlane</v>
      </c>
      <c r="E1022" s="5" t="str">
        <f ca="1">IFERROR(__xludf.DUMMYFUNCTION("""COMPUTED_VALUE"""),"Turboprop/Turboshaft")</f>
        <v>Turboprop/Turboshaft</v>
      </c>
      <c r="F1022" s="5">
        <f ca="1">IFERROR(__xludf.DUMMYFUNCTION("""COMPUTED_VALUE"""),1)</f>
        <v>1</v>
      </c>
    </row>
    <row r="1023" spans="1:6" ht="15" customHeight="1" x14ac:dyDescent="0.2">
      <c r="A1023" s="5" t="str">
        <f ca="1">IFERROR(__xludf.DUMMYFUNCTION("""COMPUTED_VALUE"""),"FB1A")</f>
        <v>FB1A</v>
      </c>
      <c r="B1023" s="5" t="str">
        <f ca="1">IFERROR(__xludf.DUMMYFUNCTION("""COMPUTED_VALUE"""),"BOWERS")</f>
        <v>BOWERS</v>
      </c>
      <c r="C1023" s="5" t="str">
        <f ca="1">IFERROR(__xludf.DUMMYFUNCTION("""COMPUTED_VALUE"""),"Fly Baby 1A")</f>
        <v>Fly Baby 1A</v>
      </c>
      <c r="D1023" s="5" t="str">
        <f ca="1">IFERROR(__xludf.DUMMYFUNCTION("""COMPUTED_VALUE"""),"LandPlane")</f>
        <v>LandPlane</v>
      </c>
      <c r="E1023" s="5" t="str">
        <f ca="1">IFERROR(__xludf.DUMMYFUNCTION("""COMPUTED_VALUE"""),"Piston")</f>
        <v>Piston</v>
      </c>
      <c r="F1023" s="5">
        <f ca="1">IFERROR(__xludf.DUMMYFUNCTION("""COMPUTED_VALUE"""),1)</f>
        <v>1</v>
      </c>
    </row>
    <row r="1024" spans="1:6" ht="15" customHeight="1" x14ac:dyDescent="0.2">
      <c r="A1024" s="5" t="str">
        <f ca="1">IFERROR(__xludf.DUMMYFUNCTION("""COMPUTED_VALUE"""),"FB1B")</f>
        <v>FB1B</v>
      </c>
      <c r="B1024" s="5" t="str">
        <f ca="1">IFERROR(__xludf.DUMMYFUNCTION("""COMPUTED_VALUE"""),"BOWERS")</f>
        <v>BOWERS</v>
      </c>
      <c r="C1024" s="5" t="str">
        <f ca="1">IFERROR(__xludf.DUMMYFUNCTION("""COMPUTED_VALUE"""),"Fly Baby 1B")</f>
        <v>Fly Baby 1B</v>
      </c>
      <c r="D1024" s="5" t="str">
        <f ca="1">IFERROR(__xludf.DUMMYFUNCTION("""COMPUTED_VALUE"""),"LandPlane")</f>
        <v>LandPlane</v>
      </c>
      <c r="E1024" s="5" t="str">
        <f ca="1">IFERROR(__xludf.DUMMYFUNCTION("""COMPUTED_VALUE"""),"Piston")</f>
        <v>Piston</v>
      </c>
      <c r="F1024" s="5">
        <f ca="1">IFERROR(__xludf.DUMMYFUNCTION("""COMPUTED_VALUE"""),1)</f>
        <v>1</v>
      </c>
    </row>
    <row r="1025" spans="1:6" ht="15" customHeight="1" x14ac:dyDescent="0.2">
      <c r="A1025" s="5" t="str">
        <f ca="1">IFERROR(__xludf.DUMMYFUNCTION("""COMPUTED_VALUE"""),"FB5")</f>
        <v>FB5</v>
      </c>
      <c r="B1025" s="5" t="str">
        <f ca="1">IFERROR(__xludf.DUMMYFUNCTION("""COMPUTED_VALUE"""),"EURO-FLY")</f>
        <v>EURO-FLY</v>
      </c>
      <c r="C1025" s="5" t="str">
        <f ca="1">IFERROR(__xludf.DUMMYFUNCTION("""COMPUTED_VALUE"""),"FB-5 Star Light")</f>
        <v>FB-5 Star Light</v>
      </c>
      <c r="D1025" s="5" t="str">
        <f ca="1">IFERROR(__xludf.DUMMYFUNCTION("""COMPUTED_VALUE"""),"LandPlane")</f>
        <v>LandPlane</v>
      </c>
      <c r="E1025" s="5" t="str">
        <f ca="1">IFERROR(__xludf.DUMMYFUNCTION("""COMPUTED_VALUE"""),"Piston")</f>
        <v>Piston</v>
      </c>
      <c r="F1025" s="5">
        <f ca="1">IFERROR(__xludf.DUMMYFUNCTION("""COMPUTED_VALUE"""),1)</f>
        <v>1</v>
      </c>
    </row>
    <row r="1026" spans="1:6" ht="15" customHeight="1" x14ac:dyDescent="0.2">
      <c r="A1026" s="5" t="str">
        <f ca="1">IFERROR(__xludf.DUMMYFUNCTION("""COMPUTED_VALUE"""),"FBA2")</f>
        <v>FBA2</v>
      </c>
      <c r="B1026" s="5" t="str">
        <f ca="1">IFERROR(__xludf.DUMMYFUNCTION("""COMPUTED_VALUE"""),"FOUND")</f>
        <v>FOUND</v>
      </c>
      <c r="C1026" s="5" t="str">
        <f ca="1">IFERROR(__xludf.DUMMYFUNCTION("""COMPUTED_VALUE"""),"FBA-2 Bush Hawk")</f>
        <v>FBA-2 Bush Hawk</v>
      </c>
      <c r="D1026" s="5" t="str">
        <f ca="1">IFERROR(__xludf.DUMMYFUNCTION("""COMPUTED_VALUE"""),"LandPlane")</f>
        <v>LandPlane</v>
      </c>
      <c r="E1026" s="5" t="str">
        <f ca="1">IFERROR(__xludf.DUMMYFUNCTION("""COMPUTED_VALUE"""),"Piston")</f>
        <v>Piston</v>
      </c>
      <c r="F1026" s="5">
        <f ca="1">IFERROR(__xludf.DUMMYFUNCTION("""COMPUTED_VALUE"""),1)</f>
        <v>1</v>
      </c>
    </row>
    <row r="1027" spans="1:6" ht="15" customHeight="1" x14ac:dyDescent="0.2">
      <c r="A1027" s="5" t="str">
        <f ca="1">IFERROR(__xludf.DUMMYFUNCTION("""COMPUTED_VALUE"""),"FBIR")</f>
        <v>FBIR</v>
      </c>
      <c r="B1027" s="5" t="str">
        <f ca="1">IFERROR(__xludf.DUMMYFUNCTION("""COMPUTED_VALUE"""),"FREEWING")</f>
        <v>FREEWING</v>
      </c>
      <c r="C1027" s="5" t="str">
        <f ca="1">IFERROR(__xludf.DUMMYFUNCTION("""COMPUTED_VALUE"""),"Freebird Mk5")</f>
        <v>Freebird Mk5</v>
      </c>
      <c r="D1027" s="5" t="str">
        <f ca="1">IFERROR(__xludf.DUMMYFUNCTION("""COMPUTED_VALUE"""),"LandPlane")</f>
        <v>LandPlane</v>
      </c>
      <c r="E1027" s="5" t="str">
        <f ca="1">IFERROR(__xludf.DUMMYFUNCTION("""COMPUTED_VALUE"""),"Piston")</f>
        <v>Piston</v>
      </c>
      <c r="F1027" s="5">
        <f ca="1">IFERROR(__xludf.DUMMYFUNCTION("""COMPUTED_VALUE"""),1)</f>
        <v>1</v>
      </c>
    </row>
    <row r="1028" spans="1:6" ht="15" customHeight="1" x14ac:dyDescent="0.2">
      <c r="A1028" s="5" t="str">
        <f ca="1">IFERROR(__xludf.DUMMYFUNCTION("""COMPUTED_VALUE"""),"FC1")</f>
        <v>FC1</v>
      </c>
      <c r="B1028" s="5" t="str">
        <f ca="1">IFERROR(__xludf.DUMMYFUNCTION("""COMPUTED_VALUE"""),"CHENGDU")</f>
        <v>CHENGDU</v>
      </c>
      <c r="C1028" s="5" t="str">
        <f ca="1">IFERROR(__xludf.DUMMYFUNCTION("""COMPUTED_VALUE"""),"FC-1 Xiaolong")</f>
        <v>FC-1 Xiaolong</v>
      </c>
      <c r="D1028" s="5" t="str">
        <f ca="1">IFERROR(__xludf.DUMMYFUNCTION("""COMPUTED_VALUE"""),"LandPlane")</f>
        <v>LandPlane</v>
      </c>
      <c r="E1028" s="5" t="str">
        <f ca="1">IFERROR(__xludf.DUMMYFUNCTION("""COMPUTED_VALUE"""),"Jet")</f>
        <v>Jet</v>
      </c>
      <c r="F1028" s="5">
        <f ca="1">IFERROR(__xludf.DUMMYFUNCTION("""COMPUTED_VALUE"""),1)</f>
        <v>1</v>
      </c>
    </row>
    <row r="1029" spans="1:6" ht="15" customHeight="1" x14ac:dyDescent="0.2">
      <c r="A1029" s="5" t="str">
        <f ca="1">IFERROR(__xludf.DUMMYFUNCTION("""COMPUTED_VALUE"""),"FD2E")</f>
        <v>FD2E</v>
      </c>
      <c r="B1029" s="5" t="str">
        <f ca="1">IFERROR(__xludf.DUMMYFUNCTION("""COMPUTED_VALUE"""),"FLIGHT DESIGN")</f>
        <v>FLIGHT DESIGN</v>
      </c>
      <c r="C1029" s="5" t="str">
        <f ca="1">IFERROR(__xludf.DUMMYFUNCTION("""COMPUTED_VALUE"""),"F-2e")</f>
        <v>F-2e</v>
      </c>
      <c r="D1029" s="5" t="str">
        <f ca="1">IFERROR(__xludf.DUMMYFUNCTION("""COMPUTED_VALUE"""),"LandPlane")</f>
        <v>LandPlane</v>
      </c>
      <c r="E1029" s="5" t="str">
        <f ca="1">IFERROR(__xludf.DUMMYFUNCTION("""COMPUTED_VALUE"""),"Electric")</f>
        <v>Electric</v>
      </c>
      <c r="F1029" s="5">
        <f ca="1">IFERROR(__xludf.DUMMYFUNCTION("""COMPUTED_VALUE"""),1)</f>
        <v>1</v>
      </c>
    </row>
    <row r="1030" spans="1:6" ht="15" customHeight="1" x14ac:dyDescent="0.2">
      <c r="A1030" s="5" t="str">
        <f ca="1">IFERROR(__xludf.DUMMYFUNCTION("""COMPUTED_VALUE"""),"FDCT")</f>
        <v>FDCT</v>
      </c>
      <c r="B1030" s="5" t="str">
        <f ca="1">IFERROR(__xludf.DUMMYFUNCTION("""COMPUTED_VALUE"""),"FLIGHT DESIGN")</f>
        <v>FLIGHT DESIGN</v>
      </c>
      <c r="C1030" s="5" t="str">
        <f ca="1">IFERROR(__xludf.DUMMYFUNCTION("""COMPUTED_VALUE"""),"CT")</f>
        <v>CT</v>
      </c>
      <c r="D1030" s="5" t="str">
        <f ca="1">IFERROR(__xludf.DUMMYFUNCTION("""COMPUTED_VALUE"""),"LandPlane")</f>
        <v>LandPlane</v>
      </c>
      <c r="E1030" s="5" t="str">
        <f ca="1">IFERROR(__xludf.DUMMYFUNCTION("""COMPUTED_VALUE"""),"Piston")</f>
        <v>Piston</v>
      </c>
      <c r="F1030" s="5">
        <f ca="1">IFERROR(__xludf.DUMMYFUNCTION("""COMPUTED_VALUE"""),1)</f>
        <v>1</v>
      </c>
    </row>
    <row r="1031" spans="1:6" ht="15" customHeight="1" x14ac:dyDescent="0.2">
      <c r="A1031" s="5" t="str">
        <f ca="1">IFERROR(__xludf.DUMMYFUNCTION("""COMPUTED_VALUE"""),"FDF2")</f>
        <v>FDF2</v>
      </c>
      <c r="B1031" s="5" t="str">
        <f ca="1">IFERROR(__xludf.DUMMYFUNCTION("""COMPUTED_VALUE"""),"FLIGHT DESIGN")</f>
        <v>FLIGHT DESIGN</v>
      </c>
      <c r="C1031" s="5" t="str">
        <f ca="1">IFERROR(__xludf.DUMMYFUNCTION("""COMPUTED_VALUE"""),"F-2")</f>
        <v>F-2</v>
      </c>
      <c r="D1031" s="5" t="str">
        <f ca="1">IFERROR(__xludf.DUMMYFUNCTION("""COMPUTED_VALUE"""),"LandPlane")</f>
        <v>LandPlane</v>
      </c>
      <c r="E1031" s="5" t="str">
        <f ca="1">IFERROR(__xludf.DUMMYFUNCTION("""COMPUTED_VALUE"""),"Piston")</f>
        <v>Piston</v>
      </c>
      <c r="F1031" s="5">
        <f ca="1">IFERROR(__xludf.DUMMYFUNCTION("""COMPUTED_VALUE"""),1)</f>
        <v>1</v>
      </c>
    </row>
    <row r="1032" spans="1:6" ht="15" customHeight="1" x14ac:dyDescent="0.2">
      <c r="A1032" s="5" t="str">
        <f ca="1">IFERROR(__xludf.DUMMYFUNCTION("""COMPUTED_VALUE"""),"FDMC")</f>
        <v>FDMC</v>
      </c>
      <c r="B1032" s="5" t="str">
        <f ca="1">IFERROR(__xludf.DUMMYFUNCTION("""COMPUTED_VALUE"""),"FLIGHT DESIGN")</f>
        <v>FLIGHT DESIGN</v>
      </c>
      <c r="C1032" s="5" t="str">
        <f ca="1">IFERROR(__xludf.DUMMYFUNCTION("""COMPUTED_VALUE"""),"MC")</f>
        <v>MC</v>
      </c>
      <c r="D1032" s="5" t="str">
        <f ca="1">IFERROR(__xludf.DUMMYFUNCTION("""COMPUTED_VALUE"""),"LandPlane")</f>
        <v>LandPlane</v>
      </c>
      <c r="E1032" s="5" t="str">
        <f ca="1">IFERROR(__xludf.DUMMYFUNCTION("""COMPUTED_VALUE"""),"Piston")</f>
        <v>Piston</v>
      </c>
      <c r="F1032" s="5">
        <f ca="1">IFERROR(__xludf.DUMMYFUNCTION("""COMPUTED_VALUE"""),1)</f>
        <v>1</v>
      </c>
    </row>
    <row r="1033" spans="1:6" ht="15" customHeight="1" x14ac:dyDescent="0.2">
      <c r="A1033" s="5" t="str">
        <f ca="1">IFERROR(__xludf.DUMMYFUNCTION("""COMPUTED_VALUE"""),"FE51")</f>
        <v>FE51</v>
      </c>
      <c r="B1033" s="5" t="str">
        <f ca="1">IFERROR(__xludf.DUMMYFUNCTION("""COMPUTED_VALUE"""),"FIGHTER ESCORT WINGS")</f>
        <v>FIGHTER ESCORT WINGS</v>
      </c>
      <c r="C1033" s="5" t="str">
        <f ca="1">IFERROR(__xludf.DUMMYFUNCTION("""COMPUTED_VALUE"""),"P-51")</f>
        <v>P-51</v>
      </c>
      <c r="D1033" s="5" t="str">
        <f ca="1">IFERROR(__xludf.DUMMYFUNCTION("""COMPUTED_VALUE"""),"LandPlane")</f>
        <v>LandPlane</v>
      </c>
      <c r="E1033" s="5" t="str">
        <f ca="1">IFERROR(__xludf.DUMMYFUNCTION("""COMPUTED_VALUE"""),"Piston")</f>
        <v>Piston</v>
      </c>
      <c r="F1033" s="5">
        <f ca="1">IFERROR(__xludf.DUMMYFUNCTION("""COMPUTED_VALUE"""),1)</f>
        <v>1</v>
      </c>
    </row>
    <row r="1034" spans="1:6" ht="15" customHeight="1" x14ac:dyDescent="0.2">
      <c r="A1034" s="5" t="str">
        <f ca="1">IFERROR(__xludf.DUMMYFUNCTION("""COMPUTED_VALUE"""),"FEST")</f>
        <v>FEST</v>
      </c>
      <c r="B1034" s="5" t="str">
        <f ca="1">IFERROR(__xludf.DUMMYFUNCTION("""COMPUTED_VALUE"""),"AEROSTAR (2)")</f>
        <v>AEROSTAR (2)</v>
      </c>
      <c r="C1034" s="5" t="str">
        <f ca="1">IFERROR(__xludf.DUMMYFUNCTION("""COMPUTED_VALUE"""),"R40S Festival")</f>
        <v>R40S Festival</v>
      </c>
      <c r="D1034" s="5" t="str">
        <f ca="1">IFERROR(__xludf.DUMMYFUNCTION("""COMPUTED_VALUE"""),"LandPlane")</f>
        <v>LandPlane</v>
      </c>
      <c r="E1034" s="5" t="str">
        <f ca="1">IFERROR(__xludf.DUMMYFUNCTION("""COMPUTED_VALUE"""),"Piston")</f>
        <v>Piston</v>
      </c>
      <c r="F1034" s="5">
        <f ca="1">IFERROR(__xludf.DUMMYFUNCTION("""COMPUTED_VALUE"""),1)</f>
        <v>1</v>
      </c>
    </row>
    <row r="1035" spans="1:6" ht="15" customHeight="1" x14ac:dyDescent="0.2">
      <c r="A1035" s="5" t="str">
        <f ca="1">IFERROR(__xludf.DUMMYFUNCTION("""COMPUTED_VALUE"""),"FFLY")</f>
        <v>FFLY</v>
      </c>
      <c r="B1035" s="5" t="str">
        <f ca="1">IFERROR(__xludf.DUMMYFUNCTION("""COMPUTED_VALUE"""),"FAIREY")</f>
        <v>FAIREY</v>
      </c>
      <c r="C1035" s="5" t="str">
        <f ca="1">IFERROR(__xludf.DUMMYFUNCTION("""COMPUTED_VALUE"""),"Firefly")</f>
        <v>Firefly</v>
      </c>
      <c r="D1035" s="5" t="str">
        <f ca="1">IFERROR(__xludf.DUMMYFUNCTION("""COMPUTED_VALUE"""),"LandPlane")</f>
        <v>LandPlane</v>
      </c>
      <c r="E1035" s="5" t="str">
        <f ca="1">IFERROR(__xludf.DUMMYFUNCTION("""COMPUTED_VALUE"""),"Piston")</f>
        <v>Piston</v>
      </c>
      <c r="F1035" s="5">
        <f ca="1">IFERROR(__xludf.DUMMYFUNCTION("""COMPUTED_VALUE"""),1)</f>
        <v>1</v>
      </c>
    </row>
    <row r="1036" spans="1:6" ht="15" customHeight="1" x14ac:dyDescent="0.2">
      <c r="A1036" s="5" t="str">
        <f ca="1">IFERROR(__xludf.DUMMYFUNCTION("""COMPUTED_VALUE"""),"FG01")</f>
        <v>FG01</v>
      </c>
      <c r="B1036" s="5" t="str">
        <f ca="1">IFERROR(__xludf.DUMMYFUNCTION("""COMPUTED_VALUE"""),"FARIGOUX")</f>
        <v>FARIGOUX</v>
      </c>
      <c r="C1036" s="5" t="str">
        <f ca="1">IFERROR(__xludf.DUMMYFUNCTION("""COMPUTED_VALUE"""),"FG-01 Origan")</f>
        <v>FG-01 Origan</v>
      </c>
      <c r="D1036" s="5" t="str">
        <f ca="1">IFERROR(__xludf.DUMMYFUNCTION("""COMPUTED_VALUE"""),"LandPlane")</f>
        <v>LandPlane</v>
      </c>
      <c r="E1036" s="5" t="str">
        <f ca="1">IFERROR(__xludf.DUMMYFUNCTION("""COMPUTED_VALUE"""),"Piston")</f>
        <v>Piston</v>
      </c>
      <c r="F1036" s="5">
        <f ca="1">IFERROR(__xludf.DUMMYFUNCTION("""COMPUTED_VALUE"""),1)</f>
        <v>1</v>
      </c>
    </row>
    <row r="1037" spans="1:6" ht="15" customHeight="1" x14ac:dyDescent="0.2">
      <c r="A1037" s="5" t="str">
        <f ca="1">IFERROR(__xludf.DUMMYFUNCTION("""COMPUTED_VALUE"""),"FGT")</f>
        <v>FGT</v>
      </c>
      <c r="B1037" s="5" t="str">
        <f ca="1">IFERROR(__xludf.DUMMYFUNCTION("""COMPUTED_VALUE"""),"MIDWEST AEROSPORT")</f>
        <v>MIDWEST AEROSPORT</v>
      </c>
      <c r="C1037" s="5" t="str">
        <f ca="1">IFERROR(__xludf.DUMMYFUNCTION("""COMPUTED_VALUE"""),"Formula GT")</f>
        <v>Formula GT</v>
      </c>
      <c r="D1037" s="5" t="str">
        <f ca="1">IFERROR(__xludf.DUMMYFUNCTION("""COMPUTED_VALUE"""),"LandPlane")</f>
        <v>LandPlane</v>
      </c>
      <c r="E1037" s="5" t="str">
        <f ca="1">IFERROR(__xludf.DUMMYFUNCTION("""COMPUTED_VALUE"""),"Piston")</f>
        <v>Piston</v>
      </c>
      <c r="F1037" s="5">
        <f ca="1">IFERROR(__xludf.DUMMYFUNCTION("""COMPUTED_VALUE"""),1)</f>
        <v>1</v>
      </c>
    </row>
    <row r="1038" spans="1:6" ht="15" customHeight="1" x14ac:dyDescent="0.2">
      <c r="A1038" s="5" t="str">
        <f ca="1">IFERROR(__xludf.DUMMYFUNCTION("""COMPUTED_VALUE"""),"FH11")</f>
        <v>FH11</v>
      </c>
      <c r="B1038" s="5" t="str">
        <f ca="1">IFERROR(__xludf.DUMMYFUNCTION("""COMPUTED_VALUE"""),"FAIRCHILD HILLER")</f>
        <v>FAIRCHILD HILLER</v>
      </c>
      <c r="C1038" s="5" t="str">
        <f ca="1">IFERROR(__xludf.DUMMYFUNCTION("""COMPUTED_VALUE"""),"FH-1100")</f>
        <v>FH-1100</v>
      </c>
      <c r="D1038" s="5" t="str">
        <f ca="1">IFERROR(__xludf.DUMMYFUNCTION("""COMPUTED_VALUE"""),"Helicopter")</f>
        <v>Helicopter</v>
      </c>
      <c r="E1038" s="5" t="str">
        <f ca="1">IFERROR(__xludf.DUMMYFUNCTION("""COMPUTED_VALUE"""),"Turboprop/Turboshaft")</f>
        <v>Turboprop/Turboshaft</v>
      </c>
      <c r="F1038" s="5">
        <f ca="1">IFERROR(__xludf.DUMMYFUNCTION("""COMPUTED_VALUE"""),1)</f>
        <v>1</v>
      </c>
    </row>
    <row r="1039" spans="1:6" ht="15" customHeight="1" x14ac:dyDescent="0.2">
      <c r="A1039" s="5" t="str">
        <f ca="1">IFERROR(__xludf.DUMMYFUNCTION("""COMPUTED_VALUE"""),"FIBO")</f>
        <v>FIBO</v>
      </c>
      <c r="B1039" s="5" t="str">
        <f ca="1">IFERROR(__xludf.DUMMYFUNCTION("""COMPUTED_VALUE"""),"STARFIRE")</f>
        <v>STARFIRE</v>
      </c>
      <c r="C1039" s="5" t="str">
        <f ca="1">IFERROR(__xludf.DUMMYFUNCTION("""COMPUTED_VALUE"""),"Firebolt Convertible")</f>
        <v>Firebolt Convertible</v>
      </c>
      <c r="D1039" s="5" t="str">
        <f ca="1">IFERROR(__xludf.DUMMYFUNCTION("""COMPUTED_VALUE"""),"LandPlane")</f>
        <v>LandPlane</v>
      </c>
      <c r="E1039" s="5" t="str">
        <f ca="1">IFERROR(__xludf.DUMMYFUNCTION("""COMPUTED_VALUE"""),"Piston")</f>
        <v>Piston</v>
      </c>
      <c r="F1039" s="5">
        <f ca="1">IFERROR(__xludf.DUMMYFUNCTION("""COMPUTED_VALUE"""),1)</f>
        <v>1</v>
      </c>
    </row>
    <row r="1040" spans="1:6" ht="15" customHeight="1" x14ac:dyDescent="0.2">
      <c r="A1040" s="5" t="str">
        <f ca="1">IFERROR(__xludf.DUMMYFUNCTION("""COMPUTED_VALUE"""),"FIKD")</f>
        <v>FIKD</v>
      </c>
      <c r="B1040" s="5" t="str">
        <f ca="1">IFERROR(__xludf.DUMMYFUNCTION("""COMPUTED_VALUE"""),"FIKE")</f>
        <v>FIKE</v>
      </c>
      <c r="C1040" s="5" t="str">
        <f ca="1">IFERROR(__xludf.DUMMYFUNCTION("""COMPUTED_VALUE"""),"D")</f>
        <v>D</v>
      </c>
      <c r="D1040" s="5" t="str">
        <f ca="1">IFERROR(__xludf.DUMMYFUNCTION("""COMPUTED_VALUE"""),"LandPlane")</f>
        <v>LandPlane</v>
      </c>
      <c r="E1040" s="5" t="str">
        <f ca="1">IFERROR(__xludf.DUMMYFUNCTION("""COMPUTED_VALUE"""),"Piston")</f>
        <v>Piston</v>
      </c>
      <c r="F1040" s="5">
        <f ca="1">IFERROR(__xludf.DUMMYFUNCTION("""COMPUTED_VALUE"""),1)</f>
        <v>1</v>
      </c>
    </row>
    <row r="1041" spans="1:6" ht="15" customHeight="1" x14ac:dyDescent="0.2">
      <c r="A1041" s="5" t="str">
        <f ca="1">IFERROR(__xludf.DUMMYFUNCTION("""COMPUTED_VALUE"""),"FIKE")</f>
        <v>FIKE</v>
      </c>
      <c r="B1041" s="5" t="str">
        <f ca="1">IFERROR(__xludf.DUMMYFUNCTION("""COMPUTED_VALUE"""),"FIKE")</f>
        <v>FIKE</v>
      </c>
      <c r="C1041" s="5" t="str">
        <f ca="1">IFERROR(__xludf.DUMMYFUNCTION("""COMPUTED_VALUE"""),"E")</f>
        <v>E</v>
      </c>
      <c r="D1041" s="5" t="str">
        <f ca="1">IFERROR(__xludf.DUMMYFUNCTION("""COMPUTED_VALUE"""),"LandPlane")</f>
        <v>LandPlane</v>
      </c>
      <c r="E1041" s="5" t="str">
        <f ca="1">IFERROR(__xludf.DUMMYFUNCTION("""COMPUTED_VALUE"""),"Piston")</f>
        <v>Piston</v>
      </c>
      <c r="F1041" s="5">
        <f ca="1">IFERROR(__xludf.DUMMYFUNCTION("""COMPUTED_VALUE"""),1)</f>
        <v>1</v>
      </c>
    </row>
    <row r="1042" spans="1:6" ht="15" customHeight="1" x14ac:dyDescent="0.2">
      <c r="A1042" s="5" t="str">
        <f ca="1">IFERROR(__xludf.DUMMYFUNCTION("""COMPUTED_VALUE"""),"FINC")</f>
        <v>FINC</v>
      </c>
      <c r="B1042" s="5" t="str">
        <f ca="1">IFERROR(__xludf.DUMMYFUNCTION("""COMPUTED_VALUE"""),"FLEET")</f>
        <v>FLEET</v>
      </c>
      <c r="C1042" s="5" t="str">
        <f ca="1">IFERROR(__xludf.DUMMYFUNCTION("""COMPUTED_VALUE"""),"16 Finch")</f>
        <v>16 Finch</v>
      </c>
      <c r="D1042" s="5" t="str">
        <f ca="1">IFERROR(__xludf.DUMMYFUNCTION("""COMPUTED_VALUE"""),"LandPlane")</f>
        <v>LandPlane</v>
      </c>
      <c r="E1042" s="5" t="str">
        <f ca="1">IFERROR(__xludf.DUMMYFUNCTION("""COMPUTED_VALUE"""),"Piston")</f>
        <v>Piston</v>
      </c>
      <c r="F1042" s="5">
        <f ca="1">IFERROR(__xludf.DUMMYFUNCTION("""COMPUTED_VALUE"""),1)</f>
        <v>1</v>
      </c>
    </row>
    <row r="1043" spans="1:6" ht="15" customHeight="1" x14ac:dyDescent="0.2">
      <c r="A1043" s="5" t="str">
        <f ca="1">IFERROR(__xludf.DUMMYFUNCTION("""COMPUTED_VALUE"""),"FJ10")</f>
        <v>FJ10</v>
      </c>
      <c r="B1043" s="5" t="str">
        <f ca="1">IFERROR(__xludf.DUMMYFUNCTION("""COMPUTED_VALUE"""),"AEROSTAR (1)")</f>
        <v>AEROSTAR (1)</v>
      </c>
      <c r="C1043" s="5" t="str">
        <f ca="1">IFERROR(__xludf.DUMMYFUNCTION("""COMPUTED_VALUE"""),"FJ-100")</f>
        <v>FJ-100</v>
      </c>
      <c r="D1043" s="5" t="str">
        <f ca="1">IFERROR(__xludf.DUMMYFUNCTION("""COMPUTED_VALUE"""),"LandPlane")</f>
        <v>LandPlane</v>
      </c>
      <c r="E1043" s="5" t="str">
        <f ca="1">IFERROR(__xludf.DUMMYFUNCTION("""COMPUTED_VALUE"""),"Jet")</f>
        <v>Jet</v>
      </c>
      <c r="F1043" s="5">
        <f ca="1">IFERROR(__xludf.DUMMYFUNCTION("""COMPUTED_VALUE"""),2)</f>
        <v>2</v>
      </c>
    </row>
    <row r="1044" spans="1:6" ht="15" customHeight="1" x14ac:dyDescent="0.2">
      <c r="A1044" s="5" t="str">
        <f ca="1">IFERROR(__xludf.DUMMYFUNCTION("""COMPUTED_VALUE"""),"FJR3")</f>
        <v>FJR3</v>
      </c>
      <c r="B1044" s="5" t="str">
        <f ca="1">IFERROR(__xludf.DUMMYFUNCTION("""COMPUTED_VALUE"""),"FAJR")</f>
        <v>FAJR</v>
      </c>
      <c r="C1044" s="5" t="str">
        <f ca="1">IFERROR(__xludf.DUMMYFUNCTION("""COMPUTED_VALUE"""),"F-3")</f>
        <v>F-3</v>
      </c>
      <c r="D1044" s="5" t="str">
        <f ca="1">IFERROR(__xludf.DUMMYFUNCTION("""COMPUTED_VALUE"""),"LandPlane")</f>
        <v>LandPlane</v>
      </c>
      <c r="E1044" s="5" t="str">
        <f ca="1">IFERROR(__xludf.DUMMYFUNCTION("""COMPUTED_VALUE"""),"Piston")</f>
        <v>Piston</v>
      </c>
      <c r="F1044" s="5">
        <f ca="1">IFERROR(__xludf.DUMMYFUNCTION("""COMPUTED_VALUE"""),1)</f>
        <v>1</v>
      </c>
    </row>
    <row r="1045" spans="1:6" ht="15" customHeight="1" x14ac:dyDescent="0.2">
      <c r="A1045" s="5" t="str">
        <f ca="1">IFERROR(__xludf.DUMMYFUNCTION("""COMPUTED_VALUE"""),"FK12")</f>
        <v>FK12</v>
      </c>
      <c r="B1045" s="5" t="str">
        <f ca="1">IFERROR(__xludf.DUMMYFUNCTION("""COMPUTED_VALUE"""),"B &amp; F TECHNIK")</f>
        <v>B &amp; F TECHNIK</v>
      </c>
      <c r="C1045" s="5" t="str">
        <f ca="1">IFERROR(__xludf.DUMMYFUNCTION("""COMPUTED_VALUE"""),"FK-12 Comet")</f>
        <v>FK-12 Comet</v>
      </c>
      <c r="D1045" s="5" t="str">
        <f ca="1">IFERROR(__xludf.DUMMYFUNCTION("""COMPUTED_VALUE"""),"LandPlane")</f>
        <v>LandPlane</v>
      </c>
      <c r="E1045" s="5" t="str">
        <f ca="1">IFERROR(__xludf.DUMMYFUNCTION("""COMPUTED_VALUE"""),"Piston")</f>
        <v>Piston</v>
      </c>
      <c r="F1045" s="5">
        <f ca="1">IFERROR(__xludf.DUMMYFUNCTION("""COMPUTED_VALUE"""),1)</f>
        <v>1</v>
      </c>
    </row>
    <row r="1046" spans="1:6" ht="15" customHeight="1" x14ac:dyDescent="0.2">
      <c r="A1046" s="5" t="str">
        <f ca="1">IFERROR(__xludf.DUMMYFUNCTION("""COMPUTED_VALUE"""),"FK14")</f>
        <v>FK14</v>
      </c>
      <c r="B1046" s="5" t="str">
        <f ca="1">IFERROR(__xludf.DUMMYFUNCTION("""COMPUTED_VALUE"""),"B &amp; F TECHNIK")</f>
        <v>B &amp; F TECHNIK</v>
      </c>
      <c r="C1046" s="5" t="str">
        <f ca="1">IFERROR(__xludf.DUMMYFUNCTION("""COMPUTED_VALUE"""),"FK-14 Polaris")</f>
        <v>FK-14 Polaris</v>
      </c>
      <c r="D1046" s="5" t="str">
        <f ca="1">IFERROR(__xludf.DUMMYFUNCTION("""COMPUTED_VALUE"""),"LandPlane")</f>
        <v>LandPlane</v>
      </c>
      <c r="E1046" s="5" t="str">
        <f ca="1">IFERROR(__xludf.DUMMYFUNCTION("""COMPUTED_VALUE"""),"Piston")</f>
        <v>Piston</v>
      </c>
      <c r="F1046" s="5">
        <f ca="1">IFERROR(__xludf.DUMMYFUNCTION("""COMPUTED_VALUE"""),1)</f>
        <v>1</v>
      </c>
    </row>
    <row r="1047" spans="1:6" ht="15" customHeight="1" x14ac:dyDescent="0.2">
      <c r="A1047" s="5" t="str">
        <f ca="1">IFERROR(__xludf.DUMMYFUNCTION("""COMPUTED_VALUE"""),"FK9")</f>
        <v>FK9</v>
      </c>
      <c r="B1047" s="5" t="str">
        <f ca="1">IFERROR(__xludf.DUMMYFUNCTION("""COMPUTED_VALUE"""),"B &amp; F TECHNIK")</f>
        <v>B &amp; F TECHNIK</v>
      </c>
      <c r="C1047" s="5" t="str">
        <f ca="1">IFERROR(__xludf.DUMMYFUNCTION("""COMPUTED_VALUE"""),"FK-9")</f>
        <v>FK-9</v>
      </c>
      <c r="D1047" s="5" t="str">
        <f ca="1">IFERROR(__xludf.DUMMYFUNCTION("""COMPUTED_VALUE"""),"LandPlane")</f>
        <v>LandPlane</v>
      </c>
      <c r="E1047" s="5" t="str">
        <f ca="1">IFERROR(__xludf.DUMMYFUNCTION("""COMPUTED_VALUE"""),"Piston")</f>
        <v>Piston</v>
      </c>
      <c r="F1047" s="5">
        <f ca="1">IFERROR(__xludf.DUMMYFUNCTION("""COMPUTED_VALUE"""),1)</f>
        <v>1</v>
      </c>
    </row>
    <row r="1048" spans="1:6" ht="15" customHeight="1" x14ac:dyDescent="0.2">
      <c r="A1048" s="5" t="str">
        <f ca="1">IFERROR(__xludf.DUMMYFUNCTION("""COMPUTED_VALUE"""),"FL3")</f>
        <v>FL3</v>
      </c>
      <c r="B1048" s="5" t="str">
        <f ca="1">IFERROR(__xludf.DUMMYFUNCTION("""COMPUTED_VALUE"""),"AVIA (1)")</f>
        <v>AVIA (1)</v>
      </c>
      <c r="C1048" s="5" t="str">
        <f ca="1">IFERROR(__xludf.DUMMYFUNCTION("""COMPUTED_VALUE"""),"L-3 Aviastarlet")</f>
        <v>L-3 Aviastarlet</v>
      </c>
      <c r="D1048" s="5" t="str">
        <f ca="1">IFERROR(__xludf.DUMMYFUNCTION("""COMPUTED_VALUE"""),"LandPlane")</f>
        <v>LandPlane</v>
      </c>
      <c r="E1048" s="5" t="str">
        <f ca="1">IFERROR(__xludf.DUMMYFUNCTION("""COMPUTED_VALUE"""),"Piston")</f>
        <v>Piston</v>
      </c>
      <c r="F1048" s="5">
        <f ca="1">IFERROR(__xludf.DUMMYFUNCTION("""COMPUTED_VALUE"""),1)</f>
        <v>1</v>
      </c>
    </row>
    <row r="1049" spans="1:6" ht="15" customHeight="1" x14ac:dyDescent="0.2">
      <c r="A1049" s="5" t="str">
        <f ca="1">IFERROR(__xludf.DUMMYFUNCTION("""COMPUTED_VALUE"""),"FL53")</f>
        <v>FL53</v>
      </c>
      <c r="B1049" s="5" t="str">
        <f ca="1">IFERROR(__xludf.DUMMYFUNCTION("""COMPUTED_VALUE"""),"METEOR")</f>
        <v>METEOR</v>
      </c>
      <c r="C1049" s="5" t="str">
        <f ca="1">IFERROR(__xludf.DUMMYFUNCTION("""COMPUTED_VALUE"""),"FL-53")</f>
        <v>FL-53</v>
      </c>
      <c r="D1049" s="5" t="str">
        <f ca="1">IFERROR(__xludf.DUMMYFUNCTION("""COMPUTED_VALUE"""),"LandPlane")</f>
        <v>LandPlane</v>
      </c>
      <c r="E1049" s="5" t="str">
        <f ca="1">IFERROR(__xludf.DUMMYFUNCTION("""COMPUTED_VALUE"""),"Piston")</f>
        <v>Piston</v>
      </c>
      <c r="F1049" s="5">
        <f ca="1">IFERROR(__xludf.DUMMYFUNCTION("""COMPUTED_VALUE"""),1)</f>
        <v>1</v>
      </c>
    </row>
    <row r="1050" spans="1:6" ht="15" customHeight="1" x14ac:dyDescent="0.2">
      <c r="A1050" s="5" t="str">
        <f ca="1">IFERROR(__xludf.DUMMYFUNCTION("""COMPUTED_VALUE"""),"FL54")</f>
        <v>FL54</v>
      </c>
      <c r="B1050" s="5" t="str">
        <f ca="1">IFERROR(__xludf.DUMMYFUNCTION("""COMPUTED_VALUE"""),"METEOR")</f>
        <v>METEOR</v>
      </c>
      <c r="C1050" s="5" t="str">
        <f ca="1">IFERROR(__xludf.DUMMYFUNCTION("""COMPUTED_VALUE"""),"FL-54")</f>
        <v>FL-54</v>
      </c>
      <c r="D1050" s="5" t="str">
        <f ca="1">IFERROR(__xludf.DUMMYFUNCTION("""COMPUTED_VALUE"""),"LandPlane")</f>
        <v>LandPlane</v>
      </c>
      <c r="E1050" s="5" t="str">
        <f ca="1">IFERROR(__xludf.DUMMYFUNCTION("""COMPUTED_VALUE"""),"Piston")</f>
        <v>Piston</v>
      </c>
      <c r="F1050" s="5">
        <f ca="1">IFERROR(__xludf.DUMMYFUNCTION("""COMPUTED_VALUE"""),1)</f>
        <v>1</v>
      </c>
    </row>
    <row r="1051" spans="1:6" ht="15" customHeight="1" x14ac:dyDescent="0.2">
      <c r="A1051" s="5" t="str">
        <f ca="1">IFERROR(__xludf.DUMMYFUNCTION("""COMPUTED_VALUE"""),"FL55")</f>
        <v>FL55</v>
      </c>
      <c r="B1051" s="5" t="str">
        <f ca="1">IFERROR(__xludf.DUMMYFUNCTION("""COMPUTED_VALUE"""),"METEOR")</f>
        <v>METEOR</v>
      </c>
      <c r="C1051" s="5" t="str">
        <f ca="1">IFERROR(__xludf.DUMMYFUNCTION("""COMPUTED_VALUE"""),"FL-55")</f>
        <v>FL-55</v>
      </c>
      <c r="D1051" s="5" t="str">
        <f ca="1">IFERROR(__xludf.DUMMYFUNCTION("""COMPUTED_VALUE"""),"LandPlane")</f>
        <v>LandPlane</v>
      </c>
      <c r="E1051" s="5" t="str">
        <f ca="1">IFERROR(__xludf.DUMMYFUNCTION("""COMPUTED_VALUE"""),"Piston")</f>
        <v>Piston</v>
      </c>
      <c r="F1051" s="5">
        <f ca="1">IFERROR(__xludf.DUMMYFUNCTION("""COMPUTED_VALUE"""),1)</f>
        <v>1</v>
      </c>
    </row>
    <row r="1052" spans="1:6" ht="15" customHeight="1" x14ac:dyDescent="0.2">
      <c r="A1052" s="5" t="str">
        <f ca="1">IFERROR(__xludf.DUMMYFUNCTION("""COMPUTED_VALUE"""),"FLAM")</f>
        <v>FLAM</v>
      </c>
      <c r="B1052" s="5" t="str">
        <f ca="1">IFERROR(__xludf.DUMMYFUNCTION("""COMPUTED_VALUE"""),"DASSAULT")</f>
        <v>DASSAULT</v>
      </c>
      <c r="C1052" s="5" t="str">
        <f ca="1">IFERROR(__xludf.DUMMYFUNCTION("""COMPUTED_VALUE"""),"MD-311 Flamant")</f>
        <v>MD-311 Flamant</v>
      </c>
      <c r="D1052" s="5" t="str">
        <f ca="1">IFERROR(__xludf.DUMMYFUNCTION("""COMPUTED_VALUE"""),"LandPlane")</f>
        <v>LandPlane</v>
      </c>
      <c r="E1052" s="5" t="str">
        <f ca="1">IFERROR(__xludf.DUMMYFUNCTION("""COMPUTED_VALUE"""),"Piston")</f>
        <v>Piston</v>
      </c>
      <c r="F1052" s="5">
        <f ca="1">IFERROR(__xludf.DUMMYFUNCTION("""COMPUTED_VALUE"""),2)</f>
        <v>2</v>
      </c>
    </row>
    <row r="1053" spans="1:6" ht="15" customHeight="1" x14ac:dyDescent="0.2">
      <c r="A1053" s="5" t="str">
        <f ca="1">IFERROR(__xludf.DUMMYFUNCTION("""COMPUTED_VALUE"""),"FLCO")</f>
        <v>FLCO</v>
      </c>
      <c r="B1053" s="5" t="str">
        <f ca="1">IFERROR(__xludf.DUMMYFUNCTION("""COMPUTED_VALUE"""),"SELEX ES")</f>
        <v>SELEX ES</v>
      </c>
      <c r="C1053" s="5" t="str">
        <f ca="1">IFERROR(__xludf.DUMMYFUNCTION("""COMPUTED_VALUE"""),"Falco")</f>
        <v>Falco</v>
      </c>
      <c r="D1053" s="5" t="str">
        <f ca="1">IFERROR(__xludf.DUMMYFUNCTION("""COMPUTED_VALUE"""),"LandPlane")</f>
        <v>LandPlane</v>
      </c>
      <c r="E1053" s="5" t="str">
        <f ca="1">IFERROR(__xludf.DUMMYFUNCTION("""COMPUTED_VALUE"""),"Piston")</f>
        <v>Piston</v>
      </c>
      <c r="F1053" s="5">
        <f ca="1">IFERROR(__xludf.DUMMYFUNCTION("""COMPUTED_VALUE"""),1)</f>
        <v>1</v>
      </c>
    </row>
    <row r="1054" spans="1:6" ht="15" customHeight="1" x14ac:dyDescent="0.2">
      <c r="A1054" s="5" t="str">
        <f ca="1">IFERROR(__xludf.DUMMYFUNCTION("""COMPUTED_VALUE"""),"FLE2")</f>
        <v>FLE2</v>
      </c>
      <c r="B1054" s="5" t="str">
        <f ca="1">IFERROR(__xludf.DUMMYFUNCTION("""COMPUTED_VALUE"""),"FLEET")</f>
        <v>FLEET</v>
      </c>
      <c r="C1054" s="5" t="str">
        <f ca="1">IFERROR(__xludf.DUMMYFUNCTION("""COMPUTED_VALUE"""),"2")</f>
        <v>2</v>
      </c>
      <c r="D1054" s="5" t="str">
        <f ca="1">IFERROR(__xludf.DUMMYFUNCTION("""COMPUTED_VALUE"""),"LandPlane")</f>
        <v>LandPlane</v>
      </c>
      <c r="E1054" s="5" t="str">
        <f ca="1">IFERROR(__xludf.DUMMYFUNCTION("""COMPUTED_VALUE"""),"Piston")</f>
        <v>Piston</v>
      </c>
      <c r="F1054" s="5">
        <f ca="1">IFERROR(__xludf.DUMMYFUNCTION("""COMPUTED_VALUE"""),1)</f>
        <v>1</v>
      </c>
    </row>
    <row r="1055" spans="1:6" ht="15" customHeight="1" x14ac:dyDescent="0.2">
      <c r="A1055" s="5" t="str">
        <f ca="1">IFERROR(__xludf.DUMMYFUNCTION("""COMPUTED_VALUE"""),"FLE7")</f>
        <v>FLE7</v>
      </c>
      <c r="B1055" s="5" t="str">
        <f ca="1">IFERROR(__xludf.DUMMYFUNCTION("""COMPUTED_VALUE"""),"FLEET")</f>
        <v>FLEET</v>
      </c>
      <c r="C1055" s="5" t="str">
        <f ca="1">IFERROR(__xludf.DUMMYFUNCTION("""COMPUTED_VALUE"""),"7 Fawn")</f>
        <v>7 Fawn</v>
      </c>
      <c r="D1055" s="5" t="str">
        <f ca="1">IFERROR(__xludf.DUMMYFUNCTION("""COMPUTED_VALUE"""),"LandPlane")</f>
        <v>LandPlane</v>
      </c>
      <c r="E1055" s="5" t="str">
        <f ca="1">IFERROR(__xludf.DUMMYFUNCTION("""COMPUTED_VALUE"""),"Piston")</f>
        <v>Piston</v>
      </c>
      <c r="F1055" s="5">
        <f ca="1">IFERROR(__xludf.DUMMYFUNCTION("""COMPUTED_VALUE"""),1)</f>
        <v>1</v>
      </c>
    </row>
    <row r="1056" spans="1:6" ht="15" customHeight="1" x14ac:dyDescent="0.2">
      <c r="A1056" s="5" t="str">
        <f ca="1">IFERROR(__xludf.DUMMYFUNCTION("""COMPUTED_VALUE"""),"FLIZ")</f>
        <v>FLIZ</v>
      </c>
      <c r="B1056" s="5" t="str">
        <f ca="1">IFERROR(__xludf.DUMMYFUNCTION("""COMPUTED_VALUE"""),"FLITZER")</f>
        <v>FLITZER</v>
      </c>
      <c r="C1056" s="5" t="str">
        <f ca="1">IFERROR(__xludf.DUMMYFUNCTION("""COMPUTED_VALUE"""),"Z-1 Flitzer")</f>
        <v>Z-1 Flitzer</v>
      </c>
      <c r="D1056" s="5" t="str">
        <f ca="1">IFERROR(__xludf.DUMMYFUNCTION("""COMPUTED_VALUE"""),"LandPlane")</f>
        <v>LandPlane</v>
      </c>
      <c r="E1056" s="5" t="str">
        <f ca="1">IFERROR(__xludf.DUMMYFUNCTION("""COMPUTED_VALUE"""),"Piston")</f>
        <v>Piston</v>
      </c>
      <c r="F1056" s="5">
        <f ca="1">IFERROR(__xludf.DUMMYFUNCTION("""COMPUTED_VALUE"""),1)</f>
        <v>1</v>
      </c>
    </row>
    <row r="1057" spans="1:6" ht="15" customHeight="1" x14ac:dyDescent="0.2">
      <c r="A1057" s="5" t="str">
        <f ca="1">IFERROR(__xludf.DUMMYFUNCTION("""COMPUTED_VALUE"""),"FLSH")</f>
        <v>FLSH</v>
      </c>
      <c r="B1057" s="5" t="str">
        <f ca="1">IFERROR(__xludf.DUMMYFUNCTION("""COMPUTED_VALUE"""),"EURO-FLY")</f>
        <v>EURO-FLY</v>
      </c>
      <c r="C1057" s="5" t="str">
        <f ca="1">IFERROR(__xludf.DUMMYFUNCTION("""COMPUTED_VALUE"""),"Flash")</f>
        <v>Flash</v>
      </c>
      <c r="D1057" s="5" t="str">
        <f ca="1">IFERROR(__xludf.DUMMYFUNCTION("""COMPUTED_VALUE"""),"LandPlane")</f>
        <v>LandPlane</v>
      </c>
      <c r="E1057" s="5" t="str">
        <f ca="1">IFERROR(__xludf.DUMMYFUNCTION("""COMPUTED_VALUE"""),"Piston")</f>
        <v>Piston</v>
      </c>
      <c r="F1057" s="5">
        <f ca="1">IFERROR(__xludf.DUMMYFUNCTION("""COMPUTED_VALUE"""),1)</f>
        <v>1</v>
      </c>
    </row>
    <row r="1058" spans="1:6" ht="15" customHeight="1" x14ac:dyDescent="0.2">
      <c r="A1058" s="5" t="str">
        <f ca="1">IFERROR(__xludf.DUMMYFUNCTION("""COMPUTED_VALUE"""),"FLSS")</f>
        <v>FLSS</v>
      </c>
      <c r="B1058" s="5" t="str">
        <f ca="1">IFERROR(__xludf.DUMMYFUNCTION("""COMPUTED_VALUE"""),"KOLB")</f>
        <v>KOLB</v>
      </c>
      <c r="C1058" s="5" t="str">
        <f ca="1">IFERROR(__xludf.DUMMYFUNCTION("""COMPUTED_VALUE"""),"Flyer SS")</f>
        <v>Flyer SS</v>
      </c>
      <c r="D1058" s="5" t="str">
        <f ca="1">IFERROR(__xludf.DUMMYFUNCTION("""COMPUTED_VALUE"""),"LandPlane")</f>
        <v>LandPlane</v>
      </c>
      <c r="E1058" s="5" t="str">
        <f ca="1">IFERROR(__xludf.DUMMYFUNCTION("""COMPUTED_VALUE"""),"Piston")</f>
        <v>Piston</v>
      </c>
      <c r="F1058" s="5">
        <f ca="1">IFERROR(__xludf.DUMMYFUNCTION("""COMPUTED_VALUE"""),1)</f>
        <v>1</v>
      </c>
    </row>
    <row r="1059" spans="1:6" ht="15" customHeight="1" x14ac:dyDescent="0.2">
      <c r="A1059" s="5" t="str">
        <f ca="1">IFERROR(__xludf.DUMMYFUNCTION("""COMPUTED_VALUE"""),"FM25")</f>
        <v>FM25</v>
      </c>
      <c r="B1059" s="5" t="str">
        <f ca="1">IFERROR(__xludf.DUMMYFUNCTION("""COMPUTED_VALUE"""),"FLYING MACHINES")</f>
        <v>FLYING MACHINES</v>
      </c>
      <c r="C1059" s="5" t="str">
        <f ca="1">IFERROR(__xludf.DUMMYFUNCTION("""COMPUTED_VALUE"""),"FM-250 Vampire")</f>
        <v>FM-250 Vampire</v>
      </c>
      <c r="D1059" s="5" t="str">
        <f ca="1">IFERROR(__xludf.DUMMYFUNCTION("""COMPUTED_VALUE"""),"LandPlane")</f>
        <v>LandPlane</v>
      </c>
      <c r="E1059" s="5" t="str">
        <f ca="1">IFERROR(__xludf.DUMMYFUNCTION("""COMPUTED_VALUE"""),"Piston")</f>
        <v>Piston</v>
      </c>
      <c r="F1059" s="5">
        <f ca="1">IFERROR(__xludf.DUMMYFUNCTION("""COMPUTED_VALUE"""),1)</f>
        <v>1</v>
      </c>
    </row>
    <row r="1060" spans="1:6" ht="15" customHeight="1" x14ac:dyDescent="0.2">
      <c r="A1060" s="5" t="str">
        <f ca="1">IFERROR(__xludf.DUMMYFUNCTION("""COMPUTED_VALUE"""),"FMGO")</f>
        <v>FMGO</v>
      </c>
      <c r="B1060" s="5" t="str">
        <f ca="1">IFERROR(__xludf.DUMMYFUNCTION("""COMPUTED_VALUE"""),"AAK")</f>
        <v>AAK</v>
      </c>
      <c r="C1060" s="5" t="str">
        <f ca="1">IFERROR(__xludf.DUMMYFUNCTION("""COMPUTED_VALUE"""),"Flamingo")</f>
        <v>Flamingo</v>
      </c>
      <c r="D1060" s="5" t="str">
        <f ca="1">IFERROR(__xludf.DUMMYFUNCTION("""COMPUTED_VALUE"""),"LandPlane")</f>
        <v>LandPlane</v>
      </c>
      <c r="E1060" s="5" t="str">
        <f ca="1">IFERROR(__xludf.DUMMYFUNCTION("""COMPUTED_VALUE"""),"Piston")</f>
        <v>Piston</v>
      </c>
      <c r="F1060" s="5">
        <f ca="1">IFERROR(__xludf.DUMMYFUNCTION("""COMPUTED_VALUE"""),1)</f>
        <v>1</v>
      </c>
    </row>
    <row r="1061" spans="1:6" ht="15" customHeight="1" x14ac:dyDescent="0.2">
      <c r="A1061" s="5" t="str">
        <f ca="1">IFERROR(__xludf.DUMMYFUNCTION("""COMPUTED_VALUE"""),"FN33")</f>
        <v>FN33</v>
      </c>
      <c r="B1061" s="5" t="str">
        <f ca="1">IFERROR(__xludf.DUMMYFUNCTION("""COMPUTED_VALUE"""),"SIAI-MARCHETTI")</f>
        <v>SIAI-MARCHETTI</v>
      </c>
      <c r="C1061" s="5" t="str">
        <f ca="1">IFERROR(__xludf.DUMMYFUNCTION("""COMPUTED_VALUE"""),"FN-333 Riviera")</f>
        <v>FN-333 Riviera</v>
      </c>
      <c r="D1061" s="5" t="str">
        <f ca="1">IFERROR(__xludf.DUMMYFUNCTION("""COMPUTED_VALUE"""),"Amphibian")</f>
        <v>Amphibian</v>
      </c>
      <c r="E1061" s="5" t="str">
        <f ca="1">IFERROR(__xludf.DUMMYFUNCTION("""COMPUTED_VALUE"""),"Piston")</f>
        <v>Piston</v>
      </c>
      <c r="F1061" s="5">
        <f ca="1">IFERROR(__xludf.DUMMYFUNCTION("""COMPUTED_VALUE"""),1)</f>
        <v>1</v>
      </c>
    </row>
    <row r="1062" spans="1:6" ht="15" customHeight="1" x14ac:dyDescent="0.2">
      <c r="A1062" s="5" t="str">
        <f ca="1">IFERROR(__xludf.DUMMYFUNCTION("""COMPUTED_VALUE"""),"FNKB")</f>
        <v>FNKB</v>
      </c>
      <c r="B1062" s="5" t="str">
        <f ca="1">IFERROR(__xludf.DUMMYFUNCTION("""COMPUTED_VALUE"""),"AKRON")</f>
        <v>AKRON</v>
      </c>
      <c r="C1062" s="5" t="str">
        <f ca="1">IFERROR(__xludf.DUMMYFUNCTION("""COMPUTED_VALUE"""),"Funk B")</f>
        <v>Funk B</v>
      </c>
      <c r="D1062" s="5" t="str">
        <f ca="1">IFERROR(__xludf.DUMMYFUNCTION("""COMPUTED_VALUE"""),"LandPlane")</f>
        <v>LandPlane</v>
      </c>
      <c r="E1062" s="5" t="str">
        <f ca="1">IFERROR(__xludf.DUMMYFUNCTION("""COMPUTED_VALUE"""),"Piston")</f>
        <v>Piston</v>
      </c>
      <c r="F1062" s="5">
        <f ca="1">IFERROR(__xludf.DUMMYFUNCTION("""COMPUTED_VALUE"""),1)</f>
        <v>1</v>
      </c>
    </row>
    <row r="1063" spans="1:6" ht="15" customHeight="1" x14ac:dyDescent="0.2">
      <c r="A1063" s="5" t="str">
        <f ca="1">IFERROR(__xludf.DUMMYFUNCTION("""COMPUTED_VALUE"""),"FOOF")</f>
        <v>FOOF</v>
      </c>
      <c r="B1063" s="5" t="str">
        <f ca="1">IFERROR(__xludf.DUMMYFUNCTION("""COMPUTED_VALUE"""),"STEWART (2)")</f>
        <v>STEWART (2)</v>
      </c>
      <c r="C1063" s="5" t="str">
        <f ca="1">IFERROR(__xludf.DUMMYFUNCTION("""COMPUTED_VALUE"""),"JD-2 Foo Fighter")</f>
        <v>JD-2 Foo Fighter</v>
      </c>
      <c r="D1063" s="5" t="str">
        <f ca="1">IFERROR(__xludf.DUMMYFUNCTION("""COMPUTED_VALUE"""),"LandPlane")</f>
        <v>LandPlane</v>
      </c>
      <c r="E1063" s="5" t="str">
        <f ca="1">IFERROR(__xludf.DUMMYFUNCTION("""COMPUTED_VALUE"""),"Piston")</f>
        <v>Piston</v>
      </c>
      <c r="F1063" s="5">
        <f ca="1">IFERROR(__xludf.DUMMYFUNCTION("""COMPUTED_VALUE"""),1)</f>
        <v>1</v>
      </c>
    </row>
    <row r="1064" spans="1:6" ht="15" customHeight="1" x14ac:dyDescent="0.2">
      <c r="A1064" s="5" t="str">
        <f ca="1">IFERROR(__xludf.DUMMYFUNCTION("""COMPUTED_VALUE"""),"FORT")</f>
        <v>FORT</v>
      </c>
      <c r="B1064" s="5" t="str">
        <f ca="1">IFERROR(__xludf.DUMMYFUNCTION("""COMPUTED_VALUE"""),"FLEET")</f>
        <v>FLEET</v>
      </c>
      <c r="C1064" s="5" t="str">
        <f ca="1">IFERROR(__xludf.DUMMYFUNCTION("""COMPUTED_VALUE"""),"60 Fort")</f>
        <v>60 Fort</v>
      </c>
      <c r="D1064" s="5" t="str">
        <f ca="1">IFERROR(__xludf.DUMMYFUNCTION("""COMPUTED_VALUE"""),"LandPlane")</f>
        <v>LandPlane</v>
      </c>
      <c r="E1064" s="5" t="str">
        <f ca="1">IFERROR(__xludf.DUMMYFUNCTION("""COMPUTED_VALUE"""),"Piston")</f>
        <v>Piston</v>
      </c>
      <c r="F1064" s="5">
        <f ca="1">IFERROR(__xludf.DUMMYFUNCTION("""COMPUTED_VALUE"""),1)</f>
        <v>1</v>
      </c>
    </row>
    <row r="1065" spans="1:6" ht="15" customHeight="1" x14ac:dyDescent="0.2">
      <c r="A1065" s="5" t="str">
        <f ca="1">IFERROR(__xludf.DUMMYFUNCTION("""COMPUTED_VALUE"""),"FOUG")</f>
        <v>FOUG</v>
      </c>
      <c r="B1065" s="5" t="str">
        <f ca="1">IFERROR(__xludf.DUMMYFUNCTION("""COMPUTED_VALUE"""),"FOUGA")</f>
        <v>FOUGA</v>
      </c>
      <c r="C1065" s="5" t="str">
        <f ca="1">IFERROR(__xludf.DUMMYFUNCTION("""COMPUTED_VALUE"""),"CM-170R Magister")</f>
        <v>CM-170R Magister</v>
      </c>
      <c r="D1065" s="5" t="str">
        <f ca="1">IFERROR(__xludf.DUMMYFUNCTION("""COMPUTED_VALUE"""),"LandPlane")</f>
        <v>LandPlane</v>
      </c>
      <c r="E1065" s="5" t="str">
        <f ca="1">IFERROR(__xludf.DUMMYFUNCTION("""COMPUTED_VALUE"""),"Jet")</f>
        <v>Jet</v>
      </c>
      <c r="F1065" s="5">
        <f ca="1">IFERROR(__xludf.DUMMYFUNCTION("""COMPUTED_VALUE"""),2)</f>
        <v>2</v>
      </c>
    </row>
    <row r="1066" spans="1:6" ht="15" customHeight="1" x14ac:dyDescent="0.2">
      <c r="A1066" s="5" t="str">
        <f ca="1">IFERROR(__xludf.DUMMYFUNCTION("""COMPUTED_VALUE"""),"FOX")</f>
        <v>FOX</v>
      </c>
      <c r="B1066" s="5" t="str">
        <f ca="1">IFERROR(__xludf.DUMMYFUNCTION("""COMPUTED_VALUE"""),"DENNEY")</f>
        <v>DENNEY</v>
      </c>
      <c r="C1066" s="5" t="str">
        <f ca="1">IFERROR(__xludf.DUMMYFUNCTION("""COMPUTED_VALUE"""),"Kitfox")</f>
        <v>Kitfox</v>
      </c>
      <c r="D1066" s="5" t="str">
        <f ca="1">IFERROR(__xludf.DUMMYFUNCTION("""COMPUTED_VALUE"""),"LandPlane")</f>
        <v>LandPlane</v>
      </c>
      <c r="E1066" s="5" t="str">
        <f ca="1">IFERROR(__xludf.DUMMYFUNCTION("""COMPUTED_VALUE"""),"Piston")</f>
        <v>Piston</v>
      </c>
      <c r="F1066" s="5">
        <f ca="1">IFERROR(__xludf.DUMMYFUNCTION("""COMPUTED_VALUE"""),1)</f>
        <v>1</v>
      </c>
    </row>
    <row r="1067" spans="1:6" ht="15" customHeight="1" x14ac:dyDescent="0.2">
      <c r="A1067" s="5" t="str">
        <f ca="1">IFERROR(__xludf.DUMMYFUNCTION("""COMPUTED_VALUE"""),"FOXT")</f>
        <v>FOXT</v>
      </c>
      <c r="B1067" s="5" t="str">
        <f ca="1">IFERROR(__xludf.DUMMYFUNCTION("""COMPUTED_VALUE"""),"TEAM TANGO")</f>
        <v>TEAM TANGO</v>
      </c>
      <c r="C1067" s="5" t="str">
        <f ca="1">IFERROR(__xludf.DUMMYFUNCTION("""COMPUTED_VALUE"""),"Foxtrot-4")</f>
        <v>Foxtrot-4</v>
      </c>
      <c r="D1067" s="5" t="str">
        <f ca="1">IFERROR(__xludf.DUMMYFUNCTION("""COMPUTED_VALUE"""),"LandPlane")</f>
        <v>LandPlane</v>
      </c>
      <c r="E1067" s="5" t="str">
        <f ca="1">IFERROR(__xludf.DUMMYFUNCTION("""COMPUTED_VALUE"""),"Piston")</f>
        <v>Piston</v>
      </c>
      <c r="F1067" s="5">
        <f ca="1">IFERROR(__xludf.DUMMYFUNCTION("""COMPUTED_VALUE"""),1)</f>
        <v>1</v>
      </c>
    </row>
    <row r="1068" spans="1:6" ht="15" customHeight="1" x14ac:dyDescent="0.2">
      <c r="A1068" s="5" t="str">
        <f ca="1">IFERROR(__xludf.DUMMYFUNCTION("""COMPUTED_VALUE"""),"FRBD")</f>
        <v>FRBD</v>
      </c>
      <c r="B1068" s="5" t="str">
        <f ca="1">IFERROR(__xludf.DUMMYFUNCTION("""COMPUTED_VALUE"""),"NORTHROP GRUMMAN")</f>
        <v>NORTHROP GRUMMAN</v>
      </c>
      <c r="C1068" s="5" t="str">
        <f ca="1">IFERROR(__xludf.DUMMYFUNCTION("""COMPUTED_VALUE"""),"Firebird")</f>
        <v>Firebird</v>
      </c>
      <c r="D1068" s="5" t="str">
        <f ca="1">IFERROR(__xludf.DUMMYFUNCTION("""COMPUTED_VALUE"""),"LandPlane")</f>
        <v>LandPlane</v>
      </c>
      <c r="E1068" s="5" t="str">
        <f ca="1">IFERROR(__xludf.DUMMYFUNCTION("""COMPUTED_VALUE"""),"Piston")</f>
        <v>Piston</v>
      </c>
      <c r="F1068" s="5">
        <f ca="1">IFERROR(__xludf.DUMMYFUNCTION("""COMPUTED_VALUE"""),1)</f>
        <v>1</v>
      </c>
    </row>
    <row r="1069" spans="1:6" ht="15" customHeight="1" x14ac:dyDescent="0.2">
      <c r="A1069" s="5" t="str">
        <f ca="1">IFERROR(__xludf.DUMMYFUNCTION("""COMPUTED_VALUE"""),"FREE")</f>
        <v>FREE</v>
      </c>
      <c r="B1069" s="5" t="str">
        <f ca="1">IFERROR(__xludf.DUMMYFUNCTION("""COMPUTED_VALUE"""),"CABRINHA")</f>
        <v>CABRINHA</v>
      </c>
      <c r="C1069" s="5" t="str">
        <f ca="1">IFERROR(__xludf.DUMMYFUNCTION("""COMPUTED_VALUE"""),"RC-412 Free Spirit")</f>
        <v>RC-412 Free Spirit</v>
      </c>
      <c r="D1069" s="5" t="str">
        <f ca="1">IFERROR(__xludf.DUMMYFUNCTION("""COMPUTED_VALUE"""),"LandPlane")</f>
        <v>LandPlane</v>
      </c>
      <c r="E1069" s="5" t="str">
        <f ca="1">IFERROR(__xludf.DUMMYFUNCTION("""COMPUTED_VALUE"""),"Piston")</f>
        <v>Piston</v>
      </c>
      <c r="F1069" s="5">
        <f ca="1">IFERROR(__xludf.DUMMYFUNCTION("""COMPUTED_VALUE"""),1)</f>
        <v>1</v>
      </c>
    </row>
    <row r="1070" spans="1:6" ht="15" customHeight="1" x14ac:dyDescent="0.2">
      <c r="A1070" s="5" t="str">
        <f ca="1">IFERROR(__xludf.DUMMYFUNCTION("""COMPUTED_VALUE"""),"FREL")</f>
        <v>FREL</v>
      </c>
      <c r="B1070" s="5" t="str">
        <f ca="1">IFERROR(__xludf.DUMMYFUNCTION("""COMPUTED_VALUE"""),"AEROSPATIALE")</f>
        <v>AEROSPATIALE</v>
      </c>
      <c r="C1070" s="5" t="str">
        <f ca="1">IFERROR(__xludf.DUMMYFUNCTION("""COMPUTED_VALUE"""),"SA-321 Super Frelon")</f>
        <v>SA-321 Super Frelon</v>
      </c>
      <c r="D1070" s="5" t="str">
        <f ca="1">IFERROR(__xludf.DUMMYFUNCTION("""COMPUTED_VALUE"""),"Helicopter")</f>
        <v>Helicopter</v>
      </c>
      <c r="E1070" s="5" t="str">
        <f ca="1">IFERROR(__xludf.DUMMYFUNCTION("""COMPUTED_VALUE"""),"Turboprop/Turboshaft")</f>
        <v>Turboprop/Turboshaft</v>
      </c>
      <c r="F1070" s="5">
        <f ca="1">IFERROR(__xludf.DUMMYFUNCTION("""COMPUTED_VALUE"""),3)</f>
        <v>3</v>
      </c>
    </row>
    <row r="1071" spans="1:6" ht="15" customHeight="1" x14ac:dyDescent="0.2">
      <c r="A1071" s="5" t="str">
        <f ca="1">IFERROR(__xludf.DUMMYFUNCTION("""COMPUTED_VALUE"""),"FRNT")</f>
        <v>FRNT</v>
      </c>
      <c r="B1071" s="5" t="str">
        <f ca="1">IFERROR(__xludf.DUMMYFUNCTION("""COMPUTED_VALUE"""),"SKY RAIDER")</f>
        <v>SKY RAIDER</v>
      </c>
      <c r="C1071" s="5" t="str">
        <f ca="1">IFERROR(__xludf.DUMMYFUNCTION("""COMPUTED_VALUE"""),"Frontier")</f>
        <v>Frontier</v>
      </c>
      <c r="D1071" s="5" t="str">
        <f ca="1">IFERROR(__xludf.DUMMYFUNCTION("""COMPUTED_VALUE"""),"LandPlane")</f>
        <v>LandPlane</v>
      </c>
      <c r="E1071" s="5" t="str">
        <f ca="1">IFERROR(__xludf.DUMMYFUNCTION("""COMPUTED_VALUE"""),"Piston")</f>
        <v>Piston</v>
      </c>
      <c r="F1071" s="5">
        <f ca="1">IFERROR(__xludf.DUMMYFUNCTION("""COMPUTED_VALUE"""),1)</f>
        <v>1</v>
      </c>
    </row>
    <row r="1072" spans="1:6" ht="15" customHeight="1" x14ac:dyDescent="0.2">
      <c r="A1072" s="5" t="str">
        <f ca="1">IFERROR(__xludf.DUMMYFUNCTION("""COMPUTED_VALUE"""),"FRON")</f>
        <v>FRON</v>
      </c>
      <c r="B1072" s="5" t="str">
        <f ca="1">IFERROR(__xludf.DUMMYFUNCTION("""COMPUTED_VALUE"""),"FRONTIER")</f>
        <v>FRONTIER</v>
      </c>
      <c r="C1072" s="5" t="str">
        <f ca="1">IFERROR(__xludf.DUMMYFUNCTION("""COMPUTED_VALUE"""),"Frontier MD-2")</f>
        <v>Frontier MD-2</v>
      </c>
      <c r="D1072" s="5" t="str">
        <f ca="1">IFERROR(__xludf.DUMMYFUNCTION("""COMPUTED_VALUE"""),"LandPlane")</f>
        <v>LandPlane</v>
      </c>
      <c r="E1072" s="5" t="str">
        <f ca="1">IFERROR(__xludf.DUMMYFUNCTION("""COMPUTED_VALUE"""),"Piston")</f>
        <v>Piston</v>
      </c>
      <c r="F1072" s="5">
        <f ca="1">IFERROR(__xludf.DUMMYFUNCTION("""COMPUTED_VALUE"""),1)</f>
        <v>1</v>
      </c>
    </row>
    <row r="1073" spans="1:6" ht="15" customHeight="1" x14ac:dyDescent="0.2">
      <c r="A1073" s="5" t="str">
        <f ca="1">IFERROR(__xludf.DUMMYFUNCTION("""COMPUTED_VALUE"""),"FS51")</f>
        <v>FS51</v>
      </c>
      <c r="B1073" s="5" t="str">
        <f ca="1">IFERROR(__xludf.DUMMYFUNCTION("""COMPUTED_VALUE"""),"FALCONAR")</f>
        <v>FALCONAR</v>
      </c>
      <c r="C1073" s="5" t="str">
        <f ca="1">IFERROR(__xludf.DUMMYFUNCTION("""COMPUTED_VALUE"""),"SAL P-51D Mustang")</f>
        <v>SAL P-51D Mustang</v>
      </c>
      <c r="D1073" s="5" t="str">
        <f ca="1">IFERROR(__xludf.DUMMYFUNCTION("""COMPUTED_VALUE"""),"LandPlane")</f>
        <v>LandPlane</v>
      </c>
      <c r="E1073" s="5" t="str">
        <f ca="1">IFERROR(__xludf.DUMMYFUNCTION("""COMPUTED_VALUE"""),"Piston")</f>
        <v>Piston</v>
      </c>
      <c r="F1073" s="5">
        <f ca="1">IFERROR(__xludf.DUMMYFUNCTION("""COMPUTED_VALUE"""),1)</f>
        <v>1</v>
      </c>
    </row>
    <row r="1074" spans="1:6" ht="15" customHeight="1" x14ac:dyDescent="0.2">
      <c r="A1074" s="5" t="str">
        <f ca="1">IFERROR(__xludf.DUMMYFUNCTION("""COMPUTED_VALUE"""),"FT30")</f>
        <v>FT30</v>
      </c>
      <c r="B1074" s="5" t="str">
        <f ca="1">IFERROR(__xludf.DUMMYFUNCTION("""COMPUTED_VALUE"""),"NAI")</f>
        <v>NAI</v>
      </c>
      <c r="C1074" s="5" t="str">
        <f ca="1">IFERROR(__xludf.DUMMYFUNCTION("""COMPUTED_VALUE"""),"FT-300")</f>
        <v>FT-300</v>
      </c>
      <c r="D1074" s="5" t="str">
        <f ca="1">IFERROR(__xludf.DUMMYFUNCTION("""COMPUTED_VALUE"""),"LandPlane")</f>
        <v>LandPlane</v>
      </c>
      <c r="E1074" s="5" t="str">
        <f ca="1">IFERROR(__xludf.DUMMYFUNCTION("""COMPUTED_VALUE"""),"Piston")</f>
        <v>Piston</v>
      </c>
      <c r="F1074" s="5">
        <f ca="1">IFERROR(__xludf.DUMMYFUNCTION("""COMPUTED_VALUE"""),1)</f>
        <v>1</v>
      </c>
    </row>
    <row r="1075" spans="1:6" ht="15" customHeight="1" x14ac:dyDescent="0.2">
      <c r="A1075" s="5" t="str">
        <f ca="1">IFERROR(__xludf.DUMMYFUNCTION("""COMPUTED_VALUE"""),"FU24")</f>
        <v>FU24</v>
      </c>
      <c r="B1075" s="5" t="str">
        <f ca="1">IFERROR(__xludf.DUMMYFUNCTION("""COMPUTED_VALUE"""),"FLETCHER")</f>
        <v>FLETCHER</v>
      </c>
      <c r="C1075" s="5" t="str">
        <f ca="1">IFERROR(__xludf.DUMMYFUNCTION("""COMPUTED_VALUE"""),"FU-24")</f>
        <v>FU-24</v>
      </c>
      <c r="D1075" s="5" t="str">
        <f ca="1">IFERROR(__xludf.DUMMYFUNCTION("""COMPUTED_VALUE"""),"LandPlane")</f>
        <v>LandPlane</v>
      </c>
      <c r="E1075" s="5" t="str">
        <f ca="1">IFERROR(__xludf.DUMMYFUNCTION("""COMPUTED_VALUE"""),"Piston")</f>
        <v>Piston</v>
      </c>
      <c r="F1075" s="5">
        <f ca="1">IFERROR(__xludf.DUMMYFUNCTION("""COMPUTED_VALUE"""),1)</f>
        <v>1</v>
      </c>
    </row>
    <row r="1076" spans="1:6" ht="15" customHeight="1" x14ac:dyDescent="0.2">
      <c r="A1076" s="5" t="str">
        <f ca="1">IFERROR(__xludf.DUMMYFUNCTION("""COMPUTED_VALUE"""),"FURY")</f>
        <v>FURY</v>
      </c>
      <c r="B1076" s="5" t="str">
        <f ca="1">IFERROR(__xludf.DUMMYFUNCTION("""COMPUTED_VALUE"""),"HAWKER")</f>
        <v>HAWKER</v>
      </c>
      <c r="C1076" s="5" t="str">
        <f ca="1">IFERROR(__xludf.DUMMYFUNCTION("""COMPUTED_VALUE"""),"Sea Fury")</f>
        <v>Sea Fury</v>
      </c>
      <c r="D1076" s="5" t="str">
        <f ca="1">IFERROR(__xludf.DUMMYFUNCTION("""COMPUTED_VALUE"""),"LandPlane")</f>
        <v>LandPlane</v>
      </c>
      <c r="E1076" s="5" t="str">
        <f ca="1">IFERROR(__xludf.DUMMYFUNCTION("""COMPUTED_VALUE"""),"Piston")</f>
        <v>Piston</v>
      </c>
      <c r="F1076" s="5">
        <f ca="1">IFERROR(__xludf.DUMMYFUNCTION("""COMPUTED_VALUE"""),1)</f>
        <v>1</v>
      </c>
    </row>
    <row r="1077" spans="1:6" ht="15" customHeight="1" x14ac:dyDescent="0.2">
      <c r="A1077" s="5" t="str">
        <f ca="1">IFERROR(__xludf.DUMMYFUNCTION("""COMPUTED_VALUE"""),"FUSI")</f>
        <v>FUSI</v>
      </c>
      <c r="B1077" s="5" t="str">
        <f ca="1">IFERROR(__xludf.DUMMYFUNCTION("""COMPUTED_VALUE"""),"MAGNUS")</f>
        <v>MAGNUS</v>
      </c>
      <c r="C1077" s="5" t="str">
        <f ca="1">IFERROR(__xludf.DUMMYFUNCTION("""COMPUTED_VALUE"""),"MG-11 Fusion")</f>
        <v>MG-11 Fusion</v>
      </c>
      <c r="D1077" s="5" t="str">
        <f ca="1">IFERROR(__xludf.DUMMYFUNCTION("""COMPUTED_VALUE"""),"LandPlane")</f>
        <v>LandPlane</v>
      </c>
      <c r="E1077" s="5" t="str">
        <f ca="1">IFERROR(__xludf.DUMMYFUNCTION("""COMPUTED_VALUE"""),"Piston")</f>
        <v>Piston</v>
      </c>
      <c r="F1077" s="5">
        <f ca="1">IFERROR(__xludf.DUMMYFUNCTION("""COMPUTED_VALUE"""),1)</f>
        <v>1</v>
      </c>
    </row>
    <row r="1078" spans="1:6" ht="15" customHeight="1" x14ac:dyDescent="0.2">
      <c r="A1078" s="5" t="str">
        <f ca="1">IFERROR(__xludf.DUMMYFUNCTION("""COMPUTED_VALUE"""),"FW02")</f>
        <v>FW02</v>
      </c>
      <c r="B1078" s="5" t="str">
        <f ca="1">IFERROR(__xludf.DUMMYFUNCTION("""COMPUTED_VALUE"""),"FLYWHALE")</f>
        <v>FLYWHALE</v>
      </c>
      <c r="C1078" s="5" t="str">
        <f ca="1">IFERROR(__xludf.DUMMYFUNCTION("""COMPUTED_VALUE"""),"FW-02 Flywhale")</f>
        <v>FW-02 Flywhale</v>
      </c>
      <c r="D1078" s="5" t="str">
        <f ca="1">IFERROR(__xludf.DUMMYFUNCTION("""COMPUTED_VALUE"""),"Amphibian")</f>
        <v>Amphibian</v>
      </c>
      <c r="E1078" s="5" t="str">
        <f ca="1">IFERROR(__xludf.DUMMYFUNCTION("""COMPUTED_VALUE"""),"Piston")</f>
        <v>Piston</v>
      </c>
      <c r="F1078" s="5">
        <f ca="1">IFERROR(__xludf.DUMMYFUNCTION("""COMPUTED_VALUE"""),1)</f>
        <v>1</v>
      </c>
    </row>
    <row r="1079" spans="1:6" ht="15" customHeight="1" x14ac:dyDescent="0.2">
      <c r="A1079" s="5" t="str">
        <f ca="1">IFERROR(__xludf.DUMMYFUNCTION("""COMPUTED_VALUE"""),"FW19")</f>
        <v>FW19</v>
      </c>
      <c r="B1079" s="5" t="str">
        <f ca="1">IFERROR(__xludf.DUMMYFUNCTION("""COMPUTED_VALUE"""),"FOUR WINDS")</f>
        <v>FOUR WINDS</v>
      </c>
      <c r="C1079" s="5" t="str">
        <f ca="1">IFERROR(__xludf.DUMMYFUNCTION("""COMPUTED_VALUE"""),"192")</f>
        <v>192</v>
      </c>
      <c r="D1079" s="5" t="str">
        <f ca="1">IFERROR(__xludf.DUMMYFUNCTION("""COMPUTED_VALUE"""),"LandPlane")</f>
        <v>LandPlane</v>
      </c>
      <c r="E1079" s="5" t="str">
        <f ca="1">IFERROR(__xludf.DUMMYFUNCTION("""COMPUTED_VALUE"""),"Piston")</f>
        <v>Piston</v>
      </c>
      <c r="F1079" s="5">
        <f ca="1">IFERROR(__xludf.DUMMYFUNCTION("""COMPUTED_VALUE"""),1)</f>
        <v>1</v>
      </c>
    </row>
    <row r="1080" spans="1:6" ht="15" customHeight="1" x14ac:dyDescent="0.2">
      <c r="A1080" s="5" t="str">
        <f ca="1">IFERROR(__xludf.DUMMYFUNCTION("""COMPUTED_VALUE"""),"FW21")</f>
        <v>FW21</v>
      </c>
      <c r="B1080" s="5" t="str">
        <f ca="1">IFERROR(__xludf.DUMMYFUNCTION("""COMPUTED_VALUE"""),"FOUR WINDS")</f>
        <v>FOUR WINDS</v>
      </c>
      <c r="C1080" s="5" t="str">
        <f ca="1">IFERROR(__xludf.DUMMYFUNCTION("""COMPUTED_VALUE"""),"FX-210")</f>
        <v>FX-210</v>
      </c>
      <c r="D1080" s="5" t="str">
        <f ca="1">IFERROR(__xludf.DUMMYFUNCTION("""COMPUTED_VALUE"""),"LandPlane")</f>
        <v>LandPlane</v>
      </c>
      <c r="E1080" s="5" t="str">
        <f ca="1">IFERROR(__xludf.DUMMYFUNCTION("""COMPUTED_VALUE"""),"Piston")</f>
        <v>Piston</v>
      </c>
      <c r="F1080" s="5">
        <f ca="1">IFERROR(__xludf.DUMMYFUNCTION("""COMPUTED_VALUE"""),1)</f>
        <v>1</v>
      </c>
    </row>
    <row r="1081" spans="1:6" ht="15" customHeight="1" x14ac:dyDescent="0.2">
      <c r="A1081" s="5" t="str">
        <f ca="1">IFERROR(__xludf.DUMMYFUNCTION("""COMPUTED_VALUE"""),"FW44")</f>
        <v>FW44</v>
      </c>
      <c r="B1081" s="5" t="str">
        <f ca="1">IFERROR(__xludf.DUMMYFUNCTION("""COMPUTED_VALUE"""),"FOCKE-WULF")</f>
        <v>FOCKE-WULF</v>
      </c>
      <c r="C1081" s="5" t="str">
        <f ca="1">IFERROR(__xludf.DUMMYFUNCTION("""COMPUTED_VALUE"""),"Fw-44 Stieglitz")</f>
        <v>Fw-44 Stieglitz</v>
      </c>
      <c r="D1081" s="5" t="str">
        <f ca="1">IFERROR(__xludf.DUMMYFUNCTION("""COMPUTED_VALUE"""),"LandPlane")</f>
        <v>LandPlane</v>
      </c>
      <c r="E1081" s="5" t="str">
        <f ca="1">IFERROR(__xludf.DUMMYFUNCTION("""COMPUTED_VALUE"""),"Piston")</f>
        <v>Piston</v>
      </c>
      <c r="F1081" s="5">
        <f ca="1">IFERROR(__xludf.DUMMYFUNCTION("""COMPUTED_VALUE"""),1)</f>
        <v>1</v>
      </c>
    </row>
    <row r="1082" spans="1:6" ht="15" customHeight="1" x14ac:dyDescent="0.2">
      <c r="A1082" s="5" t="str">
        <f ca="1">IFERROR(__xludf.DUMMYFUNCTION("""COMPUTED_VALUE"""),"FW90")</f>
        <v>FW90</v>
      </c>
      <c r="B1082" s="5" t="str">
        <f ca="1">IFERROR(__xludf.DUMMYFUNCTION("""COMPUTED_VALUE"""),"FOCKE-WULF")</f>
        <v>FOCKE-WULF</v>
      </c>
      <c r="C1082" s="5" t="str">
        <f ca="1">IFERROR(__xludf.DUMMYFUNCTION("""COMPUTED_VALUE"""),"Fw-190 Replica")</f>
        <v>Fw-190 Replica</v>
      </c>
      <c r="D1082" s="5" t="str">
        <f ca="1">IFERROR(__xludf.DUMMYFUNCTION("""COMPUTED_VALUE"""),"LandPlane")</f>
        <v>LandPlane</v>
      </c>
      <c r="E1082" s="5" t="str">
        <f ca="1">IFERROR(__xludf.DUMMYFUNCTION("""COMPUTED_VALUE"""),"Piston")</f>
        <v>Piston</v>
      </c>
      <c r="F1082" s="5">
        <f ca="1">IFERROR(__xludf.DUMMYFUNCTION("""COMPUTED_VALUE"""),1)</f>
        <v>1</v>
      </c>
    </row>
    <row r="1083" spans="1:6" ht="15" customHeight="1" x14ac:dyDescent="0.2">
      <c r="A1083" s="5" t="str">
        <f ca="1">IFERROR(__xludf.DUMMYFUNCTION("""COMPUTED_VALUE"""),"FWSB")</f>
        <v>FWSB</v>
      </c>
      <c r="B1083" s="5" t="str">
        <f ca="1">IFERROR(__xludf.DUMMYFUNCTION("""COMPUTED_VALUE"""),"FLEETWINGS")</f>
        <v>FLEETWINGS</v>
      </c>
      <c r="C1083" s="5" t="str">
        <f ca="1">IFERROR(__xludf.DUMMYFUNCTION("""COMPUTED_VALUE"""),"F-4 Sea Bird")</f>
        <v>F-4 Sea Bird</v>
      </c>
      <c r="D1083" s="5" t="str">
        <f ca="1">IFERROR(__xludf.DUMMYFUNCTION("""COMPUTED_VALUE"""),"Amphibian")</f>
        <v>Amphibian</v>
      </c>
      <c r="E1083" s="5" t="str">
        <f ca="1">IFERROR(__xludf.DUMMYFUNCTION("""COMPUTED_VALUE"""),"Piston")</f>
        <v>Piston</v>
      </c>
      <c r="F1083" s="5">
        <f ca="1">IFERROR(__xludf.DUMMYFUNCTION("""COMPUTED_VALUE"""),1)</f>
        <v>1</v>
      </c>
    </row>
    <row r="1084" spans="1:6" ht="15" customHeight="1" x14ac:dyDescent="0.2">
      <c r="A1084" s="5" t="str">
        <f ca="1">IFERROR(__xludf.DUMMYFUNCTION("""COMPUTED_VALUE"""),"FX1")</f>
        <v>FX1</v>
      </c>
      <c r="B1084" s="5" t="str">
        <f ca="1">IFERROR(__xludf.DUMMYFUNCTION("""COMPUTED_VALUE"""),"INNOVAVIATION")</f>
        <v>INNOVAVIATION</v>
      </c>
      <c r="C1084" s="5" t="str">
        <f ca="1">IFERROR(__xludf.DUMMYFUNCTION("""COMPUTED_VALUE"""),"FX-1")</f>
        <v>FX-1</v>
      </c>
      <c r="D1084" s="5" t="str">
        <f ca="1">IFERROR(__xludf.DUMMYFUNCTION("""COMPUTED_VALUE"""),"LandPlane")</f>
        <v>LandPlane</v>
      </c>
      <c r="E1084" s="5" t="str">
        <f ca="1">IFERROR(__xludf.DUMMYFUNCTION("""COMPUTED_VALUE"""),"Piston")</f>
        <v>Piston</v>
      </c>
      <c r="F1084" s="5">
        <f ca="1">IFERROR(__xludf.DUMMYFUNCTION("""COMPUTED_VALUE"""),1)</f>
        <v>1</v>
      </c>
    </row>
    <row r="1085" spans="1:6" ht="15" customHeight="1" x14ac:dyDescent="0.2">
      <c r="A1085" s="5" t="str">
        <f ca="1">IFERROR(__xludf.DUMMYFUNCTION("""COMPUTED_VALUE"""),"G1")</f>
        <v>G1</v>
      </c>
      <c r="B1085" s="5" t="str">
        <f ca="1">IFERROR(__xludf.DUMMYFUNCTION("""COMPUTED_VALUE"""),"G1 AVIATION")</f>
        <v>G1 AVIATION</v>
      </c>
      <c r="C1085" s="5" t="str">
        <f ca="1">IFERROR(__xludf.DUMMYFUNCTION("""COMPUTED_VALUE"""),"G-1 Gélinotte")</f>
        <v>G-1 Gélinotte</v>
      </c>
      <c r="D1085" s="5" t="str">
        <f ca="1">IFERROR(__xludf.DUMMYFUNCTION("""COMPUTED_VALUE"""),"LandPlane")</f>
        <v>LandPlane</v>
      </c>
      <c r="E1085" s="5" t="str">
        <f ca="1">IFERROR(__xludf.DUMMYFUNCTION("""COMPUTED_VALUE"""),"Piston")</f>
        <v>Piston</v>
      </c>
      <c r="F1085" s="5">
        <f ca="1">IFERROR(__xludf.DUMMYFUNCTION("""COMPUTED_VALUE"""),1)</f>
        <v>1</v>
      </c>
    </row>
    <row r="1086" spans="1:6" ht="15" customHeight="1" x14ac:dyDescent="0.2">
      <c r="A1086" s="5" t="str">
        <f ca="1">IFERROR(__xludf.DUMMYFUNCTION("""COMPUTED_VALUE"""),"G103")</f>
        <v>G103</v>
      </c>
      <c r="B1086" s="5" t="str">
        <f ca="1">IFERROR(__xludf.DUMMYFUNCTION("""COMPUTED_VALUE"""),"GROB")</f>
        <v>GROB</v>
      </c>
      <c r="C1086" s="5" t="str">
        <f ca="1">IFERROR(__xludf.DUMMYFUNCTION("""COMPUTED_VALUE"""),"G-103C Twin 3SL")</f>
        <v>G-103C Twin 3SL</v>
      </c>
      <c r="D1086" s="5" t="str">
        <f ca="1">IFERROR(__xludf.DUMMYFUNCTION("""COMPUTED_VALUE"""),"LandPlane")</f>
        <v>LandPlane</v>
      </c>
      <c r="E1086" s="5" t="str">
        <f ca="1">IFERROR(__xludf.DUMMYFUNCTION("""COMPUTED_VALUE"""),"Piston")</f>
        <v>Piston</v>
      </c>
      <c r="F1086" s="5">
        <f ca="1">IFERROR(__xludf.DUMMYFUNCTION("""COMPUTED_VALUE"""),1)</f>
        <v>1</v>
      </c>
    </row>
    <row r="1087" spans="1:6" ht="15" customHeight="1" x14ac:dyDescent="0.2">
      <c r="A1087" s="5" t="str">
        <f ca="1">IFERROR(__xludf.DUMMYFUNCTION("""COMPUTED_VALUE"""),"G109")</f>
        <v>G109</v>
      </c>
      <c r="B1087" s="5" t="str">
        <f ca="1">IFERROR(__xludf.DUMMYFUNCTION("""COMPUTED_VALUE"""),"GROB")</f>
        <v>GROB</v>
      </c>
      <c r="C1087" s="5" t="str">
        <f ca="1">IFERROR(__xludf.DUMMYFUNCTION("""COMPUTED_VALUE"""),"G-109 Ranger")</f>
        <v>G-109 Ranger</v>
      </c>
      <c r="D1087" s="5" t="str">
        <f ca="1">IFERROR(__xludf.DUMMYFUNCTION("""COMPUTED_VALUE"""),"LandPlane")</f>
        <v>LandPlane</v>
      </c>
      <c r="E1087" s="5" t="str">
        <f ca="1">IFERROR(__xludf.DUMMYFUNCTION("""COMPUTED_VALUE"""),"Piston")</f>
        <v>Piston</v>
      </c>
      <c r="F1087" s="5">
        <f ca="1">IFERROR(__xludf.DUMMYFUNCTION("""COMPUTED_VALUE"""),1)</f>
        <v>1</v>
      </c>
    </row>
    <row r="1088" spans="1:6" ht="15" customHeight="1" x14ac:dyDescent="0.2">
      <c r="A1088" s="5" t="str">
        <f ca="1">IFERROR(__xludf.DUMMYFUNCTION("""COMPUTED_VALUE"""),"G115")</f>
        <v>G115</v>
      </c>
      <c r="B1088" s="5" t="str">
        <f ca="1">IFERROR(__xludf.DUMMYFUNCTION("""COMPUTED_VALUE"""),"GROB")</f>
        <v>GROB</v>
      </c>
      <c r="C1088" s="5" t="str">
        <f ca="1">IFERROR(__xludf.DUMMYFUNCTION("""COMPUTED_VALUE"""),"G-115")</f>
        <v>G-115</v>
      </c>
      <c r="D1088" s="5" t="str">
        <f ca="1">IFERROR(__xludf.DUMMYFUNCTION("""COMPUTED_VALUE"""),"LandPlane")</f>
        <v>LandPlane</v>
      </c>
      <c r="E1088" s="5" t="str">
        <f ca="1">IFERROR(__xludf.DUMMYFUNCTION("""COMPUTED_VALUE"""),"Piston")</f>
        <v>Piston</v>
      </c>
      <c r="F1088" s="5">
        <f ca="1">IFERROR(__xludf.DUMMYFUNCTION("""COMPUTED_VALUE"""),1)</f>
        <v>1</v>
      </c>
    </row>
    <row r="1089" spans="1:6" ht="15" customHeight="1" x14ac:dyDescent="0.2">
      <c r="A1089" s="5" t="str">
        <f ca="1">IFERROR(__xludf.DUMMYFUNCTION("""COMPUTED_VALUE"""),"G120")</f>
        <v>G120</v>
      </c>
      <c r="B1089" s="5" t="str">
        <f ca="1">IFERROR(__xludf.DUMMYFUNCTION("""COMPUTED_VALUE"""),"GROB")</f>
        <v>GROB</v>
      </c>
      <c r="C1089" s="5" t="str">
        <f ca="1">IFERROR(__xludf.DUMMYFUNCTION("""COMPUTED_VALUE"""),"G-120 Snunit")</f>
        <v>G-120 Snunit</v>
      </c>
      <c r="D1089" s="5" t="str">
        <f ca="1">IFERROR(__xludf.DUMMYFUNCTION("""COMPUTED_VALUE"""),"LandPlane")</f>
        <v>LandPlane</v>
      </c>
      <c r="E1089" s="5" t="str">
        <f ca="1">IFERROR(__xludf.DUMMYFUNCTION("""COMPUTED_VALUE"""),"Piston")</f>
        <v>Piston</v>
      </c>
      <c r="F1089" s="5">
        <f ca="1">IFERROR(__xludf.DUMMYFUNCTION("""COMPUTED_VALUE"""),1)</f>
        <v>1</v>
      </c>
    </row>
    <row r="1090" spans="1:6" ht="15" customHeight="1" x14ac:dyDescent="0.2">
      <c r="A1090" s="5" t="str">
        <f ca="1">IFERROR(__xludf.DUMMYFUNCTION("""COMPUTED_VALUE"""),"G12T")</f>
        <v>G12T</v>
      </c>
      <c r="B1090" s="5" t="str">
        <f ca="1">IFERROR(__xludf.DUMMYFUNCTION("""COMPUTED_VALUE"""),"GROB")</f>
        <v>GROB</v>
      </c>
      <c r="C1090" s="5" t="str">
        <f ca="1">IFERROR(__xludf.DUMMYFUNCTION("""COMPUTED_VALUE"""),"G-120TP")</f>
        <v>G-120TP</v>
      </c>
      <c r="D1090" s="5" t="str">
        <f ca="1">IFERROR(__xludf.DUMMYFUNCTION("""COMPUTED_VALUE"""),"LandPlane")</f>
        <v>LandPlane</v>
      </c>
      <c r="E1090" s="5" t="str">
        <f ca="1">IFERROR(__xludf.DUMMYFUNCTION("""COMPUTED_VALUE"""),"Turboprop/Turboshaft")</f>
        <v>Turboprop/Turboshaft</v>
      </c>
      <c r="F1090" s="5">
        <f ca="1">IFERROR(__xludf.DUMMYFUNCTION("""COMPUTED_VALUE"""),1)</f>
        <v>1</v>
      </c>
    </row>
    <row r="1091" spans="1:6" ht="15" customHeight="1" x14ac:dyDescent="0.2">
      <c r="A1091" s="5" t="str">
        <f ca="1">IFERROR(__xludf.DUMMYFUNCTION("""COMPUTED_VALUE"""),"G140")</f>
        <v>G140</v>
      </c>
      <c r="B1091" s="5" t="str">
        <f ca="1">IFERROR(__xludf.DUMMYFUNCTION("""COMPUTED_VALUE"""),"GROB")</f>
        <v>GROB</v>
      </c>
      <c r="C1091" s="5" t="str">
        <f ca="1">IFERROR(__xludf.DUMMYFUNCTION("""COMPUTED_VALUE"""),"G-140TP")</f>
        <v>G-140TP</v>
      </c>
      <c r="D1091" s="5" t="str">
        <f ca="1">IFERROR(__xludf.DUMMYFUNCTION("""COMPUTED_VALUE"""),"LandPlane")</f>
        <v>LandPlane</v>
      </c>
      <c r="E1091" s="5" t="str">
        <f ca="1">IFERROR(__xludf.DUMMYFUNCTION("""COMPUTED_VALUE"""),"Turboprop/Turboshaft")</f>
        <v>Turboprop/Turboshaft</v>
      </c>
      <c r="F1091" s="5">
        <f ca="1">IFERROR(__xludf.DUMMYFUNCTION("""COMPUTED_VALUE"""),1)</f>
        <v>1</v>
      </c>
    </row>
    <row r="1092" spans="1:6" ht="15" customHeight="1" x14ac:dyDescent="0.2">
      <c r="A1092" s="5" t="str">
        <f ca="1">IFERROR(__xludf.DUMMYFUNCTION("""COMPUTED_VALUE"""),"G150")</f>
        <v>G150</v>
      </c>
      <c r="B1092" s="5" t="str">
        <f ca="1">IFERROR(__xludf.DUMMYFUNCTION("""COMPUTED_VALUE"""),"GULFSTREAM AEROSPACE")</f>
        <v>GULFSTREAM AEROSPACE</v>
      </c>
      <c r="C1092" s="5" t="str">
        <f ca="1">IFERROR(__xludf.DUMMYFUNCTION("""COMPUTED_VALUE"""),"Gulfstream G150")</f>
        <v>Gulfstream G150</v>
      </c>
      <c r="D1092" s="5" t="str">
        <f ca="1">IFERROR(__xludf.DUMMYFUNCTION("""COMPUTED_VALUE"""),"LandPlane")</f>
        <v>LandPlane</v>
      </c>
      <c r="E1092" s="5" t="str">
        <f ca="1">IFERROR(__xludf.DUMMYFUNCTION("""COMPUTED_VALUE"""),"Jet")</f>
        <v>Jet</v>
      </c>
      <c r="F1092" s="5">
        <f ca="1">IFERROR(__xludf.DUMMYFUNCTION("""COMPUTED_VALUE"""),2)</f>
        <v>2</v>
      </c>
    </row>
    <row r="1093" spans="1:6" ht="15" customHeight="1" x14ac:dyDescent="0.2">
      <c r="A1093" s="5" t="str">
        <f ca="1">IFERROR(__xludf.DUMMYFUNCTION("""COMPUTED_VALUE"""),"G159")</f>
        <v>G159</v>
      </c>
      <c r="B1093" s="5" t="str">
        <f ca="1">IFERROR(__xludf.DUMMYFUNCTION("""COMPUTED_VALUE"""),"GRUMMAN")</f>
        <v>GRUMMAN</v>
      </c>
      <c r="C1093" s="5" t="str">
        <f ca="1">IFERROR(__xludf.DUMMYFUNCTION("""COMPUTED_VALUE"""),"G-159 Gulfstream 1")</f>
        <v>G-159 Gulfstream 1</v>
      </c>
      <c r="D1093" s="5" t="str">
        <f ca="1">IFERROR(__xludf.DUMMYFUNCTION("""COMPUTED_VALUE"""),"LandPlane")</f>
        <v>LandPlane</v>
      </c>
      <c r="E1093" s="5" t="str">
        <f ca="1">IFERROR(__xludf.DUMMYFUNCTION("""COMPUTED_VALUE"""),"Turboprop/Turboshaft")</f>
        <v>Turboprop/Turboshaft</v>
      </c>
      <c r="F1093" s="5">
        <f ca="1">IFERROR(__xludf.DUMMYFUNCTION("""COMPUTED_VALUE"""),2)</f>
        <v>2</v>
      </c>
    </row>
    <row r="1094" spans="1:6" ht="15" customHeight="1" x14ac:dyDescent="0.2">
      <c r="A1094" s="5" t="str">
        <f ca="1">IFERROR(__xludf.DUMMYFUNCTION("""COMPUTED_VALUE"""),"G15T")</f>
        <v>G15T</v>
      </c>
      <c r="B1094" s="5" t="str">
        <f ca="1">IFERROR(__xludf.DUMMYFUNCTION("""COMPUTED_VALUE"""),"GROB")</f>
        <v>GROB</v>
      </c>
      <c r="C1094" s="5" t="str">
        <f ca="1">IFERROR(__xludf.DUMMYFUNCTION("""COMPUTED_VALUE"""),"G-115T Acro")</f>
        <v>G-115T Acro</v>
      </c>
      <c r="D1094" s="5" t="str">
        <f ca="1">IFERROR(__xludf.DUMMYFUNCTION("""COMPUTED_VALUE"""),"LandPlane")</f>
        <v>LandPlane</v>
      </c>
      <c r="E1094" s="5" t="str">
        <f ca="1">IFERROR(__xludf.DUMMYFUNCTION("""COMPUTED_VALUE"""),"Piston")</f>
        <v>Piston</v>
      </c>
      <c r="F1094" s="5">
        <f ca="1">IFERROR(__xludf.DUMMYFUNCTION("""COMPUTED_VALUE"""),1)</f>
        <v>1</v>
      </c>
    </row>
    <row r="1095" spans="1:6" ht="15" customHeight="1" x14ac:dyDescent="0.2">
      <c r="A1095" s="5" t="str">
        <f ca="1">IFERROR(__xludf.DUMMYFUNCTION("""COMPUTED_VALUE"""),"G160")</f>
        <v>G160</v>
      </c>
      <c r="B1095" s="5" t="str">
        <f ca="1">IFERROR(__xludf.DUMMYFUNCTION("""COMPUTED_VALUE"""),"GROB")</f>
        <v>GROB</v>
      </c>
      <c r="C1095" s="5" t="str">
        <f ca="1">IFERROR(__xludf.DUMMYFUNCTION("""COMPUTED_VALUE"""),"G-160 Ranger")</f>
        <v>G-160 Ranger</v>
      </c>
      <c r="D1095" s="5" t="str">
        <f ca="1">IFERROR(__xludf.DUMMYFUNCTION("""COMPUTED_VALUE"""),"LandPlane")</f>
        <v>LandPlane</v>
      </c>
      <c r="E1095" s="5" t="str">
        <f ca="1">IFERROR(__xludf.DUMMYFUNCTION("""COMPUTED_VALUE"""),"Turboprop/Turboshaft")</f>
        <v>Turboprop/Turboshaft</v>
      </c>
      <c r="F1095" s="5">
        <f ca="1">IFERROR(__xludf.DUMMYFUNCTION("""COMPUTED_VALUE"""),1)</f>
        <v>1</v>
      </c>
    </row>
    <row r="1096" spans="1:6" ht="15" customHeight="1" x14ac:dyDescent="0.2">
      <c r="A1096" s="5" t="str">
        <f ca="1">IFERROR(__xludf.DUMMYFUNCTION("""COMPUTED_VALUE"""),"G164")</f>
        <v>G164</v>
      </c>
      <c r="B1096" s="5" t="str">
        <f ca="1">IFERROR(__xludf.DUMMYFUNCTION("""COMPUTED_VALUE"""),"GRUMMAN")</f>
        <v>GRUMMAN</v>
      </c>
      <c r="C1096" s="5" t="str">
        <f ca="1">IFERROR(__xludf.DUMMYFUNCTION("""COMPUTED_VALUE"""),"G-164 Ag-Cat")</f>
        <v>G-164 Ag-Cat</v>
      </c>
      <c r="D1096" s="5" t="str">
        <f ca="1">IFERROR(__xludf.DUMMYFUNCTION("""COMPUTED_VALUE"""),"LandPlane")</f>
        <v>LandPlane</v>
      </c>
      <c r="E1096" s="5" t="str">
        <f ca="1">IFERROR(__xludf.DUMMYFUNCTION("""COMPUTED_VALUE"""),"Piston")</f>
        <v>Piston</v>
      </c>
      <c r="F1096" s="5">
        <f ca="1">IFERROR(__xludf.DUMMYFUNCTION("""COMPUTED_VALUE"""),1)</f>
        <v>1</v>
      </c>
    </row>
    <row r="1097" spans="1:6" ht="15" customHeight="1" x14ac:dyDescent="0.2">
      <c r="A1097" s="5" t="str">
        <f ca="1">IFERROR(__xludf.DUMMYFUNCTION("""COMPUTED_VALUE"""),"G180")</f>
        <v>G180</v>
      </c>
      <c r="B1097" s="5" t="str">
        <f ca="1">IFERROR(__xludf.DUMMYFUNCTION("""COMPUTED_VALUE"""),"GENERAL AIRCRAFT")</f>
        <v>GENERAL AIRCRAFT</v>
      </c>
      <c r="C1097" s="5" t="str">
        <f ca="1">IFERROR(__xludf.DUMMYFUNCTION("""COMPUTED_VALUE"""),"G1-80 Skyfarer")</f>
        <v>G1-80 Skyfarer</v>
      </c>
      <c r="D1097" s="5" t="str">
        <f ca="1">IFERROR(__xludf.DUMMYFUNCTION("""COMPUTED_VALUE"""),"LandPlane")</f>
        <v>LandPlane</v>
      </c>
      <c r="E1097" s="5" t="str">
        <f ca="1">IFERROR(__xludf.DUMMYFUNCTION("""COMPUTED_VALUE"""),"Piston")</f>
        <v>Piston</v>
      </c>
      <c r="F1097" s="5">
        <f ca="1">IFERROR(__xludf.DUMMYFUNCTION("""COMPUTED_VALUE"""),1)</f>
        <v>1</v>
      </c>
    </row>
    <row r="1098" spans="1:6" ht="15" customHeight="1" x14ac:dyDescent="0.2">
      <c r="A1098" s="5" t="str">
        <f ca="1">IFERROR(__xludf.DUMMYFUNCTION("""COMPUTED_VALUE"""),"G200")</f>
        <v>G200</v>
      </c>
      <c r="B1098" s="5" t="str">
        <f ca="1">IFERROR(__xludf.DUMMYFUNCTION("""COMPUTED_VALUE"""),"GILES")</f>
        <v>GILES</v>
      </c>
      <c r="C1098" s="5" t="str">
        <f ca="1">IFERROR(__xludf.DUMMYFUNCTION("""COMPUTED_VALUE"""),"G-200")</f>
        <v>G-200</v>
      </c>
      <c r="D1098" s="5" t="str">
        <f ca="1">IFERROR(__xludf.DUMMYFUNCTION("""COMPUTED_VALUE"""),"LandPlane")</f>
        <v>LandPlane</v>
      </c>
      <c r="E1098" s="5" t="str">
        <f ca="1">IFERROR(__xludf.DUMMYFUNCTION("""COMPUTED_VALUE"""),"Piston")</f>
        <v>Piston</v>
      </c>
      <c r="F1098" s="5">
        <f ca="1">IFERROR(__xludf.DUMMYFUNCTION("""COMPUTED_VALUE"""),1)</f>
        <v>1</v>
      </c>
    </row>
    <row r="1099" spans="1:6" ht="15" customHeight="1" x14ac:dyDescent="0.2">
      <c r="A1099" s="5" t="str">
        <f ca="1">IFERROR(__xludf.DUMMYFUNCTION("""COMPUTED_VALUE"""),"G202")</f>
        <v>G202</v>
      </c>
      <c r="B1099" s="5" t="str">
        <f ca="1">IFERROR(__xludf.DUMMYFUNCTION("""COMPUTED_VALUE"""),"GILES")</f>
        <v>GILES</v>
      </c>
      <c r="C1099" s="5" t="str">
        <f ca="1">IFERROR(__xludf.DUMMYFUNCTION("""COMPUTED_VALUE"""),"G-202")</f>
        <v>G-202</v>
      </c>
      <c r="D1099" s="5" t="str">
        <f ca="1">IFERROR(__xludf.DUMMYFUNCTION("""COMPUTED_VALUE"""),"LandPlane")</f>
        <v>LandPlane</v>
      </c>
      <c r="E1099" s="5" t="str">
        <f ca="1">IFERROR(__xludf.DUMMYFUNCTION("""COMPUTED_VALUE"""),"Piston")</f>
        <v>Piston</v>
      </c>
      <c r="F1099" s="5">
        <f ca="1">IFERROR(__xludf.DUMMYFUNCTION("""COMPUTED_VALUE"""),1)</f>
        <v>1</v>
      </c>
    </row>
    <row r="1100" spans="1:6" ht="15" customHeight="1" x14ac:dyDescent="0.2">
      <c r="A1100" s="5" t="str">
        <f ca="1">IFERROR(__xludf.DUMMYFUNCTION("""COMPUTED_VALUE"""),"G21")</f>
        <v>G21</v>
      </c>
      <c r="B1100" s="5" t="str">
        <f ca="1">IFERROR(__xludf.DUMMYFUNCTION("""COMPUTED_VALUE"""),"GRUMMAN")</f>
        <v>GRUMMAN</v>
      </c>
      <c r="C1100" s="5" t="str">
        <f ca="1">IFERROR(__xludf.DUMMYFUNCTION("""COMPUTED_VALUE"""),"G-21A Goose")</f>
        <v>G-21A Goose</v>
      </c>
      <c r="D1100" s="5" t="str">
        <f ca="1">IFERROR(__xludf.DUMMYFUNCTION("""COMPUTED_VALUE"""),"Amphibian")</f>
        <v>Amphibian</v>
      </c>
      <c r="E1100" s="5" t="str">
        <f ca="1">IFERROR(__xludf.DUMMYFUNCTION("""COMPUTED_VALUE"""),"Piston")</f>
        <v>Piston</v>
      </c>
      <c r="F1100" s="5">
        <f ca="1">IFERROR(__xludf.DUMMYFUNCTION("""COMPUTED_VALUE"""),2)</f>
        <v>2</v>
      </c>
    </row>
    <row r="1101" spans="1:6" ht="15" customHeight="1" x14ac:dyDescent="0.2">
      <c r="A1101" s="5" t="str">
        <f ca="1">IFERROR(__xludf.DUMMYFUNCTION("""COMPUTED_VALUE"""),"G21M")</f>
        <v>G21M</v>
      </c>
      <c r="B1101" s="5" t="str">
        <f ca="1">IFERROR(__xludf.DUMMYFUNCTION("""COMPUTED_VALUE"""),"MCKINNON")</f>
        <v>MCKINNON</v>
      </c>
      <c r="C1101" s="5" t="str">
        <f ca="1">IFERROR(__xludf.DUMMYFUNCTION("""COMPUTED_VALUE"""),"G-21C Goose")</f>
        <v>G-21C Goose</v>
      </c>
      <c r="D1101" s="5" t="str">
        <f ca="1">IFERROR(__xludf.DUMMYFUNCTION("""COMPUTED_VALUE"""),"Amphibian")</f>
        <v>Amphibian</v>
      </c>
      <c r="E1101" s="5" t="str">
        <f ca="1">IFERROR(__xludf.DUMMYFUNCTION("""COMPUTED_VALUE"""),"Piston")</f>
        <v>Piston</v>
      </c>
      <c r="F1101" s="5">
        <f ca="1">IFERROR(__xludf.DUMMYFUNCTION("""COMPUTED_VALUE"""),4)</f>
        <v>4</v>
      </c>
    </row>
    <row r="1102" spans="1:6" ht="15" customHeight="1" x14ac:dyDescent="0.2">
      <c r="A1102" s="5" t="str">
        <f ca="1">IFERROR(__xludf.DUMMYFUNCTION("""COMPUTED_VALUE"""),"G21T")</f>
        <v>G21T</v>
      </c>
      <c r="B1102" s="5" t="str">
        <f ca="1">IFERROR(__xludf.DUMMYFUNCTION("""COMPUTED_VALUE"""),"MCKINNON")</f>
        <v>MCKINNON</v>
      </c>
      <c r="C1102" s="5" t="str">
        <f ca="1">IFERROR(__xludf.DUMMYFUNCTION("""COMPUTED_VALUE"""),"G-21E Turbo Goose")</f>
        <v>G-21E Turbo Goose</v>
      </c>
      <c r="D1102" s="5" t="str">
        <f ca="1">IFERROR(__xludf.DUMMYFUNCTION("""COMPUTED_VALUE"""),"Amphibian")</f>
        <v>Amphibian</v>
      </c>
      <c r="E1102" s="5" t="str">
        <f ca="1">IFERROR(__xludf.DUMMYFUNCTION("""COMPUTED_VALUE"""),"Turboprop/Turboshaft")</f>
        <v>Turboprop/Turboshaft</v>
      </c>
      <c r="F1102" s="5">
        <f ca="1">IFERROR(__xludf.DUMMYFUNCTION("""COMPUTED_VALUE"""),2)</f>
        <v>2</v>
      </c>
    </row>
    <row r="1103" spans="1:6" ht="15" customHeight="1" x14ac:dyDescent="0.2">
      <c r="A1103" s="5" t="str">
        <f ca="1">IFERROR(__xludf.DUMMYFUNCTION("""COMPUTED_VALUE"""),"G222")</f>
        <v>G222</v>
      </c>
      <c r="B1103" s="5" t="str">
        <f ca="1">IFERROR(__xludf.DUMMYFUNCTION("""COMPUTED_VALUE"""),"ALENIA")</f>
        <v>ALENIA</v>
      </c>
      <c r="C1103" s="5" t="str">
        <f ca="1">IFERROR(__xludf.DUMMYFUNCTION("""COMPUTED_VALUE"""),"G-222")</f>
        <v>G-222</v>
      </c>
      <c r="D1103" s="5" t="str">
        <f ca="1">IFERROR(__xludf.DUMMYFUNCTION("""COMPUTED_VALUE"""),"LandPlane")</f>
        <v>LandPlane</v>
      </c>
      <c r="E1103" s="5" t="str">
        <f ca="1">IFERROR(__xludf.DUMMYFUNCTION("""COMPUTED_VALUE"""),"Turboprop/Turboshaft")</f>
        <v>Turboprop/Turboshaft</v>
      </c>
      <c r="F1103" s="5">
        <f ca="1">IFERROR(__xludf.DUMMYFUNCTION("""COMPUTED_VALUE"""),2)</f>
        <v>2</v>
      </c>
    </row>
    <row r="1104" spans="1:6" ht="15" customHeight="1" x14ac:dyDescent="0.2">
      <c r="A1104" s="5" t="str">
        <f ca="1">IFERROR(__xludf.DUMMYFUNCTION("""COMPUTED_VALUE"""),"G250")</f>
        <v>G250</v>
      </c>
      <c r="B1104" s="5" t="str">
        <f ca="1">IFERROR(__xludf.DUMMYFUNCTION("""COMPUTED_VALUE"""),"GULFSTREAM AEROSPACE")</f>
        <v>GULFSTREAM AEROSPACE</v>
      </c>
      <c r="C1104" s="5" t="str">
        <f ca="1">IFERROR(__xludf.DUMMYFUNCTION("""COMPUTED_VALUE"""),"Gulfstream G250")</f>
        <v>Gulfstream G250</v>
      </c>
      <c r="D1104" s="5" t="str">
        <f ca="1">IFERROR(__xludf.DUMMYFUNCTION("""COMPUTED_VALUE"""),"LandPlane")</f>
        <v>LandPlane</v>
      </c>
      <c r="E1104" s="5" t="str">
        <f ca="1">IFERROR(__xludf.DUMMYFUNCTION("""COMPUTED_VALUE"""),"Jet")</f>
        <v>Jet</v>
      </c>
      <c r="F1104" s="5">
        <f ca="1">IFERROR(__xludf.DUMMYFUNCTION("""COMPUTED_VALUE"""),2)</f>
        <v>2</v>
      </c>
    </row>
    <row r="1105" spans="1:6" ht="15" customHeight="1" x14ac:dyDescent="0.2">
      <c r="A1105" s="5" t="str">
        <f ca="1">IFERROR(__xludf.DUMMYFUNCTION("""COMPUTED_VALUE"""),"G280")</f>
        <v>G280</v>
      </c>
      <c r="B1105" s="5" t="str">
        <f ca="1">IFERROR(__xludf.DUMMYFUNCTION("""COMPUTED_VALUE"""),"GULFSTREAM AEROSPACE")</f>
        <v>GULFSTREAM AEROSPACE</v>
      </c>
      <c r="C1105" s="5" t="str">
        <f ca="1">IFERROR(__xludf.DUMMYFUNCTION("""COMPUTED_VALUE"""),"Gulfstream G280")</f>
        <v>Gulfstream G280</v>
      </c>
      <c r="D1105" s="5" t="str">
        <f ca="1">IFERROR(__xludf.DUMMYFUNCTION("""COMPUTED_VALUE"""),"LandPlane")</f>
        <v>LandPlane</v>
      </c>
      <c r="E1105" s="5" t="str">
        <f ca="1">IFERROR(__xludf.DUMMYFUNCTION("""COMPUTED_VALUE"""),"Jet")</f>
        <v>Jet</v>
      </c>
      <c r="F1105" s="5">
        <f ca="1">IFERROR(__xludf.DUMMYFUNCTION("""COMPUTED_VALUE"""),2)</f>
        <v>2</v>
      </c>
    </row>
    <row r="1106" spans="1:6" ht="15" customHeight="1" x14ac:dyDescent="0.2">
      <c r="A1106" s="5" t="str">
        <f ca="1">IFERROR(__xludf.DUMMYFUNCTION("""COMPUTED_VALUE"""),"G2CA")</f>
        <v>G2CA</v>
      </c>
      <c r="B1106" s="5" t="str">
        <f ca="1">IFERROR(__xludf.DUMMYFUNCTION("""COMPUTED_VALUE"""),"GUIMBAL")</f>
        <v>GUIMBAL</v>
      </c>
      <c r="C1106" s="5" t="str">
        <f ca="1">IFERROR(__xludf.DUMMYFUNCTION("""COMPUTED_VALUE"""),"G-2 Cabri")</f>
        <v>G-2 Cabri</v>
      </c>
      <c r="D1106" s="5" t="str">
        <f ca="1">IFERROR(__xludf.DUMMYFUNCTION("""COMPUTED_VALUE"""),"Helicopter")</f>
        <v>Helicopter</v>
      </c>
      <c r="E1106" s="5" t="str">
        <f ca="1">IFERROR(__xludf.DUMMYFUNCTION("""COMPUTED_VALUE"""),"Piston")</f>
        <v>Piston</v>
      </c>
      <c r="F1106" s="5">
        <f ca="1">IFERROR(__xludf.DUMMYFUNCTION("""COMPUTED_VALUE"""),1)</f>
        <v>1</v>
      </c>
    </row>
    <row r="1107" spans="1:6" ht="15" customHeight="1" x14ac:dyDescent="0.2">
      <c r="A1107" s="5" t="str">
        <f ca="1">IFERROR(__xludf.DUMMYFUNCTION("""COMPUTED_VALUE"""),"G2GL")</f>
        <v>G2GL</v>
      </c>
      <c r="B1107" s="5" t="str">
        <f ca="1">IFERROR(__xludf.DUMMYFUNCTION("""COMPUTED_VALUE"""),"SOKO")</f>
        <v>SOKO</v>
      </c>
      <c r="C1107" s="5" t="str">
        <f ca="1">IFERROR(__xludf.DUMMYFUNCTION("""COMPUTED_VALUE"""),"G-2 Galeb")</f>
        <v>G-2 Galeb</v>
      </c>
      <c r="D1107" s="5" t="str">
        <f ca="1">IFERROR(__xludf.DUMMYFUNCTION("""COMPUTED_VALUE"""),"LandPlane")</f>
        <v>LandPlane</v>
      </c>
      <c r="E1107" s="5" t="str">
        <f ca="1">IFERROR(__xludf.DUMMYFUNCTION("""COMPUTED_VALUE"""),"Jet")</f>
        <v>Jet</v>
      </c>
      <c r="F1107" s="5">
        <f ca="1">IFERROR(__xludf.DUMMYFUNCTION("""COMPUTED_VALUE"""),1)</f>
        <v>1</v>
      </c>
    </row>
    <row r="1108" spans="1:6" ht="15" customHeight="1" x14ac:dyDescent="0.2">
      <c r="A1108" s="5" t="str">
        <f ca="1">IFERROR(__xludf.DUMMYFUNCTION("""COMPUTED_VALUE"""),"G2T1")</f>
        <v>G2T1</v>
      </c>
      <c r="B1108" s="5" t="str">
        <f ca="1">IFERROR(__xludf.DUMMYFUNCTION("""COMPUTED_VALUE"""),"GREAT LAKES")</f>
        <v>GREAT LAKES</v>
      </c>
      <c r="C1108" s="5" t="str">
        <f ca="1">IFERROR(__xludf.DUMMYFUNCTION("""COMPUTED_VALUE"""),"2T-1 Sport")</f>
        <v>2T-1 Sport</v>
      </c>
      <c r="D1108" s="5" t="str">
        <f ca="1">IFERROR(__xludf.DUMMYFUNCTION("""COMPUTED_VALUE"""),"LandPlane")</f>
        <v>LandPlane</v>
      </c>
      <c r="E1108" s="5" t="str">
        <f ca="1">IFERROR(__xludf.DUMMYFUNCTION("""COMPUTED_VALUE"""),"Piston")</f>
        <v>Piston</v>
      </c>
      <c r="F1108" s="5">
        <f ca="1">IFERROR(__xludf.DUMMYFUNCTION("""COMPUTED_VALUE"""),1)</f>
        <v>1</v>
      </c>
    </row>
    <row r="1109" spans="1:6" ht="15" customHeight="1" x14ac:dyDescent="0.2">
      <c r="A1109" s="5" t="str">
        <f ca="1">IFERROR(__xludf.DUMMYFUNCTION("""COMPUTED_VALUE"""),"G3")</f>
        <v>G3</v>
      </c>
      <c r="B1109" s="5" t="str">
        <f ca="1">IFERROR(__xludf.DUMMYFUNCTION("""COMPUTED_VALUE"""),"REMOS")</f>
        <v>REMOS</v>
      </c>
      <c r="C1109" s="5" t="str">
        <f ca="1">IFERROR(__xludf.DUMMYFUNCTION("""COMPUTED_VALUE"""),"G-3 Mirage")</f>
        <v>G-3 Mirage</v>
      </c>
      <c r="D1109" s="5" t="str">
        <f ca="1">IFERROR(__xludf.DUMMYFUNCTION("""COMPUTED_VALUE"""),"LandPlane")</f>
        <v>LandPlane</v>
      </c>
      <c r="E1109" s="5" t="str">
        <f ca="1">IFERROR(__xludf.DUMMYFUNCTION("""COMPUTED_VALUE"""),"Piston")</f>
        <v>Piston</v>
      </c>
      <c r="F1109" s="5">
        <f ca="1">IFERROR(__xludf.DUMMYFUNCTION("""COMPUTED_VALUE"""),1)</f>
        <v>1</v>
      </c>
    </row>
    <row r="1110" spans="1:6" ht="15" customHeight="1" x14ac:dyDescent="0.2">
      <c r="A1110" s="5" t="str">
        <f ca="1">IFERROR(__xludf.DUMMYFUNCTION("""COMPUTED_VALUE"""),"G300")</f>
        <v>G300</v>
      </c>
      <c r="B1110" s="5" t="str">
        <f ca="1">IFERROR(__xludf.DUMMYFUNCTION("""COMPUTED_VALUE"""),"GILES")</f>
        <v>GILES</v>
      </c>
      <c r="C1110" s="5" t="str">
        <f ca="1">IFERROR(__xludf.DUMMYFUNCTION("""COMPUTED_VALUE"""),"G-300")</f>
        <v>G-300</v>
      </c>
      <c r="D1110" s="5" t="str">
        <f ca="1">IFERROR(__xludf.DUMMYFUNCTION("""COMPUTED_VALUE"""),"LandPlane")</f>
        <v>LandPlane</v>
      </c>
      <c r="E1110" s="5" t="str">
        <f ca="1">IFERROR(__xludf.DUMMYFUNCTION("""COMPUTED_VALUE"""),"Piston")</f>
        <v>Piston</v>
      </c>
      <c r="F1110" s="5">
        <f ca="1">IFERROR(__xludf.DUMMYFUNCTION("""COMPUTED_VALUE"""),1)</f>
        <v>1</v>
      </c>
    </row>
    <row r="1111" spans="1:6" ht="15" customHeight="1" x14ac:dyDescent="0.2">
      <c r="A1111" s="5" t="str">
        <f ca="1">IFERROR(__xludf.DUMMYFUNCTION("""COMPUTED_VALUE"""),"G44")</f>
        <v>G44</v>
      </c>
      <c r="B1111" s="5" t="str">
        <f ca="1">IFERROR(__xludf.DUMMYFUNCTION("""COMPUTED_VALUE"""),"GRUMMAN")</f>
        <v>GRUMMAN</v>
      </c>
      <c r="C1111" s="5" t="str">
        <f ca="1">IFERROR(__xludf.DUMMYFUNCTION("""COMPUTED_VALUE"""),"G-44 Widgeon")</f>
        <v>G-44 Widgeon</v>
      </c>
      <c r="D1111" s="5" t="str">
        <f ca="1">IFERROR(__xludf.DUMMYFUNCTION("""COMPUTED_VALUE"""),"Amphibian")</f>
        <v>Amphibian</v>
      </c>
      <c r="E1111" s="5" t="str">
        <f ca="1">IFERROR(__xludf.DUMMYFUNCTION("""COMPUTED_VALUE"""),"Piston")</f>
        <v>Piston</v>
      </c>
      <c r="F1111" s="5">
        <f ca="1">IFERROR(__xludf.DUMMYFUNCTION("""COMPUTED_VALUE"""),2)</f>
        <v>2</v>
      </c>
    </row>
    <row r="1112" spans="1:6" ht="15" customHeight="1" x14ac:dyDescent="0.2">
      <c r="A1112" s="5" t="str">
        <f ca="1">IFERROR(__xludf.DUMMYFUNCTION("""COMPUTED_VALUE"""),"G46")</f>
        <v>G46</v>
      </c>
      <c r="B1112" s="5" t="str">
        <f ca="1">IFERROR(__xludf.DUMMYFUNCTION("""COMPUTED_VALUE"""),"FIAT")</f>
        <v>FIAT</v>
      </c>
      <c r="C1112" s="5" t="str">
        <f ca="1">IFERROR(__xludf.DUMMYFUNCTION("""COMPUTED_VALUE"""),"G-46")</f>
        <v>G-46</v>
      </c>
      <c r="D1112" s="5" t="str">
        <f ca="1">IFERROR(__xludf.DUMMYFUNCTION("""COMPUTED_VALUE"""),"LandPlane")</f>
        <v>LandPlane</v>
      </c>
      <c r="E1112" s="5" t="str">
        <f ca="1">IFERROR(__xludf.DUMMYFUNCTION("""COMPUTED_VALUE"""),"Piston")</f>
        <v>Piston</v>
      </c>
      <c r="F1112" s="5">
        <f ca="1">IFERROR(__xludf.DUMMYFUNCTION("""COMPUTED_VALUE"""),1)</f>
        <v>1</v>
      </c>
    </row>
    <row r="1113" spans="1:6" ht="15" customHeight="1" x14ac:dyDescent="0.2">
      <c r="A1113" s="5" t="str">
        <f ca="1">IFERROR(__xludf.DUMMYFUNCTION("""COMPUTED_VALUE"""),"G4SG")</f>
        <v>G4SG</v>
      </c>
      <c r="B1113" s="5" t="str">
        <f ca="1">IFERROR(__xludf.DUMMYFUNCTION("""COMPUTED_VALUE"""),"SOKO")</f>
        <v>SOKO</v>
      </c>
      <c r="C1113" s="5" t="str">
        <f ca="1">IFERROR(__xludf.DUMMYFUNCTION("""COMPUTED_VALUE"""),"G-4 Super Galeb")</f>
        <v>G-4 Super Galeb</v>
      </c>
      <c r="D1113" s="5" t="str">
        <f ca="1">IFERROR(__xludf.DUMMYFUNCTION("""COMPUTED_VALUE"""),"LandPlane")</f>
        <v>LandPlane</v>
      </c>
      <c r="E1113" s="5" t="str">
        <f ca="1">IFERROR(__xludf.DUMMYFUNCTION("""COMPUTED_VALUE"""),"Jet")</f>
        <v>Jet</v>
      </c>
      <c r="F1113" s="5">
        <f ca="1">IFERROR(__xludf.DUMMYFUNCTION("""COMPUTED_VALUE"""),1)</f>
        <v>1</v>
      </c>
    </row>
    <row r="1114" spans="1:6" ht="15" customHeight="1" x14ac:dyDescent="0.2">
      <c r="A1114" s="5" t="str">
        <f ca="1">IFERROR(__xludf.DUMMYFUNCTION("""COMPUTED_VALUE"""),"G59")</f>
        <v>G59</v>
      </c>
      <c r="B1114" s="5" t="str">
        <f ca="1">IFERROR(__xludf.DUMMYFUNCTION("""COMPUTED_VALUE"""),"FIAT")</f>
        <v>FIAT</v>
      </c>
      <c r="C1114" s="5" t="str">
        <f ca="1">IFERROR(__xludf.DUMMYFUNCTION("""COMPUTED_VALUE"""),"G-59")</f>
        <v>G-59</v>
      </c>
      <c r="D1114" s="5" t="str">
        <f ca="1">IFERROR(__xludf.DUMMYFUNCTION("""COMPUTED_VALUE"""),"LandPlane")</f>
        <v>LandPlane</v>
      </c>
      <c r="E1114" s="5" t="str">
        <f ca="1">IFERROR(__xludf.DUMMYFUNCTION("""COMPUTED_VALUE"""),"Piston")</f>
        <v>Piston</v>
      </c>
      <c r="F1114" s="5">
        <f ca="1">IFERROR(__xludf.DUMMYFUNCTION("""COMPUTED_VALUE"""),1)</f>
        <v>1</v>
      </c>
    </row>
    <row r="1115" spans="1:6" ht="15" customHeight="1" x14ac:dyDescent="0.2">
      <c r="A1115" s="5" t="str">
        <f ca="1">IFERROR(__xludf.DUMMYFUNCTION("""COMPUTED_VALUE"""),"G64T")</f>
        <v>G64T</v>
      </c>
      <c r="B1115" s="5" t="str">
        <f ca="1">IFERROR(__xludf.DUMMYFUNCTION("""COMPUTED_VALUE"""),"GRUMMAN")</f>
        <v>GRUMMAN</v>
      </c>
      <c r="C1115" s="5" t="str">
        <f ca="1">IFERROR(__xludf.DUMMYFUNCTION("""COMPUTED_VALUE"""),"G-164 Turbo Ag-Cat")</f>
        <v>G-164 Turbo Ag-Cat</v>
      </c>
      <c r="D1115" s="5" t="str">
        <f ca="1">IFERROR(__xludf.DUMMYFUNCTION("""COMPUTED_VALUE"""),"LandPlane")</f>
        <v>LandPlane</v>
      </c>
      <c r="E1115" s="5" t="str">
        <f ca="1">IFERROR(__xludf.DUMMYFUNCTION("""COMPUTED_VALUE"""),"Turboprop/Turboshaft")</f>
        <v>Turboprop/Turboshaft</v>
      </c>
      <c r="F1115" s="5">
        <f ca="1">IFERROR(__xludf.DUMMYFUNCTION("""COMPUTED_VALUE"""),1)</f>
        <v>1</v>
      </c>
    </row>
    <row r="1116" spans="1:6" ht="15" customHeight="1" x14ac:dyDescent="0.2">
      <c r="A1116" s="5" t="str">
        <f ca="1">IFERROR(__xludf.DUMMYFUNCTION("""COMPUTED_VALUE"""),"G70")</f>
        <v>G70</v>
      </c>
      <c r="B1116" s="5" t="str">
        <f ca="1">IFERROR(__xludf.DUMMYFUNCTION("""COMPUTED_VALUE"""),"GROPPO")</f>
        <v>GROPPO</v>
      </c>
      <c r="C1116" s="5" t="str">
        <f ca="1">IFERROR(__xludf.DUMMYFUNCTION("""COMPUTED_VALUE"""),"G-70")</f>
        <v>G-70</v>
      </c>
      <c r="D1116" s="5" t="str">
        <f ca="1">IFERROR(__xludf.DUMMYFUNCTION("""COMPUTED_VALUE"""),"LandPlane")</f>
        <v>LandPlane</v>
      </c>
      <c r="E1116" s="5" t="str">
        <f ca="1">IFERROR(__xludf.DUMMYFUNCTION("""COMPUTED_VALUE"""),"Piston")</f>
        <v>Piston</v>
      </c>
      <c r="F1116" s="5">
        <f ca="1">IFERROR(__xludf.DUMMYFUNCTION("""COMPUTED_VALUE"""),1)</f>
        <v>1</v>
      </c>
    </row>
    <row r="1117" spans="1:6" ht="15" customHeight="1" x14ac:dyDescent="0.2">
      <c r="A1117" s="5" t="str">
        <f ca="1">IFERROR(__xludf.DUMMYFUNCTION("""COMPUTED_VALUE"""),"G73")</f>
        <v>G73</v>
      </c>
      <c r="B1117" s="5" t="str">
        <f ca="1">IFERROR(__xludf.DUMMYFUNCTION("""COMPUTED_VALUE"""),"GRUMMAN")</f>
        <v>GRUMMAN</v>
      </c>
      <c r="C1117" s="5" t="str">
        <f ca="1">IFERROR(__xludf.DUMMYFUNCTION("""COMPUTED_VALUE"""),"G-73 Mallard")</f>
        <v>G-73 Mallard</v>
      </c>
      <c r="D1117" s="5" t="str">
        <f ca="1">IFERROR(__xludf.DUMMYFUNCTION("""COMPUTED_VALUE"""),"Amphibian")</f>
        <v>Amphibian</v>
      </c>
      <c r="E1117" s="5" t="str">
        <f ca="1">IFERROR(__xludf.DUMMYFUNCTION("""COMPUTED_VALUE"""),"Piston")</f>
        <v>Piston</v>
      </c>
      <c r="F1117" s="5">
        <f ca="1">IFERROR(__xludf.DUMMYFUNCTION("""COMPUTED_VALUE"""),2)</f>
        <v>2</v>
      </c>
    </row>
    <row r="1118" spans="1:6" ht="15" customHeight="1" x14ac:dyDescent="0.2">
      <c r="A1118" s="5" t="str">
        <f ca="1">IFERROR(__xludf.DUMMYFUNCTION("""COMPUTED_VALUE"""),"G73T")</f>
        <v>G73T</v>
      </c>
      <c r="B1118" s="5" t="str">
        <f ca="1">IFERROR(__xludf.DUMMYFUNCTION("""COMPUTED_VALUE"""),"GRUMMAN")</f>
        <v>GRUMMAN</v>
      </c>
      <c r="C1118" s="5" t="str">
        <f ca="1">IFERROR(__xludf.DUMMYFUNCTION("""COMPUTED_VALUE"""),"G-73T Turbo Mallard")</f>
        <v>G-73T Turbo Mallard</v>
      </c>
      <c r="D1118" s="5" t="str">
        <f ca="1">IFERROR(__xludf.DUMMYFUNCTION("""COMPUTED_VALUE"""),"Amphibian")</f>
        <v>Amphibian</v>
      </c>
      <c r="E1118" s="5" t="str">
        <f ca="1">IFERROR(__xludf.DUMMYFUNCTION("""COMPUTED_VALUE"""),"Turboprop/Turboshaft")</f>
        <v>Turboprop/Turboshaft</v>
      </c>
      <c r="F1118" s="5">
        <f ca="1">IFERROR(__xludf.DUMMYFUNCTION("""COMPUTED_VALUE"""),2)</f>
        <v>2</v>
      </c>
    </row>
    <row r="1119" spans="1:6" ht="15" customHeight="1" x14ac:dyDescent="0.2">
      <c r="A1119" s="5" t="str">
        <f ca="1">IFERROR(__xludf.DUMMYFUNCTION("""COMPUTED_VALUE"""),"G800")</f>
        <v>G800</v>
      </c>
      <c r="B1119" s="5" t="str">
        <f ca="1">IFERROR(__xludf.DUMMYFUNCTION("""COMPUTED_VALUE"""),"GRINVALDS")</f>
        <v>GRINVALDS</v>
      </c>
      <c r="C1119" s="5" t="str">
        <f ca="1">IFERROR(__xludf.DUMMYFUNCTION("""COMPUTED_VALUE"""),"G-801 Orion")</f>
        <v>G-801 Orion</v>
      </c>
      <c r="D1119" s="5" t="str">
        <f ca="1">IFERROR(__xludf.DUMMYFUNCTION("""COMPUTED_VALUE"""),"LandPlane")</f>
        <v>LandPlane</v>
      </c>
      <c r="E1119" s="5" t="str">
        <f ca="1">IFERROR(__xludf.DUMMYFUNCTION("""COMPUTED_VALUE"""),"Piston")</f>
        <v>Piston</v>
      </c>
      <c r="F1119" s="5">
        <f ca="1">IFERROR(__xludf.DUMMYFUNCTION("""COMPUTED_VALUE"""),1)</f>
        <v>1</v>
      </c>
    </row>
    <row r="1120" spans="1:6" ht="15" customHeight="1" x14ac:dyDescent="0.2">
      <c r="A1120" s="5" t="str">
        <f ca="1">IFERROR(__xludf.DUMMYFUNCTION("""COMPUTED_VALUE"""),"G850")</f>
        <v>G850</v>
      </c>
      <c r="B1120" s="5" t="str">
        <f ca="1">IFERROR(__xludf.DUMMYFUNCTION("""COMPUTED_VALUE"""),"GROB")</f>
        <v>GROB</v>
      </c>
      <c r="C1120" s="5" t="str">
        <f ca="1">IFERROR(__xludf.DUMMYFUNCTION("""COMPUTED_VALUE"""),"G-850 Strato 2C")</f>
        <v>G-850 Strato 2C</v>
      </c>
      <c r="D1120" s="5" t="str">
        <f ca="1">IFERROR(__xludf.DUMMYFUNCTION("""COMPUTED_VALUE"""),"LandPlane")</f>
        <v>LandPlane</v>
      </c>
      <c r="E1120" s="5" t="str">
        <f ca="1">IFERROR(__xludf.DUMMYFUNCTION("""COMPUTED_VALUE"""),"Piston")</f>
        <v>Piston</v>
      </c>
      <c r="F1120" s="5">
        <f ca="1">IFERROR(__xludf.DUMMYFUNCTION("""COMPUTED_VALUE"""),2)</f>
        <v>2</v>
      </c>
    </row>
    <row r="1121" spans="1:6" ht="15" customHeight="1" x14ac:dyDescent="0.2">
      <c r="A1121" s="5" t="str">
        <f ca="1">IFERROR(__xludf.DUMMYFUNCTION("""COMPUTED_VALUE"""),"G96")</f>
        <v>G96</v>
      </c>
      <c r="B1121" s="5" t="str">
        <f ca="1">IFERROR(__xludf.DUMMYFUNCTION("""COMPUTED_VALUE"""),"GRUMMAN")</f>
        <v>GRUMMAN</v>
      </c>
      <c r="C1121" s="5" t="str">
        <f ca="1">IFERROR(__xludf.DUMMYFUNCTION("""COMPUTED_VALUE"""),"G-96 Trader")</f>
        <v>G-96 Trader</v>
      </c>
      <c r="D1121" s="5" t="str">
        <f ca="1">IFERROR(__xludf.DUMMYFUNCTION("""COMPUTED_VALUE"""),"LandPlane")</f>
        <v>LandPlane</v>
      </c>
      <c r="E1121" s="5" t="str">
        <f ca="1">IFERROR(__xludf.DUMMYFUNCTION("""COMPUTED_VALUE"""),"Piston")</f>
        <v>Piston</v>
      </c>
      <c r="F1121" s="5">
        <f ca="1">IFERROR(__xludf.DUMMYFUNCTION("""COMPUTED_VALUE"""),2)</f>
        <v>2</v>
      </c>
    </row>
    <row r="1122" spans="1:6" ht="15" customHeight="1" x14ac:dyDescent="0.2">
      <c r="A1122" s="5" t="str">
        <f ca="1">IFERROR(__xludf.DUMMYFUNCTION("""COMPUTED_VALUE"""),"G97")</f>
        <v>G97</v>
      </c>
      <c r="B1122" s="5" t="str">
        <f ca="1">IFERROR(__xludf.DUMMYFUNCTION("""COMPUTED_VALUE"""),"SAI (2)")</f>
        <v>SAI (2)</v>
      </c>
      <c r="C1122" s="5" t="str">
        <f ca="1">IFERROR(__xludf.DUMMYFUNCTION("""COMPUTED_VALUE"""),"G-97 Spotter")</f>
        <v>G-97 Spotter</v>
      </c>
      <c r="D1122" s="5" t="str">
        <f ca="1">IFERROR(__xludf.DUMMYFUNCTION("""COMPUTED_VALUE"""),"LandPlane")</f>
        <v>LandPlane</v>
      </c>
      <c r="E1122" s="5" t="str">
        <f ca="1">IFERROR(__xludf.DUMMYFUNCTION("""COMPUTED_VALUE"""),"Piston")</f>
        <v>Piston</v>
      </c>
      <c r="F1122" s="5">
        <f ca="1">IFERROR(__xludf.DUMMYFUNCTION("""COMPUTED_VALUE"""),1)</f>
        <v>1</v>
      </c>
    </row>
    <row r="1123" spans="1:6" ht="15" customHeight="1" x14ac:dyDescent="0.2">
      <c r="A1123" s="5" t="str">
        <f ca="1">IFERROR(__xludf.DUMMYFUNCTION("""COMPUTED_VALUE"""),"GA10")</f>
        <v>GA10</v>
      </c>
      <c r="B1123" s="5" t="str">
        <f ca="1">IFERROR(__xludf.DUMMYFUNCTION("""COMPUTED_VALUE"""),"GIPPSAERO")</f>
        <v>GIPPSAERO</v>
      </c>
      <c r="C1123" s="5" t="str">
        <f ca="1">IFERROR(__xludf.DUMMYFUNCTION("""COMPUTED_VALUE"""),"GA-10")</f>
        <v>GA-10</v>
      </c>
      <c r="D1123" s="5" t="str">
        <f ca="1">IFERROR(__xludf.DUMMYFUNCTION("""COMPUTED_VALUE"""),"LandPlane")</f>
        <v>LandPlane</v>
      </c>
      <c r="E1123" s="5" t="str">
        <f ca="1">IFERROR(__xludf.DUMMYFUNCTION("""COMPUTED_VALUE"""),"Turboprop/Turboshaft")</f>
        <v>Turboprop/Turboshaft</v>
      </c>
      <c r="F1123" s="5">
        <f ca="1">IFERROR(__xludf.DUMMYFUNCTION("""COMPUTED_VALUE"""),1)</f>
        <v>1</v>
      </c>
    </row>
    <row r="1124" spans="1:6" ht="15" customHeight="1" x14ac:dyDescent="0.2">
      <c r="A1124" s="5" t="str">
        <f ca="1">IFERROR(__xludf.DUMMYFUNCTION("""COMPUTED_VALUE"""),"GA20")</f>
        <v>GA20</v>
      </c>
      <c r="B1124" s="5" t="str">
        <f ca="1">IFERROR(__xludf.DUMMYFUNCTION("""COMPUTED_VALUE"""),"GIPPSLAND")</f>
        <v>GIPPSLAND</v>
      </c>
      <c r="C1124" s="5" t="str">
        <f ca="1">IFERROR(__xludf.DUMMYFUNCTION("""COMPUTED_VALUE"""),"GA-200 Fatman")</f>
        <v>GA-200 Fatman</v>
      </c>
      <c r="D1124" s="5" t="str">
        <f ca="1">IFERROR(__xludf.DUMMYFUNCTION("""COMPUTED_VALUE"""),"LandPlane")</f>
        <v>LandPlane</v>
      </c>
      <c r="E1124" s="5" t="str">
        <f ca="1">IFERROR(__xludf.DUMMYFUNCTION("""COMPUTED_VALUE"""),"Piston")</f>
        <v>Piston</v>
      </c>
      <c r="F1124" s="5">
        <f ca="1">IFERROR(__xludf.DUMMYFUNCTION("""COMPUTED_VALUE"""),1)</f>
        <v>1</v>
      </c>
    </row>
    <row r="1125" spans="1:6" ht="15" customHeight="1" x14ac:dyDescent="0.2">
      <c r="A1125" s="5" t="str">
        <f ca="1">IFERROR(__xludf.DUMMYFUNCTION("""COMPUTED_VALUE"""),"GA5C")</f>
        <v>GA5C</v>
      </c>
      <c r="B1125" s="5" t="str">
        <f ca="1">IFERROR(__xludf.DUMMYFUNCTION("""COMPUTED_VALUE"""),"GULFSTREAM AEROSPACE")</f>
        <v>GULFSTREAM AEROSPACE</v>
      </c>
      <c r="C1125" s="5" t="str">
        <f ca="1">IFERROR(__xludf.DUMMYFUNCTION("""COMPUTED_VALUE"""),"G-7 Gulfstream G500")</f>
        <v>G-7 Gulfstream G500</v>
      </c>
      <c r="D1125" s="5" t="str">
        <f ca="1">IFERROR(__xludf.DUMMYFUNCTION("""COMPUTED_VALUE"""),"LandPlane")</f>
        <v>LandPlane</v>
      </c>
      <c r="E1125" s="5" t="str">
        <f ca="1">IFERROR(__xludf.DUMMYFUNCTION("""COMPUTED_VALUE"""),"Jet")</f>
        <v>Jet</v>
      </c>
      <c r="F1125" s="5">
        <f ca="1">IFERROR(__xludf.DUMMYFUNCTION("""COMPUTED_VALUE"""),2)</f>
        <v>2</v>
      </c>
    </row>
    <row r="1126" spans="1:6" ht="15" customHeight="1" x14ac:dyDescent="0.2">
      <c r="A1126" s="5" t="str">
        <f ca="1">IFERROR(__xludf.DUMMYFUNCTION("""COMPUTED_VALUE"""),"GA6C")</f>
        <v>GA6C</v>
      </c>
      <c r="B1126" s="5" t="str">
        <f ca="1">IFERROR(__xludf.DUMMYFUNCTION("""COMPUTED_VALUE"""),"GULFSTREAM AEROSPACE")</f>
        <v>GULFSTREAM AEROSPACE</v>
      </c>
      <c r="C1126" s="5" t="str">
        <f ca="1">IFERROR(__xludf.DUMMYFUNCTION("""COMPUTED_VALUE"""),"G-7 Gulfstream G600")</f>
        <v>G-7 Gulfstream G600</v>
      </c>
      <c r="D1126" s="5" t="str">
        <f ca="1">IFERROR(__xludf.DUMMYFUNCTION("""COMPUTED_VALUE"""),"LandPlane")</f>
        <v>LandPlane</v>
      </c>
      <c r="E1126" s="5" t="str">
        <f ca="1">IFERROR(__xludf.DUMMYFUNCTION("""COMPUTED_VALUE"""),"Jet")</f>
        <v>Jet</v>
      </c>
      <c r="F1126" s="5">
        <f ca="1">IFERROR(__xludf.DUMMYFUNCTION("""COMPUTED_VALUE"""),2)</f>
        <v>2</v>
      </c>
    </row>
    <row r="1127" spans="1:6" ht="15" customHeight="1" x14ac:dyDescent="0.2">
      <c r="A1127" s="5" t="str">
        <f ca="1">IFERROR(__xludf.DUMMYFUNCTION("""COMPUTED_VALUE"""),"GA7")</f>
        <v>GA7</v>
      </c>
      <c r="B1127" s="5" t="str">
        <f ca="1">IFERROR(__xludf.DUMMYFUNCTION("""COMPUTED_VALUE"""),"GRUMMAN AMERICAN")</f>
        <v>GRUMMAN AMERICAN</v>
      </c>
      <c r="C1127" s="5" t="str">
        <f ca="1">IFERROR(__xludf.DUMMYFUNCTION("""COMPUTED_VALUE"""),"GA-7 Cougar")</f>
        <v>GA-7 Cougar</v>
      </c>
      <c r="D1127" s="5" t="str">
        <f ca="1">IFERROR(__xludf.DUMMYFUNCTION("""COMPUTED_VALUE"""),"LandPlane")</f>
        <v>LandPlane</v>
      </c>
      <c r="E1127" s="5" t="str">
        <f ca="1">IFERROR(__xludf.DUMMYFUNCTION("""COMPUTED_VALUE"""),"Piston")</f>
        <v>Piston</v>
      </c>
      <c r="F1127" s="5">
        <f ca="1">IFERROR(__xludf.DUMMYFUNCTION("""COMPUTED_VALUE"""),2)</f>
        <v>2</v>
      </c>
    </row>
    <row r="1128" spans="1:6" ht="15" customHeight="1" x14ac:dyDescent="0.2">
      <c r="A1128" s="5" t="str">
        <f ca="1">IFERROR(__xludf.DUMMYFUNCTION("""COMPUTED_VALUE"""),"GA7C")</f>
        <v>GA7C</v>
      </c>
      <c r="B1128" s="5" t="str">
        <f ca="1">IFERROR(__xludf.DUMMYFUNCTION("""COMPUTED_VALUE"""),"GULFSTREAM AEROSPACE")</f>
        <v>GULFSTREAM AEROSPACE</v>
      </c>
      <c r="C1128" s="5" t="str">
        <f ca="1">IFERROR(__xludf.DUMMYFUNCTION("""COMPUTED_VALUE"""),"G-8 Gulfstream G700")</f>
        <v>G-8 Gulfstream G700</v>
      </c>
      <c r="D1128" s="5" t="str">
        <f ca="1">IFERROR(__xludf.DUMMYFUNCTION("""COMPUTED_VALUE"""),"LandPlane")</f>
        <v>LandPlane</v>
      </c>
      <c r="E1128" s="5" t="str">
        <f ca="1">IFERROR(__xludf.DUMMYFUNCTION("""COMPUTED_VALUE"""),"Jet")</f>
        <v>Jet</v>
      </c>
      <c r="F1128" s="5">
        <f ca="1">IFERROR(__xludf.DUMMYFUNCTION("""COMPUTED_VALUE"""),2)</f>
        <v>2</v>
      </c>
    </row>
    <row r="1129" spans="1:6" ht="15" customHeight="1" x14ac:dyDescent="0.2">
      <c r="A1129" s="5" t="str">
        <f ca="1">IFERROR(__xludf.DUMMYFUNCTION("""COMPUTED_VALUE"""),"GA8")</f>
        <v>GA8</v>
      </c>
      <c r="B1129" s="5" t="str">
        <f ca="1">IFERROR(__xludf.DUMMYFUNCTION("""COMPUTED_VALUE"""),"GIPPSLAND")</f>
        <v>GIPPSLAND</v>
      </c>
      <c r="C1129" s="5" t="str">
        <f ca="1">IFERROR(__xludf.DUMMYFUNCTION("""COMPUTED_VALUE"""),"GA-8 Airvan")</f>
        <v>GA-8 Airvan</v>
      </c>
      <c r="D1129" s="5" t="str">
        <f ca="1">IFERROR(__xludf.DUMMYFUNCTION("""COMPUTED_VALUE"""),"LandPlane")</f>
        <v>LandPlane</v>
      </c>
      <c r="E1129" s="5" t="str">
        <f ca="1">IFERROR(__xludf.DUMMYFUNCTION("""COMPUTED_VALUE"""),"Piston")</f>
        <v>Piston</v>
      </c>
      <c r="F1129" s="5">
        <f ca="1">IFERROR(__xludf.DUMMYFUNCTION("""COMPUTED_VALUE"""),1)</f>
        <v>1</v>
      </c>
    </row>
    <row r="1130" spans="1:6" ht="15" customHeight="1" x14ac:dyDescent="0.2">
      <c r="A1130" s="5" t="str">
        <f ca="1">IFERROR(__xludf.DUMMYFUNCTION("""COMPUTED_VALUE"""),"GABR")</f>
        <v>GABR</v>
      </c>
      <c r="B1130" s="5" t="str">
        <f ca="1">IFERROR(__xludf.DUMMYFUNCTION("""COMPUTED_VALUE"""),"BLACKSHAPE")</f>
        <v>BLACKSHAPE</v>
      </c>
      <c r="C1130" s="5" t="str">
        <f ca="1">IFERROR(__xludf.DUMMYFUNCTION("""COMPUTED_VALUE"""),"Bk-160 Gabriel")</f>
        <v>Bk-160 Gabriel</v>
      </c>
      <c r="D1130" s="5" t="str">
        <f ca="1">IFERROR(__xludf.DUMMYFUNCTION("""COMPUTED_VALUE"""),"LandPlane")</f>
        <v>LandPlane</v>
      </c>
      <c r="E1130" s="5" t="str">
        <f ca="1">IFERROR(__xludf.DUMMYFUNCTION("""COMPUTED_VALUE"""),"Piston")</f>
        <v>Piston</v>
      </c>
      <c r="F1130" s="5">
        <f ca="1">IFERROR(__xludf.DUMMYFUNCTION("""COMPUTED_VALUE"""),1)</f>
        <v>1</v>
      </c>
    </row>
    <row r="1131" spans="1:6" ht="15" customHeight="1" x14ac:dyDescent="0.2">
      <c r="A1131" s="5" t="str">
        <f ca="1">IFERROR(__xludf.DUMMYFUNCTION("""COMPUTED_VALUE"""),"GALX")</f>
        <v>GALX</v>
      </c>
      <c r="B1131" s="5" t="str">
        <f ca="1">IFERROR(__xludf.DUMMYFUNCTION("""COMPUTED_VALUE"""),"GULFSTREAM AEROSPACE")</f>
        <v>GULFSTREAM AEROSPACE</v>
      </c>
      <c r="C1131" s="5" t="str">
        <f ca="1">IFERROR(__xludf.DUMMYFUNCTION("""COMPUTED_VALUE"""),"Gulfstream G200")</f>
        <v>Gulfstream G200</v>
      </c>
      <c r="D1131" s="5" t="str">
        <f ca="1">IFERROR(__xludf.DUMMYFUNCTION("""COMPUTED_VALUE"""),"LandPlane")</f>
        <v>LandPlane</v>
      </c>
      <c r="E1131" s="5" t="str">
        <f ca="1">IFERROR(__xludf.DUMMYFUNCTION("""COMPUTED_VALUE"""),"Jet")</f>
        <v>Jet</v>
      </c>
      <c r="F1131" s="5">
        <f ca="1">IFERROR(__xludf.DUMMYFUNCTION("""COMPUTED_VALUE"""),2)</f>
        <v>2</v>
      </c>
    </row>
    <row r="1132" spans="1:6" ht="15" customHeight="1" x14ac:dyDescent="0.2">
      <c r="A1132" s="5" t="str">
        <f ca="1">IFERROR(__xludf.DUMMYFUNCTION("""COMPUTED_VALUE"""),"GANT")</f>
        <v>GANT</v>
      </c>
      <c r="B1132" s="5" t="str">
        <f ca="1">IFERROR(__xludf.DUMMYFUNCTION("""COMPUTED_VALUE"""),"FAIREY")</f>
        <v>FAIREY</v>
      </c>
      <c r="C1132" s="5" t="str">
        <f ca="1">IFERROR(__xludf.DUMMYFUNCTION("""COMPUTED_VALUE"""),"Gannet")</f>
        <v>Gannet</v>
      </c>
      <c r="D1132" s="5" t="str">
        <f ca="1">IFERROR(__xludf.DUMMYFUNCTION("""COMPUTED_VALUE"""),"LandPlane")</f>
        <v>LandPlane</v>
      </c>
      <c r="E1132" s="5" t="str">
        <f ca="1">IFERROR(__xludf.DUMMYFUNCTION("""COMPUTED_VALUE"""),"Turboprop/Turboshaft")</f>
        <v>Turboprop/Turboshaft</v>
      </c>
      <c r="F1132" s="5"/>
    </row>
    <row r="1133" spans="1:6" ht="15" customHeight="1" x14ac:dyDescent="0.2">
      <c r="A1133" s="5" t="str">
        <f ca="1">IFERROR(__xludf.DUMMYFUNCTION("""COMPUTED_VALUE"""),"GAUN")</f>
        <v>GAUN</v>
      </c>
      <c r="B1133" s="5" t="str">
        <f ca="1">IFERROR(__xludf.DUMMYFUNCTION("""COMPUTED_VALUE"""),"GLOSTER")</f>
        <v>GLOSTER</v>
      </c>
      <c r="C1133" s="5" t="str">
        <f ca="1">IFERROR(__xludf.DUMMYFUNCTION("""COMPUTED_VALUE"""),"Gauntlet")</f>
        <v>Gauntlet</v>
      </c>
      <c r="D1133" s="5" t="str">
        <f ca="1">IFERROR(__xludf.DUMMYFUNCTION("""COMPUTED_VALUE"""),"LandPlane")</f>
        <v>LandPlane</v>
      </c>
      <c r="E1133" s="5" t="str">
        <f ca="1">IFERROR(__xludf.DUMMYFUNCTION("""COMPUTED_VALUE"""),"Piston")</f>
        <v>Piston</v>
      </c>
      <c r="F1133" s="5">
        <f ca="1">IFERROR(__xludf.DUMMYFUNCTION("""COMPUTED_VALUE"""),1)</f>
        <v>1</v>
      </c>
    </row>
    <row r="1134" spans="1:6" ht="15" customHeight="1" x14ac:dyDescent="0.2">
      <c r="A1134" s="5" t="str">
        <f ca="1">IFERROR(__xludf.DUMMYFUNCTION("""COMPUTED_VALUE"""),"GAVI")</f>
        <v>GAVI</v>
      </c>
      <c r="B1134" s="5" t="str">
        <f ca="1">IFERROR(__xludf.DUMMYFUNCTION("""COMPUTED_VALUE"""),"GAVILAN")</f>
        <v>GAVILAN</v>
      </c>
      <c r="C1134" s="5" t="str">
        <f ca="1">IFERROR(__xludf.DUMMYFUNCTION("""COMPUTED_VALUE"""),"EL-1 Gavilan 358")</f>
        <v>EL-1 Gavilan 358</v>
      </c>
      <c r="D1134" s="5" t="str">
        <f ca="1">IFERROR(__xludf.DUMMYFUNCTION("""COMPUTED_VALUE"""),"LandPlane")</f>
        <v>LandPlane</v>
      </c>
      <c r="E1134" s="5" t="str">
        <f ca="1">IFERROR(__xludf.DUMMYFUNCTION("""COMPUTED_VALUE"""),"Piston")</f>
        <v>Piston</v>
      </c>
      <c r="F1134" s="5">
        <f ca="1">IFERROR(__xludf.DUMMYFUNCTION("""COMPUTED_VALUE"""),1)</f>
        <v>1</v>
      </c>
    </row>
    <row r="1135" spans="1:6" ht="15" customHeight="1" x14ac:dyDescent="0.2">
      <c r="A1135" s="5" t="str">
        <f ca="1">IFERROR(__xludf.DUMMYFUNCTION("""COMPUTED_VALUE"""),"GB1")</f>
        <v>GB1</v>
      </c>
      <c r="B1135" s="5" t="str">
        <f ca="1">IFERROR(__xludf.DUMMYFUNCTION("""COMPUTED_VALUE"""),"GAME COMPOSITES")</f>
        <v>GAME COMPOSITES</v>
      </c>
      <c r="C1135" s="5" t="str">
        <f ca="1">IFERROR(__xludf.DUMMYFUNCTION("""COMPUTED_VALUE"""),"GB-1 GameBird")</f>
        <v>GB-1 GameBird</v>
      </c>
      <c r="D1135" s="5" t="str">
        <f ca="1">IFERROR(__xludf.DUMMYFUNCTION("""COMPUTED_VALUE"""),"LandPlane")</f>
        <v>LandPlane</v>
      </c>
      <c r="E1135" s="5" t="str">
        <f ca="1">IFERROR(__xludf.DUMMYFUNCTION("""COMPUTED_VALUE"""),"Piston")</f>
        <v>Piston</v>
      </c>
      <c r="F1135" s="5">
        <f ca="1">IFERROR(__xludf.DUMMYFUNCTION("""COMPUTED_VALUE"""),1)</f>
        <v>1</v>
      </c>
    </row>
    <row r="1136" spans="1:6" ht="15" customHeight="1" x14ac:dyDescent="0.2">
      <c r="A1136" s="5" t="str">
        <f ca="1">IFERROR(__xludf.DUMMYFUNCTION("""COMPUTED_VALUE"""),"GBSP")</f>
        <v>GBSP</v>
      </c>
      <c r="B1136" s="5" t="str">
        <f ca="1">IFERROR(__xludf.DUMMYFUNCTION("""COMPUTED_VALUE"""),"BEETS")</f>
        <v>BEETS</v>
      </c>
      <c r="C1136" s="5" t="str">
        <f ca="1">IFERROR(__xludf.DUMMYFUNCTION("""COMPUTED_VALUE"""),"GB Special")</f>
        <v>GB Special</v>
      </c>
      <c r="D1136" s="5" t="str">
        <f ca="1">IFERROR(__xludf.DUMMYFUNCTION("""COMPUTED_VALUE"""),"LandPlane")</f>
        <v>LandPlane</v>
      </c>
      <c r="E1136" s="5" t="str">
        <f ca="1">IFERROR(__xludf.DUMMYFUNCTION("""COMPUTED_VALUE"""),"Piston")</f>
        <v>Piston</v>
      </c>
      <c r="F1136" s="5">
        <f ca="1">IFERROR(__xludf.DUMMYFUNCTION("""COMPUTED_VALUE"""),1)</f>
        <v>1</v>
      </c>
    </row>
    <row r="1137" spans="1:6" ht="15" customHeight="1" x14ac:dyDescent="0.2">
      <c r="A1137" s="5" t="str">
        <f ca="1">IFERROR(__xludf.DUMMYFUNCTION("""COMPUTED_VALUE"""),"GC1")</f>
        <v>GC1</v>
      </c>
      <c r="B1137" s="5" t="str">
        <f ca="1">IFERROR(__xludf.DUMMYFUNCTION("""COMPUTED_VALUE"""),"GLOBE")</f>
        <v>GLOBE</v>
      </c>
      <c r="C1137" s="5" t="str">
        <f ca="1">IFERROR(__xludf.DUMMYFUNCTION("""COMPUTED_VALUE"""),"GC-1 Swift")</f>
        <v>GC-1 Swift</v>
      </c>
      <c r="D1137" s="5" t="str">
        <f ca="1">IFERROR(__xludf.DUMMYFUNCTION("""COMPUTED_VALUE"""),"LandPlane")</f>
        <v>LandPlane</v>
      </c>
      <c r="E1137" s="5" t="str">
        <f ca="1">IFERROR(__xludf.DUMMYFUNCTION("""COMPUTED_VALUE"""),"Piston")</f>
        <v>Piston</v>
      </c>
      <c r="F1137" s="5">
        <f ca="1">IFERROR(__xludf.DUMMYFUNCTION("""COMPUTED_VALUE"""),1)</f>
        <v>1</v>
      </c>
    </row>
    <row r="1138" spans="1:6" ht="15" customHeight="1" x14ac:dyDescent="0.2">
      <c r="A1138" s="5" t="str">
        <f ca="1">IFERROR(__xludf.DUMMYFUNCTION("""COMPUTED_VALUE"""),"GDUK")</f>
        <v>GDUK</v>
      </c>
      <c r="B1138" s="5" t="str">
        <f ca="1">IFERROR(__xludf.DUMMYFUNCTION("""COMPUTED_VALUE"""),"ELLISON-MAHON")</f>
        <v>ELLISON-MAHON</v>
      </c>
      <c r="C1138" s="5" t="str">
        <f ca="1">IFERROR(__xludf.DUMMYFUNCTION("""COMPUTED_VALUE"""),"Gweduck")</f>
        <v>Gweduck</v>
      </c>
      <c r="D1138" s="5" t="str">
        <f ca="1">IFERROR(__xludf.DUMMYFUNCTION("""COMPUTED_VALUE"""),"Amphibian")</f>
        <v>Amphibian</v>
      </c>
      <c r="E1138" s="5" t="str">
        <f ca="1">IFERROR(__xludf.DUMMYFUNCTION("""COMPUTED_VALUE"""),"Piston")</f>
        <v>Piston</v>
      </c>
      <c r="F1138" s="5">
        <f ca="1">IFERROR(__xludf.DUMMYFUNCTION("""COMPUTED_VALUE"""),2)</f>
        <v>2</v>
      </c>
    </row>
    <row r="1139" spans="1:6" ht="15" customHeight="1" x14ac:dyDescent="0.2">
      <c r="A1139" s="5" t="str">
        <f ca="1">IFERROR(__xludf.DUMMYFUNCTION("""COMPUTED_VALUE"""),"GEMI")</f>
        <v>GEMI</v>
      </c>
      <c r="B1139" s="5" t="str">
        <f ca="1">IFERROR(__xludf.DUMMYFUNCTION("""COMPUTED_VALUE"""),"MILES")</f>
        <v>MILES</v>
      </c>
      <c r="C1139" s="5" t="str">
        <f ca="1">IFERROR(__xludf.DUMMYFUNCTION("""COMPUTED_VALUE"""),"M-65 Gemini")</f>
        <v>M-65 Gemini</v>
      </c>
      <c r="D1139" s="5" t="str">
        <f ca="1">IFERROR(__xludf.DUMMYFUNCTION("""COMPUTED_VALUE"""),"LandPlane")</f>
        <v>LandPlane</v>
      </c>
      <c r="E1139" s="5" t="str">
        <f ca="1">IFERROR(__xludf.DUMMYFUNCTION("""COMPUTED_VALUE"""),"Piston")</f>
        <v>Piston</v>
      </c>
      <c r="F1139" s="5">
        <f ca="1">IFERROR(__xludf.DUMMYFUNCTION("""COMPUTED_VALUE"""),2)</f>
        <v>2</v>
      </c>
    </row>
    <row r="1140" spans="1:6" ht="15" customHeight="1" x14ac:dyDescent="0.2">
      <c r="A1140" s="5" t="str">
        <f ca="1">IFERROR(__xludf.DUMMYFUNCTION("""COMPUTED_VALUE"""),"GENI")</f>
        <v>GENI</v>
      </c>
      <c r="B1140" s="5" t="str">
        <f ca="1">IFERROR(__xludf.DUMMYFUNCTION("""COMPUTED_VALUE"""),"IFB")</f>
        <v>IFB</v>
      </c>
      <c r="C1140" s="5" t="str">
        <f ca="1">IFERROR(__xludf.DUMMYFUNCTION("""COMPUTED_VALUE"""),"E-Genius")</f>
        <v>E-Genius</v>
      </c>
      <c r="D1140" s="5" t="str">
        <f ca="1">IFERROR(__xludf.DUMMYFUNCTION("""COMPUTED_VALUE"""),"LandPlane")</f>
        <v>LandPlane</v>
      </c>
      <c r="E1140" s="5" t="str">
        <f ca="1">IFERROR(__xludf.DUMMYFUNCTION("""COMPUTED_VALUE"""),"Electric")</f>
        <v>Electric</v>
      </c>
      <c r="F1140" s="5">
        <f ca="1">IFERROR(__xludf.DUMMYFUNCTION("""COMPUTED_VALUE"""),1)</f>
        <v>1</v>
      </c>
    </row>
    <row r="1141" spans="1:6" ht="15" customHeight="1" x14ac:dyDescent="0.2">
      <c r="A1141" s="5" t="str">
        <f ca="1">IFERROR(__xludf.DUMMYFUNCTION("""COMPUTED_VALUE"""),"GEPE")</f>
        <v>GEPE</v>
      </c>
      <c r="B1141" s="5" t="str">
        <f ca="1">IFERROR(__xludf.DUMMYFUNCTION("""COMPUTED_VALUE"""),"AERO SERVICES")</f>
        <v>AERO SERVICES</v>
      </c>
      <c r="C1141" s="5" t="str">
        <f ca="1">IFERROR(__xludf.DUMMYFUNCTION("""COMPUTED_VALUE"""),"Guêpe")</f>
        <v>Guêpe</v>
      </c>
      <c r="D1141" s="5" t="str">
        <f ca="1">IFERROR(__xludf.DUMMYFUNCTION("""COMPUTED_VALUE"""),"LandPlane")</f>
        <v>LandPlane</v>
      </c>
      <c r="E1141" s="5" t="str">
        <f ca="1">IFERROR(__xludf.DUMMYFUNCTION("""COMPUTED_VALUE"""),"Piston")</f>
        <v>Piston</v>
      </c>
      <c r="F1141" s="5">
        <f ca="1">IFERROR(__xludf.DUMMYFUNCTION("""COMPUTED_VALUE"""),1)</f>
        <v>1</v>
      </c>
    </row>
    <row r="1142" spans="1:6" ht="15" customHeight="1" x14ac:dyDescent="0.2">
      <c r="A1142" s="5" t="str">
        <f ca="1">IFERROR(__xludf.DUMMYFUNCTION("""COMPUTED_VALUE"""),"GF20")</f>
        <v>GF20</v>
      </c>
      <c r="B1142" s="5" t="str">
        <f ca="1">IFERROR(__xludf.DUMMYFUNCTION("""COMPUTED_VALUE"""),"GROB")</f>
        <v>GROB</v>
      </c>
      <c r="C1142" s="5" t="str">
        <f ca="1">IFERROR(__xludf.DUMMYFUNCTION("""COMPUTED_VALUE"""),"GF-200")</f>
        <v>GF-200</v>
      </c>
      <c r="D1142" s="5" t="str">
        <f ca="1">IFERROR(__xludf.DUMMYFUNCTION("""COMPUTED_VALUE"""),"LandPlane")</f>
        <v>LandPlane</v>
      </c>
      <c r="E1142" s="5" t="str">
        <f ca="1">IFERROR(__xludf.DUMMYFUNCTION("""COMPUTED_VALUE"""),"Piston")</f>
        <v>Piston</v>
      </c>
      <c r="F1142" s="5">
        <f ca="1">IFERROR(__xludf.DUMMYFUNCTION("""COMPUTED_VALUE"""),1)</f>
        <v>1</v>
      </c>
    </row>
    <row r="1143" spans="1:6" ht="15" customHeight="1" x14ac:dyDescent="0.2">
      <c r="A1143" s="5" t="str">
        <f ca="1">IFERROR(__xludf.DUMMYFUNCTION("""COMPUTED_VALUE"""),"GFLY")</f>
        <v>GFLY</v>
      </c>
      <c r="B1143" s="5" t="str">
        <f ca="1">IFERROR(__xludf.DUMMYFUNCTION("""COMPUTED_VALUE"""),"SCALED")</f>
        <v>SCALED</v>
      </c>
      <c r="C1143" s="5" t="str">
        <f ca="1">IFERROR(__xludf.DUMMYFUNCTION("""COMPUTED_VALUE"""),"311 Global Flyer")</f>
        <v>311 Global Flyer</v>
      </c>
      <c r="D1143" s="5" t="str">
        <f ca="1">IFERROR(__xludf.DUMMYFUNCTION("""COMPUTED_VALUE"""),"LandPlane")</f>
        <v>LandPlane</v>
      </c>
      <c r="E1143" s="5" t="str">
        <f ca="1">IFERROR(__xludf.DUMMYFUNCTION("""COMPUTED_VALUE"""),"Jet")</f>
        <v>Jet</v>
      </c>
      <c r="F1143" s="5">
        <f ca="1">IFERROR(__xludf.DUMMYFUNCTION("""COMPUTED_VALUE"""),1)</f>
        <v>1</v>
      </c>
    </row>
    <row r="1144" spans="1:6" ht="15" customHeight="1" x14ac:dyDescent="0.2">
      <c r="A1144" s="5" t="str">
        <f ca="1">IFERROR(__xludf.DUMMYFUNCTION("""COMPUTED_VALUE"""),"GL5T")</f>
        <v>GL5T</v>
      </c>
      <c r="B1144" s="5" t="str">
        <f ca="1">IFERROR(__xludf.DUMMYFUNCTION("""COMPUTED_VALUE"""),"BOMBARDIER")</f>
        <v>BOMBARDIER</v>
      </c>
      <c r="C1144" s="5" t="str">
        <f ca="1">IFERROR(__xludf.DUMMYFUNCTION("""COMPUTED_VALUE"""),"Global 5000")</f>
        <v>Global 5000</v>
      </c>
      <c r="D1144" s="5" t="str">
        <f ca="1">IFERROR(__xludf.DUMMYFUNCTION("""COMPUTED_VALUE"""),"LandPlane")</f>
        <v>LandPlane</v>
      </c>
      <c r="E1144" s="5" t="str">
        <f ca="1">IFERROR(__xludf.DUMMYFUNCTION("""COMPUTED_VALUE"""),"Jet")</f>
        <v>Jet</v>
      </c>
      <c r="F1144" s="5">
        <f ca="1">IFERROR(__xludf.DUMMYFUNCTION("""COMPUTED_VALUE"""),2)</f>
        <v>2</v>
      </c>
    </row>
    <row r="1145" spans="1:6" ht="15" customHeight="1" x14ac:dyDescent="0.2">
      <c r="A1145" s="5" t="str">
        <f ca="1">IFERROR(__xludf.DUMMYFUNCTION("""COMPUTED_VALUE"""),"GL7T")</f>
        <v>GL7T</v>
      </c>
      <c r="B1145" s="5" t="str">
        <f ca="1">IFERROR(__xludf.DUMMYFUNCTION("""COMPUTED_VALUE"""),"BOMBARDIER")</f>
        <v>BOMBARDIER</v>
      </c>
      <c r="C1145" s="5" t="str">
        <f ca="1">IFERROR(__xludf.DUMMYFUNCTION("""COMPUTED_VALUE"""),"Global 7000")</f>
        <v>Global 7000</v>
      </c>
      <c r="D1145" s="5" t="str">
        <f ca="1">IFERROR(__xludf.DUMMYFUNCTION("""COMPUTED_VALUE"""),"LandPlane")</f>
        <v>LandPlane</v>
      </c>
      <c r="E1145" s="5" t="str">
        <f ca="1">IFERROR(__xludf.DUMMYFUNCTION("""COMPUTED_VALUE"""),"Jet")</f>
        <v>Jet</v>
      </c>
      <c r="F1145" s="5">
        <f ca="1">IFERROR(__xludf.DUMMYFUNCTION("""COMPUTED_VALUE"""),2)</f>
        <v>2</v>
      </c>
    </row>
    <row r="1146" spans="1:6" ht="15" customHeight="1" x14ac:dyDescent="0.2">
      <c r="A1146" s="5" t="str">
        <f ca="1">IFERROR(__xludf.DUMMYFUNCTION("""COMPUTED_VALUE"""),"GLAD")</f>
        <v>GLAD</v>
      </c>
      <c r="B1146" s="5" t="str">
        <f ca="1">IFERROR(__xludf.DUMMYFUNCTION("""COMPUTED_VALUE"""),"GLOSTER")</f>
        <v>GLOSTER</v>
      </c>
      <c r="C1146" s="5" t="str">
        <f ca="1">IFERROR(__xludf.DUMMYFUNCTION("""COMPUTED_VALUE"""),"Gladiator")</f>
        <v>Gladiator</v>
      </c>
      <c r="D1146" s="5" t="str">
        <f ca="1">IFERROR(__xludf.DUMMYFUNCTION("""COMPUTED_VALUE"""),"LandPlane")</f>
        <v>LandPlane</v>
      </c>
      <c r="E1146" s="5" t="str">
        <f ca="1">IFERROR(__xludf.DUMMYFUNCTION("""COMPUTED_VALUE"""),"Piston")</f>
        <v>Piston</v>
      </c>
      <c r="F1146" s="5">
        <f ca="1">IFERROR(__xludf.DUMMYFUNCTION("""COMPUTED_VALUE"""),1)</f>
        <v>1</v>
      </c>
    </row>
    <row r="1147" spans="1:6" ht="15" customHeight="1" x14ac:dyDescent="0.2">
      <c r="A1147" s="5" t="str">
        <f ca="1">IFERROR(__xludf.DUMMYFUNCTION("""COMPUTED_VALUE"""),"GLAS")</f>
        <v>GLAS</v>
      </c>
      <c r="B1147" s="5" t="str">
        <f ca="1">IFERROR(__xludf.DUMMYFUNCTION("""COMPUTED_VALUE"""),"STODDARD-HAMILTON")</f>
        <v>STODDARD-HAMILTON</v>
      </c>
      <c r="C1147" s="5" t="str">
        <f ca="1">IFERROR(__xludf.DUMMYFUNCTION("""COMPUTED_VALUE"""),"Glasair")</f>
        <v>Glasair</v>
      </c>
      <c r="D1147" s="5" t="str">
        <f ca="1">IFERROR(__xludf.DUMMYFUNCTION("""COMPUTED_VALUE"""),"LandPlane")</f>
        <v>LandPlane</v>
      </c>
      <c r="E1147" s="5" t="str">
        <f ca="1">IFERROR(__xludf.DUMMYFUNCTION("""COMPUTED_VALUE"""),"Piston")</f>
        <v>Piston</v>
      </c>
      <c r="F1147" s="5">
        <f ca="1">IFERROR(__xludf.DUMMYFUNCTION("""COMPUTED_VALUE"""),1)</f>
        <v>1</v>
      </c>
    </row>
    <row r="1148" spans="1:6" ht="15" customHeight="1" x14ac:dyDescent="0.2">
      <c r="A1148" s="5" t="str">
        <f ca="1">IFERROR(__xludf.DUMMYFUNCTION("""COMPUTED_VALUE"""),"GLEX")</f>
        <v>GLEX</v>
      </c>
      <c r="B1148" s="5" t="str">
        <f ca="1">IFERROR(__xludf.DUMMYFUNCTION("""COMPUTED_VALUE"""),"BOMBARDIER")</f>
        <v>BOMBARDIER</v>
      </c>
      <c r="C1148" s="5" t="str">
        <f ca="1">IFERROR(__xludf.DUMMYFUNCTION("""COMPUTED_VALUE"""),"Global Express")</f>
        <v>Global Express</v>
      </c>
      <c r="D1148" s="5" t="str">
        <f ca="1">IFERROR(__xludf.DUMMYFUNCTION("""COMPUTED_VALUE"""),"LandPlane")</f>
        <v>LandPlane</v>
      </c>
      <c r="E1148" s="5" t="str">
        <f ca="1">IFERROR(__xludf.DUMMYFUNCTION("""COMPUTED_VALUE"""),"Jet")</f>
        <v>Jet</v>
      </c>
      <c r="F1148" s="5">
        <f ca="1">IFERROR(__xludf.DUMMYFUNCTION("""COMPUTED_VALUE"""),2)</f>
        <v>2</v>
      </c>
    </row>
    <row r="1149" spans="1:6" ht="15" customHeight="1" x14ac:dyDescent="0.2">
      <c r="A1149" s="5" t="str">
        <f ca="1">IFERROR(__xludf.DUMMYFUNCTION("""COMPUTED_VALUE"""),"GLF2")</f>
        <v>GLF2</v>
      </c>
      <c r="B1149" s="5" t="str">
        <f ca="1">IFERROR(__xludf.DUMMYFUNCTION("""COMPUTED_VALUE"""),"GRUMMAN")</f>
        <v>GRUMMAN</v>
      </c>
      <c r="C1149" s="5" t="str">
        <f ca="1">IFERROR(__xludf.DUMMYFUNCTION("""COMPUTED_VALUE"""),"Gulfstream 2")</f>
        <v>Gulfstream 2</v>
      </c>
      <c r="D1149" s="5" t="str">
        <f ca="1">IFERROR(__xludf.DUMMYFUNCTION("""COMPUTED_VALUE"""),"LandPlane")</f>
        <v>LandPlane</v>
      </c>
      <c r="E1149" s="5" t="str">
        <f ca="1">IFERROR(__xludf.DUMMYFUNCTION("""COMPUTED_VALUE"""),"Jet")</f>
        <v>Jet</v>
      </c>
      <c r="F1149" s="5">
        <f ca="1">IFERROR(__xludf.DUMMYFUNCTION("""COMPUTED_VALUE"""),2)</f>
        <v>2</v>
      </c>
    </row>
    <row r="1150" spans="1:6" ht="15" customHeight="1" x14ac:dyDescent="0.2">
      <c r="A1150" s="5" t="str">
        <f ca="1">IFERROR(__xludf.DUMMYFUNCTION("""COMPUTED_VALUE"""),"GLF3")</f>
        <v>GLF3</v>
      </c>
      <c r="B1150" s="5" t="str">
        <f ca="1">IFERROR(__xludf.DUMMYFUNCTION("""COMPUTED_VALUE"""),"GULFSTREAM AEROSPACE")</f>
        <v>GULFSTREAM AEROSPACE</v>
      </c>
      <c r="C1150" s="5" t="str">
        <f ca="1">IFERROR(__xludf.DUMMYFUNCTION("""COMPUTED_VALUE"""),"Gulfstream 3")</f>
        <v>Gulfstream 3</v>
      </c>
      <c r="D1150" s="5" t="str">
        <f ca="1">IFERROR(__xludf.DUMMYFUNCTION("""COMPUTED_VALUE"""),"LandPlane")</f>
        <v>LandPlane</v>
      </c>
      <c r="E1150" s="5" t="str">
        <f ca="1">IFERROR(__xludf.DUMMYFUNCTION("""COMPUTED_VALUE"""),"Jet")</f>
        <v>Jet</v>
      </c>
      <c r="F1150" s="5">
        <f ca="1">IFERROR(__xludf.DUMMYFUNCTION("""COMPUTED_VALUE"""),2)</f>
        <v>2</v>
      </c>
    </row>
    <row r="1151" spans="1:6" ht="15" customHeight="1" x14ac:dyDescent="0.2">
      <c r="A1151" s="5" t="str">
        <f ca="1">IFERROR(__xludf.DUMMYFUNCTION("""COMPUTED_VALUE"""),"GLF4")</f>
        <v>GLF4</v>
      </c>
      <c r="B1151" s="5" t="str">
        <f ca="1">IFERROR(__xludf.DUMMYFUNCTION("""COMPUTED_VALUE"""),"GULFSTREAM AEROSPACE")</f>
        <v>GULFSTREAM AEROSPACE</v>
      </c>
      <c r="C1151" s="5" t="str">
        <f ca="1">IFERROR(__xludf.DUMMYFUNCTION("""COMPUTED_VALUE"""),"Gulfstream 4")</f>
        <v>Gulfstream 4</v>
      </c>
      <c r="D1151" s="5" t="str">
        <f ca="1">IFERROR(__xludf.DUMMYFUNCTION("""COMPUTED_VALUE"""),"LandPlane")</f>
        <v>LandPlane</v>
      </c>
      <c r="E1151" s="5" t="str">
        <f ca="1">IFERROR(__xludf.DUMMYFUNCTION("""COMPUTED_VALUE"""),"Jet")</f>
        <v>Jet</v>
      </c>
      <c r="F1151" s="5">
        <f ca="1">IFERROR(__xludf.DUMMYFUNCTION("""COMPUTED_VALUE"""),2)</f>
        <v>2</v>
      </c>
    </row>
    <row r="1152" spans="1:6" ht="15" customHeight="1" x14ac:dyDescent="0.2">
      <c r="A1152" s="5" t="str">
        <f ca="1">IFERROR(__xludf.DUMMYFUNCTION("""COMPUTED_VALUE"""),"GLF5")</f>
        <v>GLF5</v>
      </c>
      <c r="B1152" s="5" t="str">
        <f ca="1">IFERROR(__xludf.DUMMYFUNCTION("""COMPUTED_VALUE"""),"GULFSTREAM AEROSPACE")</f>
        <v>GULFSTREAM AEROSPACE</v>
      </c>
      <c r="C1152" s="5" t="str">
        <f ca="1">IFERROR(__xludf.DUMMYFUNCTION("""COMPUTED_VALUE"""),"Gulfstream 5")</f>
        <v>Gulfstream 5</v>
      </c>
      <c r="D1152" s="5" t="str">
        <f ca="1">IFERROR(__xludf.DUMMYFUNCTION("""COMPUTED_VALUE"""),"LandPlane")</f>
        <v>LandPlane</v>
      </c>
      <c r="E1152" s="5" t="str">
        <f ca="1">IFERROR(__xludf.DUMMYFUNCTION("""COMPUTED_VALUE"""),"Jet")</f>
        <v>Jet</v>
      </c>
      <c r="F1152" s="5">
        <f ca="1">IFERROR(__xludf.DUMMYFUNCTION("""COMPUTED_VALUE"""),2)</f>
        <v>2</v>
      </c>
    </row>
    <row r="1153" spans="1:6" ht="15" customHeight="1" x14ac:dyDescent="0.2">
      <c r="A1153" s="5" t="str">
        <f ca="1">IFERROR(__xludf.DUMMYFUNCTION("""COMPUTED_VALUE"""),"GLF6")</f>
        <v>GLF6</v>
      </c>
      <c r="B1153" s="5" t="str">
        <f ca="1">IFERROR(__xludf.DUMMYFUNCTION("""COMPUTED_VALUE"""),"GULFSTREAM AEROSPACE")</f>
        <v>GULFSTREAM AEROSPACE</v>
      </c>
      <c r="C1153" s="5" t="str">
        <f ca="1">IFERROR(__xludf.DUMMYFUNCTION("""COMPUTED_VALUE"""),"Gulfstream G650")</f>
        <v>Gulfstream G650</v>
      </c>
      <c r="D1153" s="5" t="str">
        <f ca="1">IFERROR(__xludf.DUMMYFUNCTION("""COMPUTED_VALUE"""),"LandPlane")</f>
        <v>LandPlane</v>
      </c>
      <c r="E1153" s="5" t="str">
        <f ca="1">IFERROR(__xludf.DUMMYFUNCTION("""COMPUTED_VALUE"""),"Jet")</f>
        <v>Jet</v>
      </c>
      <c r="F1153" s="5">
        <f ca="1">IFERROR(__xludf.DUMMYFUNCTION("""COMPUTED_VALUE"""),2)</f>
        <v>2</v>
      </c>
    </row>
    <row r="1154" spans="1:6" ht="15" customHeight="1" x14ac:dyDescent="0.2">
      <c r="A1154" s="5" t="str">
        <f ca="1">IFERROR(__xludf.DUMMYFUNCTION("""COMPUTED_VALUE"""),"GLSP")</f>
        <v>GLSP</v>
      </c>
      <c r="B1154" s="5" t="str">
        <f ca="1">IFERROR(__xludf.DUMMYFUNCTION("""COMPUTED_VALUE"""),"NEW GLASTAR")</f>
        <v>NEW GLASTAR</v>
      </c>
      <c r="C1154" s="5" t="str">
        <f ca="1">IFERROR(__xludf.DUMMYFUNCTION("""COMPUTED_VALUE"""),"Sportsman 2+2")</f>
        <v>Sportsman 2+2</v>
      </c>
      <c r="D1154" s="5" t="str">
        <f ca="1">IFERROR(__xludf.DUMMYFUNCTION("""COMPUTED_VALUE"""),"LandPlane")</f>
        <v>LandPlane</v>
      </c>
      <c r="E1154" s="5" t="str">
        <f ca="1">IFERROR(__xludf.DUMMYFUNCTION("""COMPUTED_VALUE"""),"Piston")</f>
        <v>Piston</v>
      </c>
      <c r="F1154" s="5">
        <f ca="1">IFERROR(__xludf.DUMMYFUNCTION("""COMPUTED_VALUE"""),1)</f>
        <v>1</v>
      </c>
    </row>
    <row r="1155" spans="1:6" ht="15" customHeight="1" x14ac:dyDescent="0.2">
      <c r="A1155" s="5" t="str">
        <f ca="1">IFERROR(__xludf.DUMMYFUNCTION("""COMPUTED_VALUE"""),"GLST")</f>
        <v>GLST</v>
      </c>
      <c r="B1155" s="5" t="str">
        <f ca="1">IFERROR(__xludf.DUMMYFUNCTION("""COMPUTED_VALUE"""),"STODDARD-HAMILTON")</f>
        <v>STODDARD-HAMILTON</v>
      </c>
      <c r="C1155" s="5" t="str">
        <f ca="1">IFERROR(__xludf.DUMMYFUNCTION("""COMPUTED_VALUE"""),"SH-4 GlaStar")</f>
        <v>SH-4 GlaStar</v>
      </c>
      <c r="D1155" s="5" t="str">
        <f ca="1">IFERROR(__xludf.DUMMYFUNCTION("""COMPUTED_VALUE"""),"LandPlane")</f>
        <v>LandPlane</v>
      </c>
      <c r="E1155" s="5" t="str">
        <f ca="1">IFERROR(__xludf.DUMMYFUNCTION("""COMPUTED_VALUE"""),"Piston")</f>
        <v>Piston</v>
      </c>
      <c r="F1155" s="5">
        <f ca="1">IFERROR(__xludf.DUMMYFUNCTION("""COMPUTED_VALUE"""),1)</f>
        <v>1</v>
      </c>
    </row>
    <row r="1156" spans="1:6" ht="15" customHeight="1" x14ac:dyDescent="0.2">
      <c r="A1156" s="5" t="str">
        <f ca="1">IFERROR(__xludf.DUMMYFUNCTION("""COMPUTED_VALUE"""),"GM01")</f>
        <v>GM01</v>
      </c>
      <c r="B1156" s="5" t="str">
        <f ca="1">IFERROR(__xludf.DUMMYFUNCTION("""COMPUTED_VALUE"""),"YALO")</f>
        <v>YALO</v>
      </c>
      <c r="C1156" s="5" t="str">
        <f ca="1">IFERROR(__xludf.DUMMYFUNCTION("""COMPUTED_VALUE"""),"GM-01 Gniady")</f>
        <v>GM-01 Gniady</v>
      </c>
      <c r="D1156" s="5" t="str">
        <f ca="1">IFERROR(__xludf.DUMMYFUNCTION("""COMPUTED_VALUE"""),"LandPlane")</f>
        <v>LandPlane</v>
      </c>
      <c r="E1156" s="5" t="str">
        <f ca="1">IFERROR(__xludf.DUMMYFUNCTION("""COMPUTED_VALUE"""),"Piston")</f>
        <v>Piston</v>
      </c>
      <c r="F1156" s="5">
        <f ca="1">IFERROR(__xludf.DUMMYFUNCTION("""COMPUTED_VALUE"""),1)</f>
        <v>1</v>
      </c>
    </row>
    <row r="1157" spans="1:6" ht="15" customHeight="1" x14ac:dyDescent="0.2">
      <c r="A1157" s="5" t="str">
        <f ca="1">IFERROR(__xludf.DUMMYFUNCTION("""COMPUTED_VALUE"""),"GM17")</f>
        <v>GM17</v>
      </c>
      <c r="B1157" s="5" t="str">
        <f ca="1">IFERROR(__xludf.DUMMYFUNCTION("""COMPUTED_VALUE"""),"INTRACOM")</f>
        <v>INTRACOM</v>
      </c>
      <c r="C1157" s="5" t="str">
        <f ca="1">IFERROR(__xludf.DUMMYFUNCTION("""COMPUTED_VALUE"""),"GM-17  Viper")</f>
        <v>GM-17  Viper</v>
      </c>
      <c r="D1157" s="5" t="str">
        <f ca="1">IFERROR(__xludf.DUMMYFUNCTION("""COMPUTED_VALUE"""),"LandPlane")</f>
        <v>LandPlane</v>
      </c>
      <c r="E1157" s="5" t="str">
        <f ca="1">IFERROR(__xludf.DUMMYFUNCTION("""COMPUTED_VALUE"""),"Turboprop/Turboshaft")</f>
        <v>Turboprop/Turboshaft</v>
      </c>
      <c r="F1157" s="5">
        <f ca="1">IFERROR(__xludf.DUMMYFUNCTION("""COMPUTED_VALUE"""),1)</f>
        <v>1</v>
      </c>
    </row>
    <row r="1158" spans="1:6" ht="15" customHeight="1" x14ac:dyDescent="0.2">
      <c r="A1158" s="5" t="str">
        <f ca="1">IFERROR(__xludf.DUMMYFUNCTION("""COMPUTED_VALUE"""),"GMGC")</f>
        <v>GMGC</v>
      </c>
      <c r="B1158" s="5" t="str">
        <f ca="1">IFERROR(__xludf.DUMMYFUNCTION("""COMPUTED_VALUE"""),"IBIS (2)")</f>
        <v>IBIS (2)</v>
      </c>
      <c r="C1158" s="5" t="str">
        <f ca="1">IFERROR(__xludf.DUMMYFUNCTION("""COMPUTED_VALUE"""),"Grand Magic")</f>
        <v>Grand Magic</v>
      </c>
      <c r="D1158" s="5" t="str">
        <f ca="1">IFERROR(__xludf.DUMMYFUNCTION("""COMPUTED_VALUE"""),"LandPlane")</f>
        <v>LandPlane</v>
      </c>
      <c r="E1158" s="5" t="str">
        <f ca="1">IFERROR(__xludf.DUMMYFUNCTION("""COMPUTED_VALUE"""),"Piston")</f>
        <v>Piston</v>
      </c>
      <c r="F1158" s="5">
        <f ca="1">IFERROR(__xludf.DUMMYFUNCTION("""COMPUTED_VALUE"""),1)</f>
        <v>1</v>
      </c>
    </row>
    <row r="1159" spans="1:6" ht="15" customHeight="1" x14ac:dyDescent="0.2">
      <c r="A1159" s="5" t="str">
        <f ca="1">IFERROR(__xludf.DUMMYFUNCTION("""COMPUTED_VALUE"""),"GNAT")</f>
        <v>GNAT</v>
      </c>
      <c r="B1159" s="5" t="str">
        <f ca="1">IFERROR(__xludf.DUMMYFUNCTION("""COMPUTED_VALUE"""),"FOLLAND")</f>
        <v>FOLLAND</v>
      </c>
      <c r="C1159" s="5" t="str">
        <f ca="1">IFERROR(__xludf.DUMMYFUNCTION("""COMPUTED_VALUE"""),"Fo-144 Gnat")</f>
        <v>Fo-144 Gnat</v>
      </c>
      <c r="D1159" s="5" t="str">
        <f ca="1">IFERROR(__xludf.DUMMYFUNCTION("""COMPUTED_VALUE"""),"LandPlane")</f>
        <v>LandPlane</v>
      </c>
      <c r="E1159" s="5" t="str">
        <f ca="1">IFERROR(__xludf.DUMMYFUNCTION("""COMPUTED_VALUE"""),"Jet")</f>
        <v>Jet</v>
      </c>
      <c r="F1159" s="5">
        <f ca="1">IFERROR(__xludf.DUMMYFUNCTION("""COMPUTED_VALUE"""),1)</f>
        <v>1</v>
      </c>
    </row>
    <row r="1160" spans="1:6" ht="15" customHeight="1" x14ac:dyDescent="0.2">
      <c r="A1160" s="5" t="str">
        <f ca="1">IFERROR(__xludf.DUMMYFUNCTION("""COMPUTED_VALUE"""),"GOBU")</f>
        <v>GOBU</v>
      </c>
      <c r="B1160" s="5" t="str">
        <f ca="1">IFERROR(__xludf.DUMMYFUNCTION("""COMPUTED_VALUE"""),"BUTTERFLY")</f>
        <v>BUTTERFLY</v>
      </c>
      <c r="C1160" s="5" t="str">
        <f ca="1">IFERROR(__xludf.DUMMYFUNCTION("""COMPUTED_VALUE"""),"Golden Butterfly")</f>
        <v>Golden Butterfly</v>
      </c>
      <c r="D1160" s="5" t="str">
        <f ca="1">IFERROR(__xludf.DUMMYFUNCTION("""COMPUTED_VALUE"""),"Gyrocopter")</f>
        <v>Gyrocopter</v>
      </c>
      <c r="E1160" s="5" t="str">
        <f ca="1">IFERROR(__xludf.DUMMYFUNCTION("""COMPUTED_VALUE"""),"Piston")</f>
        <v>Piston</v>
      </c>
      <c r="F1160" s="5">
        <f ca="1">IFERROR(__xludf.DUMMYFUNCTION("""COMPUTED_VALUE"""),1)</f>
        <v>1</v>
      </c>
    </row>
    <row r="1161" spans="1:6" ht="15" customHeight="1" x14ac:dyDescent="0.2">
      <c r="A1161" s="5" t="str">
        <f ca="1">IFERROR(__xludf.DUMMYFUNCTION("""COMPUTED_VALUE"""),"GOLF")</f>
        <v>GOLF</v>
      </c>
      <c r="B1161" s="5" t="str">
        <f ca="1">IFERROR(__xludf.DUMMYFUNCTION("""COMPUTED_VALUE"""),"TECNAM")</f>
        <v>TECNAM</v>
      </c>
      <c r="C1161" s="5" t="str">
        <f ca="1">IFERROR(__xludf.DUMMYFUNCTION("""COMPUTED_VALUE"""),"P-96 Golf")</f>
        <v>P-96 Golf</v>
      </c>
      <c r="D1161" s="5" t="str">
        <f ca="1">IFERROR(__xludf.DUMMYFUNCTION("""COMPUTED_VALUE"""),"LandPlane")</f>
        <v>LandPlane</v>
      </c>
      <c r="E1161" s="5" t="str">
        <f ca="1">IFERROR(__xludf.DUMMYFUNCTION("""COMPUTED_VALUE"""),"Piston")</f>
        <v>Piston</v>
      </c>
      <c r="F1161" s="5">
        <f ca="1">IFERROR(__xludf.DUMMYFUNCTION("""COMPUTED_VALUE"""),1)</f>
        <v>1</v>
      </c>
    </row>
    <row r="1162" spans="1:6" ht="15" customHeight="1" x14ac:dyDescent="0.2">
      <c r="A1162" s="5" t="str">
        <f ca="1">IFERROR(__xludf.DUMMYFUNCTION("""COMPUTED_VALUE"""),"GOOS")</f>
        <v>GOOS</v>
      </c>
      <c r="B1162" s="5" t="str">
        <f ca="1">IFERROR(__xludf.DUMMYFUNCTION("""COMPUTED_VALUE"""),"QUIKKIT")</f>
        <v>QUIKKIT</v>
      </c>
      <c r="C1162" s="5" t="str">
        <f ca="1">IFERROR(__xludf.DUMMYFUNCTION("""COMPUTED_VALUE"""),"Glass Goose")</f>
        <v>Glass Goose</v>
      </c>
      <c r="D1162" s="5" t="str">
        <f ca="1">IFERROR(__xludf.DUMMYFUNCTION("""COMPUTED_VALUE"""),"Amphibian")</f>
        <v>Amphibian</v>
      </c>
      <c r="E1162" s="5" t="str">
        <f ca="1">IFERROR(__xludf.DUMMYFUNCTION("""COMPUTED_VALUE"""),"Piston")</f>
        <v>Piston</v>
      </c>
      <c r="F1162" s="5">
        <f ca="1">IFERROR(__xludf.DUMMYFUNCTION("""COMPUTED_VALUE"""),1)</f>
        <v>1</v>
      </c>
    </row>
    <row r="1163" spans="1:6" ht="15" customHeight="1" x14ac:dyDescent="0.2">
      <c r="A1163" s="5" t="str">
        <f ca="1">IFERROR(__xludf.DUMMYFUNCTION("""COMPUTED_VALUE"""),"GOTR")</f>
        <v>GOTR</v>
      </c>
      <c r="B1163" s="5" t="str">
        <f ca="1">IFERROR(__xludf.DUMMYFUNCTION("""COMPUTED_VALUE"""),"GOAIR")</f>
        <v>GOAIR</v>
      </c>
      <c r="C1163" s="5" t="str">
        <f ca="1">IFERROR(__xludf.DUMMYFUNCTION("""COMPUTED_VALUE"""),"GT-1 Trainer")</f>
        <v>GT-1 Trainer</v>
      </c>
      <c r="D1163" s="5" t="str">
        <f ca="1">IFERROR(__xludf.DUMMYFUNCTION("""COMPUTED_VALUE"""),"LandPlane")</f>
        <v>LandPlane</v>
      </c>
      <c r="E1163" s="5" t="str">
        <f ca="1">IFERROR(__xludf.DUMMYFUNCTION("""COMPUTED_VALUE"""),"Piston")</f>
        <v>Piston</v>
      </c>
      <c r="F1163" s="5">
        <f ca="1">IFERROR(__xludf.DUMMYFUNCTION("""COMPUTED_VALUE"""),1)</f>
        <v>1</v>
      </c>
    </row>
    <row r="1164" spans="1:6" ht="15" customHeight="1" x14ac:dyDescent="0.2">
      <c r="A1164" s="5" t="str">
        <f ca="1">IFERROR(__xludf.DUMMYFUNCTION("""COMPUTED_VALUE"""),"GP1")</f>
        <v>GP1</v>
      </c>
      <c r="B1164" s="5" t="str">
        <f ca="1">IFERROR(__xludf.DUMMYFUNCTION("""COMPUTED_VALUE"""),"JIHLAVAN")</f>
        <v>JIHLAVAN</v>
      </c>
      <c r="C1164" s="5" t="str">
        <f ca="1">IFERROR(__xludf.DUMMYFUNCTION("""COMPUTED_VALUE"""),"Skyleader GP One")</f>
        <v>Skyleader GP One</v>
      </c>
      <c r="D1164" s="5" t="str">
        <f ca="1">IFERROR(__xludf.DUMMYFUNCTION("""COMPUTED_VALUE"""),"LandPlane")</f>
        <v>LandPlane</v>
      </c>
      <c r="E1164" s="5" t="str">
        <f ca="1">IFERROR(__xludf.DUMMYFUNCTION("""COMPUTED_VALUE"""),"Piston")</f>
        <v>Piston</v>
      </c>
      <c r="F1164" s="5">
        <f ca="1">IFERROR(__xludf.DUMMYFUNCTION("""COMPUTED_VALUE"""),1)</f>
        <v>1</v>
      </c>
    </row>
    <row r="1165" spans="1:6" ht="15" customHeight="1" x14ac:dyDescent="0.2">
      <c r="A1165" s="5" t="str">
        <f ca="1">IFERROR(__xludf.DUMMYFUNCTION("""COMPUTED_VALUE"""),"GP3")</f>
        <v>GP3</v>
      </c>
      <c r="B1165" s="5" t="str">
        <f ca="1">IFERROR(__xludf.DUMMYFUNCTION("""COMPUTED_VALUE"""),"PEREIRA")</f>
        <v>PEREIRA</v>
      </c>
      <c r="C1165" s="5" t="str">
        <f ca="1">IFERROR(__xludf.DUMMYFUNCTION("""COMPUTED_VALUE"""),"GP-3 Osprey 2")</f>
        <v>GP-3 Osprey 2</v>
      </c>
      <c r="D1165" s="5" t="str">
        <f ca="1">IFERROR(__xludf.DUMMYFUNCTION("""COMPUTED_VALUE"""),"Amphibian")</f>
        <v>Amphibian</v>
      </c>
      <c r="E1165" s="5" t="str">
        <f ca="1">IFERROR(__xludf.DUMMYFUNCTION("""COMPUTED_VALUE"""),"Piston")</f>
        <v>Piston</v>
      </c>
      <c r="F1165" s="5">
        <f ca="1">IFERROR(__xludf.DUMMYFUNCTION("""COMPUTED_VALUE"""),1)</f>
        <v>1</v>
      </c>
    </row>
    <row r="1166" spans="1:6" ht="15" customHeight="1" x14ac:dyDescent="0.2">
      <c r="A1166" s="5" t="str">
        <f ca="1">IFERROR(__xludf.DUMMYFUNCTION("""COMPUTED_VALUE"""),"GP4")</f>
        <v>GP4</v>
      </c>
      <c r="B1166" s="5" t="str">
        <f ca="1">IFERROR(__xludf.DUMMYFUNCTION("""COMPUTED_VALUE"""),"PEREIRA")</f>
        <v>PEREIRA</v>
      </c>
      <c r="C1166" s="5" t="str">
        <f ca="1">IFERROR(__xludf.DUMMYFUNCTION("""COMPUTED_VALUE"""),"GP-4")</f>
        <v>GP-4</v>
      </c>
      <c r="D1166" s="5" t="str">
        <f ca="1">IFERROR(__xludf.DUMMYFUNCTION("""COMPUTED_VALUE"""),"LandPlane")</f>
        <v>LandPlane</v>
      </c>
      <c r="E1166" s="5" t="str">
        <f ca="1">IFERROR(__xludf.DUMMYFUNCTION("""COMPUTED_VALUE"""),"Piston")</f>
        <v>Piston</v>
      </c>
      <c r="F1166" s="5">
        <f ca="1">IFERROR(__xludf.DUMMYFUNCTION("""COMPUTED_VALUE"""),1)</f>
        <v>1</v>
      </c>
    </row>
    <row r="1167" spans="1:6" ht="15" customHeight="1" x14ac:dyDescent="0.2">
      <c r="A1167" s="5" t="str">
        <f ca="1">IFERROR(__xludf.DUMMYFUNCTION("""COMPUTED_VALUE"""),"GPRO")</f>
        <v>GPRO</v>
      </c>
      <c r="B1167" s="5" t="str">
        <f ca="1">IFERROR(__xludf.DUMMYFUNCTION("""COMPUTED_VALUE"""),"GENEVATION")</f>
        <v>GENEVATION</v>
      </c>
      <c r="C1167" s="5" t="str">
        <f ca="1">IFERROR(__xludf.DUMMYFUNCTION("""COMPUTED_VALUE"""),"GenPro")</f>
        <v>GenPro</v>
      </c>
      <c r="D1167" s="5" t="str">
        <f ca="1">IFERROR(__xludf.DUMMYFUNCTION("""COMPUTED_VALUE"""),"LandPlane")</f>
        <v>LandPlane</v>
      </c>
      <c r="E1167" s="5" t="str">
        <f ca="1">IFERROR(__xludf.DUMMYFUNCTION("""COMPUTED_VALUE"""),"Piston")</f>
        <v>Piston</v>
      </c>
      <c r="F1167" s="5">
        <f ca="1">IFERROR(__xludf.DUMMYFUNCTION("""COMPUTED_VALUE"""),1)</f>
        <v>1</v>
      </c>
    </row>
    <row r="1168" spans="1:6" ht="15" customHeight="1" x14ac:dyDescent="0.2">
      <c r="A1168" s="5" t="str">
        <f ca="1">IFERROR(__xludf.DUMMYFUNCTION("""COMPUTED_VALUE"""),"GR51")</f>
        <v>GR51</v>
      </c>
      <c r="B1168" s="5" t="str">
        <f ca="1">IFERROR(__xludf.DUMMYFUNCTION("""COMPUTED_VALUE"""),"CAMERON")</f>
        <v>CAMERON</v>
      </c>
      <c r="C1168" s="5" t="str">
        <f ca="1">IFERROR(__xludf.DUMMYFUNCTION("""COMPUTED_VALUE"""),"P-51G Grand 51")</f>
        <v>P-51G Grand 51</v>
      </c>
      <c r="D1168" s="5" t="str">
        <f ca="1">IFERROR(__xludf.DUMMYFUNCTION("""COMPUTED_VALUE"""),"LandPlane")</f>
        <v>LandPlane</v>
      </c>
      <c r="E1168" s="5" t="str">
        <f ca="1">IFERROR(__xludf.DUMMYFUNCTION("""COMPUTED_VALUE"""),"Turboprop/Turboshaft")</f>
        <v>Turboprop/Turboshaft</v>
      </c>
      <c r="F1168" s="5">
        <f ca="1">IFERROR(__xludf.DUMMYFUNCTION("""COMPUTED_VALUE"""),1)</f>
        <v>1</v>
      </c>
    </row>
    <row r="1169" spans="1:6" ht="15" customHeight="1" x14ac:dyDescent="0.2">
      <c r="A1169" s="5" t="str">
        <f ca="1">IFERROR(__xludf.DUMMYFUNCTION("""COMPUTED_VALUE"""),"GRAF")</f>
        <v>GRAF</v>
      </c>
      <c r="B1169" s="5" t="str">
        <f ca="1">IFERROR(__xludf.DUMMYFUNCTION("""COMPUTED_VALUE"""),"LUNDY")</f>
        <v>LUNDY</v>
      </c>
      <c r="C1169" s="5" t="str">
        <f ca="1">IFERROR(__xludf.DUMMYFUNCTION("""COMPUTED_VALUE"""),"Graflite")</f>
        <v>Graflite</v>
      </c>
      <c r="D1169" s="5" t="str">
        <f ca="1">IFERROR(__xludf.DUMMYFUNCTION("""COMPUTED_VALUE"""),"LandPlane")</f>
        <v>LandPlane</v>
      </c>
      <c r="E1169" s="5" t="str">
        <f ca="1">IFERROR(__xludf.DUMMYFUNCTION("""COMPUTED_VALUE"""),"Piston")</f>
        <v>Piston</v>
      </c>
      <c r="F1169" s="5">
        <f ca="1">IFERROR(__xludf.DUMMYFUNCTION("""COMPUTED_VALUE"""),1)</f>
        <v>1</v>
      </c>
    </row>
    <row r="1170" spans="1:6" ht="15" customHeight="1" x14ac:dyDescent="0.2">
      <c r="A1170" s="5" t="str">
        <f ca="1">IFERROR(__xludf.DUMMYFUNCTION("""COMPUTED_VALUE"""),"GRFN")</f>
        <v>GRFN</v>
      </c>
      <c r="B1170" s="5" t="str">
        <f ca="1">IFERROR(__xludf.DUMMYFUNCTION("""COMPUTED_VALUE"""),"GRIFFON AERO")</f>
        <v>GRIFFON AERO</v>
      </c>
      <c r="C1170" s="5" t="str">
        <f ca="1">IFERROR(__xludf.DUMMYFUNCTION("""COMPUTED_VALUE"""),"Griffon")</f>
        <v>Griffon</v>
      </c>
      <c r="D1170" s="5" t="str">
        <f ca="1">IFERROR(__xludf.DUMMYFUNCTION("""COMPUTED_VALUE"""),"LandPlane")</f>
        <v>LandPlane</v>
      </c>
      <c r="E1170" s="5" t="str">
        <f ca="1">IFERROR(__xludf.DUMMYFUNCTION("""COMPUTED_VALUE"""),"Piston")</f>
        <v>Piston</v>
      </c>
      <c r="F1170" s="5">
        <f ca="1">IFERROR(__xludf.DUMMYFUNCTION("""COMPUTED_VALUE"""),1)</f>
        <v>1</v>
      </c>
    </row>
    <row r="1171" spans="1:6" ht="15" customHeight="1" x14ac:dyDescent="0.2">
      <c r="A1171" s="5" t="str">
        <f ca="1">IFERROR(__xludf.DUMMYFUNCTION("""COMPUTED_VALUE"""),"GRIF")</f>
        <v>GRIF</v>
      </c>
      <c r="B1171" s="5" t="str">
        <f ca="1">IFERROR(__xludf.DUMMYFUNCTION("""COMPUTED_VALUE"""),"CANADA AIR RV")</f>
        <v>CANADA AIR RV</v>
      </c>
      <c r="C1171" s="5" t="str">
        <f ca="1">IFERROR(__xludf.DUMMYFUNCTION("""COMPUTED_VALUE"""),"Griffin")</f>
        <v>Griffin</v>
      </c>
      <c r="D1171" s="5" t="str">
        <f ca="1">IFERROR(__xludf.DUMMYFUNCTION("""COMPUTED_VALUE"""),"LandPlane")</f>
        <v>LandPlane</v>
      </c>
      <c r="E1171" s="5" t="str">
        <f ca="1">IFERROR(__xludf.DUMMYFUNCTION("""COMPUTED_VALUE"""),"Piston")</f>
        <v>Piston</v>
      </c>
      <c r="F1171" s="5">
        <f ca="1">IFERROR(__xludf.DUMMYFUNCTION("""COMPUTED_VALUE"""),1)</f>
        <v>1</v>
      </c>
    </row>
    <row r="1172" spans="1:6" ht="15" customHeight="1" x14ac:dyDescent="0.2">
      <c r="A1172" s="5" t="str">
        <f ca="1">IFERROR(__xludf.DUMMYFUNCTION("""COMPUTED_VALUE"""),"GRIZ")</f>
        <v>GRIZ</v>
      </c>
      <c r="B1172" s="5" t="str">
        <f ca="1">IFERROR(__xludf.DUMMYFUNCTION("""COMPUTED_VALUE"""),"AEROTEK (3)")</f>
        <v>AEROTEK (3)</v>
      </c>
      <c r="C1172" s="5" t="str">
        <f ca="1">IFERROR(__xludf.DUMMYFUNCTION("""COMPUTED_VALUE"""),"Turbo Grizzly")</f>
        <v>Turbo Grizzly</v>
      </c>
      <c r="D1172" s="5" t="str">
        <f ca="1">IFERROR(__xludf.DUMMYFUNCTION("""COMPUTED_VALUE"""),"LandPlane")</f>
        <v>LandPlane</v>
      </c>
      <c r="E1172" s="5" t="str">
        <f ca="1">IFERROR(__xludf.DUMMYFUNCTION("""COMPUTED_VALUE"""),"Turboprop/Turboshaft")</f>
        <v>Turboprop/Turboshaft</v>
      </c>
      <c r="F1172" s="5">
        <f ca="1">IFERROR(__xludf.DUMMYFUNCTION("""COMPUTED_VALUE"""),1)</f>
        <v>1</v>
      </c>
    </row>
    <row r="1173" spans="1:6" ht="15" customHeight="1" x14ac:dyDescent="0.2">
      <c r="A1173" s="5" t="str">
        <f ca="1">IFERROR(__xludf.DUMMYFUNCTION("""COMPUTED_VALUE"""),"GSIS")</f>
        <v>GSIS</v>
      </c>
      <c r="B1173" s="5" t="str">
        <f ca="1">IFERROR(__xludf.DUMMYFUNCTION("""COMPUTED_VALUE"""),"SLIPSTREAM")</f>
        <v>SLIPSTREAM</v>
      </c>
      <c r="C1173" s="5" t="str">
        <f ca="1">IFERROR(__xludf.DUMMYFUNCTION("""COMPUTED_VALUE"""),"Ultra Sport")</f>
        <v>Ultra Sport</v>
      </c>
      <c r="D1173" s="5" t="str">
        <f ca="1">IFERROR(__xludf.DUMMYFUNCTION("""COMPUTED_VALUE"""),"LandPlane")</f>
        <v>LandPlane</v>
      </c>
      <c r="E1173" s="5" t="str">
        <f ca="1">IFERROR(__xludf.DUMMYFUNCTION("""COMPUTED_VALUE"""),"Piston")</f>
        <v>Piston</v>
      </c>
      <c r="F1173" s="5">
        <f ca="1">IFERROR(__xludf.DUMMYFUNCTION("""COMPUTED_VALUE"""),1)</f>
        <v>1</v>
      </c>
    </row>
    <row r="1174" spans="1:6" ht="15" customHeight="1" x14ac:dyDescent="0.2">
      <c r="A1174" s="5" t="str">
        <f ca="1">IFERROR(__xludf.DUMMYFUNCTION("""COMPUTED_VALUE"""),"GSPN")</f>
        <v>GSPN</v>
      </c>
      <c r="B1174" s="5" t="str">
        <f ca="1">IFERROR(__xludf.DUMMYFUNCTION("""COMPUTED_VALUE"""),"GROB")</f>
        <v>GROB</v>
      </c>
      <c r="C1174" s="5" t="str">
        <f ca="1">IFERROR(__xludf.DUMMYFUNCTION("""COMPUTED_VALUE"""),"G-180 SPn Utility Jet")</f>
        <v>G-180 SPn Utility Jet</v>
      </c>
      <c r="D1174" s="5" t="str">
        <f ca="1">IFERROR(__xludf.DUMMYFUNCTION("""COMPUTED_VALUE"""),"LandPlane")</f>
        <v>LandPlane</v>
      </c>
      <c r="E1174" s="5" t="str">
        <f ca="1">IFERROR(__xludf.DUMMYFUNCTION("""COMPUTED_VALUE"""),"Jet")</f>
        <v>Jet</v>
      </c>
      <c r="F1174" s="5">
        <f ca="1">IFERROR(__xludf.DUMMYFUNCTION("""COMPUTED_VALUE"""),2)</f>
        <v>2</v>
      </c>
    </row>
    <row r="1175" spans="1:6" ht="15" customHeight="1" x14ac:dyDescent="0.2">
      <c r="A1175" s="5" t="str">
        <f ca="1">IFERROR(__xludf.DUMMYFUNCTION("""COMPUTED_VALUE"""),"GUEP")</f>
        <v>GUEP</v>
      </c>
      <c r="B1175" s="5" t="str">
        <f ca="1">IFERROR(__xludf.DUMMYFUNCTION("""COMPUTED_VALUE"""),"AERO SERVICES")</f>
        <v>AERO SERVICES</v>
      </c>
      <c r="C1175" s="5" t="str">
        <f ca="1">IFERROR(__xludf.DUMMYFUNCTION("""COMPUTED_VALUE"""),"Guepard")</f>
        <v>Guepard</v>
      </c>
      <c r="D1175" s="5" t="str">
        <f ca="1">IFERROR(__xludf.DUMMYFUNCTION("""COMPUTED_VALUE"""),"LandPlane")</f>
        <v>LandPlane</v>
      </c>
      <c r="E1175" s="5" t="str">
        <f ca="1">IFERROR(__xludf.DUMMYFUNCTION("""COMPUTED_VALUE"""),"Piston")</f>
        <v>Piston</v>
      </c>
      <c r="F1175" s="5">
        <f ca="1">IFERROR(__xludf.DUMMYFUNCTION("""COMPUTED_VALUE"""),1)</f>
        <v>1</v>
      </c>
    </row>
    <row r="1176" spans="1:6" ht="15" customHeight="1" x14ac:dyDescent="0.2">
      <c r="A1176" s="5" t="str">
        <f ca="1">IFERROR(__xludf.DUMMYFUNCTION("""COMPUTED_VALUE"""),"GURI")</f>
        <v>GURI</v>
      </c>
      <c r="B1176" s="5" t="str">
        <f ca="1">IFERROR(__xludf.DUMMYFUNCTION("""COMPUTED_VALUE"""),"AEROMOT")</f>
        <v>AEROMOT</v>
      </c>
      <c r="C1176" s="5" t="str">
        <f ca="1">IFERROR(__xludf.DUMMYFUNCTION("""COMPUTED_VALUE"""),"AMT-600 Guri")</f>
        <v>AMT-600 Guri</v>
      </c>
      <c r="D1176" s="5" t="str">
        <f ca="1">IFERROR(__xludf.DUMMYFUNCTION("""COMPUTED_VALUE"""),"LandPlane")</f>
        <v>LandPlane</v>
      </c>
      <c r="E1176" s="5" t="str">
        <f ca="1">IFERROR(__xludf.DUMMYFUNCTION("""COMPUTED_VALUE"""),"Piston")</f>
        <v>Piston</v>
      </c>
      <c r="F1176" s="5">
        <f ca="1">IFERROR(__xludf.DUMMYFUNCTION("""COMPUTED_VALUE"""),1)</f>
        <v>1</v>
      </c>
    </row>
    <row r="1177" spans="1:6" ht="15" customHeight="1" x14ac:dyDescent="0.2">
      <c r="A1177" s="5" t="str">
        <f ca="1">IFERROR(__xludf.DUMMYFUNCTION("""COMPUTED_VALUE"""),"GX")</f>
        <v>GX</v>
      </c>
      <c r="B1177" s="5" t="str">
        <f ca="1">IFERROR(__xludf.DUMMYFUNCTION("""COMPUTED_VALUE"""),"STEMME")</f>
        <v>STEMME</v>
      </c>
      <c r="C1177" s="5" t="str">
        <f ca="1">IFERROR(__xludf.DUMMYFUNCTION("""COMPUTED_VALUE"""),"Remos GX")</f>
        <v>Remos GX</v>
      </c>
      <c r="D1177" s="5" t="str">
        <f ca="1">IFERROR(__xludf.DUMMYFUNCTION("""COMPUTED_VALUE"""),"LandPlane")</f>
        <v>LandPlane</v>
      </c>
      <c r="E1177" s="5" t="str">
        <f ca="1">IFERROR(__xludf.DUMMYFUNCTION("""COMPUTED_VALUE"""),"Piston")</f>
        <v>Piston</v>
      </c>
      <c r="F1177" s="5">
        <f ca="1">IFERROR(__xludf.DUMMYFUNCTION("""COMPUTED_VALUE"""),1)</f>
        <v>1</v>
      </c>
    </row>
    <row r="1178" spans="1:6" ht="15" customHeight="1" x14ac:dyDescent="0.2">
      <c r="A1178" s="5" t="str">
        <f ca="1">IFERROR(__xludf.DUMMYFUNCTION("""COMPUTED_VALUE"""),"GY10")</f>
        <v>GY10</v>
      </c>
      <c r="B1178" s="5" t="str">
        <f ca="1">IFERROR(__xludf.DUMMYFUNCTION("""COMPUTED_VALUE"""),"GARDAN")</f>
        <v>GARDAN</v>
      </c>
      <c r="C1178" s="5" t="str">
        <f ca="1">IFERROR(__xludf.DUMMYFUNCTION("""COMPUTED_VALUE"""),"GY-100 Bagheera")</f>
        <v>GY-100 Bagheera</v>
      </c>
      <c r="D1178" s="5" t="str">
        <f ca="1">IFERROR(__xludf.DUMMYFUNCTION("""COMPUTED_VALUE"""),"LandPlane")</f>
        <v>LandPlane</v>
      </c>
      <c r="E1178" s="5" t="str">
        <f ca="1">IFERROR(__xludf.DUMMYFUNCTION("""COMPUTED_VALUE"""),"Piston")</f>
        <v>Piston</v>
      </c>
      <c r="F1178" s="5">
        <f ca="1">IFERROR(__xludf.DUMMYFUNCTION("""COMPUTED_VALUE"""),1)</f>
        <v>1</v>
      </c>
    </row>
    <row r="1179" spans="1:6" ht="15" customHeight="1" x14ac:dyDescent="0.2">
      <c r="A1179" s="5" t="str">
        <f ca="1">IFERROR(__xludf.DUMMYFUNCTION("""COMPUTED_VALUE"""),"GY20")</f>
        <v>GY20</v>
      </c>
      <c r="B1179" s="5" t="str">
        <f ca="1">IFERROR(__xludf.DUMMYFUNCTION("""COMPUTED_VALUE"""),"CAB")</f>
        <v>CAB</v>
      </c>
      <c r="C1179" s="5" t="str">
        <f ca="1">IFERROR(__xludf.DUMMYFUNCTION("""COMPUTED_VALUE"""),"GY-20 Minicab")</f>
        <v>GY-20 Minicab</v>
      </c>
      <c r="D1179" s="5" t="str">
        <f ca="1">IFERROR(__xludf.DUMMYFUNCTION("""COMPUTED_VALUE"""),"LandPlane")</f>
        <v>LandPlane</v>
      </c>
      <c r="E1179" s="5" t="str">
        <f ca="1">IFERROR(__xludf.DUMMYFUNCTION("""COMPUTED_VALUE"""),"Piston")</f>
        <v>Piston</v>
      </c>
      <c r="F1179" s="5">
        <f ca="1">IFERROR(__xludf.DUMMYFUNCTION("""COMPUTED_VALUE"""),1)</f>
        <v>1</v>
      </c>
    </row>
    <row r="1180" spans="1:6" ht="15" customHeight="1" x14ac:dyDescent="0.2">
      <c r="A1180" s="5" t="str">
        <f ca="1">IFERROR(__xludf.DUMMYFUNCTION("""COMPUTED_VALUE"""),"GY30")</f>
        <v>GY30</v>
      </c>
      <c r="B1180" s="5" t="str">
        <f ca="1">IFERROR(__xludf.DUMMYFUNCTION("""COMPUTED_VALUE"""),"CAB")</f>
        <v>CAB</v>
      </c>
      <c r="C1180" s="5" t="str">
        <f ca="1">IFERROR(__xludf.DUMMYFUNCTION("""COMPUTED_VALUE"""),"GY-30 Supercab")</f>
        <v>GY-30 Supercab</v>
      </c>
      <c r="D1180" s="5" t="str">
        <f ca="1">IFERROR(__xludf.DUMMYFUNCTION("""COMPUTED_VALUE"""),"LandPlane")</f>
        <v>LandPlane</v>
      </c>
      <c r="E1180" s="5" t="str">
        <f ca="1">IFERROR(__xludf.DUMMYFUNCTION("""COMPUTED_VALUE"""),"Piston")</f>
        <v>Piston</v>
      </c>
      <c r="F1180" s="5">
        <f ca="1">IFERROR(__xludf.DUMMYFUNCTION("""COMPUTED_VALUE"""),1)</f>
        <v>1</v>
      </c>
    </row>
    <row r="1181" spans="1:6" ht="15" customHeight="1" x14ac:dyDescent="0.2">
      <c r="A1181" s="5" t="str">
        <f ca="1">IFERROR(__xludf.DUMMYFUNCTION("""COMPUTED_VALUE"""),"GY80")</f>
        <v>GY80</v>
      </c>
      <c r="B1181" s="5" t="str">
        <f ca="1">IFERROR(__xludf.DUMMYFUNCTION("""COMPUTED_VALUE"""),"SOCATA")</f>
        <v>SOCATA</v>
      </c>
      <c r="C1181" s="5" t="str">
        <f ca="1">IFERROR(__xludf.DUMMYFUNCTION("""COMPUTED_VALUE"""),"GY-80 Horizon")</f>
        <v>GY-80 Horizon</v>
      </c>
      <c r="D1181" s="5" t="str">
        <f ca="1">IFERROR(__xludf.DUMMYFUNCTION("""COMPUTED_VALUE"""),"LandPlane")</f>
        <v>LandPlane</v>
      </c>
      <c r="E1181" s="5" t="str">
        <f ca="1">IFERROR(__xludf.DUMMYFUNCTION("""COMPUTED_VALUE"""),"Piston")</f>
        <v>Piston</v>
      </c>
      <c r="F1181" s="5">
        <f ca="1">IFERROR(__xludf.DUMMYFUNCTION("""COMPUTED_VALUE"""),1)</f>
        <v>1</v>
      </c>
    </row>
    <row r="1182" spans="1:6" ht="15" customHeight="1" x14ac:dyDescent="0.2">
      <c r="A1182" s="5" t="str">
        <f ca="1">IFERROR(__xludf.DUMMYFUNCTION("""COMPUTED_VALUE"""),"H111")</f>
        <v>H111</v>
      </c>
      <c r="B1182" s="5" t="str">
        <f ca="1">IFERROR(__xludf.DUMMYFUNCTION("""COMPUTED_VALUE"""),"HEINKEL")</f>
        <v>HEINKEL</v>
      </c>
      <c r="C1182" s="5" t="str">
        <f ca="1">IFERROR(__xludf.DUMMYFUNCTION("""COMPUTED_VALUE"""),"He-111")</f>
        <v>He-111</v>
      </c>
      <c r="D1182" s="5" t="str">
        <f ca="1">IFERROR(__xludf.DUMMYFUNCTION("""COMPUTED_VALUE"""),"LandPlane")</f>
        <v>LandPlane</v>
      </c>
      <c r="E1182" s="5" t="str">
        <f ca="1">IFERROR(__xludf.DUMMYFUNCTION("""COMPUTED_VALUE"""),"Piston")</f>
        <v>Piston</v>
      </c>
      <c r="F1182" s="5">
        <f ca="1">IFERROR(__xludf.DUMMYFUNCTION("""COMPUTED_VALUE"""),2)</f>
        <v>2</v>
      </c>
    </row>
    <row r="1183" spans="1:6" ht="15" customHeight="1" x14ac:dyDescent="0.2">
      <c r="A1183" s="5" t="str">
        <f ca="1">IFERROR(__xludf.DUMMYFUNCTION("""COMPUTED_VALUE"""),"H12T")</f>
        <v>H12T</v>
      </c>
      <c r="B1183" s="5" t="str">
        <f ca="1">IFERROR(__xludf.DUMMYFUNCTION("""COMPUTED_VALUE"""),"HILLER")</f>
        <v>HILLER</v>
      </c>
      <c r="C1183" s="5" t="str">
        <f ca="1">IFERROR(__xludf.DUMMYFUNCTION("""COMPUTED_VALUE"""),"UH-12E3T")</f>
        <v>UH-12E3T</v>
      </c>
      <c r="D1183" s="5" t="str">
        <f ca="1">IFERROR(__xludf.DUMMYFUNCTION("""COMPUTED_VALUE"""),"Helicopter")</f>
        <v>Helicopter</v>
      </c>
      <c r="E1183" s="5" t="str">
        <f ca="1">IFERROR(__xludf.DUMMYFUNCTION("""COMPUTED_VALUE"""),"Turboprop/Turboshaft")</f>
        <v>Turboprop/Turboshaft</v>
      </c>
      <c r="F1183" s="5">
        <f ca="1">IFERROR(__xludf.DUMMYFUNCTION("""COMPUTED_VALUE"""),1)</f>
        <v>1</v>
      </c>
    </row>
    <row r="1184" spans="1:6" ht="15" customHeight="1" x14ac:dyDescent="0.2">
      <c r="A1184" s="5" t="str">
        <f ca="1">IFERROR(__xludf.DUMMYFUNCTION("""COMPUTED_VALUE"""),"H160")</f>
        <v>H160</v>
      </c>
      <c r="B1184" s="5" t="str">
        <f ca="1">IFERROR(__xludf.DUMMYFUNCTION("""COMPUTED_VALUE"""),"AIRBUS HELICOPTERS")</f>
        <v>AIRBUS HELICOPTERS</v>
      </c>
      <c r="C1184" s="5" t="str">
        <f ca="1">IFERROR(__xludf.DUMMYFUNCTION("""COMPUTED_VALUE"""),"H-160")</f>
        <v>H-160</v>
      </c>
      <c r="D1184" s="5" t="str">
        <f ca="1">IFERROR(__xludf.DUMMYFUNCTION("""COMPUTED_VALUE"""),"Helicopter")</f>
        <v>Helicopter</v>
      </c>
      <c r="E1184" s="5" t="str">
        <f ca="1">IFERROR(__xludf.DUMMYFUNCTION("""COMPUTED_VALUE"""),"Turboprop/Turboshaft")</f>
        <v>Turboprop/Turboshaft</v>
      </c>
      <c r="F1184" s="5">
        <f ca="1">IFERROR(__xludf.DUMMYFUNCTION("""COMPUTED_VALUE"""),2)</f>
        <v>2</v>
      </c>
    </row>
    <row r="1185" spans="1:6" ht="15" customHeight="1" x14ac:dyDescent="0.2">
      <c r="A1185" s="5" t="str">
        <f ca="1">IFERROR(__xludf.DUMMYFUNCTION("""COMPUTED_VALUE"""),"H2")</f>
        <v>H2</v>
      </c>
      <c r="B1185" s="5" t="str">
        <f ca="1">IFERROR(__xludf.DUMMYFUNCTION("""COMPUTED_VALUE"""),"KAMAN")</f>
        <v>KAMAN</v>
      </c>
      <c r="C1185" s="5" t="str">
        <f ca="1">IFERROR(__xludf.DUMMYFUNCTION("""COMPUTED_VALUE"""),"SH-2 Seasprite")</f>
        <v>SH-2 Seasprite</v>
      </c>
      <c r="D1185" s="5" t="str">
        <f ca="1">IFERROR(__xludf.DUMMYFUNCTION("""COMPUTED_VALUE"""),"Helicopter")</f>
        <v>Helicopter</v>
      </c>
      <c r="E1185" s="5" t="str">
        <f ca="1">IFERROR(__xludf.DUMMYFUNCTION("""COMPUTED_VALUE"""),"Turboprop/Turboshaft")</f>
        <v>Turboprop/Turboshaft</v>
      </c>
      <c r="F1185" s="5">
        <f ca="1">IFERROR(__xludf.DUMMYFUNCTION("""COMPUTED_VALUE"""),2)</f>
        <v>2</v>
      </c>
    </row>
    <row r="1186" spans="1:6" ht="15" customHeight="1" x14ac:dyDescent="0.2">
      <c r="A1186" s="5" t="str">
        <f ca="1">IFERROR(__xludf.DUMMYFUNCTION("""COMPUTED_VALUE"""),"H202")</f>
        <v>H202</v>
      </c>
      <c r="B1186" s="5" t="str">
        <f ca="1">IFERROR(__xludf.DUMMYFUNCTION("""COMPUTED_VALUE"""),"HB-AIRCRAFT")</f>
        <v>HB-AIRCRAFT</v>
      </c>
      <c r="C1186" s="5" t="str">
        <f ca="1">IFERROR(__xludf.DUMMYFUNCTION("""COMPUTED_VALUE"""),"HB-202 Fledger")</f>
        <v>HB-202 Fledger</v>
      </c>
      <c r="D1186" s="5" t="str">
        <f ca="1">IFERROR(__xludf.DUMMYFUNCTION("""COMPUTED_VALUE"""),"LandPlane")</f>
        <v>LandPlane</v>
      </c>
      <c r="E1186" s="5" t="str">
        <f ca="1">IFERROR(__xludf.DUMMYFUNCTION("""COMPUTED_VALUE"""),"Piston")</f>
        <v>Piston</v>
      </c>
      <c r="F1186" s="5">
        <f ca="1">IFERROR(__xludf.DUMMYFUNCTION("""COMPUTED_VALUE"""),1)</f>
        <v>1</v>
      </c>
    </row>
    <row r="1187" spans="1:6" ht="15" customHeight="1" x14ac:dyDescent="0.2">
      <c r="A1187" s="5" t="str">
        <f ca="1">IFERROR(__xludf.DUMMYFUNCTION("""COMPUTED_VALUE"""),"H204")</f>
        <v>H204</v>
      </c>
      <c r="B1187" s="5" t="str">
        <f ca="1">IFERROR(__xludf.DUMMYFUNCTION("""COMPUTED_VALUE"""),"HB-FLUGTECHNIK")</f>
        <v>HB-FLUGTECHNIK</v>
      </c>
      <c r="C1187" s="5" t="str">
        <f ca="1">IFERROR(__xludf.DUMMYFUNCTION("""COMPUTED_VALUE"""),"HB-204 Tornado")</f>
        <v>HB-204 Tornado</v>
      </c>
      <c r="D1187" s="5" t="str">
        <f ca="1">IFERROR(__xludf.DUMMYFUNCTION("""COMPUTED_VALUE"""),"LandPlane")</f>
        <v>LandPlane</v>
      </c>
      <c r="E1187" s="5" t="str">
        <f ca="1">IFERROR(__xludf.DUMMYFUNCTION("""COMPUTED_VALUE"""),"Piston")</f>
        <v>Piston</v>
      </c>
      <c r="F1187" s="5">
        <f ca="1">IFERROR(__xludf.DUMMYFUNCTION("""COMPUTED_VALUE"""),1)</f>
        <v>1</v>
      </c>
    </row>
    <row r="1188" spans="1:6" ht="15" customHeight="1" x14ac:dyDescent="0.2">
      <c r="A1188" s="5" t="str">
        <f ca="1">IFERROR(__xludf.DUMMYFUNCTION("""COMPUTED_VALUE"""),"H207")</f>
        <v>H207</v>
      </c>
      <c r="B1188" s="5" t="str">
        <f ca="1">IFERROR(__xludf.DUMMYFUNCTION("""COMPUTED_VALUE"""),"HB-FLUGTECHNIK")</f>
        <v>HB-FLUGTECHNIK</v>
      </c>
      <c r="C1188" s="5" t="str">
        <f ca="1">IFERROR(__xludf.DUMMYFUNCTION("""COMPUTED_VALUE"""),"HB-207 Alfa")</f>
        <v>HB-207 Alfa</v>
      </c>
      <c r="D1188" s="5" t="str">
        <f ca="1">IFERROR(__xludf.DUMMYFUNCTION("""COMPUTED_VALUE"""),"LandPlane")</f>
        <v>LandPlane</v>
      </c>
      <c r="E1188" s="5" t="str">
        <f ca="1">IFERROR(__xludf.DUMMYFUNCTION("""COMPUTED_VALUE"""),"Piston")</f>
        <v>Piston</v>
      </c>
      <c r="F1188" s="5">
        <f ca="1">IFERROR(__xludf.DUMMYFUNCTION("""COMPUTED_VALUE"""),1)</f>
        <v>1</v>
      </c>
    </row>
    <row r="1189" spans="1:6" ht="15" customHeight="1" x14ac:dyDescent="0.2">
      <c r="A1189" s="5" t="str">
        <f ca="1">IFERROR(__xludf.DUMMYFUNCTION("""COMPUTED_VALUE"""),"H21")</f>
        <v>H21</v>
      </c>
      <c r="B1189" s="5" t="str">
        <f ca="1">IFERROR(__xludf.DUMMYFUNCTION("""COMPUTED_VALUE"""),"VERTOL")</f>
        <v>VERTOL</v>
      </c>
      <c r="C1189" s="5" t="str">
        <f ca="1">IFERROR(__xludf.DUMMYFUNCTION("""COMPUTED_VALUE"""),"CH-21 Work horse")</f>
        <v>CH-21 Work horse</v>
      </c>
      <c r="D1189" s="5" t="str">
        <f ca="1">IFERROR(__xludf.DUMMYFUNCTION("""COMPUTED_VALUE"""),"Helicopter")</f>
        <v>Helicopter</v>
      </c>
      <c r="E1189" s="5" t="str">
        <f ca="1">IFERROR(__xludf.DUMMYFUNCTION("""COMPUTED_VALUE"""),"Piston")</f>
        <v>Piston</v>
      </c>
      <c r="F1189" s="5">
        <f ca="1">IFERROR(__xludf.DUMMYFUNCTION("""COMPUTED_VALUE"""),1)</f>
        <v>1</v>
      </c>
    </row>
    <row r="1190" spans="1:6" ht="15" customHeight="1" x14ac:dyDescent="0.2">
      <c r="A1190" s="5" t="str">
        <f ca="1">IFERROR(__xludf.DUMMYFUNCTION("""COMPUTED_VALUE"""),"H25A")</f>
        <v>H25A</v>
      </c>
      <c r="B1190" s="5" t="str">
        <f ca="1">IFERROR(__xludf.DUMMYFUNCTION("""COMPUTED_VALUE"""),"HAWKER SIDDELEY")</f>
        <v>HAWKER SIDDELEY</v>
      </c>
      <c r="C1190" s="5" t="str">
        <f ca="1">IFERROR(__xludf.DUMMYFUNCTION("""COMPUTED_VALUE"""),"HS-125-1")</f>
        <v>HS-125-1</v>
      </c>
      <c r="D1190" s="5" t="str">
        <f ca="1">IFERROR(__xludf.DUMMYFUNCTION("""COMPUTED_VALUE"""),"LandPlane")</f>
        <v>LandPlane</v>
      </c>
      <c r="E1190" s="5" t="str">
        <f ca="1">IFERROR(__xludf.DUMMYFUNCTION("""COMPUTED_VALUE"""),"Jet")</f>
        <v>Jet</v>
      </c>
      <c r="F1190" s="5">
        <f ca="1">IFERROR(__xludf.DUMMYFUNCTION("""COMPUTED_VALUE"""),2)</f>
        <v>2</v>
      </c>
    </row>
    <row r="1191" spans="1:6" ht="15" customHeight="1" x14ac:dyDescent="0.2">
      <c r="A1191" s="5" t="str">
        <f ca="1">IFERROR(__xludf.DUMMYFUNCTION("""COMPUTED_VALUE"""),"H25B")</f>
        <v>H25B</v>
      </c>
      <c r="B1191" s="5" t="str">
        <f ca="1">IFERROR(__xludf.DUMMYFUNCTION("""COMPUTED_VALUE"""),"RAYTHEON")</f>
        <v>RAYTHEON</v>
      </c>
      <c r="C1191" s="5" t="str">
        <f ca="1">IFERROR(__xludf.DUMMYFUNCTION("""COMPUTED_VALUE"""),"Hawker 850")</f>
        <v>Hawker 850</v>
      </c>
      <c r="D1191" s="5" t="str">
        <f ca="1">IFERROR(__xludf.DUMMYFUNCTION("""COMPUTED_VALUE"""),"LandPlane")</f>
        <v>LandPlane</v>
      </c>
      <c r="E1191" s="5" t="str">
        <f ca="1">IFERROR(__xludf.DUMMYFUNCTION("""COMPUTED_VALUE"""),"Jet")</f>
        <v>Jet</v>
      </c>
      <c r="F1191" s="5">
        <f ca="1">IFERROR(__xludf.DUMMYFUNCTION("""COMPUTED_VALUE"""),2)</f>
        <v>2</v>
      </c>
    </row>
    <row r="1192" spans="1:6" ht="15" customHeight="1" x14ac:dyDescent="0.2">
      <c r="A1192" s="5" t="str">
        <f ca="1">IFERROR(__xludf.DUMMYFUNCTION("""COMPUTED_VALUE"""),"H25C")</f>
        <v>H25C</v>
      </c>
      <c r="B1192" s="5" t="str">
        <f ca="1">IFERROR(__xludf.DUMMYFUNCTION("""COMPUTED_VALUE"""),"RAYTHEON")</f>
        <v>RAYTHEON</v>
      </c>
      <c r="C1192" s="5" t="str">
        <f ca="1">IFERROR(__xludf.DUMMYFUNCTION("""COMPUTED_VALUE"""),"Hawker 1000")</f>
        <v>Hawker 1000</v>
      </c>
      <c r="D1192" s="5" t="str">
        <f ca="1">IFERROR(__xludf.DUMMYFUNCTION("""COMPUTED_VALUE"""),"LandPlane")</f>
        <v>LandPlane</v>
      </c>
      <c r="E1192" s="5" t="str">
        <f ca="1">IFERROR(__xludf.DUMMYFUNCTION("""COMPUTED_VALUE"""),"Jet")</f>
        <v>Jet</v>
      </c>
      <c r="F1192" s="5">
        <f ca="1">IFERROR(__xludf.DUMMYFUNCTION("""COMPUTED_VALUE"""),2)</f>
        <v>2</v>
      </c>
    </row>
    <row r="1193" spans="1:6" ht="15" customHeight="1" x14ac:dyDescent="0.2">
      <c r="A1193" s="5" t="str">
        <f ca="1">IFERROR(__xludf.DUMMYFUNCTION("""COMPUTED_VALUE"""),"H269")</f>
        <v>H269</v>
      </c>
      <c r="B1193" s="5" t="str">
        <f ca="1">IFERROR(__xludf.DUMMYFUNCTION("""COMPUTED_VALUE"""),"HUGHES")</f>
        <v>HUGHES</v>
      </c>
      <c r="C1193" s="5" t="str">
        <f ca="1">IFERROR(__xludf.DUMMYFUNCTION("""COMPUTED_VALUE"""),"269 Sky Knight")</f>
        <v>269 Sky Knight</v>
      </c>
      <c r="D1193" s="5" t="str">
        <f ca="1">IFERROR(__xludf.DUMMYFUNCTION("""COMPUTED_VALUE"""),"Helicopter")</f>
        <v>Helicopter</v>
      </c>
      <c r="E1193" s="5" t="str">
        <f ca="1">IFERROR(__xludf.DUMMYFUNCTION("""COMPUTED_VALUE"""),"Piston")</f>
        <v>Piston</v>
      </c>
      <c r="F1193" s="5">
        <f ca="1">IFERROR(__xludf.DUMMYFUNCTION("""COMPUTED_VALUE"""),1)</f>
        <v>1</v>
      </c>
    </row>
    <row r="1194" spans="1:6" ht="15" customHeight="1" x14ac:dyDescent="0.2">
      <c r="A1194" s="5" t="str">
        <f ca="1">IFERROR(__xludf.DUMMYFUNCTION("""COMPUTED_VALUE"""),"H40")</f>
        <v>H40</v>
      </c>
      <c r="B1194" s="5" t="str">
        <f ca="1">IFERROR(__xludf.DUMMYFUNCTION("""COMPUTED_VALUE"""),"HOFFMANN")</f>
        <v>HOFFMANN</v>
      </c>
      <c r="C1194" s="5" t="str">
        <f ca="1">IFERROR(__xludf.DUMMYFUNCTION("""COMPUTED_VALUE"""),"H-40")</f>
        <v>H-40</v>
      </c>
      <c r="D1194" s="5" t="str">
        <f ca="1">IFERROR(__xludf.DUMMYFUNCTION("""COMPUTED_VALUE"""),"LandPlane")</f>
        <v>LandPlane</v>
      </c>
      <c r="E1194" s="5" t="str">
        <f ca="1">IFERROR(__xludf.DUMMYFUNCTION("""COMPUTED_VALUE"""),"Piston")</f>
        <v>Piston</v>
      </c>
      <c r="F1194" s="5">
        <f ca="1">IFERROR(__xludf.DUMMYFUNCTION("""COMPUTED_VALUE"""),1)</f>
        <v>1</v>
      </c>
    </row>
    <row r="1195" spans="1:6" ht="15" customHeight="1" x14ac:dyDescent="0.2">
      <c r="A1195" s="5" t="str">
        <f ca="1">IFERROR(__xludf.DUMMYFUNCTION("""COMPUTED_VALUE"""),"H43A")</f>
        <v>H43A</v>
      </c>
      <c r="B1195" s="5" t="str">
        <f ca="1">IFERROR(__xludf.DUMMYFUNCTION("""COMPUTED_VALUE"""),"KAMAN")</f>
        <v>KAMAN</v>
      </c>
      <c r="C1195" s="5" t="str">
        <f ca="1">IFERROR(__xludf.DUMMYFUNCTION("""COMPUTED_VALUE"""),"H-43A")</f>
        <v>H-43A</v>
      </c>
      <c r="D1195" s="5" t="str">
        <f ca="1">IFERROR(__xludf.DUMMYFUNCTION("""COMPUTED_VALUE"""),"Helicopter")</f>
        <v>Helicopter</v>
      </c>
      <c r="E1195" s="5" t="str">
        <f ca="1">IFERROR(__xludf.DUMMYFUNCTION("""COMPUTED_VALUE"""),"Piston")</f>
        <v>Piston</v>
      </c>
      <c r="F1195" s="5">
        <f ca="1">IFERROR(__xludf.DUMMYFUNCTION("""COMPUTED_VALUE"""),1)</f>
        <v>1</v>
      </c>
    </row>
    <row r="1196" spans="1:6" ht="15" customHeight="1" x14ac:dyDescent="0.2">
      <c r="A1196" s="5" t="str">
        <f ca="1">IFERROR(__xludf.DUMMYFUNCTION("""COMPUTED_VALUE"""),"H46")</f>
        <v>H46</v>
      </c>
      <c r="B1196" s="5" t="str">
        <f ca="1">IFERROR(__xludf.DUMMYFUNCTION("""COMPUTED_VALUE"""),"BOEING VERTOL")</f>
        <v>BOEING VERTOL</v>
      </c>
      <c r="C1196" s="5" t="str">
        <f ca="1">IFERROR(__xludf.DUMMYFUNCTION("""COMPUTED_VALUE"""),"CH-46 Sea Knight")</f>
        <v>CH-46 Sea Knight</v>
      </c>
      <c r="D1196" s="5" t="str">
        <f ca="1">IFERROR(__xludf.DUMMYFUNCTION("""COMPUTED_VALUE"""),"Helicopter")</f>
        <v>Helicopter</v>
      </c>
      <c r="E1196" s="5" t="str">
        <f ca="1">IFERROR(__xludf.DUMMYFUNCTION("""COMPUTED_VALUE"""),"Turboprop/Turboshaft")</f>
        <v>Turboprop/Turboshaft</v>
      </c>
      <c r="F1196" s="5">
        <f ca="1">IFERROR(__xludf.DUMMYFUNCTION("""COMPUTED_VALUE"""),2)</f>
        <v>2</v>
      </c>
    </row>
    <row r="1197" spans="1:6" ht="15" customHeight="1" x14ac:dyDescent="0.2">
      <c r="A1197" s="5" t="str">
        <f ca="1">IFERROR(__xludf.DUMMYFUNCTION("""COMPUTED_VALUE"""),"H47")</f>
        <v>H47</v>
      </c>
      <c r="B1197" s="5" t="str">
        <f ca="1">IFERROR(__xludf.DUMMYFUNCTION("""COMPUTED_VALUE"""),"BOEING VERTOL")</f>
        <v>BOEING VERTOL</v>
      </c>
      <c r="C1197" s="5" t="str">
        <f ca="1">IFERROR(__xludf.DUMMYFUNCTION("""COMPUTED_VALUE"""),"CH-47 Chinook")</f>
        <v>CH-47 Chinook</v>
      </c>
      <c r="D1197" s="5" t="str">
        <f ca="1">IFERROR(__xludf.DUMMYFUNCTION("""COMPUTED_VALUE"""),"Helicopter")</f>
        <v>Helicopter</v>
      </c>
      <c r="E1197" s="5" t="str">
        <f ca="1">IFERROR(__xludf.DUMMYFUNCTION("""COMPUTED_VALUE"""),"Turboprop/Turboshaft")</f>
        <v>Turboprop/Turboshaft</v>
      </c>
      <c r="F1197" s="5">
        <f ca="1">IFERROR(__xludf.DUMMYFUNCTION("""COMPUTED_VALUE"""),2)</f>
        <v>2</v>
      </c>
    </row>
    <row r="1198" spans="1:6" ht="15" customHeight="1" x14ac:dyDescent="0.2">
      <c r="A1198" s="5" t="str">
        <f ca="1">IFERROR(__xludf.DUMMYFUNCTION("""COMPUTED_VALUE"""),"H500")</f>
        <v>H500</v>
      </c>
      <c r="B1198" s="5" t="str">
        <f ca="1">IFERROR(__xludf.DUMMYFUNCTION("""COMPUTED_VALUE"""),"HUGHES")</f>
        <v>HUGHES</v>
      </c>
      <c r="C1198" s="5" t="str">
        <f ca="1">IFERROR(__xludf.DUMMYFUNCTION("""COMPUTED_VALUE"""),"500")</f>
        <v>500</v>
      </c>
      <c r="D1198" s="5" t="str">
        <f ca="1">IFERROR(__xludf.DUMMYFUNCTION("""COMPUTED_VALUE"""),"Helicopter")</f>
        <v>Helicopter</v>
      </c>
      <c r="E1198" s="5" t="str">
        <f ca="1">IFERROR(__xludf.DUMMYFUNCTION("""COMPUTED_VALUE"""),"Turboprop/Turboshaft")</f>
        <v>Turboprop/Turboshaft</v>
      </c>
      <c r="F1198" s="5">
        <f ca="1">IFERROR(__xludf.DUMMYFUNCTION("""COMPUTED_VALUE"""),1)</f>
        <v>1</v>
      </c>
    </row>
    <row r="1199" spans="1:6" ht="15" customHeight="1" x14ac:dyDescent="0.2">
      <c r="A1199" s="5" t="str">
        <f ca="1">IFERROR(__xludf.DUMMYFUNCTION("""COMPUTED_VALUE"""),"H53")</f>
        <v>H53</v>
      </c>
      <c r="B1199" s="5" t="str">
        <f ca="1">IFERROR(__xludf.DUMMYFUNCTION("""COMPUTED_VALUE"""),"SIKORSKY")</f>
        <v>SIKORSKY</v>
      </c>
      <c r="C1199" s="5" t="str">
        <f ca="1">IFERROR(__xludf.DUMMYFUNCTION("""COMPUTED_VALUE"""),"CH-53D Sea Stallion")</f>
        <v>CH-53D Sea Stallion</v>
      </c>
      <c r="D1199" s="5" t="str">
        <f ca="1">IFERROR(__xludf.DUMMYFUNCTION("""COMPUTED_VALUE"""),"Helicopter")</f>
        <v>Helicopter</v>
      </c>
      <c r="E1199" s="5" t="str">
        <f ca="1">IFERROR(__xludf.DUMMYFUNCTION("""COMPUTED_VALUE"""),"Turboprop/Turboshaft")</f>
        <v>Turboprop/Turboshaft</v>
      </c>
      <c r="F1199" s="5">
        <f ca="1">IFERROR(__xludf.DUMMYFUNCTION("""COMPUTED_VALUE"""),2)</f>
        <v>2</v>
      </c>
    </row>
    <row r="1200" spans="1:6" ht="15" customHeight="1" x14ac:dyDescent="0.2">
      <c r="A1200" s="5" t="str">
        <f ca="1">IFERROR(__xludf.DUMMYFUNCTION("""COMPUTED_VALUE"""),"H53S")</f>
        <v>H53S</v>
      </c>
      <c r="B1200" s="5" t="str">
        <f ca="1">IFERROR(__xludf.DUMMYFUNCTION("""COMPUTED_VALUE"""),"SIKORSKY")</f>
        <v>SIKORSKY</v>
      </c>
      <c r="C1200" s="5" t="str">
        <f ca="1">IFERROR(__xludf.DUMMYFUNCTION("""COMPUTED_VALUE"""),"CH-53E Super Stallion")</f>
        <v>CH-53E Super Stallion</v>
      </c>
      <c r="D1200" s="5" t="str">
        <f ca="1">IFERROR(__xludf.DUMMYFUNCTION("""COMPUTED_VALUE"""),"Helicopter")</f>
        <v>Helicopter</v>
      </c>
      <c r="E1200" s="5" t="str">
        <f ca="1">IFERROR(__xludf.DUMMYFUNCTION("""COMPUTED_VALUE"""),"Turboprop/Turboshaft")</f>
        <v>Turboprop/Turboshaft</v>
      </c>
      <c r="F1200" s="5">
        <f ca="1">IFERROR(__xludf.DUMMYFUNCTION("""COMPUTED_VALUE"""),3)</f>
        <v>3</v>
      </c>
    </row>
    <row r="1201" spans="1:6" ht="15" customHeight="1" x14ac:dyDescent="0.2">
      <c r="A1201" s="5" t="str">
        <f ca="1">IFERROR(__xludf.DUMMYFUNCTION("""COMPUTED_VALUE"""),"H60")</f>
        <v>H60</v>
      </c>
      <c r="B1201" s="5" t="str">
        <f ca="1">IFERROR(__xludf.DUMMYFUNCTION("""COMPUTED_VALUE"""),"SIKORSKY")</f>
        <v>SIKORSKY</v>
      </c>
      <c r="C1201" s="5" t="str">
        <f ca="1">IFERROR(__xludf.DUMMYFUNCTION("""COMPUTED_VALUE"""),"MH-60 Black Hawk")</f>
        <v>MH-60 Black Hawk</v>
      </c>
      <c r="D1201" s="5" t="str">
        <f ca="1">IFERROR(__xludf.DUMMYFUNCTION("""COMPUTED_VALUE"""),"Helicopter")</f>
        <v>Helicopter</v>
      </c>
      <c r="E1201" s="5" t="str">
        <f ca="1">IFERROR(__xludf.DUMMYFUNCTION("""COMPUTED_VALUE"""),"Turboprop/Turboshaft")</f>
        <v>Turboprop/Turboshaft</v>
      </c>
      <c r="F1201" s="5">
        <f ca="1">IFERROR(__xludf.DUMMYFUNCTION("""COMPUTED_VALUE"""),2)</f>
        <v>2</v>
      </c>
    </row>
    <row r="1202" spans="1:6" ht="15" customHeight="1" x14ac:dyDescent="0.2">
      <c r="A1202" s="5" t="str">
        <f ca="1">IFERROR(__xludf.DUMMYFUNCTION("""COMPUTED_VALUE"""),"H64")</f>
        <v>H64</v>
      </c>
      <c r="B1202" s="5" t="str">
        <f ca="1">IFERROR(__xludf.DUMMYFUNCTION("""COMPUTED_VALUE"""),"MCDONNELL DOUGLAS")</f>
        <v>MCDONNELL DOUGLAS</v>
      </c>
      <c r="C1202" s="5" t="str">
        <f ca="1">IFERROR(__xludf.DUMMYFUNCTION("""COMPUTED_VALUE"""),"AH-64 Apache")</f>
        <v>AH-64 Apache</v>
      </c>
      <c r="D1202" s="5" t="str">
        <f ca="1">IFERROR(__xludf.DUMMYFUNCTION("""COMPUTED_VALUE"""),"Helicopter")</f>
        <v>Helicopter</v>
      </c>
      <c r="E1202" s="5" t="str">
        <f ca="1">IFERROR(__xludf.DUMMYFUNCTION("""COMPUTED_VALUE"""),"Turboprop/Turboshaft")</f>
        <v>Turboprop/Turboshaft</v>
      </c>
      <c r="F1202" s="5">
        <f ca="1">IFERROR(__xludf.DUMMYFUNCTION("""COMPUTED_VALUE"""),2)</f>
        <v>2</v>
      </c>
    </row>
    <row r="1203" spans="1:6" ht="15" customHeight="1" x14ac:dyDescent="0.2">
      <c r="A1203" s="5" t="str">
        <f ca="1">IFERROR(__xludf.DUMMYFUNCTION("""COMPUTED_VALUE"""),"HA2")</f>
        <v>HA2</v>
      </c>
      <c r="B1203" s="5" t="str">
        <f ca="1">IFERROR(__xludf.DUMMYFUNCTION("""COMPUTED_VALUE"""),"HOLLMANN")</f>
        <v>HOLLMANN</v>
      </c>
      <c r="C1203" s="5" t="str">
        <f ca="1">IFERROR(__xludf.DUMMYFUNCTION("""COMPUTED_VALUE"""),"HA-2 Sportster")</f>
        <v>HA-2 Sportster</v>
      </c>
      <c r="D1203" s="5" t="str">
        <f ca="1">IFERROR(__xludf.DUMMYFUNCTION("""COMPUTED_VALUE"""),"Gyrocopter")</f>
        <v>Gyrocopter</v>
      </c>
      <c r="E1203" s="5" t="str">
        <f ca="1">IFERROR(__xludf.DUMMYFUNCTION("""COMPUTED_VALUE"""),"Piston")</f>
        <v>Piston</v>
      </c>
      <c r="F1203" s="5">
        <f ca="1">IFERROR(__xludf.DUMMYFUNCTION("""COMPUTED_VALUE"""),1)</f>
        <v>1</v>
      </c>
    </row>
    <row r="1204" spans="1:6" ht="15" customHeight="1" x14ac:dyDescent="0.2">
      <c r="A1204" s="5" t="str">
        <f ca="1">IFERROR(__xludf.DUMMYFUNCTION("""COMPUTED_VALUE"""),"HA31")</f>
        <v>HA31</v>
      </c>
      <c r="B1204" s="5" t="str">
        <f ca="1">IFERROR(__xludf.DUMMYFUNCTION("""COMPUTED_VALUE"""),"HINDUSTAN")</f>
        <v>HINDUSTAN</v>
      </c>
      <c r="C1204" s="5" t="str">
        <f ca="1">IFERROR(__xludf.DUMMYFUNCTION("""COMPUTED_VALUE"""),"HA-31 Basant")</f>
        <v>HA-31 Basant</v>
      </c>
      <c r="D1204" s="5" t="str">
        <f ca="1">IFERROR(__xludf.DUMMYFUNCTION("""COMPUTED_VALUE"""),"LandPlane")</f>
        <v>LandPlane</v>
      </c>
      <c r="E1204" s="5" t="str">
        <f ca="1">IFERROR(__xludf.DUMMYFUNCTION("""COMPUTED_VALUE"""),"Piston")</f>
        <v>Piston</v>
      </c>
      <c r="F1204" s="5">
        <f ca="1">IFERROR(__xludf.DUMMYFUNCTION("""COMPUTED_VALUE"""),1)</f>
        <v>1</v>
      </c>
    </row>
    <row r="1205" spans="1:6" ht="15" customHeight="1" x14ac:dyDescent="0.2">
      <c r="A1205" s="5" t="str">
        <f ca="1">IFERROR(__xludf.DUMMYFUNCTION("""COMPUTED_VALUE"""),"HA4T")</f>
        <v>HA4T</v>
      </c>
      <c r="B1205" s="5" t="str">
        <f ca="1">IFERROR(__xludf.DUMMYFUNCTION("""COMPUTED_VALUE"""),"RAYTHEON")</f>
        <v>RAYTHEON</v>
      </c>
      <c r="C1205" s="5" t="str">
        <f ca="1">IFERROR(__xludf.DUMMYFUNCTION("""COMPUTED_VALUE"""),"Hawker 4000")</f>
        <v>Hawker 4000</v>
      </c>
      <c r="D1205" s="5" t="str">
        <f ca="1">IFERROR(__xludf.DUMMYFUNCTION("""COMPUTED_VALUE"""),"LandPlane")</f>
        <v>LandPlane</v>
      </c>
      <c r="E1205" s="5" t="str">
        <f ca="1">IFERROR(__xludf.DUMMYFUNCTION("""COMPUTED_VALUE"""),"Jet")</f>
        <v>Jet</v>
      </c>
      <c r="F1205" s="5">
        <f ca="1">IFERROR(__xludf.DUMMYFUNCTION("""COMPUTED_VALUE"""),2)</f>
        <v>2</v>
      </c>
    </row>
    <row r="1206" spans="1:6" ht="15" customHeight="1" x14ac:dyDescent="0.2">
      <c r="A1206" s="5" t="str">
        <f ca="1">IFERROR(__xludf.DUMMYFUNCTION("""COMPUTED_VALUE"""),"HAHU")</f>
        <v>HAHU</v>
      </c>
      <c r="B1206" s="5" t="str">
        <f ca="1">IFERROR(__xludf.DUMMYFUNCTION("""COMPUTED_VALUE"""),"SINDLINGER")</f>
        <v>SINDLINGER</v>
      </c>
      <c r="C1206" s="5" t="str">
        <f ca="1">IFERROR(__xludf.DUMMYFUNCTION("""COMPUTED_VALUE"""),"HH-1 Hawker Hurricane")</f>
        <v>HH-1 Hawker Hurricane</v>
      </c>
      <c r="D1206" s="5" t="str">
        <f ca="1">IFERROR(__xludf.DUMMYFUNCTION("""COMPUTED_VALUE"""),"LandPlane")</f>
        <v>LandPlane</v>
      </c>
      <c r="E1206" s="5" t="str">
        <f ca="1">IFERROR(__xludf.DUMMYFUNCTION("""COMPUTED_VALUE"""),"Piston")</f>
        <v>Piston</v>
      </c>
      <c r="F1206" s="5">
        <f ca="1">IFERROR(__xludf.DUMMYFUNCTION("""COMPUTED_VALUE"""),1)</f>
        <v>1</v>
      </c>
    </row>
    <row r="1207" spans="1:6" ht="15" customHeight="1" x14ac:dyDescent="0.2">
      <c r="A1207" s="5" t="str">
        <f ca="1">IFERROR(__xludf.DUMMYFUNCTION("""COMPUTED_VALUE"""),"HAR")</f>
        <v>HAR</v>
      </c>
      <c r="B1207" s="5" t="str">
        <f ca="1">IFERROR(__xludf.DUMMYFUNCTION("""COMPUTED_VALUE"""),"MCDONNELL DOUGLAS")</f>
        <v>MCDONNELL DOUGLAS</v>
      </c>
      <c r="C1207" s="5" t="str">
        <f ca="1">IFERROR(__xludf.DUMMYFUNCTION("""COMPUTED_VALUE"""),"AV-8 Harrier")</f>
        <v>AV-8 Harrier</v>
      </c>
      <c r="D1207" s="5" t="str">
        <f ca="1">IFERROR(__xludf.DUMMYFUNCTION("""COMPUTED_VALUE"""),"LandPlane")</f>
        <v>LandPlane</v>
      </c>
      <c r="E1207" s="5" t="str">
        <f ca="1">IFERROR(__xludf.DUMMYFUNCTION("""COMPUTED_VALUE"""),"Jet")</f>
        <v>Jet</v>
      </c>
      <c r="F1207" s="5">
        <f ca="1">IFERROR(__xludf.DUMMYFUNCTION("""COMPUTED_VALUE"""),1)</f>
        <v>1</v>
      </c>
    </row>
    <row r="1208" spans="1:6" ht="15" customHeight="1" x14ac:dyDescent="0.2">
      <c r="A1208" s="5" t="str">
        <f ca="1">IFERROR(__xludf.DUMMYFUNCTION("""COMPUTED_VALUE"""),"HAW3")</f>
        <v>HAW3</v>
      </c>
      <c r="B1208" s="5" t="str">
        <f ca="1">IFERROR(__xludf.DUMMYFUNCTION("""COMPUTED_VALUE"""),"GROEN")</f>
        <v>GROEN</v>
      </c>
      <c r="C1208" s="5" t="str">
        <f ca="1">IFERROR(__xludf.DUMMYFUNCTION("""COMPUTED_VALUE"""),"H2X Hawk 3")</f>
        <v>H2X Hawk 3</v>
      </c>
      <c r="D1208" s="5" t="str">
        <f ca="1">IFERROR(__xludf.DUMMYFUNCTION("""COMPUTED_VALUE"""),"Gyrocopter")</f>
        <v>Gyrocopter</v>
      </c>
      <c r="E1208" s="5" t="str">
        <f ca="1">IFERROR(__xludf.DUMMYFUNCTION("""COMPUTED_VALUE"""),"Piston")</f>
        <v>Piston</v>
      </c>
      <c r="F1208" s="5">
        <f ca="1">IFERROR(__xludf.DUMMYFUNCTION("""COMPUTED_VALUE"""),1)</f>
        <v>1</v>
      </c>
    </row>
    <row r="1209" spans="1:6" ht="15" customHeight="1" x14ac:dyDescent="0.2">
      <c r="A1209" s="5" t="str">
        <f ca="1">IFERROR(__xludf.DUMMYFUNCTION("""COMPUTED_VALUE"""),"HAWK")</f>
        <v>HAWK</v>
      </c>
      <c r="B1209" s="5" t="str">
        <f ca="1">IFERROR(__xludf.DUMMYFUNCTION("""COMPUTED_VALUE"""),"BAE SYSTEMS")</f>
        <v>BAE SYSTEMS</v>
      </c>
      <c r="C1209" s="5" t="str">
        <f ca="1">IFERROR(__xludf.DUMMYFUNCTION("""COMPUTED_VALUE"""),"Hawk")</f>
        <v>Hawk</v>
      </c>
      <c r="D1209" s="5" t="str">
        <f ca="1">IFERROR(__xludf.DUMMYFUNCTION("""COMPUTED_VALUE"""),"LandPlane")</f>
        <v>LandPlane</v>
      </c>
      <c r="E1209" s="5" t="str">
        <f ca="1">IFERROR(__xludf.DUMMYFUNCTION("""COMPUTED_VALUE"""),"Jet")</f>
        <v>Jet</v>
      </c>
      <c r="F1209" s="5">
        <f ca="1">IFERROR(__xludf.DUMMYFUNCTION("""COMPUTED_VALUE"""),1)</f>
        <v>1</v>
      </c>
    </row>
    <row r="1210" spans="1:6" ht="15" customHeight="1" x14ac:dyDescent="0.2">
      <c r="A1210" s="5" t="str">
        <f ca="1">IFERROR(__xludf.DUMMYFUNCTION("""COMPUTED_VALUE"""),"HB21")</f>
        <v>HB21</v>
      </c>
      <c r="B1210" s="5" t="str">
        <f ca="1">IFERROR(__xludf.DUMMYFUNCTION("""COMPUTED_VALUE"""),"BRDITSCHKA")</f>
        <v>BRDITSCHKA</v>
      </c>
      <c r="C1210" s="5" t="str">
        <f ca="1">IFERROR(__xludf.DUMMYFUNCTION("""COMPUTED_VALUE"""),"HB-21 Hobbylifter")</f>
        <v>HB-21 Hobbylifter</v>
      </c>
      <c r="D1210" s="5" t="str">
        <f ca="1">IFERROR(__xludf.DUMMYFUNCTION("""COMPUTED_VALUE"""),"LandPlane")</f>
        <v>LandPlane</v>
      </c>
      <c r="E1210" s="5" t="str">
        <f ca="1">IFERROR(__xludf.DUMMYFUNCTION("""COMPUTED_VALUE"""),"Piston")</f>
        <v>Piston</v>
      </c>
      <c r="F1210" s="5">
        <f ca="1">IFERROR(__xludf.DUMMYFUNCTION("""COMPUTED_VALUE"""),1)</f>
        <v>1</v>
      </c>
    </row>
    <row r="1211" spans="1:6" ht="15" customHeight="1" x14ac:dyDescent="0.2">
      <c r="A1211" s="5" t="str">
        <f ca="1">IFERROR(__xludf.DUMMYFUNCTION("""COMPUTED_VALUE"""),"HB23")</f>
        <v>HB23</v>
      </c>
      <c r="B1211" s="5" t="str">
        <f ca="1">IFERROR(__xludf.DUMMYFUNCTION("""COMPUTED_VALUE"""),"BRDITSCHKA")</f>
        <v>BRDITSCHKA</v>
      </c>
      <c r="C1211" s="5" t="str">
        <f ca="1">IFERROR(__xludf.DUMMYFUNCTION("""COMPUTED_VALUE"""),"HB-23 Hobbyliner")</f>
        <v>HB-23 Hobbyliner</v>
      </c>
      <c r="D1211" s="5" t="str">
        <f ca="1">IFERROR(__xludf.DUMMYFUNCTION("""COMPUTED_VALUE"""),"LandPlane")</f>
        <v>LandPlane</v>
      </c>
      <c r="E1211" s="5" t="str">
        <f ca="1">IFERROR(__xludf.DUMMYFUNCTION("""COMPUTED_VALUE"""),"Piston")</f>
        <v>Piston</v>
      </c>
      <c r="F1211" s="5">
        <f ca="1">IFERROR(__xludf.DUMMYFUNCTION("""COMPUTED_VALUE"""),1)</f>
        <v>1</v>
      </c>
    </row>
    <row r="1212" spans="1:6" ht="15" customHeight="1" x14ac:dyDescent="0.2">
      <c r="A1212" s="5" t="str">
        <f ca="1">IFERROR(__xludf.DUMMYFUNCTION("""COMPUTED_VALUE"""),"HB3")</f>
        <v>HB3</v>
      </c>
      <c r="B1212" s="5" t="str">
        <f ca="1">IFERROR(__xludf.DUMMYFUNCTION("""COMPUTED_VALUE"""),"BRDITSCHKA")</f>
        <v>BRDITSCHKA</v>
      </c>
      <c r="C1212" s="5" t="str">
        <f ca="1">IFERROR(__xludf.DUMMYFUNCTION("""COMPUTED_VALUE"""),"HB-3")</f>
        <v>HB-3</v>
      </c>
      <c r="D1212" s="5" t="str">
        <f ca="1">IFERROR(__xludf.DUMMYFUNCTION("""COMPUTED_VALUE"""),"LandPlane")</f>
        <v>LandPlane</v>
      </c>
      <c r="E1212" s="5" t="str">
        <f ca="1">IFERROR(__xludf.DUMMYFUNCTION("""COMPUTED_VALUE"""),"Piston")</f>
        <v>Piston</v>
      </c>
      <c r="F1212" s="5">
        <f ca="1">IFERROR(__xludf.DUMMYFUNCTION("""COMPUTED_VALUE"""),1)</f>
        <v>1</v>
      </c>
    </row>
    <row r="1213" spans="1:6" ht="15" customHeight="1" x14ac:dyDescent="0.2">
      <c r="A1213" s="5" t="str">
        <f ca="1">IFERROR(__xludf.DUMMYFUNCTION("""COMPUTED_VALUE"""),"HCAT")</f>
        <v>HCAT</v>
      </c>
      <c r="B1213" s="5" t="str">
        <f ca="1">IFERROR(__xludf.DUMMYFUNCTION("""COMPUTED_VALUE"""),"GRUMMAN")</f>
        <v>GRUMMAN</v>
      </c>
      <c r="C1213" s="5" t="str">
        <f ca="1">IFERROR(__xludf.DUMMYFUNCTION("""COMPUTED_VALUE"""),"F6F Hellcat")</f>
        <v>F6F Hellcat</v>
      </c>
      <c r="D1213" s="5" t="str">
        <f ca="1">IFERROR(__xludf.DUMMYFUNCTION("""COMPUTED_VALUE"""),"LandPlane")</f>
        <v>LandPlane</v>
      </c>
      <c r="E1213" s="5" t="str">
        <f ca="1">IFERROR(__xludf.DUMMYFUNCTION("""COMPUTED_VALUE"""),"Piston")</f>
        <v>Piston</v>
      </c>
      <c r="F1213" s="5">
        <f ca="1">IFERROR(__xludf.DUMMYFUNCTION("""COMPUTED_VALUE"""),1)</f>
        <v>1</v>
      </c>
    </row>
    <row r="1214" spans="1:6" ht="15" customHeight="1" x14ac:dyDescent="0.2">
      <c r="A1214" s="5" t="str">
        <f ca="1">IFERROR(__xludf.DUMMYFUNCTION("""COMPUTED_VALUE"""),"HD34")</f>
        <v>HD34</v>
      </c>
      <c r="B1214" s="5" t="str">
        <f ca="1">IFERROR(__xludf.DUMMYFUNCTION("""COMPUTED_VALUE"""),"HUREL-DUBOIS")</f>
        <v>HUREL-DUBOIS</v>
      </c>
      <c r="C1214" s="5" t="str">
        <f ca="1">IFERROR(__xludf.DUMMYFUNCTION("""COMPUTED_VALUE"""),"HD-34")</f>
        <v>HD-34</v>
      </c>
      <c r="D1214" s="5" t="str">
        <f ca="1">IFERROR(__xludf.DUMMYFUNCTION("""COMPUTED_VALUE"""),"LandPlane")</f>
        <v>LandPlane</v>
      </c>
      <c r="E1214" s="5" t="str">
        <f ca="1">IFERROR(__xludf.DUMMYFUNCTION("""COMPUTED_VALUE"""),"Piston")</f>
        <v>Piston</v>
      </c>
      <c r="F1214" s="5">
        <f ca="1">IFERROR(__xludf.DUMMYFUNCTION("""COMPUTED_VALUE"""),2)</f>
        <v>2</v>
      </c>
    </row>
    <row r="1215" spans="1:6" ht="15" customHeight="1" x14ac:dyDescent="0.2">
      <c r="A1215" s="5" t="str">
        <f ca="1">IFERROR(__xludf.DUMMYFUNCTION("""COMPUTED_VALUE"""),"HDJT")</f>
        <v>HDJT</v>
      </c>
      <c r="B1215" s="5" t="str">
        <f ca="1">IFERROR(__xludf.DUMMYFUNCTION("""COMPUTED_VALUE"""),"HONDA")</f>
        <v>HONDA</v>
      </c>
      <c r="C1215" s="5" t="str">
        <f ca="1">IFERROR(__xludf.DUMMYFUNCTION("""COMPUTED_VALUE"""),"HA-420 HondaJet")</f>
        <v>HA-420 HondaJet</v>
      </c>
      <c r="D1215" s="5" t="str">
        <f ca="1">IFERROR(__xludf.DUMMYFUNCTION("""COMPUTED_VALUE"""),"LandPlane")</f>
        <v>LandPlane</v>
      </c>
      <c r="E1215" s="5" t="str">
        <f ca="1">IFERROR(__xludf.DUMMYFUNCTION("""COMPUTED_VALUE"""),"Jet")</f>
        <v>Jet</v>
      </c>
      <c r="F1215" s="5">
        <f ca="1">IFERROR(__xludf.DUMMYFUNCTION("""COMPUTED_VALUE"""),2)</f>
        <v>2</v>
      </c>
    </row>
    <row r="1216" spans="1:6" ht="15" customHeight="1" x14ac:dyDescent="0.2">
      <c r="A1216" s="5" t="str">
        <f ca="1">IFERROR(__xludf.DUMMYFUNCTION("""COMPUTED_VALUE"""),"HEAD")</f>
        <v>HEAD</v>
      </c>
      <c r="B1216" s="5" t="str">
        <f ca="1">IFERROR(__xludf.DUMMYFUNCTION("""COMPUTED_VALUE"""),"STEWART (2)")</f>
        <v>STEWART (2)</v>
      </c>
      <c r="C1216" s="5" t="str">
        <f ca="1">IFERROR(__xludf.DUMMYFUNCTION("""COMPUTED_VALUE"""),"JD-1 Headwind")</f>
        <v>JD-1 Headwind</v>
      </c>
      <c r="D1216" s="5" t="str">
        <f ca="1">IFERROR(__xludf.DUMMYFUNCTION("""COMPUTED_VALUE"""),"LandPlane")</f>
        <v>LandPlane</v>
      </c>
      <c r="E1216" s="5" t="str">
        <f ca="1">IFERROR(__xludf.DUMMYFUNCTION("""COMPUTED_VALUE"""),"Piston")</f>
        <v>Piston</v>
      </c>
      <c r="F1216" s="5">
        <f ca="1">IFERROR(__xludf.DUMMYFUNCTION("""COMPUTED_VALUE"""),1)</f>
        <v>1</v>
      </c>
    </row>
    <row r="1217" spans="1:6" ht="15" customHeight="1" x14ac:dyDescent="0.2">
      <c r="A1217" s="5" t="str">
        <f ca="1">IFERROR(__xludf.DUMMYFUNCTION("""COMPUTED_VALUE"""),"HERN")</f>
        <v>HERN</v>
      </c>
      <c r="B1217" s="5" t="str">
        <f ca="1">IFERROR(__xludf.DUMMYFUNCTION("""COMPUTED_VALUE"""),"DE HAVILLAND")</f>
        <v>DE HAVILLAND</v>
      </c>
      <c r="C1217" s="5" t="str">
        <f ca="1">IFERROR(__xludf.DUMMYFUNCTION("""COMPUTED_VALUE"""),"DH-114 Heron")</f>
        <v>DH-114 Heron</v>
      </c>
      <c r="D1217" s="5" t="str">
        <f ca="1">IFERROR(__xludf.DUMMYFUNCTION("""COMPUTED_VALUE"""),"LandPlane")</f>
        <v>LandPlane</v>
      </c>
      <c r="E1217" s="5" t="str">
        <f ca="1">IFERROR(__xludf.DUMMYFUNCTION("""COMPUTED_VALUE"""),"Piston")</f>
        <v>Piston</v>
      </c>
      <c r="F1217" s="5">
        <f ca="1">IFERROR(__xludf.DUMMYFUNCTION("""COMPUTED_VALUE"""),4)</f>
        <v>4</v>
      </c>
    </row>
    <row r="1218" spans="1:6" ht="15" customHeight="1" x14ac:dyDescent="0.2">
      <c r="A1218" s="5" t="str">
        <f ca="1">IFERROR(__xludf.DUMMYFUNCTION("""COMPUTED_VALUE"""),"HF20")</f>
        <v>HF20</v>
      </c>
      <c r="B1218" s="5" t="str">
        <f ca="1">IFERROR(__xludf.DUMMYFUNCTION("""COMPUTED_VALUE"""),"HFB")</f>
        <v>HFB</v>
      </c>
      <c r="C1218" s="5" t="str">
        <f ca="1">IFERROR(__xludf.DUMMYFUNCTION("""COMPUTED_VALUE"""),"HFB-320 Hansa")</f>
        <v>HFB-320 Hansa</v>
      </c>
      <c r="D1218" s="5" t="str">
        <f ca="1">IFERROR(__xludf.DUMMYFUNCTION("""COMPUTED_VALUE"""),"LandPlane")</f>
        <v>LandPlane</v>
      </c>
      <c r="E1218" s="5" t="str">
        <f ca="1">IFERROR(__xludf.DUMMYFUNCTION("""COMPUTED_VALUE"""),"Jet")</f>
        <v>Jet</v>
      </c>
      <c r="F1218" s="5">
        <f ca="1">IFERROR(__xludf.DUMMYFUNCTION("""COMPUTED_VALUE"""),2)</f>
        <v>2</v>
      </c>
    </row>
    <row r="1219" spans="1:6" ht="15" customHeight="1" x14ac:dyDescent="0.2">
      <c r="A1219" s="5" t="str">
        <f ca="1">IFERROR(__xludf.DUMMYFUNCTION("""COMPUTED_VALUE"""),"HI27")</f>
        <v>HI27</v>
      </c>
      <c r="B1219" s="5" t="str">
        <f ca="1">IFERROR(__xludf.DUMMYFUNCTION("""COMPUTED_VALUE"""),"HIRTH")</f>
        <v>HIRTH</v>
      </c>
      <c r="C1219" s="5" t="str">
        <f ca="1">IFERROR(__xludf.DUMMYFUNCTION("""COMPUTED_VALUE"""),"Hi-27 Acrostar")</f>
        <v>Hi-27 Acrostar</v>
      </c>
      <c r="D1219" s="5" t="str">
        <f ca="1">IFERROR(__xludf.DUMMYFUNCTION("""COMPUTED_VALUE"""),"LandPlane")</f>
        <v>LandPlane</v>
      </c>
      <c r="E1219" s="5" t="str">
        <f ca="1">IFERROR(__xludf.DUMMYFUNCTION("""COMPUTED_VALUE"""),"Piston")</f>
        <v>Piston</v>
      </c>
      <c r="F1219" s="5">
        <f ca="1">IFERROR(__xludf.DUMMYFUNCTION("""COMPUTED_VALUE"""),1)</f>
        <v>1</v>
      </c>
    </row>
    <row r="1220" spans="1:6" ht="15" customHeight="1" x14ac:dyDescent="0.2">
      <c r="A1220" s="5" t="str">
        <f ca="1">IFERROR(__xludf.DUMMYFUNCTION("""COMPUTED_VALUE"""),"HIGH")</f>
        <v>HIGH</v>
      </c>
      <c r="B1220" s="5" t="str">
        <f ca="1">IFERROR(__xludf.DUMMYFUNCTION("""COMPUTED_VALUE"""),"JUST")</f>
        <v>JUST</v>
      </c>
      <c r="C1220" s="5" t="str">
        <f ca="1">IFERROR(__xludf.DUMMYFUNCTION("""COMPUTED_VALUE"""),"Highlander")</f>
        <v>Highlander</v>
      </c>
      <c r="D1220" s="5" t="str">
        <f ca="1">IFERROR(__xludf.DUMMYFUNCTION("""COMPUTED_VALUE"""),"LandPlane")</f>
        <v>LandPlane</v>
      </c>
      <c r="E1220" s="5" t="str">
        <f ca="1">IFERROR(__xludf.DUMMYFUNCTION("""COMPUTED_VALUE"""),"Piston")</f>
        <v>Piston</v>
      </c>
      <c r="F1220" s="5">
        <f ca="1">IFERROR(__xludf.DUMMYFUNCTION("""COMPUTED_VALUE"""),1)</f>
        <v>1</v>
      </c>
    </row>
    <row r="1221" spans="1:6" ht="15" customHeight="1" x14ac:dyDescent="0.2">
      <c r="A1221" s="5" t="str">
        <f ca="1">IFERROR(__xludf.DUMMYFUNCTION("""COMPUTED_VALUE"""),"HIND")</f>
        <v>HIND</v>
      </c>
      <c r="B1221" s="5" t="str">
        <f ca="1">IFERROR(__xludf.DUMMYFUNCTION("""COMPUTED_VALUE"""),"HAWKER")</f>
        <v>HAWKER</v>
      </c>
      <c r="C1221" s="5" t="str">
        <f ca="1">IFERROR(__xludf.DUMMYFUNCTION("""COMPUTED_VALUE"""),"Hind")</f>
        <v>Hind</v>
      </c>
      <c r="D1221" s="5" t="str">
        <f ca="1">IFERROR(__xludf.DUMMYFUNCTION("""COMPUTED_VALUE"""),"LandPlane")</f>
        <v>LandPlane</v>
      </c>
      <c r="E1221" s="5" t="str">
        <f ca="1">IFERROR(__xludf.DUMMYFUNCTION("""COMPUTED_VALUE"""),"Piston")</f>
        <v>Piston</v>
      </c>
      <c r="F1221" s="5">
        <f ca="1">IFERROR(__xludf.DUMMYFUNCTION("""COMPUTED_VALUE"""),1)</f>
        <v>1</v>
      </c>
    </row>
    <row r="1222" spans="1:6" ht="15" customHeight="1" x14ac:dyDescent="0.2">
      <c r="A1222" s="5" t="str">
        <f ca="1">IFERROR(__xludf.DUMMYFUNCTION("""COMPUTED_VALUE"""),"HL2")</f>
        <v>HL2</v>
      </c>
      <c r="B1222" s="5" t="str">
        <f ca="1">IFERROR(__xludf.DUMMYFUNCTION("""COMPUTED_VALUE"""),"LAMBACH")</f>
        <v>LAMBACH</v>
      </c>
      <c r="C1222" s="5" t="str">
        <f ca="1">IFERROR(__xludf.DUMMYFUNCTION("""COMPUTED_VALUE"""),"HL-2 Replica")</f>
        <v>HL-2 Replica</v>
      </c>
      <c r="D1222" s="5" t="str">
        <f ca="1">IFERROR(__xludf.DUMMYFUNCTION("""COMPUTED_VALUE"""),"LandPlane")</f>
        <v>LandPlane</v>
      </c>
      <c r="E1222" s="5" t="str">
        <f ca="1">IFERROR(__xludf.DUMMYFUNCTION("""COMPUTED_VALUE"""),"Piston")</f>
        <v>Piston</v>
      </c>
      <c r="F1222" s="5">
        <f ca="1">IFERROR(__xludf.DUMMYFUNCTION("""COMPUTED_VALUE"""),1)</f>
        <v>1</v>
      </c>
    </row>
    <row r="1223" spans="1:6" ht="15" customHeight="1" x14ac:dyDescent="0.2">
      <c r="A1223" s="5" t="str">
        <f ca="1">IFERROR(__xludf.DUMMYFUNCTION("""COMPUTED_VALUE"""),"HLD4")</f>
        <v>HLD4</v>
      </c>
      <c r="B1223" s="5" t="str">
        <f ca="1">IFERROR(__xludf.DUMMYFUNCTION("""COMPUTED_VALUE"""),"HALBERSTADT")</f>
        <v>HALBERSTADT</v>
      </c>
      <c r="C1223" s="5" t="str">
        <f ca="1">IFERROR(__xludf.DUMMYFUNCTION("""COMPUTED_VALUE"""),"D-4 Replica")</f>
        <v>D-4 Replica</v>
      </c>
      <c r="D1223" s="5" t="str">
        <f ca="1">IFERROR(__xludf.DUMMYFUNCTION("""COMPUTED_VALUE"""),"LandPlane")</f>
        <v>LandPlane</v>
      </c>
      <c r="E1223" s="5" t="str">
        <f ca="1">IFERROR(__xludf.DUMMYFUNCTION("""COMPUTED_VALUE"""),"Piston")</f>
        <v>Piston</v>
      </c>
      <c r="F1223" s="5">
        <f ca="1">IFERROR(__xludf.DUMMYFUNCTION("""COMPUTED_VALUE"""),1)</f>
        <v>1</v>
      </c>
    </row>
    <row r="1224" spans="1:6" ht="15" customHeight="1" x14ac:dyDescent="0.2">
      <c r="A1224" s="5" t="str">
        <f ca="1">IFERROR(__xludf.DUMMYFUNCTION("""COMPUTED_VALUE"""),"HM38")</f>
        <v>HM38</v>
      </c>
      <c r="B1224" s="5" t="str">
        <f ca="1">IFERROR(__xludf.DUMMYFUNCTION("""COMPUTED_VALUE"""),"FALCONAR")</f>
        <v>FALCONAR</v>
      </c>
      <c r="C1224" s="5" t="str">
        <f ca="1">IFERROR(__xludf.DUMMYFUNCTION("""COMPUTED_VALUE"""),"HM-380 Ladybug")</f>
        <v>HM-380 Ladybug</v>
      </c>
      <c r="D1224" s="5" t="str">
        <f ca="1">IFERROR(__xludf.DUMMYFUNCTION("""COMPUTED_VALUE"""),"LandPlane")</f>
        <v>LandPlane</v>
      </c>
      <c r="E1224" s="5" t="str">
        <f ca="1">IFERROR(__xludf.DUMMYFUNCTION("""COMPUTED_VALUE"""),"Piston")</f>
        <v>Piston</v>
      </c>
      <c r="F1224" s="5">
        <f ca="1">IFERROR(__xludf.DUMMYFUNCTION("""COMPUTED_VALUE"""),1)</f>
        <v>1</v>
      </c>
    </row>
    <row r="1225" spans="1:6" ht="15" customHeight="1" x14ac:dyDescent="0.2">
      <c r="A1225" s="5" t="str">
        <f ca="1">IFERROR(__xludf.DUMMYFUNCTION("""COMPUTED_VALUE"""),"HN70")</f>
        <v>HN70</v>
      </c>
      <c r="B1225" s="5" t="str">
        <f ca="1">IFERROR(__xludf.DUMMYFUNCTION("""COMPUTED_VALUE"""),"NICOLLIER")</f>
        <v>NICOLLIER</v>
      </c>
      <c r="C1225" s="5" t="str">
        <f ca="1">IFERROR(__xludf.DUMMYFUNCTION("""COMPUTED_VALUE"""),"HN-700 Menestrel 2")</f>
        <v>HN-700 Menestrel 2</v>
      </c>
      <c r="D1225" s="5" t="str">
        <f ca="1">IFERROR(__xludf.DUMMYFUNCTION("""COMPUTED_VALUE"""),"LandPlane")</f>
        <v>LandPlane</v>
      </c>
      <c r="E1225" s="5" t="str">
        <f ca="1">IFERROR(__xludf.DUMMYFUNCTION("""COMPUTED_VALUE"""),"Piston")</f>
        <v>Piston</v>
      </c>
      <c r="F1225" s="5">
        <f ca="1">IFERROR(__xludf.DUMMYFUNCTION("""COMPUTED_VALUE"""),1)</f>
        <v>1</v>
      </c>
    </row>
    <row r="1226" spans="1:6" ht="15" customHeight="1" x14ac:dyDescent="0.2">
      <c r="A1226" s="5" t="str">
        <f ca="1">IFERROR(__xludf.DUMMYFUNCTION("""COMPUTED_VALUE"""),"HORN")</f>
        <v>HORN</v>
      </c>
      <c r="B1226" s="5" t="str">
        <f ca="1">IFERROR(__xludf.DUMMYFUNCTION("""COMPUTED_VALUE"""),"WALLERKOWSKI")</f>
        <v>WALLERKOWSKI</v>
      </c>
      <c r="C1226" s="5" t="str">
        <f ca="1">IFERROR(__xludf.DUMMYFUNCTION("""COMPUTED_VALUE"""),"Hornisse")</f>
        <v>Hornisse</v>
      </c>
      <c r="D1226" s="5" t="str">
        <f ca="1">IFERROR(__xludf.DUMMYFUNCTION("""COMPUTED_VALUE"""),"LandPlane")</f>
        <v>LandPlane</v>
      </c>
      <c r="E1226" s="5" t="str">
        <f ca="1">IFERROR(__xludf.DUMMYFUNCTION("""COMPUTED_VALUE"""),"Piston")</f>
        <v>Piston</v>
      </c>
      <c r="F1226" s="5">
        <f ca="1">IFERROR(__xludf.DUMMYFUNCTION("""COMPUTED_VALUE"""),1)</f>
        <v>1</v>
      </c>
    </row>
    <row r="1227" spans="1:6" ht="15" customHeight="1" x14ac:dyDescent="0.2">
      <c r="A1227" s="5" t="str">
        <f ca="1">IFERROR(__xludf.DUMMYFUNCTION("""COMPUTED_VALUE"""),"HORZ")</f>
        <v>HORZ</v>
      </c>
      <c r="B1227" s="5" t="str">
        <f ca="1">IFERROR(__xludf.DUMMYFUNCTION("""COMPUTED_VALUE"""),"FISHER AERO")</f>
        <v>FISHER AERO</v>
      </c>
      <c r="C1227" s="5" t="str">
        <f ca="1">IFERROR(__xludf.DUMMYFUNCTION("""COMPUTED_VALUE"""),"Horizon")</f>
        <v>Horizon</v>
      </c>
      <c r="D1227" s="5" t="str">
        <f ca="1">IFERROR(__xludf.DUMMYFUNCTION("""COMPUTED_VALUE"""),"LandPlane")</f>
        <v>LandPlane</v>
      </c>
      <c r="E1227" s="5" t="str">
        <f ca="1">IFERROR(__xludf.DUMMYFUNCTION("""COMPUTED_VALUE"""),"Piston")</f>
        <v>Piston</v>
      </c>
      <c r="F1227" s="5">
        <f ca="1">IFERROR(__xludf.DUMMYFUNCTION("""COMPUTED_VALUE"""),1)</f>
        <v>1</v>
      </c>
    </row>
    <row r="1228" spans="1:6" ht="15" customHeight="1" x14ac:dyDescent="0.2">
      <c r="A1228" s="5" t="str">
        <f ca="1">IFERROR(__xludf.DUMMYFUNCTION("""COMPUTED_VALUE"""),"HPTR")</f>
        <v>HPTR</v>
      </c>
      <c r="B1228" s="5" t="str">
        <f ca="1">IFERROR(__xludf.DUMMYFUNCTION("""COMPUTED_VALUE"""),"IDEA")</f>
        <v>IDEA</v>
      </c>
      <c r="C1228" s="5" t="str">
        <f ca="1">IFERROR(__xludf.DUMMYFUNCTION("""COMPUTED_VALUE"""),"Hydropteron")</f>
        <v>Hydropteron</v>
      </c>
      <c r="D1228" s="5" t="str">
        <f ca="1">IFERROR(__xludf.DUMMYFUNCTION("""COMPUTED_VALUE"""),"Amphibian")</f>
        <v>Amphibian</v>
      </c>
      <c r="E1228" s="5" t="str">
        <f ca="1">IFERROR(__xludf.DUMMYFUNCTION("""COMPUTED_VALUE"""),"Piston")</f>
        <v>Piston</v>
      </c>
      <c r="F1228" s="5">
        <f ca="1">IFERROR(__xludf.DUMMYFUNCTION("""COMPUTED_VALUE"""),1)</f>
        <v>1</v>
      </c>
    </row>
    <row r="1229" spans="1:6" ht="15" customHeight="1" x14ac:dyDescent="0.2">
      <c r="A1229" s="5" t="str">
        <f ca="1">IFERROR(__xludf.DUMMYFUNCTION("""COMPUTED_VALUE"""),"HPZL")</f>
        <v>HPZL</v>
      </c>
      <c r="B1229" s="5" t="str">
        <f ca="1">IFERROR(__xludf.DUMMYFUNCTION("""COMPUTED_VALUE"""),"HISTORICAL AIRCRAFT")</f>
        <v>HISTORICAL AIRCRAFT</v>
      </c>
      <c r="C1229" s="5" t="str">
        <f ca="1">IFERROR(__xludf.DUMMYFUNCTION("""COMPUTED_VALUE"""),"PZL P-11C")</f>
        <v>PZL P-11C</v>
      </c>
      <c r="D1229" s="5" t="str">
        <f ca="1">IFERROR(__xludf.DUMMYFUNCTION("""COMPUTED_VALUE"""),"LandPlane")</f>
        <v>LandPlane</v>
      </c>
      <c r="E1229" s="5" t="str">
        <f ca="1">IFERROR(__xludf.DUMMYFUNCTION("""COMPUTED_VALUE"""),"Piston")</f>
        <v>Piston</v>
      </c>
      <c r="F1229" s="5">
        <f ca="1">IFERROR(__xludf.DUMMYFUNCTION("""COMPUTED_VALUE"""),1)</f>
        <v>1</v>
      </c>
    </row>
    <row r="1230" spans="1:6" ht="15" customHeight="1" x14ac:dyDescent="0.2">
      <c r="A1230" s="5" t="str">
        <f ca="1">IFERROR(__xludf.DUMMYFUNCTION("""COMPUTED_VALUE"""),"HR10")</f>
        <v>HR10</v>
      </c>
      <c r="B1230" s="5" t="str">
        <f ca="1">IFERROR(__xludf.DUMMYFUNCTION("""COMPUTED_VALUE"""),"ROBIN")</f>
        <v>ROBIN</v>
      </c>
      <c r="C1230" s="5" t="str">
        <f ca="1">IFERROR(__xludf.DUMMYFUNCTION("""COMPUTED_VALUE"""),"HR-100 President")</f>
        <v>HR-100 President</v>
      </c>
      <c r="D1230" s="5" t="str">
        <f ca="1">IFERROR(__xludf.DUMMYFUNCTION("""COMPUTED_VALUE"""),"LandPlane")</f>
        <v>LandPlane</v>
      </c>
      <c r="E1230" s="5" t="str">
        <f ca="1">IFERROR(__xludf.DUMMYFUNCTION("""COMPUTED_VALUE"""),"Piston")</f>
        <v>Piston</v>
      </c>
      <c r="F1230" s="5">
        <f ca="1">IFERROR(__xludf.DUMMYFUNCTION("""COMPUTED_VALUE"""),1)</f>
        <v>1</v>
      </c>
    </row>
    <row r="1231" spans="1:6" ht="15" customHeight="1" x14ac:dyDescent="0.2">
      <c r="A1231" s="5" t="str">
        <f ca="1">IFERROR(__xludf.DUMMYFUNCTION("""COMPUTED_VALUE"""),"HR20")</f>
        <v>HR20</v>
      </c>
      <c r="B1231" s="5" t="str">
        <f ca="1">IFERROR(__xludf.DUMMYFUNCTION("""COMPUTED_VALUE"""),"ROBIN")</f>
        <v>ROBIN</v>
      </c>
      <c r="C1231" s="5" t="str">
        <f ca="1">IFERROR(__xludf.DUMMYFUNCTION("""COMPUTED_VALUE"""),"HR-200 Acrobin")</f>
        <v>HR-200 Acrobin</v>
      </c>
      <c r="D1231" s="5" t="str">
        <f ca="1">IFERROR(__xludf.DUMMYFUNCTION("""COMPUTED_VALUE"""),"LandPlane")</f>
        <v>LandPlane</v>
      </c>
      <c r="E1231" s="5" t="str">
        <f ca="1">IFERROR(__xludf.DUMMYFUNCTION("""COMPUTED_VALUE"""),"Piston")</f>
        <v>Piston</v>
      </c>
      <c r="F1231" s="5">
        <f ca="1">IFERROR(__xludf.DUMMYFUNCTION("""COMPUTED_VALUE"""),1)</f>
        <v>1</v>
      </c>
    </row>
    <row r="1232" spans="1:6" ht="15" customHeight="1" x14ac:dyDescent="0.2">
      <c r="A1232" s="5" t="str">
        <f ca="1">IFERROR(__xludf.DUMMYFUNCTION("""COMPUTED_VALUE"""),"HRM9")</f>
        <v>HRM9</v>
      </c>
      <c r="B1232" s="5" t="str">
        <f ca="1">IFERROR(__xludf.DUMMYFUNCTION("""COMPUTED_VALUE"""),"ELBIT")</f>
        <v>ELBIT</v>
      </c>
      <c r="C1232" s="5" t="str">
        <f ca="1">IFERROR(__xludf.DUMMYFUNCTION("""COMPUTED_VALUE"""),"Hermes 900")</f>
        <v>Hermes 900</v>
      </c>
      <c r="D1232" s="5" t="str">
        <f ca="1">IFERROR(__xludf.DUMMYFUNCTION("""COMPUTED_VALUE"""),"LandPlane")</f>
        <v>LandPlane</v>
      </c>
      <c r="E1232" s="5" t="str">
        <f ca="1">IFERROR(__xludf.DUMMYFUNCTION("""COMPUTED_VALUE"""),"Piston")</f>
        <v>Piston</v>
      </c>
      <c r="F1232" s="5">
        <f ca="1">IFERROR(__xludf.DUMMYFUNCTION("""COMPUTED_VALUE"""),1)</f>
        <v>1</v>
      </c>
    </row>
    <row r="1233" spans="1:6" ht="15" customHeight="1" x14ac:dyDescent="0.2">
      <c r="A1233" s="5" t="str">
        <f ca="1">IFERROR(__xludf.DUMMYFUNCTION("""COMPUTED_VALUE"""),"HRNT")</f>
        <v>HRNT</v>
      </c>
      <c r="B1233" s="5" t="str">
        <f ca="1">IFERROR(__xludf.DUMMYFUNCTION("""COMPUTED_VALUE"""),"AAK")</f>
        <v>AAK</v>
      </c>
      <c r="C1233" s="5" t="str">
        <f ca="1">IFERROR(__xludf.DUMMYFUNCTION("""COMPUTED_VALUE"""),"Hornet")</f>
        <v>Hornet</v>
      </c>
      <c r="D1233" s="5" t="str">
        <f ca="1">IFERROR(__xludf.DUMMYFUNCTION("""COMPUTED_VALUE"""),"LandPlane")</f>
        <v>LandPlane</v>
      </c>
      <c r="E1233" s="5" t="str">
        <f ca="1">IFERROR(__xludf.DUMMYFUNCTION("""COMPUTED_VALUE"""),"Piston")</f>
        <v>Piston</v>
      </c>
      <c r="F1233" s="5">
        <f ca="1">IFERROR(__xludf.DUMMYFUNCTION("""COMPUTED_VALUE"""),1)</f>
        <v>1</v>
      </c>
    </row>
    <row r="1234" spans="1:6" ht="15" customHeight="1" x14ac:dyDescent="0.2">
      <c r="A1234" s="5" t="str">
        <f ca="1">IFERROR(__xludf.DUMMYFUNCTION("""COMPUTED_VALUE"""),"HROC")</f>
        <v>HROC</v>
      </c>
      <c r="B1234" s="5" t="str">
        <f ca="1">IFERROR(__xludf.DUMMYFUNCTION("""COMPUTED_VALUE"""),"HARMON (2)")</f>
        <v>HARMON (2)</v>
      </c>
      <c r="C1234" s="5" t="str">
        <f ca="1">IFERROR(__xludf.DUMMYFUNCTION("""COMPUTED_VALUE"""),"Rocket")</f>
        <v>Rocket</v>
      </c>
      <c r="D1234" s="5" t="str">
        <f ca="1">IFERROR(__xludf.DUMMYFUNCTION("""COMPUTED_VALUE"""),"LandPlane")</f>
        <v>LandPlane</v>
      </c>
      <c r="E1234" s="5" t="str">
        <f ca="1">IFERROR(__xludf.DUMMYFUNCTION("""COMPUTED_VALUE"""),"Piston")</f>
        <v>Piston</v>
      </c>
      <c r="F1234" s="5">
        <f ca="1">IFERROR(__xludf.DUMMYFUNCTION("""COMPUTED_VALUE"""),1)</f>
        <v>1</v>
      </c>
    </row>
    <row r="1235" spans="1:6" ht="15" customHeight="1" x14ac:dyDescent="0.2">
      <c r="A1235" s="5" t="str">
        <f ca="1">IFERROR(__xludf.DUMMYFUNCTION("""COMPUTED_VALUE"""),"HRON")</f>
        <v>HRON</v>
      </c>
      <c r="B1235" s="5" t="str">
        <f ca="1">IFERROR(__xludf.DUMMYFUNCTION("""COMPUTED_VALUE"""),"IAI")</f>
        <v>IAI</v>
      </c>
      <c r="C1235" s="5" t="str">
        <f ca="1">IFERROR(__xludf.DUMMYFUNCTION("""COMPUTED_VALUE"""),"Heron")</f>
        <v>Heron</v>
      </c>
      <c r="D1235" s="5" t="str">
        <f ca="1">IFERROR(__xludf.DUMMYFUNCTION("""COMPUTED_VALUE"""),"LandPlane")</f>
        <v>LandPlane</v>
      </c>
      <c r="E1235" s="5" t="str">
        <f ca="1">IFERROR(__xludf.DUMMYFUNCTION("""COMPUTED_VALUE"""),"Piston")</f>
        <v>Piston</v>
      </c>
      <c r="F1235" s="5">
        <f ca="1">IFERROR(__xludf.DUMMYFUNCTION("""COMPUTED_VALUE"""),1)</f>
        <v>1</v>
      </c>
    </row>
    <row r="1236" spans="1:6" ht="15" customHeight="1" x14ac:dyDescent="0.2">
      <c r="A1236" s="5" t="str">
        <f ca="1">IFERROR(__xludf.DUMMYFUNCTION("""COMPUTED_VALUE"""),"HRYA")</f>
        <v>HRYA</v>
      </c>
      <c r="B1236" s="5" t="str">
        <f ca="1">IFERROR(__xludf.DUMMYFUNCTION("""COMPUTED_VALUE"""),"HISTORICAL AIRCRAFT")</f>
        <v>HISTORICAL AIRCRAFT</v>
      </c>
      <c r="C1236" s="5" t="str">
        <f ca="1">IFERROR(__xludf.DUMMYFUNCTION("""COMPUTED_VALUE"""),"Ryan Trainer")</f>
        <v>Ryan Trainer</v>
      </c>
      <c r="D1236" s="5" t="str">
        <f ca="1">IFERROR(__xludf.DUMMYFUNCTION("""COMPUTED_VALUE"""),"LandPlane")</f>
        <v>LandPlane</v>
      </c>
      <c r="E1236" s="5" t="str">
        <f ca="1">IFERROR(__xludf.DUMMYFUNCTION("""COMPUTED_VALUE"""),"Piston")</f>
        <v>Piston</v>
      </c>
      <c r="F1236" s="5">
        <f ca="1">IFERROR(__xludf.DUMMYFUNCTION("""COMPUTED_VALUE"""),1)</f>
        <v>1</v>
      </c>
    </row>
    <row r="1237" spans="1:6" ht="15" customHeight="1" x14ac:dyDescent="0.2">
      <c r="A1237" s="5" t="str">
        <f ca="1">IFERROR(__xludf.DUMMYFUNCTION("""COMPUTED_VALUE"""),"HSMT")</f>
        <v>HSMT</v>
      </c>
      <c r="B1237" s="5" t="str">
        <f ca="1">IFERROR(__xludf.DUMMYFUNCTION("""COMPUTED_VALUE"""),"ROTORSMART")</f>
        <v>ROTORSMART</v>
      </c>
      <c r="C1237" s="5" t="str">
        <f ca="1">IFERROR(__xludf.DUMMYFUNCTION("""COMPUTED_VALUE"""),"HeliSmart")</f>
        <v>HeliSmart</v>
      </c>
      <c r="D1237" s="5" t="str">
        <f ca="1">IFERROR(__xludf.DUMMYFUNCTION("""COMPUTED_VALUE"""),"Helicopter")</f>
        <v>Helicopter</v>
      </c>
      <c r="E1237" s="5" t="str">
        <f ca="1">IFERROR(__xludf.DUMMYFUNCTION("""COMPUTED_VALUE"""),"Piston")</f>
        <v>Piston</v>
      </c>
      <c r="F1237" s="5">
        <f ca="1">IFERROR(__xludf.DUMMYFUNCTION("""COMPUTED_VALUE"""),1)</f>
        <v>1</v>
      </c>
    </row>
    <row r="1238" spans="1:6" ht="15" customHeight="1" x14ac:dyDescent="0.2">
      <c r="A1238" s="5" t="str">
        <f ca="1">IFERROR(__xludf.DUMMYFUNCTION("""COMPUTED_VALUE"""),"HT16")</f>
        <v>HT16</v>
      </c>
      <c r="B1238" s="5" t="str">
        <f ca="1">IFERROR(__xludf.DUMMYFUNCTION("""COMPUTED_VALUE"""),"HINDUSTAN")</f>
        <v>HINDUSTAN</v>
      </c>
      <c r="C1238" s="5" t="str">
        <f ca="1">IFERROR(__xludf.DUMMYFUNCTION("""COMPUTED_VALUE"""),"HJT-16 Kiran")</f>
        <v>HJT-16 Kiran</v>
      </c>
      <c r="D1238" s="5" t="str">
        <f ca="1">IFERROR(__xludf.DUMMYFUNCTION("""COMPUTED_VALUE"""),"LandPlane")</f>
        <v>LandPlane</v>
      </c>
      <c r="E1238" s="5" t="str">
        <f ca="1">IFERROR(__xludf.DUMMYFUNCTION("""COMPUTED_VALUE"""),"Jet")</f>
        <v>Jet</v>
      </c>
      <c r="F1238" s="5">
        <f ca="1">IFERROR(__xludf.DUMMYFUNCTION("""COMPUTED_VALUE"""),1)</f>
        <v>1</v>
      </c>
    </row>
    <row r="1239" spans="1:6" ht="15" customHeight="1" x14ac:dyDescent="0.2">
      <c r="A1239" s="5" t="str">
        <f ca="1">IFERROR(__xludf.DUMMYFUNCTION("""COMPUTED_VALUE"""),"HT2")</f>
        <v>HT2</v>
      </c>
      <c r="B1239" s="5" t="str">
        <f ca="1">IFERROR(__xludf.DUMMYFUNCTION("""COMPUTED_VALUE"""),"HINDUSTAN")</f>
        <v>HINDUSTAN</v>
      </c>
      <c r="C1239" s="5" t="str">
        <f ca="1">IFERROR(__xludf.DUMMYFUNCTION("""COMPUTED_VALUE"""),"HT-2")</f>
        <v>HT-2</v>
      </c>
      <c r="D1239" s="5" t="str">
        <f ca="1">IFERROR(__xludf.DUMMYFUNCTION("""COMPUTED_VALUE"""),"LandPlane")</f>
        <v>LandPlane</v>
      </c>
      <c r="E1239" s="5" t="str">
        <f ca="1">IFERROR(__xludf.DUMMYFUNCTION("""COMPUTED_VALUE"""),"Piston")</f>
        <v>Piston</v>
      </c>
      <c r="F1239" s="5">
        <f ca="1">IFERROR(__xludf.DUMMYFUNCTION("""COMPUTED_VALUE"""),1)</f>
        <v>1</v>
      </c>
    </row>
    <row r="1240" spans="1:6" ht="15" customHeight="1" x14ac:dyDescent="0.2">
      <c r="A1240" s="5" t="str">
        <f ca="1">IFERROR(__xludf.DUMMYFUNCTION("""COMPUTED_VALUE"""),"HT32")</f>
        <v>HT32</v>
      </c>
      <c r="B1240" s="5" t="str">
        <f ca="1">IFERROR(__xludf.DUMMYFUNCTION("""COMPUTED_VALUE"""),"HINDUSTAN")</f>
        <v>HINDUSTAN</v>
      </c>
      <c r="C1240" s="5" t="str">
        <f ca="1">IFERROR(__xludf.DUMMYFUNCTION("""COMPUTED_VALUE"""),"HPT-32 Deepak")</f>
        <v>HPT-32 Deepak</v>
      </c>
      <c r="D1240" s="5" t="str">
        <f ca="1">IFERROR(__xludf.DUMMYFUNCTION("""COMPUTED_VALUE"""),"LandPlane")</f>
        <v>LandPlane</v>
      </c>
      <c r="E1240" s="5" t="str">
        <f ca="1">IFERROR(__xludf.DUMMYFUNCTION("""COMPUTED_VALUE"""),"Piston")</f>
        <v>Piston</v>
      </c>
      <c r="F1240" s="5">
        <f ca="1">IFERROR(__xludf.DUMMYFUNCTION("""COMPUTED_VALUE"""),1)</f>
        <v>1</v>
      </c>
    </row>
    <row r="1241" spans="1:6" ht="15" customHeight="1" x14ac:dyDescent="0.2">
      <c r="A1241" s="5" t="str">
        <f ca="1">IFERROR(__xludf.DUMMYFUNCTION("""COMPUTED_VALUE"""),"HT34")</f>
        <v>HT34</v>
      </c>
      <c r="B1241" s="5" t="str">
        <f ca="1">IFERROR(__xludf.DUMMYFUNCTION("""COMPUTED_VALUE"""),"HINDUSTAN")</f>
        <v>HINDUSTAN</v>
      </c>
      <c r="C1241" s="5" t="str">
        <f ca="1">IFERROR(__xludf.DUMMYFUNCTION("""COMPUTED_VALUE"""),"HTT-34")</f>
        <v>HTT-34</v>
      </c>
      <c r="D1241" s="5" t="str">
        <f ca="1">IFERROR(__xludf.DUMMYFUNCTION("""COMPUTED_VALUE"""),"LandPlane")</f>
        <v>LandPlane</v>
      </c>
      <c r="E1241" s="5" t="str">
        <f ca="1">IFERROR(__xludf.DUMMYFUNCTION("""COMPUTED_VALUE"""),"Turboprop/Turboshaft")</f>
        <v>Turboprop/Turboshaft</v>
      </c>
      <c r="F1241" s="5">
        <f ca="1">IFERROR(__xludf.DUMMYFUNCTION("""COMPUTED_VALUE"""),1)</f>
        <v>1</v>
      </c>
    </row>
    <row r="1242" spans="1:6" ht="15" customHeight="1" x14ac:dyDescent="0.2">
      <c r="A1242" s="5" t="str">
        <f ca="1">IFERROR(__xludf.DUMMYFUNCTION("""COMPUTED_VALUE"""),"HT36")</f>
        <v>HT36</v>
      </c>
      <c r="B1242" s="5" t="str">
        <f ca="1">IFERROR(__xludf.DUMMYFUNCTION("""COMPUTED_VALUE"""),"HINDUSTAN")</f>
        <v>HINDUSTAN</v>
      </c>
      <c r="C1242" s="5" t="str">
        <f ca="1">IFERROR(__xludf.DUMMYFUNCTION("""COMPUTED_VALUE"""),"HJT-36 Sitara")</f>
        <v>HJT-36 Sitara</v>
      </c>
      <c r="D1242" s="5" t="str">
        <f ca="1">IFERROR(__xludf.DUMMYFUNCTION("""COMPUTED_VALUE"""),"LandPlane")</f>
        <v>LandPlane</v>
      </c>
      <c r="E1242" s="5" t="str">
        <f ca="1">IFERROR(__xludf.DUMMYFUNCTION("""COMPUTED_VALUE"""),"Jet")</f>
        <v>Jet</v>
      </c>
      <c r="F1242" s="5">
        <f ca="1">IFERROR(__xludf.DUMMYFUNCTION("""COMPUTED_VALUE"""),1)</f>
        <v>1</v>
      </c>
    </row>
    <row r="1243" spans="1:6" ht="15" customHeight="1" x14ac:dyDescent="0.2">
      <c r="A1243" s="5" t="str">
        <f ca="1">IFERROR(__xludf.DUMMYFUNCTION("""COMPUTED_VALUE"""),"HT40")</f>
        <v>HT40</v>
      </c>
      <c r="B1243" s="5" t="str">
        <f ca="1">IFERROR(__xludf.DUMMYFUNCTION("""COMPUTED_VALUE"""),"HINDUSTAN")</f>
        <v>HINDUSTAN</v>
      </c>
      <c r="C1243" s="5" t="str">
        <f ca="1">IFERROR(__xludf.DUMMYFUNCTION("""COMPUTED_VALUE"""),"HTT-40")</f>
        <v>HTT-40</v>
      </c>
      <c r="D1243" s="5" t="str">
        <f ca="1">IFERROR(__xludf.DUMMYFUNCTION("""COMPUTED_VALUE"""),"LandPlane")</f>
        <v>LandPlane</v>
      </c>
      <c r="E1243" s="5" t="str">
        <f ca="1">IFERROR(__xludf.DUMMYFUNCTION("""COMPUTED_VALUE"""),"Turboprop/Turboshaft")</f>
        <v>Turboprop/Turboshaft</v>
      </c>
      <c r="F1243" s="5">
        <f ca="1">IFERROR(__xludf.DUMMYFUNCTION("""COMPUTED_VALUE"""),1)</f>
        <v>1</v>
      </c>
    </row>
    <row r="1244" spans="1:6" ht="15" customHeight="1" x14ac:dyDescent="0.2">
      <c r="A1244" s="5" t="str">
        <f ca="1">IFERROR(__xludf.DUMMYFUNCTION("""COMPUTED_VALUE"""),"HU1")</f>
        <v>HU1</v>
      </c>
      <c r="B1244" s="5" t="str">
        <f ca="1">IFERROR(__xludf.DUMMYFUNCTION("""COMPUTED_VALUE"""),"SHENYANG SAILPLANE")</f>
        <v>SHENYANG SAILPLANE</v>
      </c>
      <c r="C1244" s="5" t="str">
        <f ca="1">IFERROR(__xludf.DUMMYFUNCTION("""COMPUTED_VALUE"""),"HU-1 Seagull")</f>
        <v>HU-1 Seagull</v>
      </c>
      <c r="D1244" s="5" t="str">
        <f ca="1">IFERROR(__xludf.DUMMYFUNCTION("""COMPUTED_VALUE"""),"LandPlane")</f>
        <v>LandPlane</v>
      </c>
      <c r="E1244" s="5" t="str">
        <f ca="1">IFERROR(__xludf.DUMMYFUNCTION("""COMPUTED_VALUE"""),"Piston")</f>
        <v>Piston</v>
      </c>
      <c r="F1244" s="5">
        <f ca="1">IFERROR(__xludf.DUMMYFUNCTION("""COMPUTED_VALUE"""),1)</f>
        <v>1</v>
      </c>
    </row>
    <row r="1245" spans="1:6" ht="15" customHeight="1" x14ac:dyDescent="0.2">
      <c r="A1245" s="5" t="str">
        <f ca="1">IFERROR(__xludf.DUMMYFUNCTION("""COMPUTED_VALUE"""),"HU2")</f>
        <v>HU2</v>
      </c>
      <c r="B1245" s="5" t="str">
        <f ca="1">IFERROR(__xludf.DUMMYFUNCTION("""COMPUTED_VALUE"""),"SHENYANG SAILPLANE")</f>
        <v>SHENYANG SAILPLANE</v>
      </c>
      <c r="C1245" s="5" t="str">
        <f ca="1">IFERROR(__xludf.DUMMYFUNCTION("""COMPUTED_VALUE"""),"HU-2 Petrel")</f>
        <v>HU-2 Petrel</v>
      </c>
      <c r="D1245" s="5" t="str">
        <f ca="1">IFERROR(__xludf.DUMMYFUNCTION("""COMPUTED_VALUE"""),"LandPlane")</f>
        <v>LandPlane</v>
      </c>
      <c r="E1245" s="5" t="str">
        <f ca="1">IFERROR(__xludf.DUMMYFUNCTION("""COMPUTED_VALUE"""),"Piston")</f>
        <v>Piston</v>
      </c>
      <c r="F1245" s="5">
        <f ca="1">IFERROR(__xludf.DUMMYFUNCTION("""COMPUTED_VALUE"""),1)</f>
        <v>1</v>
      </c>
    </row>
    <row r="1246" spans="1:6" ht="15" customHeight="1" x14ac:dyDescent="0.2">
      <c r="A1246" s="5" t="str">
        <f ca="1">IFERROR(__xludf.DUMMYFUNCTION("""COMPUTED_VALUE"""),"HUCO")</f>
        <v>HUCO</v>
      </c>
      <c r="B1246" s="5" t="str">
        <f ca="1">IFERROR(__xludf.DUMMYFUNCTION("""COMPUTED_VALUE"""),"BELL")</f>
        <v>BELL</v>
      </c>
      <c r="C1246" s="5" t="str">
        <f ca="1">IFERROR(__xludf.DUMMYFUNCTION("""COMPUTED_VALUE"""),"AH-1S HueyCobra")</f>
        <v>AH-1S HueyCobra</v>
      </c>
      <c r="D1246" s="5" t="str">
        <f ca="1">IFERROR(__xludf.DUMMYFUNCTION("""COMPUTED_VALUE"""),"Helicopter")</f>
        <v>Helicopter</v>
      </c>
      <c r="E1246" s="5" t="str">
        <f ca="1">IFERROR(__xludf.DUMMYFUNCTION("""COMPUTED_VALUE"""),"Turboprop/Turboshaft")</f>
        <v>Turboprop/Turboshaft</v>
      </c>
      <c r="F1246" s="5">
        <f ca="1">IFERROR(__xludf.DUMMYFUNCTION("""COMPUTED_VALUE"""),1)</f>
        <v>1</v>
      </c>
    </row>
    <row r="1247" spans="1:6" ht="15" customHeight="1" x14ac:dyDescent="0.2">
      <c r="A1247" s="5" t="str">
        <f ca="1">IFERROR(__xludf.DUMMYFUNCTION("""COMPUTED_VALUE"""),"HUML")</f>
        <v>HUML</v>
      </c>
      <c r="B1247" s="5" t="str">
        <f ca="1">IFERROR(__xludf.DUMMYFUNCTION("""COMPUTED_VALUE"""),"HUMMEL")</f>
        <v>HUMMEL</v>
      </c>
      <c r="C1247" s="5" t="str">
        <f ca="1">IFERROR(__xludf.DUMMYFUNCTION("""COMPUTED_VALUE"""),"Hummel Bird")</f>
        <v>Hummel Bird</v>
      </c>
      <c r="D1247" s="5" t="str">
        <f ca="1">IFERROR(__xludf.DUMMYFUNCTION("""COMPUTED_VALUE"""),"LandPlane")</f>
        <v>LandPlane</v>
      </c>
      <c r="E1247" s="5" t="str">
        <f ca="1">IFERROR(__xludf.DUMMYFUNCTION("""COMPUTED_VALUE"""),"Piston")</f>
        <v>Piston</v>
      </c>
      <c r="F1247" s="5">
        <f ca="1">IFERROR(__xludf.DUMMYFUNCTION("""COMPUTED_VALUE"""),1)</f>
        <v>1</v>
      </c>
    </row>
    <row r="1248" spans="1:6" ht="15" customHeight="1" x14ac:dyDescent="0.2">
      <c r="A1248" s="5" t="str">
        <f ca="1">IFERROR(__xludf.DUMMYFUNCTION("""COMPUTED_VALUE"""),"HUMM")</f>
        <v>HUMM</v>
      </c>
      <c r="B1248" s="5" t="str">
        <f ca="1">IFERROR(__xludf.DUMMYFUNCTION("""COMPUTED_VALUE"""),"AEROTEK (2)")</f>
        <v>AEROTEK (2)</v>
      </c>
      <c r="C1248" s="5" t="str">
        <f ca="1">IFERROR(__xludf.DUMMYFUNCTION("""COMPUTED_VALUE"""),"Hummingbird")</f>
        <v>Hummingbird</v>
      </c>
      <c r="D1248" s="5" t="str">
        <f ca="1">IFERROR(__xludf.DUMMYFUNCTION("""COMPUTED_VALUE"""),"LandPlane")</f>
        <v>LandPlane</v>
      </c>
      <c r="E1248" s="5" t="str">
        <f ca="1">IFERROR(__xludf.DUMMYFUNCTION("""COMPUTED_VALUE"""),"Piston")</f>
        <v>Piston</v>
      </c>
      <c r="F1248" s="5">
        <f ca="1">IFERROR(__xludf.DUMMYFUNCTION("""COMPUTED_VALUE"""),1)</f>
        <v>1</v>
      </c>
    </row>
    <row r="1249" spans="1:6" ht="15" customHeight="1" x14ac:dyDescent="0.2">
      <c r="A1249" s="5" t="str">
        <f ca="1">IFERROR(__xludf.DUMMYFUNCTION("""COMPUTED_VALUE"""),"HUNT")</f>
        <v>HUNT</v>
      </c>
      <c r="B1249" s="5" t="str">
        <f ca="1">IFERROR(__xludf.DUMMYFUNCTION("""COMPUTED_VALUE"""),"HAWKER")</f>
        <v>HAWKER</v>
      </c>
      <c r="C1249" s="5" t="str">
        <f ca="1">IFERROR(__xludf.DUMMYFUNCTION("""COMPUTED_VALUE"""),"Hunter")</f>
        <v>Hunter</v>
      </c>
      <c r="D1249" s="5" t="str">
        <f ca="1">IFERROR(__xludf.DUMMYFUNCTION("""COMPUTED_VALUE"""),"LandPlane")</f>
        <v>LandPlane</v>
      </c>
      <c r="E1249" s="5" t="str">
        <f ca="1">IFERROR(__xludf.DUMMYFUNCTION("""COMPUTED_VALUE"""),"Jet")</f>
        <v>Jet</v>
      </c>
      <c r="F1249" s="5">
        <f ca="1">IFERROR(__xludf.DUMMYFUNCTION("""COMPUTED_VALUE"""),1)</f>
        <v>1</v>
      </c>
    </row>
    <row r="1250" spans="1:6" ht="15" customHeight="1" x14ac:dyDescent="0.2">
      <c r="A1250" s="5" t="str">
        <f ca="1">IFERROR(__xludf.DUMMYFUNCTION("""COMPUTED_VALUE"""),"HURI")</f>
        <v>HURI</v>
      </c>
      <c r="B1250" s="5" t="str">
        <f ca="1">IFERROR(__xludf.DUMMYFUNCTION("""COMPUTED_VALUE"""),"HAWKER")</f>
        <v>HAWKER</v>
      </c>
      <c r="C1250" s="5" t="str">
        <f ca="1">IFERROR(__xludf.DUMMYFUNCTION("""COMPUTED_VALUE"""),"Hurricane")</f>
        <v>Hurricane</v>
      </c>
      <c r="D1250" s="5" t="str">
        <f ca="1">IFERROR(__xludf.DUMMYFUNCTION("""COMPUTED_VALUE"""),"LandPlane")</f>
        <v>LandPlane</v>
      </c>
      <c r="E1250" s="5" t="str">
        <f ca="1">IFERROR(__xludf.DUMMYFUNCTION("""COMPUTED_VALUE"""),"Piston")</f>
        <v>Piston</v>
      </c>
      <c r="F1250" s="5">
        <f ca="1">IFERROR(__xludf.DUMMYFUNCTION("""COMPUTED_VALUE"""),1)</f>
        <v>1</v>
      </c>
    </row>
    <row r="1251" spans="1:6" ht="15" customHeight="1" x14ac:dyDescent="0.2">
      <c r="A1251" s="5" t="str">
        <f ca="1">IFERROR(__xludf.DUMMYFUNCTION("""COMPUTED_VALUE"""),"HURK")</f>
        <v>HURK</v>
      </c>
      <c r="B1251" s="5" t="str">
        <f ca="1">IFERROR(__xludf.DUMMYFUNCTION("""COMPUTED_VALUE"""),"TAI")</f>
        <v>TAI</v>
      </c>
      <c r="C1251" s="5" t="str">
        <f ca="1">IFERROR(__xludf.DUMMYFUNCTION("""COMPUTED_VALUE"""),"TT-32 Hürkuş")</f>
        <v>TT-32 Hürkuş</v>
      </c>
      <c r="D1251" s="5" t="str">
        <f ca="1">IFERROR(__xludf.DUMMYFUNCTION("""COMPUTED_VALUE"""),"LandPlane")</f>
        <v>LandPlane</v>
      </c>
      <c r="E1251" s="5" t="str">
        <f ca="1">IFERROR(__xludf.DUMMYFUNCTION("""COMPUTED_VALUE"""),"Turboprop/Turboshaft")</f>
        <v>Turboprop/Turboshaft</v>
      </c>
      <c r="F1251" s="5">
        <f ca="1">IFERROR(__xludf.DUMMYFUNCTION("""COMPUTED_VALUE"""),1)</f>
        <v>1</v>
      </c>
    </row>
    <row r="1252" spans="1:6" ht="15" customHeight="1" x14ac:dyDescent="0.2">
      <c r="A1252" s="5" t="str">
        <f ca="1">IFERROR(__xludf.DUMMYFUNCTION("""COMPUTED_VALUE"""),"HUSK")</f>
        <v>HUSK</v>
      </c>
      <c r="B1252" s="5" t="str">
        <f ca="1">IFERROR(__xludf.DUMMYFUNCTION("""COMPUTED_VALUE"""),"AVIAT")</f>
        <v>AVIAT</v>
      </c>
      <c r="C1252" s="5" t="str">
        <f ca="1">IFERROR(__xludf.DUMMYFUNCTION("""COMPUTED_VALUE"""),"A-1 Husky")</f>
        <v>A-1 Husky</v>
      </c>
      <c r="D1252" s="5" t="str">
        <f ca="1">IFERROR(__xludf.DUMMYFUNCTION("""COMPUTED_VALUE"""),"LandPlane")</f>
        <v>LandPlane</v>
      </c>
      <c r="E1252" s="5" t="str">
        <f ca="1">IFERROR(__xludf.DUMMYFUNCTION("""COMPUTED_VALUE"""),"Piston")</f>
        <v>Piston</v>
      </c>
      <c r="F1252" s="5">
        <f ca="1">IFERROR(__xludf.DUMMYFUNCTION("""COMPUTED_VALUE"""),1)</f>
        <v>1</v>
      </c>
    </row>
    <row r="1253" spans="1:6" ht="15" customHeight="1" x14ac:dyDescent="0.2">
      <c r="A1253" s="5" t="str">
        <f ca="1">IFERROR(__xludf.DUMMYFUNCTION("""COMPUTED_VALUE"""),"HW4P")</f>
        <v>HW4P</v>
      </c>
      <c r="B1253" s="5" t="str">
        <f ca="1">IFERROR(__xludf.DUMMYFUNCTION("""COMPUTED_VALUE"""),"GROEN")</f>
        <v>GROEN</v>
      </c>
      <c r="C1253" s="5" t="str">
        <f ca="1">IFERROR(__xludf.DUMMYFUNCTION("""COMPUTED_VALUE"""),"Hawk 4")</f>
        <v>Hawk 4</v>
      </c>
      <c r="D1253" s="5" t="str">
        <f ca="1">IFERROR(__xludf.DUMMYFUNCTION("""COMPUTED_VALUE"""),"Gyrocopter")</f>
        <v>Gyrocopter</v>
      </c>
      <c r="E1253" s="5" t="str">
        <f ca="1">IFERROR(__xludf.DUMMYFUNCTION("""COMPUTED_VALUE"""),"Piston")</f>
        <v>Piston</v>
      </c>
      <c r="F1253" s="5">
        <f ca="1">IFERROR(__xludf.DUMMYFUNCTION("""COMPUTED_VALUE"""),1)</f>
        <v>1</v>
      </c>
    </row>
    <row r="1254" spans="1:6" ht="15" customHeight="1" x14ac:dyDescent="0.2">
      <c r="A1254" s="5" t="str">
        <f ca="1">IFERROR(__xludf.DUMMYFUNCTION("""COMPUTED_VALUE"""),"HW4T")</f>
        <v>HW4T</v>
      </c>
      <c r="B1254" s="5" t="str">
        <f ca="1">IFERROR(__xludf.DUMMYFUNCTION("""COMPUTED_VALUE"""),"GROEN")</f>
        <v>GROEN</v>
      </c>
      <c r="C1254" s="5" t="str">
        <f ca="1">IFERROR(__xludf.DUMMYFUNCTION("""COMPUTED_VALUE"""),"Jet Hawk 4T")</f>
        <v>Jet Hawk 4T</v>
      </c>
      <c r="D1254" s="5" t="str">
        <f ca="1">IFERROR(__xludf.DUMMYFUNCTION("""COMPUTED_VALUE"""),"Gyrocopter")</f>
        <v>Gyrocopter</v>
      </c>
      <c r="E1254" s="5" t="str">
        <f ca="1">IFERROR(__xludf.DUMMYFUNCTION("""COMPUTED_VALUE"""),"Turboprop/Turboshaft")</f>
        <v>Turboprop/Turboshaft</v>
      </c>
      <c r="F1254" s="5">
        <f ca="1">IFERROR(__xludf.DUMMYFUNCTION("""COMPUTED_VALUE"""),1)</f>
        <v>1</v>
      </c>
    </row>
    <row r="1255" spans="1:6" ht="15" customHeight="1" x14ac:dyDescent="0.2">
      <c r="A1255" s="5" t="str">
        <f ca="1">IFERROR(__xludf.DUMMYFUNCTION("""COMPUTED_VALUE"""),"HX2")</f>
        <v>HX2</v>
      </c>
      <c r="B1255" s="5" t="str">
        <f ca="1">IFERROR(__xludf.DUMMYFUNCTION("""COMPUTED_VALUE"""),"HELOWERKS")</f>
        <v>HELOWERKS</v>
      </c>
      <c r="C1255" s="5" t="str">
        <f ca="1">IFERROR(__xludf.DUMMYFUNCTION("""COMPUTED_VALUE"""),"HX-2 Wasp")</f>
        <v>HX-2 Wasp</v>
      </c>
      <c r="D1255" s="5" t="str">
        <f ca="1">IFERROR(__xludf.DUMMYFUNCTION("""COMPUTED_VALUE"""),"Helicopter")</f>
        <v>Helicopter</v>
      </c>
      <c r="E1255" s="5" t="str">
        <f ca="1">IFERROR(__xludf.DUMMYFUNCTION("""COMPUTED_VALUE"""),"Turboprop/Turboshaft")</f>
        <v>Turboprop/Turboshaft</v>
      </c>
      <c r="F1255" s="5">
        <f ca="1">IFERROR(__xludf.DUMMYFUNCTION("""COMPUTED_VALUE"""),1)</f>
        <v>1</v>
      </c>
    </row>
    <row r="1256" spans="1:6" ht="15" customHeight="1" x14ac:dyDescent="0.2">
      <c r="A1256" s="5" t="str">
        <f ca="1">IFERROR(__xludf.DUMMYFUNCTION("""COMPUTED_VALUE"""),"HYPR")</f>
        <v>HYPR</v>
      </c>
      <c r="B1256" s="5" t="str">
        <f ca="1">IFERROR(__xludf.DUMMYFUNCTION("""COMPUTED_VALUE"""),"P&amp;M AVIATION")</f>
        <v>P&amp;M AVIATION</v>
      </c>
      <c r="C1256" s="5" t="str">
        <f ca="1">IFERROR(__xludf.DUMMYFUNCTION("""COMPUTED_VALUE"""),"HypR")</f>
        <v>HypR</v>
      </c>
      <c r="D1256" s="5" t="str">
        <f ca="1">IFERROR(__xludf.DUMMYFUNCTION("""COMPUTED_VALUE"""),"LandPlane")</f>
        <v>LandPlane</v>
      </c>
      <c r="E1256" s="5" t="str">
        <f ca="1">IFERROR(__xludf.DUMMYFUNCTION("""COMPUTED_VALUE"""),"Piston")</f>
        <v>Piston</v>
      </c>
      <c r="F1256" s="5">
        <f ca="1">IFERROR(__xludf.DUMMYFUNCTION("""COMPUTED_VALUE"""),1)</f>
        <v>1</v>
      </c>
    </row>
    <row r="1257" spans="1:6" ht="15" customHeight="1" x14ac:dyDescent="0.2">
      <c r="A1257" s="5" t="str">
        <f ca="1">IFERROR(__xludf.DUMMYFUNCTION("""COMPUTED_VALUE"""),"I103")</f>
        <v>I103</v>
      </c>
      <c r="B1257" s="5" t="str">
        <f ca="1">IFERROR(__xludf.DUMMYFUNCTION("""COMPUTED_VALUE"""),"ILYUSHIN")</f>
        <v>ILYUSHIN</v>
      </c>
      <c r="C1257" s="5" t="str">
        <f ca="1">IFERROR(__xludf.DUMMYFUNCTION("""COMPUTED_VALUE"""),"Il-103")</f>
        <v>Il-103</v>
      </c>
      <c r="D1257" s="5" t="str">
        <f ca="1">IFERROR(__xludf.DUMMYFUNCTION("""COMPUTED_VALUE"""),"LandPlane")</f>
        <v>LandPlane</v>
      </c>
      <c r="E1257" s="5" t="str">
        <f ca="1">IFERROR(__xludf.DUMMYFUNCTION("""COMPUTED_VALUE"""),"Piston")</f>
        <v>Piston</v>
      </c>
      <c r="F1257" s="5">
        <f ca="1">IFERROR(__xludf.DUMMYFUNCTION("""COMPUTED_VALUE"""),1)</f>
        <v>1</v>
      </c>
    </row>
    <row r="1258" spans="1:6" ht="15" customHeight="1" x14ac:dyDescent="0.2">
      <c r="A1258" s="5" t="str">
        <f ca="1">IFERROR(__xludf.DUMMYFUNCTION("""COMPUTED_VALUE"""),"I114")</f>
        <v>I114</v>
      </c>
      <c r="B1258" s="5" t="str">
        <f ca="1">IFERROR(__xludf.DUMMYFUNCTION("""COMPUTED_VALUE"""),"ILYUSHIN")</f>
        <v>ILYUSHIN</v>
      </c>
      <c r="C1258" s="5" t="str">
        <f ca="1">IFERROR(__xludf.DUMMYFUNCTION("""COMPUTED_VALUE"""),"Il-114")</f>
        <v>Il-114</v>
      </c>
      <c r="D1258" s="5" t="str">
        <f ca="1">IFERROR(__xludf.DUMMYFUNCTION("""COMPUTED_VALUE"""),"LandPlane")</f>
        <v>LandPlane</v>
      </c>
      <c r="E1258" s="5" t="str">
        <f ca="1">IFERROR(__xludf.DUMMYFUNCTION("""COMPUTED_VALUE"""),"Turboprop/Turboshaft")</f>
        <v>Turboprop/Turboshaft</v>
      </c>
      <c r="F1258" s="5">
        <f ca="1">IFERROR(__xludf.DUMMYFUNCTION("""COMPUTED_VALUE"""),2)</f>
        <v>2</v>
      </c>
    </row>
    <row r="1259" spans="1:6" ht="15" customHeight="1" x14ac:dyDescent="0.2">
      <c r="A1259" s="5" t="str">
        <f ca="1">IFERROR(__xludf.DUMMYFUNCTION("""COMPUTED_VALUE"""),"I115")</f>
        <v>I115</v>
      </c>
      <c r="B1259" s="5" t="str">
        <f ca="1">IFERROR(__xludf.DUMMYFUNCTION("""COMPUTED_VALUE"""),"AISA")</f>
        <v>AISA</v>
      </c>
      <c r="C1259" s="5" t="str">
        <f ca="1">IFERROR(__xludf.DUMMYFUNCTION("""COMPUTED_VALUE"""),"I-115")</f>
        <v>I-115</v>
      </c>
      <c r="D1259" s="5" t="str">
        <f ca="1">IFERROR(__xludf.DUMMYFUNCTION("""COMPUTED_VALUE"""),"LandPlane")</f>
        <v>LandPlane</v>
      </c>
      <c r="E1259" s="5" t="str">
        <f ca="1">IFERROR(__xludf.DUMMYFUNCTION("""COMPUTED_VALUE"""),"Piston")</f>
        <v>Piston</v>
      </c>
      <c r="F1259" s="5">
        <f ca="1">IFERROR(__xludf.DUMMYFUNCTION("""COMPUTED_VALUE"""),1)</f>
        <v>1</v>
      </c>
    </row>
    <row r="1260" spans="1:6" ht="15" customHeight="1" x14ac:dyDescent="0.2">
      <c r="A1260" s="5" t="str">
        <f ca="1">IFERROR(__xludf.DUMMYFUNCTION("""COMPUTED_VALUE"""),"I11B")</f>
        <v>I11B</v>
      </c>
      <c r="B1260" s="5" t="str">
        <f ca="1">IFERROR(__xludf.DUMMYFUNCTION("""COMPUTED_VALUE"""),"AISA")</f>
        <v>AISA</v>
      </c>
      <c r="C1260" s="5" t="str">
        <f ca="1">IFERROR(__xludf.DUMMYFUNCTION("""COMPUTED_VALUE"""),"I-11B Peque")</f>
        <v>I-11B Peque</v>
      </c>
      <c r="D1260" s="5" t="str">
        <f ca="1">IFERROR(__xludf.DUMMYFUNCTION("""COMPUTED_VALUE"""),"LandPlane")</f>
        <v>LandPlane</v>
      </c>
      <c r="E1260" s="5" t="str">
        <f ca="1">IFERROR(__xludf.DUMMYFUNCTION("""COMPUTED_VALUE"""),"Piston")</f>
        <v>Piston</v>
      </c>
      <c r="F1260" s="5">
        <f ca="1">IFERROR(__xludf.DUMMYFUNCTION("""COMPUTED_VALUE"""),1)</f>
        <v>1</v>
      </c>
    </row>
    <row r="1261" spans="1:6" ht="15" customHeight="1" x14ac:dyDescent="0.2">
      <c r="A1261" s="5" t="str">
        <f ca="1">IFERROR(__xludf.DUMMYFUNCTION("""COMPUTED_VALUE"""),"I153")</f>
        <v>I153</v>
      </c>
      <c r="B1261" s="5" t="str">
        <f ca="1">IFERROR(__xludf.DUMMYFUNCTION("""COMPUTED_VALUE"""),"POLIKARPOV")</f>
        <v>POLIKARPOV</v>
      </c>
      <c r="C1261" s="5" t="str">
        <f ca="1">IFERROR(__xludf.DUMMYFUNCTION("""COMPUTED_VALUE"""),"I-153")</f>
        <v>I-153</v>
      </c>
      <c r="D1261" s="5" t="str">
        <f ca="1">IFERROR(__xludf.DUMMYFUNCTION("""COMPUTED_VALUE"""),"LandPlane")</f>
        <v>LandPlane</v>
      </c>
      <c r="E1261" s="5" t="str">
        <f ca="1">IFERROR(__xludf.DUMMYFUNCTION("""COMPUTED_VALUE"""),"Piston")</f>
        <v>Piston</v>
      </c>
      <c r="F1261" s="5">
        <f ca="1">IFERROR(__xludf.DUMMYFUNCTION("""COMPUTED_VALUE"""),1)</f>
        <v>1</v>
      </c>
    </row>
    <row r="1262" spans="1:6" ht="15" customHeight="1" x14ac:dyDescent="0.2">
      <c r="A1262" s="5" t="str">
        <f ca="1">IFERROR(__xludf.DUMMYFUNCTION("""COMPUTED_VALUE"""),"I15B")</f>
        <v>I15B</v>
      </c>
      <c r="B1262" s="5" t="str">
        <f ca="1">IFERROR(__xludf.DUMMYFUNCTION("""COMPUTED_VALUE"""),"POLIKARPOV")</f>
        <v>POLIKARPOV</v>
      </c>
      <c r="C1262" s="5" t="str">
        <f ca="1">IFERROR(__xludf.DUMMYFUNCTION("""COMPUTED_VALUE"""),"I-15bis")</f>
        <v>I-15bis</v>
      </c>
      <c r="D1262" s="5" t="str">
        <f ca="1">IFERROR(__xludf.DUMMYFUNCTION("""COMPUTED_VALUE"""),"LandPlane")</f>
        <v>LandPlane</v>
      </c>
      <c r="E1262" s="5" t="str">
        <f ca="1">IFERROR(__xludf.DUMMYFUNCTION("""COMPUTED_VALUE"""),"Piston")</f>
        <v>Piston</v>
      </c>
      <c r="F1262" s="5">
        <f ca="1">IFERROR(__xludf.DUMMYFUNCTION("""COMPUTED_VALUE"""),1)</f>
        <v>1</v>
      </c>
    </row>
    <row r="1263" spans="1:6" ht="15" customHeight="1" x14ac:dyDescent="0.2">
      <c r="A1263" s="5" t="str">
        <f ca="1">IFERROR(__xludf.DUMMYFUNCTION("""COMPUTED_VALUE"""),"I16")</f>
        <v>I16</v>
      </c>
      <c r="B1263" s="5" t="str">
        <f ca="1">IFERROR(__xludf.DUMMYFUNCTION("""COMPUTED_VALUE"""),"POLIKARPOV")</f>
        <v>POLIKARPOV</v>
      </c>
      <c r="C1263" s="5" t="str">
        <f ca="1">IFERROR(__xludf.DUMMYFUNCTION("""COMPUTED_VALUE"""),"I-16")</f>
        <v>I-16</v>
      </c>
      <c r="D1263" s="5" t="str">
        <f ca="1">IFERROR(__xludf.DUMMYFUNCTION("""COMPUTED_VALUE"""),"LandPlane")</f>
        <v>LandPlane</v>
      </c>
      <c r="E1263" s="5" t="str">
        <f ca="1">IFERROR(__xludf.DUMMYFUNCTION("""COMPUTED_VALUE"""),"Piston")</f>
        <v>Piston</v>
      </c>
      <c r="F1263" s="5">
        <f ca="1">IFERROR(__xludf.DUMMYFUNCTION("""COMPUTED_VALUE"""),1)</f>
        <v>1</v>
      </c>
    </row>
    <row r="1264" spans="1:6" ht="15" customHeight="1" x14ac:dyDescent="0.2">
      <c r="A1264" s="5" t="str">
        <f ca="1">IFERROR(__xludf.DUMMYFUNCTION("""COMPUTED_VALUE"""),"I22")</f>
        <v>I22</v>
      </c>
      <c r="B1264" s="5" t="str">
        <f ca="1">IFERROR(__xludf.DUMMYFUNCTION("""COMPUTED_VALUE"""),"PZL-MIELEC")</f>
        <v>PZL-MIELEC</v>
      </c>
      <c r="C1264" s="5" t="str">
        <f ca="1">IFERROR(__xludf.DUMMYFUNCTION("""COMPUTED_VALUE"""),"I-22 Iryda")</f>
        <v>I-22 Iryda</v>
      </c>
      <c r="D1264" s="5" t="str">
        <f ca="1">IFERROR(__xludf.DUMMYFUNCTION("""COMPUTED_VALUE"""),"LandPlane")</f>
        <v>LandPlane</v>
      </c>
      <c r="E1264" s="5" t="str">
        <f ca="1">IFERROR(__xludf.DUMMYFUNCTION("""COMPUTED_VALUE"""),"Jet")</f>
        <v>Jet</v>
      </c>
      <c r="F1264" s="5">
        <f ca="1">IFERROR(__xludf.DUMMYFUNCTION("""COMPUTED_VALUE"""),1)</f>
        <v>1</v>
      </c>
    </row>
    <row r="1265" spans="1:6" ht="15" customHeight="1" x14ac:dyDescent="0.2">
      <c r="A1265" s="5" t="str">
        <f ca="1">IFERROR(__xludf.DUMMYFUNCTION("""COMPUTED_VALUE"""),"I23")</f>
        <v>I23</v>
      </c>
      <c r="B1265" s="5" t="str">
        <f ca="1">IFERROR(__xludf.DUMMYFUNCTION("""COMPUTED_VALUE"""),"PZL-SWIDNIK")</f>
        <v>PZL-SWIDNIK</v>
      </c>
      <c r="C1265" s="5" t="str">
        <f ca="1">IFERROR(__xludf.DUMMYFUNCTION("""COMPUTED_VALUE"""),"I-23 Manager")</f>
        <v>I-23 Manager</v>
      </c>
      <c r="D1265" s="5" t="str">
        <f ca="1">IFERROR(__xludf.DUMMYFUNCTION("""COMPUTED_VALUE"""),"LandPlane")</f>
        <v>LandPlane</v>
      </c>
      <c r="E1265" s="5" t="str">
        <f ca="1">IFERROR(__xludf.DUMMYFUNCTION("""COMPUTED_VALUE"""),"Piston")</f>
        <v>Piston</v>
      </c>
      <c r="F1265" s="5">
        <f ca="1">IFERROR(__xludf.DUMMYFUNCTION("""COMPUTED_VALUE"""),1)</f>
        <v>1</v>
      </c>
    </row>
    <row r="1266" spans="1:6" ht="15" customHeight="1" x14ac:dyDescent="0.2">
      <c r="A1266" s="5" t="str">
        <f ca="1">IFERROR(__xludf.DUMMYFUNCTION("""COMPUTED_VALUE"""),"I3")</f>
        <v>I3</v>
      </c>
      <c r="B1266" s="5" t="str">
        <f ca="1">IFERROR(__xludf.DUMMYFUNCTION("""COMPUTED_VALUE"""),"INTERAVIA")</f>
        <v>INTERAVIA</v>
      </c>
      <c r="C1266" s="5" t="str">
        <f ca="1">IFERROR(__xludf.DUMMYFUNCTION("""COMPUTED_VALUE"""),"I-3")</f>
        <v>I-3</v>
      </c>
      <c r="D1266" s="5" t="str">
        <f ca="1">IFERROR(__xludf.DUMMYFUNCTION("""COMPUTED_VALUE"""),"LandPlane")</f>
        <v>LandPlane</v>
      </c>
      <c r="E1266" s="5" t="str">
        <f ca="1">IFERROR(__xludf.DUMMYFUNCTION("""COMPUTED_VALUE"""),"Piston")</f>
        <v>Piston</v>
      </c>
      <c r="F1266" s="5">
        <f ca="1">IFERROR(__xludf.DUMMYFUNCTION("""COMPUTED_VALUE"""),1)</f>
        <v>1</v>
      </c>
    </row>
    <row r="1267" spans="1:6" ht="15" customHeight="1" x14ac:dyDescent="0.2">
      <c r="A1267" s="5" t="str">
        <f ca="1">IFERROR(__xludf.DUMMYFUNCTION("""COMPUTED_VALUE"""),"I66")</f>
        <v>I66</v>
      </c>
      <c r="B1267" s="5" t="str">
        <f ca="1">IFERROR(__xludf.DUMMYFUNCTION("""COMPUTED_VALUE"""),"IANNOTTA")</f>
        <v>IANNOTTA</v>
      </c>
      <c r="C1267" s="5" t="str">
        <f ca="1">IFERROR(__xludf.DUMMYFUNCTION("""COMPUTED_VALUE"""),"I-66 San Francisco")</f>
        <v>I-66 San Francisco</v>
      </c>
      <c r="D1267" s="5" t="str">
        <f ca="1">IFERROR(__xludf.DUMMYFUNCTION("""COMPUTED_VALUE"""),"LandPlane")</f>
        <v>LandPlane</v>
      </c>
      <c r="E1267" s="5" t="str">
        <f ca="1">IFERROR(__xludf.DUMMYFUNCTION("""COMPUTED_VALUE"""),"Piston")</f>
        <v>Piston</v>
      </c>
      <c r="F1267" s="5">
        <f ca="1">IFERROR(__xludf.DUMMYFUNCTION("""COMPUTED_VALUE"""),1)</f>
        <v>1</v>
      </c>
    </row>
    <row r="1268" spans="1:6" ht="15" customHeight="1" x14ac:dyDescent="0.2">
      <c r="A1268" s="5" t="str">
        <f ca="1">IFERROR(__xludf.DUMMYFUNCTION("""COMPUTED_VALUE"""),"I828")</f>
        <v>I828</v>
      </c>
      <c r="B1268" s="5" t="str">
        <f ca="1">IFERROR(__xludf.DUMMYFUNCTION("""COMPUTED_VALUE"""),"ICA")</f>
        <v>ICA</v>
      </c>
      <c r="C1268" s="5" t="str">
        <f ca="1">IFERROR(__xludf.DUMMYFUNCTION("""COMPUTED_VALUE"""),"IAR-828")</f>
        <v>IAR-828</v>
      </c>
      <c r="D1268" s="5" t="str">
        <f ca="1">IFERROR(__xludf.DUMMYFUNCTION("""COMPUTED_VALUE"""),"LandPlane")</f>
        <v>LandPlane</v>
      </c>
      <c r="E1268" s="5" t="str">
        <f ca="1">IFERROR(__xludf.DUMMYFUNCTION("""COMPUTED_VALUE"""),"Turboprop/Turboshaft")</f>
        <v>Turboprop/Turboshaft</v>
      </c>
      <c r="F1268" s="5">
        <f ca="1">IFERROR(__xludf.DUMMYFUNCTION("""COMPUTED_VALUE"""),1)</f>
        <v>1</v>
      </c>
    </row>
    <row r="1269" spans="1:6" ht="15" customHeight="1" x14ac:dyDescent="0.2">
      <c r="A1269" s="5" t="str">
        <f ca="1">IFERROR(__xludf.DUMMYFUNCTION("""COMPUTED_VALUE"""),"IA46")</f>
        <v>IA46</v>
      </c>
      <c r="B1269" s="5" t="str">
        <f ca="1">IFERROR(__xludf.DUMMYFUNCTION("""COMPUTED_VALUE"""),"DINFIA")</f>
        <v>DINFIA</v>
      </c>
      <c r="C1269" s="5" t="str">
        <f ca="1">IFERROR(__xludf.DUMMYFUNCTION("""COMPUTED_VALUE"""),"IA-46 Ranquel")</f>
        <v>IA-46 Ranquel</v>
      </c>
      <c r="D1269" s="5" t="str">
        <f ca="1">IFERROR(__xludf.DUMMYFUNCTION("""COMPUTED_VALUE"""),"LandPlane")</f>
        <v>LandPlane</v>
      </c>
      <c r="E1269" s="5" t="str">
        <f ca="1">IFERROR(__xludf.DUMMYFUNCTION("""COMPUTED_VALUE"""),"Piston")</f>
        <v>Piston</v>
      </c>
      <c r="F1269" s="5">
        <f ca="1">IFERROR(__xludf.DUMMYFUNCTION("""COMPUTED_VALUE"""),1)</f>
        <v>1</v>
      </c>
    </row>
    <row r="1270" spans="1:6" ht="15" customHeight="1" x14ac:dyDescent="0.2">
      <c r="A1270" s="5" t="str">
        <f ca="1">IFERROR(__xludf.DUMMYFUNCTION("""COMPUTED_VALUE"""),"IA50")</f>
        <v>IA50</v>
      </c>
      <c r="B1270" s="5" t="str">
        <f ca="1">IFERROR(__xludf.DUMMYFUNCTION("""COMPUTED_VALUE"""),"DINFIA")</f>
        <v>DINFIA</v>
      </c>
      <c r="C1270" s="5" t="str">
        <f ca="1">IFERROR(__xludf.DUMMYFUNCTION("""COMPUTED_VALUE"""),"IA-50 Guarani 2")</f>
        <v>IA-50 Guarani 2</v>
      </c>
      <c r="D1270" s="5" t="str">
        <f ca="1">IFERROR(__xludf.DUMMYFUNCTION("""COMPUTED_VALUE"""),"LandPlane")</f>
        <v>LandPlane</v>
      </c>
      <c r="E1270" s="5" t="str">
        <f ca="1">IFERROR(__xludf.DUMMYFUNCTION("""COMPUTED_VALUE"""),"Turboprop/Turboshaft")</f>
        <v>Turboprop/Turboshaft</v>
      </c>
      <c r="F1270" s="5">
        <f ca="1">IFERROR(__xludf.DUMMYFUNCTION("""COMPUTED_VALUE"""),2)</f>
        <v>2</v>
      </c>
    </row>
    <row r="1271" spans="1:6" ht="15" customHeight="1" x14ac:dyDescent="0.2">
      <c r="A1271" s="5" t="str">
        <f ca="1">IFERROR(__xludf.DUMMYFUNCTION("""COMPUTED_VALUE"""),"IA51")</f>
        <v>IA51</v>
      </c>
      <c r="B1271" s="5" t="str">
        <f ca="1">IFERROR(__xludf.DUMMYFUNCTION("""COMPUTED_VALUE"""),"DINFIA")</f>
        <v>DINFIA</v>
      </c>
      <c r="C1271" s="5" t="str">
        <f ca="1">IFERROR(__xludf.DUMMYFUNCTION("""COMPUTED_VALUE"""),"IA-51 Tehuelche")</f>
        <v>IA-51 Tehuelche</v>
      </c>
      <c r="D1271" s="5" t="str">
        <f ca="1">IFERROR(__xludf.DUMMYFUNCTION("""COMPUTED_VALUE"""),"LandPlane")</f>
        <v>LandPlane</v>
      </c>
      <c r="E1271" s="5" t="str">
        <f ca="1">IFERROR(__xludf.DUMMYFUNCTION("""COMPUTED_VALUE"""),"Piston")</f>
        <v>Piston</v>
      </c>
      <c r="F1271" s="5">
        <f ca="1">IFERROR(__xludf.DUMMYFUNCTION("""COMPUTED_VALUE"""),1)</f>
        <v>1</v>
      </c>
    </row>
    <row r="1272" spans="1:6" ht="15" customHeight="1" x14ac:dyDescent="0.2">
      <c r="A1272" s="5" t="str">
        <f ca="1">IFERROR(__xludf.DUMMYFUNCTION("""COMPUTED_VALUE"""),"IA58")</f>
        <v>IA58</v>
      </c>
      <c r="B1272" s="5" t="str">
        <f ca="1">IFERROR(__xludf.DUMMYFUNCTION("""COMPUTED_VALUE"""),"FMA")</f>
        <v>FMA</v>
      </c>
      <c r="C1272" s="5" t="str">
        <f ca="1">IFERROR(__xludf.DUMMYFUNCTION("""COMPUTED_VALUE"""),"IA-58 Pucará")</f>
        <v>IA-58 Pucará</v>
      </c>
      <c r="D1272" s="5" t="str">
        <f ca="1">IFERROR(__xludf.DUMMYFUNCTION("""COMPUTED_VALUE"""),"LandPlane")</f>
        <v>LandPlane</v>
      </c>
      <c r="E1272" s="5" t="str">
        <f ca="1">IFERROR(__xludf.DUMMYFUNCTION("""COMPUTED_VALUE"""),"Turboprop/Turboshaft")</f>
        <v>Turboprop/Turboshaft</v>
      </c>
      <c r="F1272" s="5">
        <f ca="1">IFERROR(__xludf.DUMMYFUNCTION("""COMPUTED_VALUE"""),2)</f>
        <v>2</v>
      </c>
    </row>
    <row r="1273" spans="1:6" ht="15" customHeight="1" x14ac:dyDescent="0.2">
      <c r="A1273" s="5" t="str">
        <f ca="1">IFERROR(__xludf.DUMMYFUNCTION("""COMPUTED_VALUE"""),"IA63")</f>
        <v>IA63</v>
      </c>
      <c r="B1273" s="5" t="str">
        <f ca="1">IFERROR(__xludf.DUMMYFUNCTION("""COMPUTED_VALUE"""),"FMA")</f>
        <v>FMA</v>
      </c>
      <c r="C1273" s="5" t="str">
        <f ca="1">IFERROR(__xludf.DUMMYFUNCTION("""COMPUTED_VALUE"""),"IA-63 Pampa")</f>
        <v>IA-63 Pampa</v>
      </c>
      <c r="D1273" s="5" t="str">
        <f ca="1">IFERROR(__xludf.DUMMYFUNCTION("""COMPUTED_VALUE"""),"LandPlane")</f>
        <v>LandPlane</v>
      </c>
      <c r="E1273" s="5" t="str">
        <f ca="1">IFERROR(__xludf.DUMMYFUNCTION("""COMPUTED_VALUE"""),"Jet")</f>
        <v>Jet</v>
      </c>
      <c r="F1273" s="5">
        <f ca="1">IFERROR(__xludf.DUMMYFUNCTION("""COMPUTED_VALUE"""),1)</f>
        <v>1</v>
      </c>
    </row>
    <row r="1274" spans="1:6" ht="15" customHeight="1" x14ac:dyDescent="0.2">
      <c r="A1274" s="5" t="str">
        <f ca="1">IFERROR(__xludf.DUMMYFUNCTION("""COMPUTED_VALUE"""),"IFUR")</f>
        <v>IFUR</v>
      </c>
      <c r="B1274" s="5" t="str">
        <f ca="1">IFERROR(__xludf.DUMMYFUNCTION("""COMPUTED_VALUE"""),"ISAACS")</f>
        <v>ISAACS</v>
      </c>
      <c r="C1274" s="5" t="str">
        <f ca="1">IFERROR(__xludf.DUMMYFUNCTION("""COMPUTED_VALUE"""),"Fury")</f>
        <v>Fury</v>
      </c>
      <c r="D1274" s="5" t="str">
        <f ca="1">IFERROR(__xludf.DUMMYFUNCTION("""COMPUTED_VALUE"""),"LandPlane")</f>
        <v>LandPlane</v>
      </c>
      <c r="E1274" s="5" t="str">
        <f ca="1">IFERROR(__xludf.DUMMYFUNCTION("""COMPUTED_VALUE"""),"Piston")</f>
        <v>Piston</v>
      </c>
      <c r="F1274" s="5">
        <f ca="1">IFERROR(__xludf.DUMMYFUNCTION("""COMPUTED_VALUE"""),1)</f>
        <v>1</v>
      </c>
    </row>
    <row r="1275" spans="1:6" ht="15" customHeight="1" x14ac:dyDescent="0.2">
      <c r="A1275" s="5" t="str">
        <f ca="1">IFERROR(__xludf.DUMMYFUNCTION("""COMPUTED_VALUE"""),"IL14")</f>
        <v>IL14</v>
      </c>
      <c r="B1275" s="5" t="str">
        <f ca="1">IFERROR(__xludf.DUMMYFUNCTION("""COMPUTED_VALUE"""),"ILYUSHIN")</f>
        <v>ILYUSHIN</v>
      </c>
      <c r="C1275" s="5" t="str">
        <f ca="1">IFERROR(__xludf.DUMMYFUNCTION("""COMPUTED_VALUE"""),"Il-14")</f>
        <v>Il-14</v>
      </c>
      <c r="D1275" s="5" t="str">
        <f ca="1">IFERROR(__xludf.DUMMYFUNCTION("""COMPUTED_VALUE"""),"LandPlane")</f>
        <v>LandPlane</v>
      </c>
      <c r="E1275" s="5" t="str">
        <f ca="1">IFERROR(__xludf.DUMMYFUNCTION("""COMPUTED_VALUE"""),"Piston")</f>
        <v>Piston</v>
      </c>
      <c r="F1275" s="5">
        <f ca="1">IFERROR(__xludf.DUMMYFUNCTION("""COMPUTED_VALUE"""),2)</f>
        <v>2</v>
      </c>
    </row>
    <row r="1276" spans="1:6" ht="15" customHeight="1" x14ac:dyDescent="0.2">
      <c r="A1276" s="5" t="str">
        <f ca="1">IFERROR(__xludf.DUMMYFUNCTION("""COMPUTED_VALUE"""),"IL18")</f>
        <v>IL18</v>
      </c>
      <c r="B1276" s="5" t="str">
        <f ca="1">IFERROR(__xludf.DUMMYFUNCTION("""COMPUTED_VALUE"""),"ILYUSHIN")</f>
        <v>ILYUSHIN</v>
      </c>
      <c r="C1276" s="5" t="str">
        <f ca="1">IFERROR(__xludf.DUMMYFUNCTION("""COMPUTED_VALUE"""),"Bizon")</f>
        <v>Bizon</v>
      </c>
      <c r="D1276" s="5" t="str">
        <f ca="1">IFERROR(__xludf.DUMMYFUNCTION("""COMPUTED_VALUE"""),"LandPlane")</f>
        <v>LandPlane</v>
      </c>
      <c r="E1276" s="5" t="str">
        <f ca="1">IFERROR(__xludf.DUMMYFUNCTION("""COMPUTED_VALUE"""),"Turboprop/Turboshaft")</f>
        <v>Turboprop/Turboshaft</v>
      </c>
      <c r="F1276" s="5">
        <f ca="1">IFERROR(__xludf.DUMMYFUNCTION("""COMPUTED_VALUE"""),4)</f>
        <v>4</v>
      </c>
    </row>
    <row r="1277" spans="1:6" ht="15" customHeight="1" x14ac:dyDescent="0.2">
      <c r="A1277" s="5" t="str">
        <f ca="1">IFERROR(__xludf.DUMMYFUNCTION("""COMPUTED_VALUE"""),"IL18")</f>
        <v>IL18</v>
      </c>
      <c r="B1277" s="5" t="str">
        <f ca="1">IFERROR(__xludf.DUMMYFUNCTION("""COMPUTED_VALUE"""),"ILYUSHIN")</f>
        <v>ILYUSHIN</v>
      </c>
      <c r="C1277" s="5" t="str">
        <f ca="1">IFERROR(__xludf.DUMMYFUNCTION("""COMPUTED_VALUE"""),"Il-18 Bizon")</f>
        <v>Il-18 Bizon</v>
      </c>
      <c r="D1277" s="5" t="str">
        <f ca="1">IFERROR(__xludf.DUMMYFUNCTION("""COMPUTED_VALUE"""),"LandPlane")</f>
        <v>LandPlane</v>
      </c>
      <c r="E1277" s="5" t="str">
        <f ca="1">IFERROR(__xludf.DUMMYFUNCTION("""COMPUTED_VALUE"""),"Turboprop/Turboshaft")</f>
        <v>Turboprop/Turboshaft</v>
      </c>
      <c r="F1277" s="5">
        <f ca="1">IFERROR(__xludf.DUMMYFUNCTION("""COMPUTED_VALUE"""),4)</f>
        <v>4</v>
      </c>
    </row>
    <row r="1278" spans="1:6" ht="15" customHeight="1" x14ac:dyDescent="0.2">
      <c r="A1278" s="5" t="str">
        <f ca="1">IFERROR(__xludf.DUMMYFUNCTION("""COMPUTED_VALUE"""),"IL28")</f>
        <v>IL28</v>
      </c>
      <c r="B1278" s="5" t="str">
        <f ca="1">IFERROR(__xludf.DUMMYFUNCTION("""COMPUTED_VALUE"""),"ILYUSHIN")</f>
        <v>ILYUSHIN</v>
      </c>
      <c r="C1278" s="5" t="str">
        <f ca="1">IFERROR(__xludf.DUMMYFUNCTION("""COMPUTED_VALUE"""),"Il-28")</f>
        <v>Il-28</v>
      </c>
      <c r="D1278" s="5" t="str">
        <f ca="1">IFERROR(__xludf.DUMMYFUNCTION("""COMPUTED_VALUE"""),"LandPlane")</f>
        <v>LandPlane</v>
      </c>
      <c r="E1278" s="5" t="str">
        <f ca="1">IFERROR(__xludf.DUMMYFUNCTION("""COMPUTED_VALUE"""),"Jet")</f>
        <v>Jet</v>
      </c>
      <c r="F1278" s="5">
        <f ca="1">IFERROR(__xludf.DUMMYFUNCTION("""COMPUTED_VALUE"""),2)</f>
        <v>2</v>
      </c>
    </row>
    <row r="1279" spans="1:6" ht="15" customHeight="1" x14ac:dyDescent="0.2">
      <c r="A1279" s="5" t="str">
        <f ca="1">IFERROR(__xludf.DUMMYFUNCTION("""COMPUTED_VALUE"""),"IL38")</f>
        <v>IL38</v>
      </c>
      <c r="B1279" s="5" t="str">
        <f ca="1">IFERROR(__xludf.DUMMYFUNCTION("""COMPUTED_VALUE"""),"ILYUSHIN")</f>
        <v>ILYUSHIN</v>
      </c>
      <c r="C1279" s="5" t="str">
        <f ca="1">IFERROR(__xludf.DUMMYFUNCTION("""COMPUTED_VALUE"""),"Il-38")</f>
        <v>Il-38</v>
      </c>
      <c r="D1279" s="5" t="str">
        <f ca="1">IFERROR(__xludf.DUMMYFUNCTION("""COMPUTED_VALUE"""),"LandPlane")</f>
        <v>LandPlane</v>
      </c>
      <c r="E1279" s="5" t="str">
        <f ca="1">IFERROR(__xludf.DUMMYFUNCTION("""COMPUTED_VALUE"""),"Turboprop/Turboshaft")</f>
        <v>Turboprop/Turboshaft</v>
      </c>
      <c r="F1279" s="5">
        <f ca="1">IFERROR(__xludf.DUMMYFUNCTION("""COMPUTED_VALUE"""),4)</f>
        <v>4</v>
      </c>
    </row>
    <row r="1280" spans="1:6" ht="15" customHeight="1" x14ac:dyDescent="0.2">
      <c r="A1280" s="5" t="str">
        <f ca="1">IFERROR(__xludf.DUMMYFUNCTION("""COMPUTED_VALUE"""),"IL62")</f>
        <v>IL62</v>
      </c>
      <c r="B1280" s="5" t="str">
        <f ca="1">IFERROR(__xludf.DUMMYFUNCTION("""COMPUTED_VALUE"""),"ILYUSHIN")</f>
        <v>ILYUSHIN</v>
      </c>
      <c r="C1280" s="5" t="str">
        <f ca="1">IFERROR(__xludf.DUMMYFUNCTION("""COMPUTED_VALUE"""),"Il-62")</f>
        <v>Il-62</v>
      </c>
      <c r="D1280" s="5" t="str">
        <f ca="1">IFERROR(__xludf.DUMMYFUNCTION("""COMPUTED_VALUE"""),"LandPlane")</f>
        <v>LandPlane</v>
      </c>
      <c r="E1280" s="5" t="str">
        <f ca="1">IFERROR(__xludf.DUMMYFUNCTION("""COMPUTED_VALUE"""),"Jet")</f>
        <v>Jet</v>
      </c>
      <c r="F1280" s="5">
        <f ca="1">IFERROR(__xludf.DUMMYFUNCTION("""COMPUTED_VALUE"""),4)</f>
        <v>4</v>
      </c>
    </row>
    <row r="1281" spans="1:6" ht="15" customHeight="1" x14ac:dyDescent="0.2">
      <c r="A1281" s="5" t="str">
        <f ca="1">IFERROR(__xludf.DUMMYFUNCTION("""COMPUTED_VALUE"""),"IL76")</f>
        <v>IL76</v>
      </c>
      <c r="B1281" s="5" t="str">
        <f ca="1">IFERROR(__xludf.DUMMYFUNCTION("""COMPUTED_VALUE"""),"ILYUSHIN")</f>
        <v>ILYUSHIN</v>
      </c>
      <c r="C1281" s="5" t="str">
        <f ca="1">IFERROR(__xludf.DUMMYFUNCTION("""COMPUTED_VALUE"""),"Il-76")</f>
        <v>Il-76</v>
      </c>
      <c r="D1281" s="5" t="str">
        <f ca="1">IFERROR(__xludf.DUMMYFUNCTION("""COMPUTED_VALUE"""),"LandPlane")</f>
        <v>LandPlane</v>
      </c>
      <c r="E1281" s="5" t="str">
        <f ca="1">IFERROR(__xludf.DUMMYFUNCTION("""COMPUTED_VALUE"""),"Jet")</f>
        <v>Jet</v>
      </c>
      <c r="F1281" s="5">
        <f ca="1">IFERROR(__xludf.DUMMYFUNCTION("""COMPUTED_VALUE"""),4)</f>
        <v>4</v>
      </c>
    </row>
    <row r="1282" spans="1:6" ht="15" customHeight="1" x14ac:dyDescent="0.2">
      <c r="A1282" s="5" t="str">
        <f ca="1">IFERROR(__xludf.DUMMYFUNCTION("""COMPUTED_VALUE"""),"IL86")</f>
        <v>IL86</v>
      </c>
      <c r="B1282" s="5" t="str">
        <f ca="1">IFERROR(__xludf.DUMMYFUNCTION("""COMPUTED_VALUE"""),"ILYUSHIN")</f>
        <v>ILYUSHIN</v>
      </c>
      <c r="C1282" s="5" t="str">
        <f ca="1">IFERROR(__xludf.DUMMYFUNCTION("""COMPUTED_VALUE"""),"Il-86")</f>
        <v>Il-86</v>
      </c>
      <c r="D1282" s="5" t="str">
        <f ca="1">IFERROR(__xludf.DUMMYFUNCTION("""COMPUTED_VALUE"""),"LandPlane")</f>
        <v>LandPlane</v>
      </c>
      <c r="E1282" s="5" t="str">
        <f ca="1">IFERROR(__xludf.DUMMYFUNCTION("""COMPUTED_VALUE"""),"Jet")</f>
        <v>Jet</v>
      </c>
      <c r="F1282" s="5">
        <f ca="1">IFERROR(__xludf.DUMMYFUNCTION("""COMPUTED_VALUE"""),4)</f>
        <v>4</v>
      </c>
    </row>
    <row r="1283" spans="1:6" ht="15" customHeight="1" x14ac:dyDescent="0.2">
      <c r="A1283" s="5" t="str">
        <f ca="1">IFERROR(__xludf.DUMMYFUNCTION("""COMPUTED_VALUE"""),"IL96")</f>
        <v>IL96</v>
      </c>
      <c r="B1283" s="5" t="str">
        <f ca="1">IFERROR(__xludf.DUMMYFUNCTION("""COMPUTED_VALUE"""),"ILYUSHIN")</f>
        <v>ILYUSHIN</v>
      </c>
      <c r="C1283" s="5" t="str">
        <f ca="1">IFERROR(__xludf.DUMMYFUNCTION("""COMPUTED_VALUE"""),"Il-96")</f>
        <v>Il-96</v>
      </c>
      <c r="D1283" s="5" t="str">
        <f ca="1">IFERROR(__xludf.DUMMYFUNCTION("""COMPUTED_VALUE"""),"LandPlane")</f>
        <v>LandPlane</v>
      </c>
      <c r="E1283" s="5" t="str">
        <f ca="1">IFERROR(__xludf.DUMMYFUNCTION("""COMPUTED_VALUE"""),"Jet")</f>
        <v>Jet</v>
      </c>
      <c r="F1283" s="5">
        <f ca="1">IFERROR(__xludf.DUMMYFUNCTION("""COMPUTED_VALUE"""),4)</f>
        <v>4</v>
      </c>
    </row>
    <row r="1284" spans="1:6" ht="15" customHeight="1" x14ac:dyDescent="0.2">
      <c r="A1284" s="5" t="str">
        <f ca="1">IFERROR(__xludf.DUMMYFUNCTION("""COMPUTED_VALUE"""),"IMPU")</f>
        <v>IMPU</v>
      </c>
      <c r="B1284" s="5" t="str">
        <f ca="1">IFERROR(__xludf.DUMMYFUNCTION("""COMPUTED_VALUE"""),"IMPULSE")</f>
        <v>IMPULSE</v>
      </c>
      <c r="C1284" s="5" t="str">
        <f ca="1">IFERROR(__xludf.DUMMYFUNCTION("""COMPUTED_VALUE"""),"Impulse")</f>
        <v>Impulse</v>
      </c>
      <c r="D1284" s="5" t="str">
        <f ca="1">IFERROR(__xludf.DUMMYFUNCTION("""COMPUTED_VALUE"""),"LandPlane")</f>
        <v>LandPlane</v>
      </c>
      <c r="E1284" s="5" t="str">
        <f ca="1">IFERROR(__xludf.DUMMYFUNCTION("""COMPUTED_VALUE"""),"Piston")</f>
        <v>Piston</v>
      </c>
      <c r="F1284" s="5">
        <f ca="1">IFERROR(__xludf.DUMMYFUNCTION("""COMPUTED_VALUE"""),1)</f>
        <v>1</v>
      </c>
    </row>
    <row r="1285" spans="1:6" ht="15" customHeight="1" x14ac:dyDescent="0.2">
      <c r="A1285" s="5" t="str">
        <f ca="1">IFERROR(__xludf.DUMMYFUNCTION("""COMPUTED_VALUE"""),"INCQ")</f>
        <v>INCQ</v>
      </c>
      <c r="B1285" s="5" t="str">
        <f ca="1">IFERROR(__xludf.DUMMYFUNCTION("""COMPUTED_VALUE"""),"INPAER")</f>
        <v>INPAER</v>
      </c>
      <c r="C1285" s="5" t="str">
        <f ca="1">IFERROR(__xludf.DUMMYFUNCTION("""COMPUTED_VALUE"""),"Conquest")</f>
        <v>Conquest</v>
      </c>
      <c r="D1285" s="5" t="str">
        <f ca="1">IFERROR(__xludf.DUMMYFUNCTION("""COMPUTED_VALUE"""),"LandPlane")</f>
        <v>LandPlane</v>
      </c>
      <c r="E1285" s="5" t="str">
        <f ca="1">IFERROR(__xludf.DUMMYFUNCTION("""COMPUTED_VALUE"""),"Piston")</f>
        <v>Piston</v>
      </c>
      <c r="F1285" s="5">
        <f ca="1">IFERROR(__xludf.DUMMYFUNCTION("""COMPUTED_VALUE"""),1)</f>
        <v>1</v>
      </c>
    </row>
    <row r="1286" spans="1:6" ht="15" customHeight="1" x14ac:dyDescent="0.2">
      <c r="A1286" s="5" t="str">
        <f ca="1">IFERROR(__xludf.DUMMYFUNCTION("""COMPUTED_VALUE"""),"INEC")</f>
        <v>INEC</v>
      </c>
      <c r="B1286" s="5" t="str">
        <f ca="1">IFERROR(__xludf.DUMMYFUNCTION("""COMPUTED_VALUE"""),"INPAER")</f>
        <v>INPAER</v>
      </c>
      <c r="C1286" s="5" t="str">
        <f ca="1">IFERROR(__xludf.DUMMYFUNCTION("""COMPUTED_VALUE"""),"Excel")</f>
        <v>Excel</v>
      </c>
      <c r="D1286" s="5" t="str">
        <f ca="1">IFERROR(__xludf.DUMMYFUNCTION("""COMPUTED_VALUE"""),"LandPlane")</f>
        <v>LandPlane</v>
      </c>
      <c r="E1286" s="5" t="str">
        <f ca="1">IFERROR(__xludf.DUMMYFUNCTION("""COMPUTED_VALUE"""),"Piston")</f>
        <v>Piston</v>
      </c>
      <c r="F1286" s="5">
        <f ca="1">IFERROR(__xludf.DUMMYFUNCTION("""COMPUTED_VALUE"""),1)</f>
        <v>1</v>
      </c>
    </row>
    <row r="1287" spans="1:6" ht="15" customHeight="1" x14ac:dyDescent="0.2">
      <c r="A1287" s="5" t="str">
        <f ca="1">IFERROR(__xludf.DUMMYFUNCTION("""COMPUTED_VALUE"""),"INEX")</f>
        <v>INEX</v>
      </c>
      <c r="B1287" s="5" t="str">
        <f ca="1">IFERROR(__xludf.DUMMYFUNCTION("""COMPUTED_VALUE"""),"INPAER")</f>
        <v>INPAER</v>
      </c>
      <c r="C1287" s="5" t="str">
        <f ca="1">IFERROR(__xludf.DUMMYFUNCTION("""COMPUTED_VALUE"""),"Explorer")</f>
        <v>Explorer</v>
      </c>
      <c r="D1287" s="5" t="str">
        <f ca="1">IFERROR(__xludf.DUMMYFUNCTION("""COMPUTED_VALUE"""),"LandPlane")</f>
        <v>LandPlane</v>
      </c>
      <c r="E1287" s="5" t="str">
        <f ca="1">IFERROR(__xludf.DUMMYFUNCTION("""COMPUTED_VALUE"""),"Piston")</f>
        <v>Piston</v>
      </c>
      <c r="F1287" s="5">
        <f ca="1">IFERROR(__xludf.DUMMYFUNCTION("""COMPUTED_VALUE"""),1)</f>
        <v>1</v>
      </c>
    </row>
    <row r="1288" spans="1:6" ht="15" customHeight="1" x14ac:dyDescent="0.2">
      <c r="A1288" s="5" t="str">
        <f ca="1">IFERROR(__xludf.DUMMYFUNCTION("""COMPUTED_VALUE"""),"ION")</f>
        <v>ION</v>
      </c>
      <c r="B1288" s="5" t="str">
        <f ca="1">IFERROR(__xludf.DUMMYFUNCTION("""COMPUTED_VALUE"""),"ION")</f>
        <v>ION</v>
      </c>
      <c r="C1288" s="5" t="str">
        <f ca="1">IFERROR(__xludf.DUMMYFUNCTION("""COMPUTED_VALUE"""),"Ion")</f>
        <v>Ion</v>
      </c>
      <c r="D1288" s="5" t="str">
        <f ca="1">IFERROR(__xludf.DUMMYFUNCTION("""COMPUTED_VALUE"""),"LandPlane")</f>
        <v>LandPlane</v>
      </c>
      <c r="E1288" s="5" t="str">
        <f ca="1">IFERROR(__xludf.DUMMYFUNCTION("""COMPUTED_VALUE"""),"Piston")</f>
        <v>Piston</v>
      </c>
      <c r="F1288" s="5">
        <f ca="1">IFERROR(__xludf.DUMMYFUNCTION("""COMPUTED_VALUE"""),1)</f>
        <v>1</v>
      </c>
    </row>
    <row r="1289" spans="1:6" ht="15" customHeight="1" x14ac:dyDescent="0.2">
      <c r="A1289" s="5" t="str">
        <f ca="1">IFERROR(__xludf.DUMMYFUNCTION("""COMPUTED_VALUE"""),"IP06")</f>
        <v>IP06</v>
      </c>
      <c r="B1289" s="5" t="str">
        <f ca="1">IFERROR(__xludf.DUMMYFUNCTION("""COMPUTED_VALUE"""),"IPE")</f>
        <v>IPE</v>
      </c>
      <c r="C1289" s="5" t="str">
        <f ca="1">IFERROR(__xludf.DUMMYFUNCTION("""COMPUTED_VALUE"""),"IPE-06 Curucaca")</f>
        <v>IPE-06 Curucaca</v>
      </c>
      <c r="D1289" s="5" t="str">
        <f ca="1">IFERROR(__xludf.DUMMYFUNCTION("""COMPUTED_VALUE"""),"LandPlane")</f>
        <v>LandPlane</v>
      </c>
      <c r="E1289" s="5" t="str">
        <f ca="1">IFERROR(__xludf.DUMMYFUNCTION("""COMPUTED_VALUE"""),"Piston")</f>
        <v>Piston</v>
      </c>
      <c r="F1289" s="5">
        <f ca="1">IFERROR(__xludf.DUMMYFUNCTION("""COMPUTED_VALUE"""),1)</f>
        <v>1</v>
      </c>
    </row>
    <row r="1290" spans="1:6" ht="15" customHeight="1" x14ac:dyDescent="0.2">
      <c r="A1290" s="5" t="str">
        <f ca="1">IFERROR(__xludf.DUMMYFUNCTION("""COMPUTED_VALUE"""),"IP10")</f>
        <v>IP10</v>
      </c>
      <c r="B1290" s="5" t="str">
        <f ca="1">IFERROR(__xludf.DUMMYFUNCTION("""COMPUTED_VALUE"""),"IPE")</f>
        <v>IPE</v>
      </c>
      <c r="C1290" s="5" t="str">
        <f ca="1">IFERROR(__xludf.DUMMYFUNCTION("""COMPUTED_VALUE"""),"IPE-010")</f>
        <v>IPE-010</v>
      </c>
      <c r="D1290" s="5" t="str">
        <f ca="1">IFERROR(__xludf.DUMMYFUNCTION("""COMPUTED_VALUE"""),"LandPlane")</f>
        <v>LandPlane</v>
      </c>
      <c r="E1290" s="5" t="str">
        <f ca="1">IFERROR(__xludf.DUMMYFUNCTION("""COMPUTED_VALUE"""),"Piston")</f>
        <v>Piston</v>
      </c>
      <c r="F1290" s="5">
        <f ca="1">IFERROR(__xludf.DUMMYFUNCTION("""COMPUTED_VALUE"""),1)</f>
        <v>1</v>
      </c>
    </row>
    <row r="1291" spans="1:6" ht="15" customHeight="1" x14ac:dyDescent="0.2">
      <c r="A1291" s="5" t="str">
        <f ca="1">IFERROR(__xludf.DUMMYFUNCTION("""COMPUTED_VALUE"""),"IP26")</f>
        <v>IP26</v>
      </c>
      <c r="B1291" s="5" t="str">
        <f ca="1">IFERROR(__xludf.DUMMYFUNCTION("""COMPUTED_VALUE"""),"IPAI")</f>
        <v>IPAI</v>
      </c>
      <c r="C1291" s="5" t="str">
        <f ca="1">IFERROR(__xludf.DUMMYFUNCTION("""COMPUTED_VALUE"""),"IPAI-26 Tuca")</f>
        <v>IPAI-26 Tuca</v>
      </c>
      <c r="D1291" s="5" t="str">
        <f ca="1">IFERROR(__xludf.DUMMYFUNCTION("""COMPUTED_VALUE"""),"LandPlane")</f>
        <v>LandPlane</v>
      </c>
      <c r="E1291" s="5" t="str">
        <f ca="1">IFERROR(__xludf.DUMMYFUNCTION("""COMPUTED_VALUE"""),"Piston")</f>
        <v>Piston</v>
      </c>
      <c r="F1291" s="5">
        <f ca="1">IFERROR(__xludf.DUMMYFUNCTION("""COMPUTED_VALUE"""),1)</f>
        <v>1</v>
      </c>
    </row>
    <row r="1292" spans="1:6" ht="15" customHeight="1" x14ac:dyDescent="0.2">
      <c r="A1292" s="5" t="str">
        <f ca="1">IFERROR(__xludf.DUMMYFUNCTION("""COMPUTED_VALUE"""),"IP6A")</f>
        <v>IP6A</v>
      </c>
      <c r="B1292" s="5" t="str">
        <f ca="1">IFERROR(__xludf.DUMMYFUNCTION("""COMPUTED_VALUE"""),"IPE")</f>
        <v>IPE</v>
      </c>
      <c r="C1292" s="5" t="str">
        <f ca="1">IFERROR(__xludf.DUMMYFUNCTION("""COMPUTED_VALUE"""),"IPE-06A")</f>
        <v>IPE-06A</v>
      </c>
      <c r="D1292" s="5" t="str">
        <f ca="1">IFERROR(__xludf.DUMMYFUNCTION("""COMPUTED_VALUE"""),"LandPlane")</f>
        <v>LandPlane</v>
      </c>
      <c r="E1292" s="5" t="str">
        <f ca="1">IFERROR(__xludf.DUMMYFUNCTION("""COMPUTED_VALUE"""),"Piston")</f>
        <v>Piston</v>
      </c>
      <c r="F1292" s="5">
        <f ca="1">IFERROR(__xludf.DUMMYFUNCTION("""COMPUTED_VALUE"""),1)</f>
        <v>1</v>
      </c>
    </row>
    <row r="1293" spans="1:6" ht="15" customHeight="1" x14ac:dyDescent="0.2">
      <c r="A1293" s="5" t="str">
        <f ca="1">IFERROR(__xludf.DUMMYFUNCTION("""COMPUTED_VALUE"""),"IPAN")</f>
        <v>IPAN</v>
      </c>
      <c r="B1293" s="5" t="str">
        <f ca="1">IFERROR(__xludf.DUMMYFUNCTION("""COMPUTED_VALUE"""),"EMBRAER")</f>
        <v>EMBRAER</v>
      </c>
      <c r="C1293" s="5" t="str">
        <f ca="1">IFERROR(__xludf.DUMMYFUNCTION("""COMPUTED_VALUE"""),"EMB-202 Ipanema")</f>
        <v>EMB-202 Ipanema</v>
      </c>
      <c r="D1293" s="5" t="str">
        <f ca="1">IFERROR(__xludf.DUMMYFUNCTION("""COMPUTED_VALUE"""),"LandPlane")</f>
        <v>LandPlane</v>
      </c>
      <c r="E1293" s="5" t="str">
        <f ca="1">IFERROR(__xludf.DUMMYFUNCTION("""COMPUTED_VALUE"""),"Piston")</f>
        <v>Piston</v>
      </c>
      <c r="F1293" s="5">
        <f ca="1">IFERROR(__xludf.DUMMYFUNCTION("""COMPUTED_VALUE"""),1)</f>
        <v>1</v>
      </c>
    </row>
    <row r="1294" spans="1:6" ht="15" customHeight="1" x14ac:dyDescent="0.2">
      <c r="A1294" s="5" t="str">
        <f ca="1">IFERROR(__xludf.DUMMYFUNCTION("""COMPUTED_VALUE"""),"IR21")</f>
        <v>IR21</v>
      </c>
      <c r="B1294" s="5" t="str">
        <f ca="1">IFERROR(__xludf.DUMMYFUNCTION("""COMPUTED_VALUE"""),"ICA")</f>
        <v>ICA</v>
      </c>
      <c r="C1294" s="5" t="str">
        <f ca="1">IFERROR(__xludf.DUMMYFUNCTION("""COMPUTED_VALUE"""),"IAR-821")</f>
        <v>IAR-821</v>
      </c>
      <c r="D1294" s="5" t="str">
        <f ca="1">IFERROR(__xludf.DUMMYFUNCTION("""COMPUTED_VALUE"""),"LandPlane")</f>
        <v>LandPlane</v>
      </c>
      <c r="E1294" s="5" t="str">
        <f ca="1">IFERROR(__xludf.DUMMYFUNCTION("""COMPUTED_VALUE"""),"Piston")</f>
        <v>Piston</v>
      </c>
      <c r="F1294" s="5">
        <f ca="1">IFERROR(__xludf.DUMMYFUNCTION("""COMPUTED_VALUE"""),1)</f>
        <v>1</v>
      </c>
    </row>
    <row r="1295" spans="1:6" ht="15" customHeight="1" x14ac:dyDescent="0.2">
      <c r="A1295" s="5" t="str">
        <f ca="1">IFERROR(__xludf.DUMMYFUNCTION("""COMPUTED_VALUE"""),"IR22")</f>
        <v>IR22</v>
      </c>
      <c r="B1295" s="5" t="str">
        <f ca="1">IFERROR(__xludf.DUMMYFUNCTION("""COMPUTED_VALUE"""),"ICA")</f>
        <v>ICA</v>
      </c>
      <c r="C1295" s="5" t="str">
        <f ca="1">IFERROR(__xludf.DUMMYFUNCTION("""COMPUTED_VALUE"""),"IAR-822")</f>
        <v>IAR-822</v>
      </c>
      <c r="D1295" s="5" t="str">
        <f ca="1">IFERROR(__xludf.DUMMYFUNCTION("""COMPUTED_VALUE"""),"LandPlane")</f>
        <v>LandPlane</v>
      </c>
      <c r="E1295" s="5" t="str">
        <f ca="1">IFERROR(__xludf.DUMMYFUNCTION("""COMPUTED_VALUE"""),"Piston")</f>
        <v>Piston</v>
      </c>
      <c r="F1295" s="5">
        <f ca="1">IFERROR(__xludf.DUMMYFUNCTION("""COMPUTED_VALUE"""),1)</f>
        <v>1</v>
      </c>
    </row>
    <row r="1296" spans="1:6" ht="15" customHeight="1" x14ac:dyDescent="0.2">
      <c r="A1296" s="5" t="str">
        <f ca="1">IFERROR(__xludf.DUMMYFUNCTION("""COMPUTED_VALUE"""),"IR23")</f>
        <v>IR23</v>
      </c>
      <c r="B1296" s="5" t="str">
        <f ca="1">IFERROR(__xludf.DUMMYFUNCTION("""COMPUTED_VALUE"""),"ICA")</f>
        <v>ICA</v>
      </c>
      <c r="C1296" s="5" t="str">
        <f ca="1">IFERROR(__xludf.DUMMYFUNCTION("""COMPUTED_VALUE"""),"IAR-823")</f>
        <v>IAR-823</v>
      </c>
      <c r="D1296" s="5" t="str">
        <f ca="1">IFERROR(__xludf.DUMMYFUNCTION("""COMPUTED_VALUE"""),"LandPlane")</f>
        <v>LandPlane</v>
      </c>
      <c r="E1296" s="5" t="str">
        <f ca="1">IFERROR(__xludf.DUMMYFUNCTION("""COMPUTED_VALUE"""),"Piston")</f>
        <v>Piston</v>
      </c>
      <c r="F1296" s="5">
        <f ca="1">IFERROR(__xludf.DUMMYFUNCTION("""COMPUTED_VALUE"""),1)</f>
        <v>1</v>
      </c>
    </row>
    <row r="1297" spans="1:6" ht="15" customHeight="1" x14ac:dyDescent="0.2">
      <c r="A1297" s="5" t="str">
        <f ca="1">IFERROR(__xludf.DUMMYFUNCTION("""COMPUTED_VALUE"""),"IR24")</f>
        <v>IR24</v>
      </c>
      <c r="B1297" s="5" t="str">
        <f ca="1">IFERROR(__xludf.DUMMYFUNCTION("""COMPUTED_VALUE"""),"ICA")</f>
        <v>ICA</v>
      </c>
      <c r="C1297" s="5" t="str">
        <f ca="1">IFERROR(__xludf.DUMMYFUNCTION("""COMPUTED_VALUE"""),"IAR-824")</f>
        <v>IAR-824</v>
      </c>
      <c r="D1297" s="5" t="str">
        <f ca="1">IFERROR(__xludf.DUMMYFUNCTION("""COMPUTED_VALUE"""),"LandPlane")</f>
        <v>LandPlane</v>
      </c>
      <c r="E1297" s="5" t="str">
        <f ca="1">IFERROR(__xludf.DUMMYFUNCTION("""COMPUTED_VALUE"""),"Piston")</f>
        <v>Piston</v>
      </c>
      <c r="F1297" s="5">
        <f ca="1">IFERROR(__xludf.DUMMYFUNCTION("""COMPUTED_VALUE"""),1)</f>
        <v>1</v>
      </c>
    </row>
    <row r="1298" spans="1:6" ht="15" customHeight="1" x14ac:dyDescent="0.2">
      <c r="A1298" s="5" t="str">
        <f ca="1">IFERROR(__xludf.DUMMYFUNCTION("""COMPUTED_VALUE"""),"IR25")</f>
        <v>IR25</v>
      </c>
      <c r="B1298" s="5" t="str">
        <f ca="1">IFERROR(__xludf.DUMMYFUNCTION("""COMPUTED_VALUE"""),"ICA")</f>
        <v>ICA</v>
      </c>
      <c r="C1298" s="5" t="str">
        <f ca="1">IFERROR(__xludf.DUMMYFUNCTION("""COMPUTED_VALUE"""),"IAR-825TP Triumf")</f>
        <v>IAR-825TP Triumf</v>
      </c>
      <c r="D1298" s="5" t="str">
        <f ca="1">IFERROR(__xludf.DUMMYFUNCTION("""COMPUTED_VALUE"""),"LandPlane")</f>
        <v>LandPlane</v>
      </c>
      <c r="E1298" s="5" t="str">
        <f ca="1">IFERROR(__xludf.DUMMYFUNCTION("""COMPUTED_VALUE"""),"Turboprop/Turboshaft")</f>
        <v>Turboprop/Turboshaft</v>
      </c>
      <c r="F1298" s="5">
        <f ca="1">IFERROR(__xludf.DUMMYFUNCTION("""COMPUTED_VALUE"""),1)</f>
        <v>1</v>
      </c>
    </row>
    <row r="1299" spans="1:6" ht="15" customHeight="1" x14ac:dyDescent="0.2">
      <c r="A1299" s="5" t="str">
        <f ca="1">IFERROR(__xludf.DUMMYFUNCTION("""COMPUTED_VALUE"""),"IR27")</f>
        <v>IR27</v>
      </c>
      <c r="B1299" s="5" t="str">
        <f ca="1">IFERROR(__xludf.DUMMYFUNCTION("""COMPUTED_VALUE"""),"ICA")</f>
        <v>ICA</v>
      </c>
      <c r="C1299" s="5" t="str">
        <f ca="1">IFERROR(__xludf.DUMMYFUNCTION("""COMPUTED_VALUE"""),"IAR-827 Dacic")</f>
        <v>IAR-827 Dacic</v>
      </c>
      <c r="D1299" s="5" t="str">
        <f ca="1">IFERROR(__xludf.DUMMYFUNCTION("""COMPUTED_VALUE"""),"LandPlane")</f>
        <v>LandPlane</v>
      </c>
      <c r="E1299" s="5" t="str">
        <f ca="1">IFERROR(__xludf.DUMMYFUNCTION("""COMPUTED_VALUE"""),"Piston")</f>
        <v>Piston</v>
      </c>
      <c r="F1299" s="5">
        <f ca="1">IFERROR(__xludf.DUMMYFUNCTION("""COMPUTED_VALUE"""),1)</f>
        <v>1</v>
      </c>
    </row>
    <row r="1300" spans="1:6" ht="15" customHeight="1" x14ac:dyDescent="0.2">
      <c r="A1300" s="5" t="str">
        <f ca="1">IFERROR(__xludf.DUMMYFUNCTION("""COMPUTED_VALUE"""),"IR28")</f>
        <v>IR28</v>
      </c>
      <c r="B1300" s="5" t="str">
        <f ca="1">IFERROR(__xludf.DUMMYFUNCTION("""COMPUTED_VALUE"""),"ICA")</f>
        <v>ICA</v>
      </c>
      <c r="C1300" s="5" t="str">
        <f ca="1">IFERROR(__xludf.DUMMYFUNCTION("""COMPUTED_VALUE"""),"IAR-28MA")</f>
        <v>IAR-28MA</v>
      </c>
      <c r="D1300" s="5" t="str">
        <f ca="1">IFERROR(__xludf.DUMMYFUNCTION("""COMPUTED_VALUE"""),"LandPlane")</f>
        <v>LandPlane</v>
      </c>
      <c r="E1300" s="5" t="str">
        <f ca="1">IFERROR(__xludf.DUMMYFUNCTION("""COMPUTED_VALUE"""),"Piston")</f>
        <v>Piston</v>
      </c>
      <c r="F1300" s="5">
        <f ca="1">IFERROR(__xludf.DUMMYFUNCTION("""COMPUTED_VALUE"""),1)</f>
        <v>1</v>
      </c>
    </row>
    <row r="1301" spans="1:6" ht="15" customHeight="1" x14ac:dyDescent="0.2">
      <c r="A1301" s="5" t="str">
        <f ca="1">IFERROR(__xludf.DUMMYFUNCTION("""COMPUTED_VALUE"""),"IR31")</f>
        <v>IR31</v>
      </c>
      <c r="B1301" s="5" t="str">
        <f ca="1">IFERROR(__xludf.DUMMYFUNCTION("""COMPUTED_VALUE"""),"ICA")</f>
        <v>ICA</v>
      </c>
      <c r="C1301" s="5" t="str">
        <f ca="1">IFERROR(__xludf.DUMMYFUNCTION("""COMPUTED_VALUE"""),"IAR-831 Pelican")</f>
        <v>IAR-831 Pelican</v>
      </c>
      <c r="D1301" s="5" t="str">
        <f ca="1">IFERROR(__xludf.DUMMYFUNCTION("""COMPUTED_VALUE"""),"LandPlane")</f>
        <v>LandPlane</v>
      </c>
      <c r="E1301" s="5" t="str">
        <f ca="1">IFERROR(__xludf.DUMMYFUNCTION("""COMPUTED_VALUE"""),"Piston")</f>
        <v>Piston</v>
      </c>
      <c r="F1301" s="5">
        <f ca="1">IFERROR(__xludf.DUMMYFUNCTION("""COMPUTED_VALUE"""),1)</f>
        <v>1</v>
      </c>
    </row>
    <row r="1302" spans="1:6" ht="15" customHeight="1" x14ac:dyDescent="0.2">
      <c r="A1302" s="5" t="str">
        <f ca="1">IFERROR(__xludf.DUMMYFUNCTION("""COMPUTED_VALUE"""),"IR46")</f>
        <v>IR46</v>
      </c>
      <c r="B1302" s="5" t="str">
        <f ca="1">IFERROR(__xludf.DUMMYFUNCTION("""COMPUTED_VALUE"""),"IAR")</f>
        <v>IAR</v>
      </c>
      <c r="C1302" s="5" t="str">
        <f ca="1">IFERROR(__xludf.DUMMYFUNCTION("""COMPUTED_VALUE"""),"IAR-46 Katty")</f>
        <v>IAR-46 Katty</v>
      </c>
      <c r="D1302" s="5" t="str">
        <f ca="1">IFERROR(__xludf.DUMMYFUNCTION("""COMPUTED_VALUE"""),"LandPlane")</f>
        <v>LandPlane</v>
      </c>
      <c r="E1302" s="5" t="str">
        <f ca="1">IFERROR(__xludf.DUMMYFUNCTION("""COMPUTED_VALUE"""),"Piston")</f>
        <v>Piston</v>
      </c>
      <c r="F1302" s="5">
        <f ca="1">IFERROR(__xludf.DUMMYFUNCTION("""COMPUTED_VALUE"""),1)</f>
        <v>1</v>
      </c>
    </row>
    <row r="1303" spans="1:6" ht="15" customHeight="1" x14ac:dyDescent="0.2">
      <c r="A1303" s="5" t="str">
        <f ca="1">IFERROR(__xludf.DUMMYFUNCTION("""COMPUTED_VALUE"""),"IR99")</f>
        <v>IR99</v>
      </c>
      <c r="B1303" s="5" t="str">
        <f ca="1">IFERROR(__xludf.DUMMYFUNCTION("""COMPUTED_VALUE"""),"AVIOANE")</f>
        <v>AVIOANE</v>
      </c>
      <c r="C1303" s="5" t="str">
        <f ca="1">IFERROR(__xludf.DUMMYFUNCTION("""COMPUTED_VALUE"""),"IAR-99 Soim")</f>
        <v>IAR-99 Soim</v>
      </c>
      <c r="D1303" s="5" t="str">
        <f ca="1">IFERROR(__xludf.DUMMYFUNCTION("""COMPUTED_VALUE"""),"LandPlane")</f>
        <v>LandPlane</v>
      </c>
      <c r="E1303" s="5" t="str">
        <f ca="1">IFERROR(__xludf.DUMMYFUNCTION("""COMPUTED_VALUE"""),"Jet")</f>
        <v>Jet</v>
      </c>
      <c r="F1303" s="5">
        <f ca="1">IFERROR(__xludf.DUMMYFUNCTION("""COMPUTED_VALUE"""),1)</f>
        <v>1</v>
      </c>
    </row>
    <row r="1304" spans="1:6" ht="15" customHeight="1" x14ac:dyDescent="0.2">
      <c r="A1304" s="5" t="str">
        <f ca="1">IFERROR(__xludf.DUMMYFUNCTION("""COMPUTED_VALUE"""),"IS2")</f>
        <v>IS2</v>
      </c>
      <c r="B1304" s="5" t="str">
        <f ca="1">IFERROR(__xludf.DUMMYFUNCTION("""COMPUTED_VALUE"""),"INSTYTUT LOTNICTWA")</f>
        <v>INSTYTUT LOTNICTWA</v>
      </c>
      <c r="C1304" s="5" t="str">
        <f ca="1">IFERROR(__xludf.DUMMYFUNCTION("""COMPUTED_VALUE"""),"IS-2")</f>
        <v>IS-2</v>
      </c>
      <c r="D1304" s="5" t="str">
        <f ca="1">IFERROR(__xludf.DUMMYFUNCTION("""COMPUTED_VALUE"""),"Helicopter")</f>
        <v>Helicopter</v>
      </c>
      <c r="E1304" s="5" t="str">
        <f ca="1">IFERROR(__xludf.DUMMYFUNCTION("""COMPUTED_VALUE"""),"Piston")</f>
        <v>Piston</v>
      </c>
      <c r="F1304" s="5">
        <f ca="1">IFERROR(__xludf.DUMMYFUNCTION("""COMPUTED_VALUE"""),1)</f>
        <v>1</v>
      </c>
    </row>
    <row r="1305" spans="1:6" ht="15" customHeight="1" x14ac:dyDescent="0.2">
      <c r="A1305" s="5" t="str">
        <f ca="1">IFERROR(__xludf.DUMMYFUNCTION("""COMPUTED_VALUE"""),"IS28")</f>
        <v>IS28</v>
      </c>
      <c r="B1305" s="5" t="str">
        <f ca="1">IFERROR(__xludf.DUMMYFUNCTION("""COMPUTED_VALUE"""),"IAR")</f>
        <v>IAR</v>
      </c>
      <c r="C1305" s="5" t="str">
        <f ca="1">IFERROR(__xludf.DUMMYFUNCTION("""COMPUTED_VALUE"""),"IS-28M2")</f>
        <v>IS-28M2</v>
      </c>
      <c r="D1305" s="5" t="str">
        <f ca="1">IFERROR(__xludf.DUMMYFUNCTION("""COMPUTED_VALUE"""),"LandPlane")</f>
        <v>LandPlane</v>
      </c>
      <c r="E1305" s="5" t="str">
        <f ca="1">IFERROR(__xludf.DUMMYFUNCTION("""COMPUTED_VALUE"""),"Piston")</f>
        <v>Piston</v>
      </c>
      <c r="F1305" s="5">
        <f ca="1">IFERROR(__xludf.DUMMYFUNCTION("""COMPUTED_VALUE"""),1)</f>
        <v>1</v>
      </c>
    </row>
    <row r="1306" spans="1:6" ht="15" customHeight="1" x14ac:dyDescent="0.2">
      <c r="A1306" s="5" t="str">
        <f ca="1">IFERROR(__xludf.DUMMYFUNCTION("""COMPUTED_VALUE"""),"ISAT")</f>
        <v>ISAT</v>
      </c>
      <c r="B1306" s="5" t="str">
        <f ca="1">IFERROR(__xludf.DUMMYFUNCTION("""COMPUTED_VALUE"""),"AEROJAMES")</f>
        <v>AEROJAMES</v>
      </c>
      <c r="C1306" s="5" t="str">
        <f ca="1">IFERROR(__xludf.DUMMYFUNCTION("""COMPUTED_VALUE"""),"01 Isatis")</f>
        <v>01 Isatis</v>
      </c>
      <c r="D1306" s="5" t="str">
        <f ca="1">IFERROR(__xludf.DUMMYFUNCTION("""COMPUTED_VALUE"""),"LandPlane")</f>
        <v>LandPlane</v>
      </c>
      <c r="E1306" s="5" t="str">
        <f ca="1">IFERROR(__xludf.DUMMYFUNCTION("""COMPUTED_VALUE"""),"Piston")</f>
        <v>Piston</v>
      </c>
      <c r="F1306" s="5">
        <f ca="1">IFERROR(__xludf.DUMMYFUNCTION("""COMPUTED_VALUE"""),1)</f>
        <v>1</v>
      </c>
    </row>
    <row r="1307" spans="1:6" ht="15" customHeight="1" x14ac:dyDescent="0.2">
      <c r="A1307" s="5" t="str">
        <f ca="1">IFERROR(__xludf.DUMMYFUNCTION("""COMPUTED_VALUE"""),"ISPT")</f>
        <v>ISPT</v>
      </c>
      <c r="B1307" s="5" t="str">
        <f ca="1">IFERROR(__xludf.DUMMYFUNCTION("""COMPUTED_VALUE"""),"ISAACS")</f>
        <v>ISAACS</v>
      </c>
      <c r="C1307" s="5" t="str">
        <f ca="1">IFERROR(__xludf.DUMMYFUNCTION("""COMPUTED_VALUE"""),"Spitfire")</f>
        <v>Spitfire</v>
      </c>
      <c r="D1307" s="5" t="str">
        <f ca="1">IFERROR(__xludf.DUMMYFUNCTION("""COMPUTED_VALUE"""),"LandPlane")</f>
        <v>LandPlane</v>
      </c>
      <c r="E1307" s="5" t="str">
        <f ca="1">IFERROR(__xludf.DUMMYFUNCTION("""COMPUTED_VALUE"""),"Piston")</f>
        <v>Piston</v>
      </c>
      <c r="F1307" s="5">
        <f ca="1">IFERROR(__xludf.DUMMYFUNCTION("""COMPUTED_VALUE"""),1)</f>
        <v>1</v>
      </c>
    </row>
    <row r="1308" spans="1:6" ht="15" customHeight="1" x14ac:dyDescent="0.2">
      <c r="A1308" s="5" t="str">
        <f ca="1">IFERROR(__xludf.DUMMYFUNCTION("""COMPUTED_VALUE"""),"J1")</f>
        <v>J1</v>
      </c>
      <c r="B1308" s="5" t="str">
        <f ca="1">IFERROR(__xludf.DUMMYFUNCTION("""COMPUTED_VALUE"""),"AUSTER")</f>
        <v>AUSTER</v>
      </c>
      <c r="C1308" s="5" t="str">
        <f ca="1">IFERROR(__xludf.DUMMYFUNCTION("""COMPUTED_VALUE"""),"J-1 Aiglet")</f>
        <v>J-1 Aiglet</v>
      </c>
      <c r="D1308" s="5" t="str">
        <f ca="1">IFERROR(__xludf.DUMMYFUNCTION("""COMPUTED_VALUE"""),"LandPlane")</f>
        <v>LandPlane</v>
      </c>
      <c r="E1308" s="5" t="str">
        <f ca="1">IFERROR(__xludf.DUMMYFUNCTION("""COMPUTED_VALUE"""),"Piston")</f>
        <v>Piston</v>
      </c>
      <c r="F1308" s="5">
        <f ca="1">IFERROR(__xludf.DUMMYFUNCTION("""COMPUTED_VALUE"""),1)</f>
        <v>1</v>
      </c>
    </row>
    <row r="1309" spans="1:6" ht="15" customHeight="1" x14ac:dyDescent="0.2">
      <c r="A1309" s="5" t="str">
        <f ca="1">IFERROR(__xludf.DUMMYFUNCTION("""COMPUTED_VALUE"""),"J10")</f>
        <v>J10</v>
      </c>
      <c r="B1309" s="5" t="str">
        <f ca="1">IFERROR(__xludf.DUMMYFUNCTION("""COMPUTED_VALUE"""),"CHENGDU")</f>
        <v>CHENGDU</v>
      </c>
      <c r="C1309" s="5" t="str">
        <f ca="1">IFERROR(__xludf.DUMMYFUNCTION("""COMPUTED_VALUE"""),"J-10")</f>
        <v>J-10</v>
      </c>
      <c r="D1309" s="5" t="str">
        <f ca="1">IFERROR(__xludf.DUMMYFUNCTION("""COMPUTED_VALUE"""),"LandPlane")</f>
        <v>LandPlane</v>
      </c>
      <c r="E1309" s="5" t="str">
        <f ca="1">IFERROR(__xludf.DUMMYFUNCTION("""COMPUTED_VALUE"""),"Jet")</f>
        <v>Jet</v>
      </c>
      <c r="F1309" s="5">
        <f ca="1">IFERROR(__xludf.DUMMYFUNCTION("""COMPUTED_VALUE"""),1)</f>
        <v>1</v>
      </c>
    </row>
    <row r="1310" spans="1:6" ht="15" customHeight="1" x14ac:dyDescent="0.2">
      <c r="A1310" s="5" t="str">
        <f ca="1">IFERROR(__xludf.DUMMYFUNCTION("""COMPUTED_VALUE"""),"J177")</f>
        <v>J177</v>
      </c>
      <c r="B1310" s="5" t="str">
        <f ca="1">IFERROR(__xludf.DUMMYFUNCTION("""COMPUTED_VALUE"""),"AERODYNOS")</f>
        <v>AERODYNOS</v>
      </c>
      <c r="C1310" s="5" t="str">
        <f ca="1">IFERROR(__xludf.DUMMYFUNCTION("""COMPUTED_VALUE"""),"JA-177 Evolution")</f>
        <v>JA-177 Evolution</v>
      </c>
      <c r="D1310" s="5" t="str">
        <f ca="1">IFERROR(__xludf.DUMMYFUNCTION("""COMPUTED_VALUE"""),"LandPlane")</f>
        <v>LandPlane</v>
      </c>
      <c r="E1310" s="5" t="str">
        <f ca="1">IFERROR(__xludf.DUMMYFUNCTION("""COMPUTED_VALUE"""),"Piston")</f>
        <v>Piston</v>
      </c>
      <c r="F1310" s="5">
        <f ca="1">IFERROR(__xludf.DUMMYFUNCTION("""COMPUTED_VALUE"""),1)</f>
        <v>1</v>
      </c>
    </row>
    <row r="1311" spans="1:6" ht="15" customHeight="1" x14ac:dyDescent="0.2">
      <c r="A1311" s="5" t="str">
        <f ca="1">IFERROR(__xludf.DUMMYFUNCTION("""COMPUTED_VALUE"""),"J2")</f>
        <v>J2</v>
      </c>
      <c r="B1311" s="5" t="str">
        <f ca="1">IFERROR(__xludf.DUMMYFUNCTION("""COMPUTED_VALUE"""),"PIPER")</f>
        <v>PIPER</v>
      </c>
      <c r="C1311" s="5" t="str">
        <f ca="1">IFERROR(__xludf.DUMMYFUNCTION("""COMPUTED_VALUE"""),"J-2 Cub")</f>
        <v>J-2 Cub</v>
      </c>
      <c r="D1311" s="5" t="str">
        <f ca="1">IFERROR(__xludf.DUMMYFUNCTION("""COMPUTED_VALUE"""),"LandPlane")</f>
        <v>LandPlane</v>
      </c>
      <c r="E1311" s="5" t="str">
        <f ca="1">IFERROR(__xludf.DUMMYFUNCTION("""COMPUTED_VALUE"""),"Piston")</f>
        <v>Piston</v>
      </c>
      <c r="F1311" s="5">
        <f ca="1">IFERROR(__xludf.DUMMYFUNCTION("""COMPUTED_VALUE"""),1)</f>
        <v>1</v>
      </c>
    </row>
    <row r="1312" spans="1:6" ht="15" customHeight="1" x14ac:dyDescent="0.2">
      <c r="A1312" s="5" t="str">
        <f ca="1">IFERROR(__xludf.DUMMYFUNCTION("""COMPUTED_VALUE"""),"J20")</f>
        <v>J20</v>
      </c>
      <c r="B1312" s="5" t="str">
        <f ca="1">IFERROR(__xludf.DUMMYFUNCTION("""COMPUTED_VALUE"""),"CHENGDU")</f>
        <v>CHENGDU</v>
      </c>
      <c r="C1312" s="5" t="str">
        <f ca="1">IFERROR(__xludf.DUMMYFUNCTION("""COMPUTED_VALUE"""),"J-20")</f>
        <v>J-20</v>
      </c>
      <c r="D1312" s="5" t="str">
        <f ca="1">IFERROR(__xludf.DUMMYFUNCTION("""COMPUTED_VALUE"""),"LandPlane")</f>
        <v>LandPlane</v>
      </c>
      <c r="E1312" s="5" t="str">
        <f ca="1">IFERROR(__xludf.DUMMYFUNCTION("""COMPUTED_VALUE"""),"Jet")</f>
        <v>Jet</v>
      </c>
      <c r="F1312" s="5">
        <f ca="1">IFERROR(__xludf.DUMMYFUNCTION("""COMPUTED_VALUE"""),2)</f>
        <v>2</v>
      </c>
    </row>
    <row r="1313" spans="1:6" ht="15" customHeight="1" x14ac:dyDescent="0.2">
      <c r="A1313" s="5" t="str">
        <f ca="1">IFERROR(__xludf.DUMMYFUNCTION("""COMPUTED_VALUE"""),"J3")</f>
        <v>J3</v>
      </c>
      <c r="B1313" s="5" t="str">
        <f ca="1">IFERROR(__xludf.DUMMYFUNCTION("""COMPUTED_VALUE"""),"PIPER")</f>
        <v>PIPER</v>
      </c>
      <c r="C1313" s="5" t="str">
        <f ca="1">IFERROR(__xludf.DUMMYFUNCTION("""COMPUTED_VALUE"""),"J-3 Cub")</f>
        <v>J-3 Cub</v>
      </c>
      <c r="D1313" s="5" t="str">
        <f ca="1">IFERROR(__xludf.DUMMYFUNCTION("""COMPUTED_VALUE"""),"LandPlane")</f>
        <v>LandPlane</v>
      </c>
      <c r="E1313" s="5" t="str">
        <f ca="1">IFERROR(__xludf.DUMMYFUNCTION("""COMPUTED_VALUE"""),"Piston")</f>
        <v>Piston</v>
      </c>
      <c r="F1313" s="5">
        <f ca="1">IFERROR(__xludf.DUMMYFUNCTION("""COMPUTED_VALUE"""),1)</f>
        <v>1</v>
      </c>
    </row>
    <row r="1314" spans="1:6" ht="15" customHeight="1" x14ac:dyDescent="0.2">
      <c r="A1314" s="5" t="str">
        <f ca="1">IFERROR(__xludf.DUMMYFUNCTION("""COMPUTED_VALUE"""),"J300")</f>
        <v>J300</v>
      </c>
      <c r="B1314" s="5" t="str">
        <f ca="1">IFERROR(__xludf.DUMMYFUNCTION("""COMPUTED_VALUE"""),"SAUPER")</f>
        <v>SAUPER</v>
      </c>
      <c r="C1314" s="5" t="str">
        <f ca="1">IFERROR(__xludf.DUMMYFUNCTION("""COMPUTED_VALUE"""),"J-300 Joker")</f>
        <v>J-300 Joker</v>
      </c>
      <c r="D1314" s="5" t="str">
        <f ca="1">IFERROR(__xludf.DUMMYFUNCTION("""COMPUTED_VALUE"""),"LandPlane")</f>
        <v>LandPlane</v>
      </c>
      <c r="E1314" s="5" t="str">
        <f ca="1">IFERROR(__xludf.DUMMYFUNCTION("""COMPUTED_VALUE"""),"Piston")</f>
        <v>Piston</v>
      </c>
      <c r="F1314" s="5">
        <f ca="1">IFERROR(__xludf.DUMMYFUNCTION("""COMPUTED_VALUE"""),1)</f>
        <v>1</v>
      </c>
    </row>
    <row r="1315" spans="1:6" ht="15" customHeight="1" x14ac:dyDescent="0.2">
      <c r="A1315" s="5" t="str">
        <f ca="1">IFERROR(__xludf.DUMMYFUNCTION("""COMPUTED_VALUE"""),"J328")</f>
        <v>J328</v>
      </c>
      <c r="B1315" s="5" t="str">
        <f ca="1">IFERROR(__xludf.DUMMYFUNCTION("""COMPUTED_VALUE"""),"FAIRCHILD DORNIER")</f>
        <v>FAIRCHILD DORNIER</v>
      </c>
      <c r="C1315" s="5" t="str">
        <f ca="1">IFERROR(__xludf.DUMMYFUNCTION("""COMPUTED_VALUE"""),"328JET")</f>
        <v>328JET</v>
      </c>
      <c r="D1315" s="5" t="str">
        <f ca="1">IFERROR(__xludf.DUMMYFUNCTION("""COMPUTED_VALUE"""),"LandPlane")</f>
        <v>LandPlane</v>
      </c>
      <c r="E1315" s="5" t="str">
        <f ca="1">IFERROR(__xludf.DUMMYFUNCTION("""COMPUTED_VALUE"""),"Jet")</f>
        <v>Jet</v>
      </c>
      <c r="F1315" s="5">
        <f ca="1">IFERROR(__xludf.DUMMYFUNCTION("""COMPUTED_VALUE"""),2)</f>
        <v>2</v>
      </c>
    </row>
    <row r="1316" spans="1:6" ht="15" customHeight="1" x14ac:dyDescent="0.2">
      <c r="A1316" s="5" t="str">
        <f ca="1">IFERROR(__xludf.DUMMYFUNCTION("""COMPUTED_VALUE"""),"J4")</f>
        <v>J4</v>
      </c>
      <c r="B1316" s="5" t="str">
        <f ca="1">IFERROR(__xludf.DUMMYFUNCTION("""COMPUTED_VALUE"""),"PIPER")</f>
        <v>PIPER</v>
      </c>
      <c r="C1316" s="5" t="str">
        <f ca="1">IFERROR(__xludf.DUMMYFUNCTION("""COMPUTED_VALUE"""),"J-4 Cub Coupe")</f>
        <v>J-4 Cub Coupe</v>
      </c>
      <c r="D1316" s="5" t="str">
        <f ca="1">IFERROR(__xludf.DUMMYFUNCTION("""COMPUTED_VALUE"""),"LandPlane")</f>
        <v>LandPlane</v>
      </c>
      <c r="E1316" s="5" t="str">
        <f ca="1">IFERROR(__xludf.DUMMYFUNCTION("""COMPUTED_VALUE"""),"Piston")</f>
        <v>Piston</v>
      </c>
      <c r="F1316" s="5">
        <f ca="1">IFERROR(__xludf.DUMMYFUNCTION("""COMPUTED_VALUE"""),1)</f>
        <v>1</v>
      </c>
    </row>
    <row r="1317" spans="1:6" ht="15" customHeight="1" x14ac:dyDescent="0.2">
      <c r="A1317" s="5" t="str">
        <f ca="1">IFERROR(__xludf.DUMMYFUNCTION("""COMPUTED_VALUE"""),"J5")</f>
        <v>J5</v>
      </c>
      <c r="B1317" s="5" t="str">
        <f ca="1">IFERROR(__xludf.DUMMYFUNCTION("""COMPUTED_VALUE"""),"PIPER")</f>
        <v>PIPER</v>
      </c>
      <c r="C1317" s="5" t="str">
        <f ca="1">IFERROR(__xludf.DUMMYFUNCTION("""COMPUTED_VALUE"""),"J-5 Cub Cruiser")</f>
        <v>J-5 Cub Cruiser</v>
      </c>
      <c r="D1317" s="5" t="str">
        <f ca="1">IFERROR(__xludf.DUMMYFUNCTION("""COMPUTED_VALUE"""),"LandPlane")</f>
        <v>LandPlane</v>
      </c>
      <c r="E1317" s="5" t="str">
        <f ca="1">IFERROR(__xludf.DUMMYFUNCTION("""COMPUTED_VALUE"""),"Piston")</f>
        <v>Piston</v>
      </c>
      <c r="F1317" s="5">
        <f ca="1">IFERROR(__xludf.DUMMYFUNCTION("""COMPUTED_VALUE"""),1)</f>
        <v>1</v>
      </c>
    </row>
    <row r="1318" spans="1:6" ht="15" customHeight="1" x14ac:dyDescent="0.2">
      <c r="A1318" s="5" t="str">
        <f ca="1">IFERROR(__xludf.DUMMYFUNCTION("""COMPUTED_VALUE"""),"J8A")</f>
        <v>J8A</v>
      </c>
      <c r="B1318" s="5" t="str">
        <f ca="1">IFERROR(__xludf.DUMMYFUNCTION("""COMPUTED_VALUE"""),"SHENYANG")</f>
        <v>SHENYANG</v>
      </c>
      <c r="C1318" s="5" t="str">
        <f ca="1">IFERROR(__xludf.DUMMYFUNCTION("""COMPUTED_VALUE"""),"J-8A")</f>
        <v>J-8A</v>
      </c>
      <c r="D1318" s="5" t="str">
        <f ca="1">IFERROR(__xludf.DUMMYFUNCTION("""COMPUTED_VALUE"""),"LandPlane")</f>
        <v>LandPlane</v>
      </c>
      <c r="E1318" s="5" t="str">
        <f ca="1">IFERROR(__xludf.DUMMYFUNCTION("""COMPUTED_VALUE"""),"Jet")</f>
        <v>Jet</v>
      </c>
      <c r="F1318" s="5">
        <f ca="1">IFERROR(__xludf.DUMMYFUNCTION("""COMPUTED_VALUE"""),2)</f>
        <v>2</v>
      </c>
    </row>
    <row r="1319" spans="1:6" ht="15" customHeight="1" x14ac:dyDescent="0.2">
      <c r="A1319" s="5" t="str">
        <f ca="1">IFERROR(__xludf.DUMMYFUNCTION("""COMPUTED_VALUE"""),"J8B")</f>
        <v>J8B</v>
      </c>
      <c r="B1319" s="5" t="str">
        <f ca="1">IFERROR(__xludf.DUMMYFUNCTION("""COMPUTED_VALUE"""),"SHENYANG")</f>
        <v>SHENYANG</v>
      </c>
      <c r="C1319" s="5" t="str">
        <f ca="1">IFERROR(__xludf.DUMMYFUNCTION("""COMPUTED_VALUE"""),"J-8B")</f>
        <v>J-8B</v>
      </c>
      <c r="D1319" s="5" t="str">
        <f ca="1">IFERROR(__xludf.DUMMYFUNCTION("""COMPUTED_VALUE"""),"LandPlane")</f>
        <v>LandPlane</v>
      </c>
      <c r="E1319" s="5" t="str">
        <f ca="1">IFERROR(__xludf.DUMMYFUNCTION("""COMPUTED_VALUE"""),"Jet")</f>
        <v>Jet</v>
      </c>
      <c r="F1319" s="5">
        <f ca="1">IFERROR(__xludf.DUMMYFUNCTION("""COMPUTED_VALUE"""),2)</f>
        <v>2</v>
      </c>
    </row>
    <row r="1320" spans="1:6" ht="15" customHeight="1" x14ac:dyDescent="0.2">
      <c r="A1320" s="5" t="str">
        <f ca="1">IFERROR(__xludf.DUMMYFUNCTION("""COMPUTED_VALUE"""),"JAB2")</f>
        <v>JAB2</v>
      </c>
      <c r="B1320" s="5" t="str">
        <f ca="1">IFERROR(__xludf.DUMMYFUNCTION("""COMPUTED_VALUE"""),"JABIRU")</f>
        <v>JABIRU</v>
      </c>
      <c r="C1320" s="5" t="str">
        <f ca="1">IFERROR(__xludf.DUMMYFUNCTION("""COMPUTED_VALUE"""),"Jabiru J160")</f>
        <v>Jabiru J160</v>
      </c>
      <c r="D1320" s="5" t="str">
        <f ca="1">IFERROR(__xludf.DUMMYFUNCTION("""COMPUTED_VALUE"""),"LandPlane")</f>
        <v>LandPlane</v>
      </c>
      <c r="E1320" s="5" t="str">
        <f ca="1">IFERROR(__xludf.DUMMYFUNCTION("""COMPUTED_VALUE"""),"Piston")</f>
        <v>Piston</v>
      </c>
      <c r="F1320" s="5">
        <f ca="1">IFERROR(__xludf.DUMMYFUNCTION("""COMPUTED_VALUE"""),1)</f>
        <v>1</v>
      </c>
    </row>
    <row r="1321" spans="1:6" ht="15" customHeight="1" x14ac:dyDescent="0.2">
      <c r="A1321" s="5" t="str">
        <f ca="1">IFERROR(__xludf.DUMMYFUNCTION("""COMPUTED_VALUE"""),"JAB4")</f>
        <v>JAB4</v>
      </c>
      <c r="B1321" s="5" t="str">
        <f ca="1">IFERROR(__xludf.DUMMYFUNCTION("""COMPUTED_VALUE"""),"JABIRU")</f>
        <v>JABIRU</v>
      </c>
      <c r="C1321" s="5" t="str">
        <f ca="1">IFERROR(__xludf.DUMMYFUNCTION("""COMPUTED_VALUE"""),"Jabiru J400")</f>
        <v>Jabiru J400</v>
      </c>
      <c r="D1321" s="5" t="str">
        <f ca="1">IFERROR(__xludf.DUMMYFUNCTION("""COMPUTED_VALUE"""),"LandPlane")</f>
        <v>LandPlane</v>
      </c>
      <c r="E1321" s="5" t="str">
        <f ca="1">IFERROR(__xludf.DUMMYFUNCTION("""COMPUTED_VALUE"""),"Piston")</f>
        <v>Piston</v>
      </c>
      <c r="F1321" s="5">
        <f ca="1">IFERROR(__xludf.DUMMYFUNCTION("""COMPUTED_VALUE"""),1)</f>
        <v>1</v>
      </c>
    </row>
    <row r="1322" spans="1:6" ht="15" customHeight="1" x14ac:dyDescent="0.2">
      <c r="A1322" s="5" t="str">
        <f ca="1">IFERROR(__xludf.DUMMYFUNCTION("""COMPUTED_VALUE"""),"JABI")</f>
        <v>JABI</v>
      </c>
      <c r="B1322" s="5" t="str">
        <f ca="1">IFERROR(__xludf.DUMMYFUNCTION("""COMPUTED_VALUE"""),"JABIRU")</f>
        <v>JABIRU</v>
      </c>
      <c r="C1322" s="5" t="str">
        <f ca="1">IFERROR(__xludf.DUMMYFUNCTION("""COMPUTED_VALUE"""),"Jabiru J120")</f>
        <v>Jabiru J120</v>
      </c>
      <c r="D1322" s="5" t="str">
        <f ca="1">IFERROR(__xludf.DUMMYFUNCTION("""COMPUTED_VALUE"""),"LandPlane")</f>
        <v>LandPlane</v>
      </c>
      <c r="E1322" s="5" t="str">
        <f ca="1">IFERROR(__xludf.DUMMYFUNCTION("""COMPUTED_VALUE"""),"Piston")</f>
        <v>Piston</v>
      </c>
      <c r="F1322" s="5">
        <f ca="1">IFERROR(__xludf.DUMMYFUNCTION("""COMPUTED_VALUE"""),1)</f>
        <v>1</v>
      </c>
    </row>
    <row r="1323" spans="1:6" ht="15" customHeight="1" x14ac:dyDescent="0.2">
      <c r="A1323" s="5" t="str">
        <f ca="1">IFERROR(__xludf.DUMMYFUNCTION("""COMPUTED_VALUE"""),"JACE")</f>
        <v>JACE</v>
      </c>
      <c r="B1323" s="5" t="str">
        <f ca="1">IFERROR(__xludf.DUMMYFUNCTION("""COMPUTED_VALUE"""),"ACRO SPORT")</f>
        <v>ACRO SPORT</v>
      </c>
      <c r="C1323" s="5" t="str">
        <f ca="1">IFERROR(__xludf.DUMMYFUNCTION("""COMPUTED_VALUE"""),"Junior Ace")</f>
        <v>Junior Ace</v>
      </c>
      <c r="D1323" s="5" t="str">
        <f ca="1">IFERROR(__xludf.DUMMYFUNCTION("""COMPUTED_VALUE"""),"LandPlane")</f>
        <v>LandPlane</v>
      </c>
      <c r="E1323" s="5" t="str">
        <f ca="1">IFERROR(__xludf.DUMMYFUNCTION("""COMPUTED_VALUE"""),"Piston")</f>
        <v>Piston</v>
      </c>
      <c r="F1323" s="5">
        <f ca="1">IFERROR(__xludf.DUMMYFUNCTION("""COMPUTED_VALUE"""),1)</f>
        <v>1</v>
      </c>
    </row>
    <row r="1324" spans="1:6" ht="15" customHeight="1" x14ac:dyDescent="0.2">
      <c r="A1324" s="5" t="str">
        <f ca="1">IFERROR(__xludf.DUMMYFUNCTION("""COMPUTED_VALUE"""),"JAG2")</f>
        <v>JAG2</v>
      </c>
      <c r="B1324" s="5" t="str">
        <f ca="1">IFERROR(__xludf.DUMMYFUNCTION("""COMPUTED_VALUE"""),"JAG HELICOPTER")</f>
        <v>JAG HELICOPTER</v>
      </c>
      <c r="C1324" s="5" t="str">
        <f ca="1">IFERROR(__xludf.DUMMYFUNCTION("""COMPUTED_VALUE"""),"JAG")</f>
        <v>JAG</v>
      </c>
      <c r="D1324" s="5" t="str">
        <f ca="1">IFERROR(__xludf.DUMMYFUNCTION("""COMPUTED_VALUE"""),"Helicopter")</f>
        <v>Helicopter</v>
      </c>
      <c r="E1324" s="5" t="str">
        <f ca="1">IFERROR(__xludf.DUMMYFUNCTION("""COMPUTED_VALUE"""),"Turboprop/Turboshaft")</f>
        <v>Turboprop/Turboshaft</v>
      </c>
      <c r="F1324" s="5">
        <f ca="1">IFERROR(__xludf.DUMMYFUNCTION("""COMPUTED_VALUE"""),1)</f>
        <v>1</v>
      </c>
    </row>
    <row r="1325" spans="1:6" ht="15" customHeight="1" x14ac:dyDescent="0.2">
      <c r="A1325" s="5" t="str">
        <f ca="1">IFERROR(__xludf.DUMMYFUNCTION("""COMPUTED_VALUE"""),"JAGR")</f>
        <v>JAGR</v>
      </c>
      <c r="B1325" s="5" t="str">
        <f ca="1">IFERROR(__xludf.DUMMYFUNCTION("""COMPUTED_VALUE"""),"SEPECAT")</f>
        <v>SEPECAT</v>
      </c>
      <c r="C1325" s="5" t="str">
        <f ca="1">IFERROR(__xludf.DUMMYFUNCTION("""COMPUTED_VALUE"""),"Jaguar")</f>
        <v>Jaguar</v>
      </c>
      <c r="D1325" s="5" t="str">
        <f ca="1">IFERROR(__xludf.DUMMYFUNCTION("""COMPUTED_VALUE"""),"LandPlane")</f>
        <v>LandPlane</v>
      </c>
      <c r="E1325" s="5" t="str">
        <f ca="1">IFERROR(__xludf.DUMMYFUNCTION("""COMPUTED_VALUE"""),"Jet")</f>
        <v>Jet</v>
      </c>
      <c r="F1325" s="5">
        <f ca="1">IFERROR(__xludf.DUMMYFUNCTION("""COMPUTED_VALUE"""),2)</f>
        <v>2</v>
      </c>
    </row>
    <row r="1326" spans="1:6" ht="15" customHeight="1" x14ac:dyDescent="0.2">
      <c r="A1326" s="5" t="str">
        <f ca="1">IFERROR(__xludf.DUMMYFUNCTION("""COMPUTED_VALUE"""),"JAJ5")</f>
        <v>JAJ5</v>
      </c>
      <c r="B1326" s="5" t="str">
        <f ca="1">IFERROR(__xludf.DUMMYFUNCTION("""COMPUTED_VALUE"""),"JANOWSKI")</f>
        <v>JANOWSKI</v>
      </c>
      <c r="C1326" s="5" t="str">
        <f ca="1">IFERROR(__xludf.DUMMYFUNCTION("""COMPUTED_VALUE"""),"J-5 Marco")</f>
        <v>J-5 Marco</v>
      </c>
      <c r="D1326" s="5" t="str">
        <f ca="1">IFERROR(__xludf.DUMMYFUNCTION("""COMPUTED_VALUE"""),"LandPlane")</f>
        <v>LandPlane</v>
      </c>
      <c r="E1326" s="5" t="str">
        <f ca="1">IFERROR(__xludf.DUMMYFUNCTION("""COMPUTED_VALUE"""),"Piston")</f>
        <v>Piston</v>
      </c>
      <c r="F1326" s="5">
        <f ca="1">IFERROR(__xludf.DUMMYFUNCTION("""COMPUTED_VALUE"""),1)</f>
        <v>1</v>
      </c>
    </row>
    <row r="1327" spans="1:6" ht="15" customHeight="1" x14ac:dyDescent="0.2">
      <c r="A1327" s="5" t="str">
        <f ca="1">IFERROR(__xludf.DUMMYFUNCTION("""COMPUTED_VALUE"""),"JAJ6")</f>
        <v>JAJ6</v>
      </c>
      <c r="B1327" s="5" t="str">
        <f ca="1">IFERROR(__xludf.DUMMYFUNCTION("""COMPUTED_VALUE"""),"J &amp; AS")</f>
        <v>J &amp; AS</v>
      </c>
      <c r="C1327" s="5" t="str">
        <f ca="1">IFERROR(__xludf.DUMMYFUNCTION("""COMPUTED_VALUE"""),"J-6 Fregata")</f>
        <v>J-6 Fregata</v>
      </c>
      <c r="D1327" s="5" t="str">
        <f ca="1">IFERROR(__xludf.DUMMYFUNCTION("""COMPUTED_VALUE"""),"LandPlane")</f>
        <v>LandPlane</v>
      </c>
      <c r="E1327" s="5" t="str">
        <f ca="1">IFERROR(__xludf.DUMMYFUNCTION("""COMPUTED_VALUE"""),"Piston")</f>
        <v>Piston</v>
      </c>
      <c r="F1327" s="5">
        <f ca="1">IFERROR(__xludf.DUMMYFUNCTION("""COMPUTED_VALUE"""),1)</f>
        <v>1</v>
      </c>
    </row>
    <row r="1328" spans="1:6" ht="15" customHeight="1" x14ac:dyDescent="0.2">
      <c r="A1328" s="5" t="str">
        <f ca="1">IFERROR(__xludf.DUMMYFUNCTION("""COMPUTED_VALUE"""),"JANU")</f>
        <v>JANU</v>
      </c>
      <c r="B1328" s="5" t="str">
        <f ca="1">IFERROR(__xludf.DUMMYFUNCTION("""COMPUTED_VALUE"""),"SCHEMPP-HIRTH")</f>
        <v>SCHEMPP-HIRTH</v>
      </c>
      <c r="C1328" s="5" t="str">
        <f ca="1">IFERROR(__xludf.DUMMYFUNCTION("""COMPUTED_VALUE"""),"Janus BM")</f>
        <v>Janus BM</v>
      </c>
      <c r="D1328" s="5" t="str">
        <f ca="1">IFERROR(__xludf.DUMMYFUNCTION("""COMPUTED_VALUE"""),"LandPlane")</f>
        <v>LandPlane</v>
      </c>
      <c r="E1328" s="5" t="str">
        <f ca="1">IFERROR(__xludf.DUMMYFUNCTION("""COMPUTED_VALUE"""),"Piston")</f>
        <v>Piston</v>
      </c>
      <c r="F1328" s="5">
        <f ca="1">IFERROR(__xludf.DUMMYFUNCTION("""COMPUTED_VALUE"""),1)</f>
        <v>1</v>
      </c>
    </row>
    <row r="1329" spans="1:6" ht="15" customHeight="1" x14ac:dyDescent="0.2">
      <c r="A1329" s="5" t="str">
        <f ca="1">IFERROR(__xludf.DUMMYFUNCTION("""COMPUTED_VALUE"""),"JARO")</f>
        <v>JARO</v>
      </c>
      <c r="B1329" s="5" t="str">
        <f ca="1">IFERROR(__xludf.DUMMYFUNCTION("""COMPUTED_VALUE"""),"JACKAROO")</f>
        <v>JACKAROO</v>
      </c>
      <c r="C1329" s="5" t="str">
        <f ca="1">IFERROR(__xludf.DUMMYFUNCTION("""COMPUTED_VALUE"""),"Thruxton Jackaroo")</f>
        <v>Thruxton Jackaroo</v>
      </c>
      <c r="D1329" s="5" t="str">
        <f ca="1">IFERROR(__xludf.DUMMYFUNCTION("""COMPUTED_VALUE"""),"LandPlane")</f>
        <v>LandPlane</v>
      </c>
      <c r="E1329" s="5" t="str">
        <f ca="1">IFERROR(__xludf.DUMMYFUNCTION("""COMPUTED_VALUE"""),"Piston")</f>
        <v>Piston</v>
      </c>
      <c r="F1329" s="5">
        <f ca="1">IFERROR(__xludf.DUMMYFUNCTION("""COMPUTED_VALUE"""),1)</f>
        <v>1</v>
      </c>
    </row>
    <row r="1330" spans="1:6" ht="15" customHeight="1" x14ac:dyDescent="0.2">
      <c r="A1330" s="5" t="str">
        <f ca="1">IFERROR(__xludf.DUMMYFUNCTION("""COMPUTED_VALUE"""),"JAST")</f>
        <v>JAST</v>
      </c>
      <c r="B1330" s="5" t="str">
        <f ca="1">IFERROR(__xludf.DUMMYFUNCTION("""COMPUTED_VALUE"""),"SOKO")</f>
        <v>SOKO</v>
      </c>
      <c r="C1330" s="5" t="str">
        <f ca="1">IFERROR(__xludf.DUMMYFUNCTION("""COMPUTED_VALUE"""),"J-21 Jastreb")</f>
        <v>J-21 Jastreb</v>
      </c>
      <c r="D1330" s="5" t="str">
        <f ca="1">IFERROR(__xludf.DUMMYFUNCTION("""COMPUTED_VALUE"""),"LandPlane")</f>
        <v>LandPlane</v>
      </c>
      <c r="E1330" s="5" t="str">
        <f ca="1">IFERROR(__xludf.DUMMYFUNCTION("""COMPUTED_VALUE"""),"Jet")</f>
        <v>Jet</v>
      </c>
      <c r="F1330" s="5">
        <f ca="1">IFERROR(__xludf.DUMMYFUNCTION("""COMPUTED_VALUE"""),1)</f>
        <v>1</v>
      </c>
    </row>
    <row r="1331" spans="1:6" ht="15" customHeight="1" x14ac:dyDescent="0.2">
      <c r="A1331" s="5" t="str">
        <f ca="1">IFERROR(__xludf.DUMMYFUNCTION("""COMPUTED_VALUE"""),"JB1")</f>
        <v>JB1</v>
      </c>
      <c r="B1331" s="5" t="str">
        <f ca="1">IFERROR(__xludf.DUMMYFUNCTION("""COMPUTED_VALUE"""),"INDEPENDENT")</f>
        <v>INDEPENDENT</v>
      </c>
      <c r="C1331" s="5" t="str">
        <f ca="1">IFERROR(__xludf.DUMMYFUNCTION("""COMPUTED_VALUE"""),"X-JB-1 SeaDragon")</f>
        <v>X-JB-1 SeaDragon</v>
      </c>
      <c r="D1331" s="5" t="str">
        <f ca="1">IFERROR(__xludf.DUMMYFUNCTION("""COMPUTED_VALUE"""),"Amphibian")</f>
        <v>Amphibian</v>
      </c>
      <c r="E1331" s="5" t="str">
        <f ca="1">IFERROR(__xludf.DUMMYFUNCTION("""COMPUTED_VALUE"""),"Piston")</f>
        <v>Piston</v>
      </c>
      <c r="F1331" s="5">
        <f ca="1">IFERROR(__xludf.DUMMYFUNCTION("""COMPUTED_VALUE"""),1)</f>
        <v>1</v>
      </c>
    </row>
    <row r="1332" spans="1:6" ht="15" customHeight="1" x14ac:dyDescent="0.2">
      <c r="A1332" s="5" t="str">
        <f ca="1">IFERROR(__xludf.DUMMYFUNCTION("""COMPUTED_VALUE"""),"JB15")</f>
        <v>JB15</v>
      </c>
      <c r="B1332" s="5" t="str">
        <f ca="1">IFERROR(__xludf.DUMMYFUNCTION("""COMPUTED_VALUE"""),"OBERLERCHNER")</f>
        <v>OBERLERCHNER</v>
      </c>
      <c r="C1332" s="5" t="str">
        <f ca="1">IFERROR(__xludf.DUMMYFUNCTION("""COMPUTED_VALUE"""),"JOB-15")</f>
        <v>JOB-15</v>
      </c>
      <c r="D1332" s="5" t="str">
        <f ca="1">IFERROR(__xludf.DUMMYFUNCTION("""COMPUTED_VALUE"""),"LandPlane")</f>
        <v>LandPlane</v>
      </c>
      <c r="E1332" s="5" t="str">
        <f ca="1">IFERROR(__xludf.DUMMYFUNCTION("""COMPUTED_VALUE"""),"Piston")</f>
        <v>Piston</v>
      </c>
      <c r="F1332" s="5">
        <f ca="1">IFERROR(__xludf.DUMMYFUNCTION("""COMPUTED_VALUE"""),1)</f>
        <v>1</v>
      </c>
    </row>
    <row r="1333" spans="1:6" ht="15" customHeight="1" x14ac:dyDescent="0.2">
      <c r="A1333" s="5" t="str">
        <f ca="1">IFERROR(__xludf.DUMMYFUNCTION("""COMPUTED_VALUE"""),"JC01")</f>
        <v>JC01</v>
      </c>
      <c r="B1333" s="5" t="str">
        <f ca="1">IFERROR(__xludf.DUMMYFUNCTION("""COMPUTED_VALUE"""),"COUPE")</f>
        <v>COUPE</v>
      </c>
      <c r="C1333" s="5" t="str">
        <f ca="1">IFERROR(__xludf.DUMMYFUNCTION("""COMPUTED_VALUE"""),"JC-01")</f>
        <v>JC-01</v>
      </c>
      <c r="D1333" s="5" t="str">
        <f ca="1">IFERROR(__xludf.DUMMYFUNCTION("""COMPUTED_VALUE"""),"LandPlane")</f>
        <v>LandPlane</v>
      </c>
      <c r="E1333" s="5" t="str">
        <f ca="1">IFERROR(__xludf.DUMMYFUNCTION("""COMPUTED_VALUE"""),"Piston")</f>
        <v>Piston</v>
      </c>
      <c r="F1333" s="5">
        <f ca="1">IFERROR(__xludf.DUMMYFUNCTION("""COMPUTED_VALUE"""),1)</f>
        <v>1</v>
      </c>
    </row>
    <row r="1334" spans="1:6" ht="15" customHeight="1" x14ac:dyDescent="0.2">
      <c r="A1334" s="5" t="str">
        <f ca="1">IFERROR(__xludf.DUMMYFUNCTION("""COMPUTED_VALUE"""),"JC02")</f>
        <v>JC02</v>
      </c>
      <c r="B1334" s="5" t="str">
        <f ca="1">IFERROR(__xludf.DUMMYFUNCTION("""COMPUTED_VALUE"""),"COUPE")</f>
        <v>COUPE</v>
      </c>
      <c r="C1334" s="5" t="str">
        <f ca="1">IFERROR(__xludf.DUMMYFUNCTION("""COMPUTED_VALUE"""),"JC-02")</f>
        <v>JC-02</v>
      </c>
      <c r="D1334" s="5" t="str">
        <f ca="1">IFERROR(__xludf.DUMMYFUNCTION("""COMPUTED_VALUE"""),"LandPlane")</f>
        <v>LandPlane</v>
      </c>
      <c r="E1334" s="5" t="str">
        <f ca="1">IFERROR(__xludf.DUMMYFUNCTION("""COMPUTED_VALUE"""),"Piston")</f>
        <v>Piston</v>
      </c>
      <c r="F1334" s="5">
        <f ca="1">IFERROR(__xludf.DUMMYFUNCTION("""COMPUTED_VALUE"""),1)</f>
        <v>1</v>
      </c>
    </row>
    <row r="1335" spans="1:6" ht="15" customHeight="1" x14ac:dyDescent="0.2">
      <c r="A1335" s="5" t="str">
        <f ca="1">IFERROR(__xludf.DUMMYFUNCTION("""COMPUTED_VALUE"""),"JCOM")</f>
        <v>JCOM</v>
      </c>
      <c r="B1335" s="5" t="str">
        <f ca="1">IFERROR(__xludf.DUMMYFUNCTION("""COMPUTED_VALUE"""),"AERO COMMANDER")</f>
        <v>AERO COMMANDER</v>
      </c>
      <c r="C1335" s="5" t="str">
        <f ca="1">IFERROR(__xludf.DUMMYFUNCTION("""COMPUTED_VALUE"""),"1121 Jet Commander")</f>
        <v>1121 Jet Commander</v>
      </c>
      <c r="D1335" s="5" t="str">
        <f ca="1">IFERROR(__xludf.DUMMYFUNCTION("""COMPUTED_VALUE"""),"LandPlane")</f>
        <v>LandPlane</v>
      </c>
      <c r="E1335" s="5" t="str">
        <f ca="1">IFERROR(__xludf.DUMMYFUNCTION("""COMPUTED_VALUE"""),"Jet")</f>
        <v>Jet</v>
      </c>
      <c r="F1335" s="5">
        <f ca="1">IFERROR(__xludf.DUMMYFUNCTION("""COMPUTED_VALUE"""),2)</f>
        <v>2</v>
      </c>
    </row>
    <row r="1336" spans="1:6" ht="15" customHeight="1" x14ac:dyDescent="0.2">
      <c r="A1336" s="5" t="str">
        <f ca="1">IFERROR(__xludf.DUMMYFUNCTION("""COMPUTED_VALUE"""),"JCRU")</f>
        <v>JCRU</v>
      </c>
      <c r="B1336" s="5" t="str">
        <f ca="1">IFERROR(__xludf.DUMMYFUNCTION("""COMPUTED_VALUE"""),"AASI")</f>
        <v>AASI</v>
      </c>
      <c r="C1336" s="5" t="str">
        <f ca="1">IFERROR(__xludf.DUMMYFUNCTION("""COMPUTED_VALUE"""),"Jetcruzer")</f>
        <v>Jetcruzer</v>
      </c>
      <c r="D1336" s="5" t="str">
        <f ca="1">IFERROR(__xludf.DUMMYFUNCTION("""COMPUTED_VALUE"""),"LandPlane")</f>
        <v>LandPlane</v>
      </c>
      <c r="E1336" s="5" t="str">
        <f ca="1">IFERROR(__xludf.DUMMYFUNCTION("""COMPUTED_VALUE"""),"Turboprop/Turboshaft")</f>
        <v>Turboprop/Turboshaft</v>
      </c>
      <c r="F1336" s="5">
        <f ca="1">IFERROR(__xludf.DUMMYFUNCTION("""COMPUTED_VALUE"""),1)</f>
        <v>1</v>
      </c>
    </row>
    <row r="1337" spans="1:6" ht="15" customHeight="1" x14ac:dyDescent="0.2">
      <c r="A1337" s="5" t="str">
        <f ca="1">IFERROR(__xludf.DUMMYFUNCTION("""COMPUTED_VALUE"""),"JD2")</f>
        <v>JD2</v>
      </c>
      <c r="B1337" s="5" t="str">
        <f ca="1">IFERROR(__xludf.DUMMYFUNCTION("""COMPUTED_VALUE"""),"DYKE")</f>
        <v>DYKE</v>
      </c>
      <c r="C1337" s="5" t="str">
        <f ca="1">IFERROR(__xludf.DUMMYFUNCTION("""COMPUTED_VALUE"""),"JD-2 Delta")</f>
        <v>JD-2 Delta</v>
      </c>
      <c r="D1337" s="5" t="str">
        <f ca="1">IFERROR(__xludf.DUMMYFUNCTION("""COMPUTED_VALUE"""),"LandPlane")</f>
        <v>LandPlane</v>
      </c>
      <c r="E1337" s="5" t="str">
        <f ca="1">IFERROR(__xludf.DUMMYFUNCTION("""COMPUTED_VALUE"""),"Piston")</f>
        <v>Piston</v>
      </c>
      <c r="F1337" s="5">
        <f ca="1">IFERROR(__xludf.DUMMYFUNCTION("""COMPUTED_VALUE"""),1)</f>
        <v>1</v>
      </c>
    </row>
    <row r="1338" spans="1:6" ht="15" customHeight="1" x14ac:dyDescent="0.2">
      <c r="A1338" s="5" t="str">
        <f ca="1">IFERROR(__xludf.DUMMYFUNCTION("""COMPUTED_VALUE"""),"JDOE")</f>
        <v>JDOE</v>
      </c>
      <c r="B1338" s="5" t="str">
        <f ca="1">IFERROR(__xludf.DUMMYFUNCTION("""COMPUTED_VALUE"""),"AMERICAN HOMEBUILTS")</f>
        <v>AMERICAN HOMEBUILTS</v>
      </c>
      <c r="C1338" s="5" t="str">
        <f ca="1">IFERROR(__xludf.DUMMYFUNCTION("""COMPUTED_VALUE"""),"John Doe")</f>
        <v>John Doe</v>
      </c>
      <c r="D1338" s="5" t="str">
        <f ca="1">IFERROR(__xludf.DUMMYFUNCTION("""COMPUTED_VALUE"""),"LandPlane")</f>
        <v>LandPlane</v>
      </c>
      <c r="E1338" s="5" t="str">
        <f ca="1">IFERROR(__xludf.DUMMYFUNCTION("""COMPUTED_VALUE"""),"Piston")</f>
        <v>Piston</v>
      </c>
      <c r="F1338" s="5">
        <f ca="1">IFERROR(__xludf.DUMMYFUNCTION("""COMPUTED_VALUE"""),1)</f>
        <v>1</v>
      </c>
    </row>
    <row r="1339" spans="1:6" ht="15" customHeight="1" x14ac:dyDescent="0.2">
      <c r="A1339" s="5" t="str">
        <f ca="1">IFERROR(__xludf.DUMMYFUNCTION("""COMPUTED_VALUE"""),"JE2")</f>
        <v>JE2</v>
      </c>
      <c r="B1339" s="5" t="str">
        <f ca="1">IFERROR(__xludf.DUMMYFUNCTION("""COMPUTED_VALUE"""),"EICH")</f>
        <v>EICH</v>
      </c>
      <c r="C1339" s="5" t="str">
        <f ca="1">IFERROR(__xludf.DUMMYFUNCTION("""COMPUTED_VALUE"""),"JE-2 Gyroplane")</f>
        <v>JE-2 Gyroplane</v>
      </c>
      <c r="D1339" s="5" t="str">
        <f ca="1">IFERROR(__xludf.DUMMYFUNCTION("""COMPUTED_VALUE"""),"Gyrocopter")</f>
        <v>Gyrocopter</v>
      </c>
      <c r="E1339" s="5" t="str">
        <f ca="1">IFERROR(__xludf.DUMMYFUNCTION("""COMPUTED_VALUE"""),"Piston")</f>
        <v>Piston</v>
      </c>
      <c r="F1339" s="5">
        <f ca="1">IFERROR(__xludf.DUMMYFUNCTION("""COMPUTED_VALUE"""),1)</f>
        <v>1</v>
      </c>
    </row>
    <row r="1340" spans="1:6" ht="15" customHeight="1" x14ac:dyDescent="0.2">
      <c r="A1340" s="5" t="str">
        <f ca="1">IFERROR(__xludf.DUMMYFUNCTION("""COMPUTED_VALUE"""),"JFOX")</f>
        <v>JFOX</v>
      </c>
      <c r="B1340" s="5" t="str">
        <f ca="1">IFERROR(__xludf.DUMMYFUNCTION("""COMPUTED_VALUE"""),"EUROALA")</f>
        <v>EUROALA</v>
      </c>
      <c r="C1340" s="5" t="str">
        <f ca="1">IFERROR(__xludf.DUMMYFUNCTION("""COMPUTED_VALUE"""),"Jet Fox")</f>
        <v>Jet Fox</v>
      </c>
      <c r="D1340" s="5" t="str">
        <f ca="1">IFERROR(__xludf.DUMMYFUNCTION("""COMPUTED_VALUE"""),"LandPlane")</f>
        <v>LandPlane</v>
      </c>
      <c r="E1340" s="5" t="str">
        <f ca="1">IFERROR(__xludf.DUMMYFUNCTION("""COMPUTED_VALUE"""),"Piston")</f>
        <v>Piston</v>
      </c>
      <c r="F1340" s="5">
        <f ca="1">IFERROR(__xludf.DUMMYFUNCTION("""COMPUTED_VALUE"""),1)</f>
        <v>1</v>
      </c>
    </row>
    <row r="1341" spans="1:6" ht="15" customHeight="1" x14ac:dyDescent="0.2">
      <c r="A1341" s="5" t="str">
        <f ca="1">IFERROR(__xludf.DUMMYFUNCTION("""COMPUTED_VALUE"""),"JH7")</f>
        <v>JH7</v>
      </c>
      <c r="B1341" s="5" t="str">
        <f ca="1">IFERROR(__xludf.DUMMYFUNCTION("""COMPUTED_VALUE"""),"XIAN")</f>
        <v>XIAN</v>
      </c>
      <c r="C1341" s="5" t="str">
        <f ca="1">IFERROR(__xludf.DUMMYFUNCTION("""COMPUTED_VALUE"""),"JH-7")</f>
        <v>JH-7</v>
      </c>
      <c r="D1341" s="5" t="str">
        <f ca="1">IFERROR(__xludf.DUMMYFUNCTION("""COMPUTED_VALUE"""),"LandPlane")</f>
        <v>LandPlane</v>
      </c>
      <c r="E1341" s="5" t="str">
        <f ca="1">IFERROR(__xludf.DUMMYFUNCTION("""COMPUTED_VALUE"""),"Jet")</f>
        <v>Jet</v>
      </c>
      <c r="F1341" s="5">
        <f ca="1">IFERROR(__xludf.DUMMYFUNCTION("""COMPUTED_VALUE"""),2)</f>
        <v>2</v>
      </c>
    </row>
    <row r="1342" spans="1:6" ht="15" customHeight="1" x14ac:dyDescent="0.2">
      <c r="A1342" s="5" t="str">
        <f ca="1">IFERROR(__xludf.DUMMYFUNCTION("""COMPUTED_VALUE"""),"JK05")</f>
        <v>JK05</v>
      </c>
      <c r="B1342" s="5" t="str">
        <f ca="1">IFERROR(__xludf.DUMMYFUNCTION("""COMPUTED_VALUE"""),"EKOLOT")</f>
        <v>EKOLOT</v>
      </c>
      <c r="C1342" s="5" t="str">
        <f ca="1">IFERROR(__xludf.DUMMYFUNCTION("""COMPUTED_VALUE"""),"JK-05 Beetle")</f>
        <v>JK-05 Beetle</v>
      </c>
      <c r="D1342" s="5" t="str">
        <f ca="1">IFERROR(__xludf.DUMMYFUNCTION("""COMPUTED_VALUE"""),"LandPlane")</f>
        <v>LandPlane</v>
      </c>
      <c r="E1342" s="5" t="str">
        <f ca="1">IFERROR(__xludf.DUMMYFUNCTION("""COMPUTED_VALUE"""),"Piston")</f>
        <v>Piston</v>
      </c>
      <c r="F1342" s="5">
        <f ca="1">IFERROR(__xludf.DUMMYFUNCTION("""COMPUTED_VALUE"""),1)</f>
        <v>1</v>
      </c>
    </row>
    <row r="1343" spans="1:6" ht="15" customHeight="1" x14ac:dyDescent="0.2">
      <c r="A1343" s="5" t="str">
        <f ca="1">IFERROR(__xludf.DUMMYFUNCTION("""COMPUTED_VALUE"""),"JL9")</f>
        <v>JL9</v>
      </c>
      <c r="B1343" s="5" t="str">
        <f ca="1">IFERROR(__xludf.DUMMYFUNCTION("""COMPUTED_VALUE"""),"GUIZHOU")</f>
        <v>GUIZHOU</v>
      </c>
      <c r="C1343" s="5" t="str">
        <f ca="1">IFERROR(__xludf.DUMMYFUNCTION("""COMPUTED_VALUE"""),"JL-9 Shanying")</f>
        <v>JL-9 Shanying</v>
      </c>
      <c r="D1343" s="5" t="str">
        <f ca="1">IFERROR(__xludf.DUMMYFUNCTION("""COMPUTED_VALUE"""),"LandPlane")</f>
        <v>LandPlane</v>
      </c>
      <c r="E1343" s="5" t="str">
        <f ca="1">IFERROR(__xludf.DUMMYFUNCTION("""COMPUTED_VALUE"""),"Jet")</f>
        <v>Jet</v>
      </c>
      <c r="F1343" s="5">
        <f ca="1">IFERROR(__xludf.DUMMYFUNCTION("""COMPUTED_VALUE"""),1)</f>
        <v>1</v>
      </c>
    </row>
    <row r="1344" spans="1:6" ht="15" customHeight="1" x14ac:dyDescent="0.2">
      <c r="A1344" s="5" t="str">
        <f ca="1">IFERROR(__xludf.DUMMYFUNCTION("""COMPUTED_VALUE"""),"JN76")</f>
        <v>JN76</v>
      </c>
      <c r="B1344" s="5" t="str">
        <f ca="1">IFERROR(__xludf.DUMMYFUNCTION("""COMPUTED_VALUE"""),"CAUDRON")</f>
        <v>CAUDRON</v>
      </c>
      <c r="C1344" s="5" t="str">
        <f ca="1">IFERROR(__xludf.DUMMYFUNCTION("""COMPUTED_VALUE"""),"JN-760 Cyclone Replica")</f>
        <v>JN-760 Cyclone Replica</v>
      </c>
      <c r="D1344" s="5" t="str">
        <f ca="1">IFERROR(__xludf.DUMMYFUNCTION("""COMPUTED_VALUE"""),"LandPlane")</f>
        <v>LandPlane</v>
      </c>
      <c r="E1344" s="5" t="str">
        <f ca="1">IFERROR(__xludf.DUMMYFUNCTION("""COMPUTED_VALUE"""),"Piston")</f>
        <v>Piston</v>
      </c>
      <c r="F1344" s="5">
        <f ca="1">IFERROR(__xludf.DUMMYFUNCTION("""COMPUTED_VALUE"""),1)</f>
        <v>1</v>
      </c>
    </row>
    <row r="1345" spans="1:6" ht="15" customHeight="1" x14ac:dyDescent="0.2">
      <c r="A1345" s="5" t="str">
        <f ca="1">IFERROR(__xludf.DUMMYFUNCTION("""COMPUTED_VALUE"""),"JPM1")</f>
        <v>JPM1</v>
      </c>
      <c r="B1345" s="5" t="str">
        <f ca="1">IFERROR(__xludf.DUMMYFUNCTION("""COMPUTED_VALUE"""),"MARIE")</f>
        <v>MARIE</v>
      </c>
      <c r="C1345" s="5" t="str">
        <f ca="1">IFERROR(__xludf.DUMMYFUNCTION("""COMPUTED_VALUE"""),"JPM-01 Medoc")</f>
        <v>JPM-01 Medoc</v>
      </c>
      <c r="D1345" s="5" t="str">
        <f ca="1">IFERROR(__xludf.DUMMYFUNCTION("""COMPUTED_VALUE"""),"LandPlane")</f>
        <v>LandPlane</v>
      </c>
      <c r="E1345" s="5" t="str">
        <f ca="1">IFERROR(__xludf.DUMMYFUNCTION("""COMPUTED_VALUE"""),"Piston")</f>
        <v>Piston</v>
      </c>
      <c r="F1345" s="5">
        <f ca="1">IFERROR(__xludf.DUMMYFUNCTION("""COMPUTED_VALUE"""),1)</f>
        <v>1</v>
      </c>
    </row>
    <row r="1346" spans="1:6" ht="15" customHeight="1" x14ac:dyDescent="0.2">
      <c r="A1346" s="5" t="str">
        <f ca="1">IFERROR(__xludf.DUMMYFUNCTION("""COMPUTED_VALUE"""),"JPRO")</f>
        <v>JPRO</v>
      </c>
      <c r="B1346" s="5" t="str">
        <f ca="1">IFERROR(__xludf.DUMMYFUNCTION("""COMPUTED_VALUE"""),"BAC")</f>
        <v>BAC</v>
      </c>
      <c r="C1346" s="5" t="str">
        <f ca="1">IFERROR(__xludf.DUMMYFUNCTION("""COMPUTED_VALUE"""),"145 Jet Provost")</f>
        <v>145 Jet Provost</v>
      </c>
      <c r="D1346" s="5" t="str">
        <f ca="1">IFERROR(__xludf.DUMMYFUNCTION("""COMPUTED_VALUE"""),"LandPlane")</f>
        <v>LandPlane</v>
      </c>
      <c r="E1346" s="5" t="str">
        <f ca="1">IFERROR(__xludf.DUMMYFUNCTION("""COMPUTED_VALUE"""),"Jet")</f>
        <v>Jet</v>
      </c>
      <c r="F1346" s="5">
        <f ca="1">IFERROR(__xludf.DUMMYFUNCTION("""COMPUTED_VALUE"""),1)</f>
        <v>1</v>
      </c>
    </row>
    <row r="1347" spans="1:6" ht="15" customHeight="1" x14ac:dyDescent="0.2">
      <c r="A1347" s="5" t="str">
        <f ca="1">IFERROR(__xludf.DUMMYFUNCTION("""COMPUTED_VALUE"""),"JRC1")</f>
        <v>JRC1</v>
      </c>
      <c r="B1347" s="5" t="str">
        <f ca="1">IFERROR(__xludf.DUMMYFUNCTION("""COMPUTED_VALUE"""),"CHALARD")</f>
        <v>CHALARD</v>
      </c>
      <c r="C1347" s="5" t="str">
        <f ca="1">IFERROR(__xludf.DUMMYFUNCTION("""COMPUTED_VALUE"""),"JRC-01 Julcar")</f>
        <v>JRC-01 Julcar</v>
      </c>
      <c r="D1347" s="5" t="str">
        <f ca="1">IFERROR(__xludf.DUMMYFUNCTION("""COMPUTED_VALUE"""),"LandPlane")</f>
        <v>LandPlane</v>
      </c>
      <c r="E1347" s="5" t="str">
        <f ca="1">IFERROR(__xludf.DUMMYFUNCTION("""COMPUTED_VALUE"""),"Piston")</f>
        <v>Piston</v>
      </c>
      <c r="F1347" s="5">
        <f ca="1">IFERROR(__xludf.DUMMYFUNCTION("""COMPUTED_VALUE"""),1)</f>
        <v>1</v>
      </c>
    </row>
    <row r="1348" spans="1:6" ht="15" customHeight="1" x14ac:dyDescent="0.2">
      <c r="A1348" s="5" t="str">
        <f ca="1">IFERROR(__xludf.DUMMYFUNCTION("""COMPUTED_VALUE"""),"JS1")</f>
        <v>JS1</v>
      </c>
      <c r="B1348" s="5" t="str">
        <f ca="1">IFERROR(__xludf.DUMMYFUNCTION("""COMPUTED_VALUE"""),"JETSTREAM")</f>
        <v>JETSTREAM</v>
      </c>
      <c r="C1348" s="5" t="str">
        <f ca="1">IFERROR(__xludf.DUMMYFUNCTION("""COMPUTED_VALUE"""),"Jetstream 1")</f>
        <v>Jetstream 1</v>
      </c>
      <c r="D1348" s="5" t="str">
        <f ca="1">IFERROR(__xludf.DUMMYFUNCTION("""COMPUTED_VALUE"""),"LandPlane")</f>
        <v>LandPlane</v>
      </c>
      <c r="E1348" s="5" t="str">
        <f ca="1">IFERROR(__xludf.DUMMYFUNCTION("""COMPUTED_VALUE"""),"Turboprop/Turboshaft")</f>
        <v>Turboprop/Turboshaft</v>
      </c>
      <c r="F1348" s="5">
        <f ca="1">IFERROR(__xludf.DUMMYFUNCTION("""COMPUTED_VALUE"""),2)</f>
        <v>2</v>
      </c>
    </row>
    <row r="1349" spans="1:6" ht="15" customHeight="1" x14ac:dyDescent="0.2">
      <c r="A1349" s="5" t="str">
        <f ca="1">IFERROR(__xludf.DUMMYFUNCTION("""COMPUTED_VALUE"""),"JS20")</f>
        <v>JS20</v>
      </c>
      <c r="B1349" s="5" t="str">
        <f ca="1">IFERROR(__xludf.DUMMYFUNCTION("""COMPUTED_VALUE"""),"JETSTREAM")</f>
        <v>JETSTREAM</v>
      </c>
      <c r="C1349" s="5" t="str">
        <f ca="1">IFERROR(__xludf.DUMMYFUNCTION("""COMPUTED_VALUE"""),"Jetstream 200")</f>
        <v>Jetstream 200</v>
      </c>
      <c r="D1349" s="5" t="str">
        <f ca="1">IFERROR(__xludf.DUMMYFUNCTION("""COMPUTED_VALUE"""),"LandPlane")</f>
        <v>LandPlane</v>
      </c>
      <c r="E1349" s="5" t="str">
        <f ca="1">IFERROR(__xludf.DUMMYFUNCTION("""COMPUTED_VALUE"""),"Turboprop/Turboshaft")</f>
        <v>Turboprop/Turboshaft</v>
      </c>
      <c r="F1349" s="5">
        <f ca="1">IFERROR(__xludf.DUMMYFUNCTION("""COMPUTED_VALUE"""),2)</f>
        <v>2</v>
      </c>
    </row>
    <row r="1350" spans="1:6" ht="15" customHeight="1" x14ac:dyDescent="0.2">
      <c r="A1350" s="5" t="str">
        <f ca="1">IFERROR(__xludf.DUMMYFUNCTION("""COMPUTED_VALUE"""),"JS3")</f>
        <v>JS3</v>
      </c>
      <c r="B1350" s="5" t="str">
        <f ca="1">IFERROR(__xludf.DUMMYFUNCTION("""COMPUTED_VALUE"""),"CENTURY")</f>
        <v>CENTURY</v>
      </c>
      <c r="C1350" s="5" t="str">
        <f ca="1">IFERROR(__xludf.DUMMYFUNCTION("""COMPUTED_VALUE"""),"Jetstream 3")</f>
        <v>Jetstream 3</v>
      </c>
      <c r="D1350" s="5" t="str">
        <f ca="1">IFERROR(__xludf.DUMMYFUNCTION("""COMPUTED_VALUE"""),"LandPlane")</f>
        <v>LandPlane</v>
      </c>
      <c r="E1350" s="5" t="str">
        <f ca="1">IFERROR(__xludf.DUMMYFUNCTION("""COMPUTED_VALUE"""),"Turboprop/Turboshaft")</f>
        <v>Turboprop/Turboshaft</v>
      </c>
      <c r="F1350" s="5">
        <f ca="1">IFERROR(__xludf.DUMMYFUNCTION("""COMPUTED_VALUE"""),2)</f>
        <v>2</v>
      </c>
    </row>
    <row r="1351" spans="1:6" ht="15" customHeight="1" x14ac:dyDescent="0.2">
      <c r="A1351" s="5" t="str">
        <f ca="1">IFERROR(__xludf.DUMMYFUNCTION("""COMPUTED_VALUE"""),"JS31")</f>
        <v>JS31</v>
      </c>
      <c r="B1351" s="5" t="str">
        <f ca="1">IFERROR(__xludf.DUMMYFUNCTION("""COMPUTED_VALUE"""),"BRITISH AEROSPACE")</f>
        <v>BRITISH AEROSPACE</v>
      </c>
      <c r="C1351" s="5" t="str">
        <f ca="1">IFERROR(__xludf.DUMMYFUNCTION("""COMPUTED_VALUE"""),"Jetstream 31")</f>
        <v>Jetstream 31</v>
      </c>
      <c r="D1351" s="5" t="str">
        <f ca="1">IFERROR(__xludf.DUMMYFUNCTION("""COMPUTED_VALUE"""),"LandPlane")</f>
        <v>LandPlane</v>
      </c>
      <c r="E1351" s="5" t="str">
        <f ca="1">IFERROR(__xludf.DUMMYFUNCTION("""COMPUTED_VALUE"""),"Turboprop/Turboshaft")</f>
        <v>Turboprop/Turboshaft</v>
      </c>
      <c r="F1351" s="5">
        <f ca="1">IFERROR(__xludf.DUMMYFUNCTION("""COMPUTED_VALUE"""),2)</f>
        <v>2</v>
      </c>
    </row>
    <row r="1352" spans="1:6" ht="15" customHeight="1" x14ac:dyDescent="0.2">
      <c r="A1352" s="5" t="str">
        <f ca="1">IFERROR(__xludf.DUMMYFUNCTION("""COMPUTED_VALUE"""),"JS32")</f>
        <v>JS32</v>
      </c>
      <c r="B1352" s="5" t="str">
        <f ca="1">IFERROR(__xludf.DUMMYFUNCTION("""COMPUTED_VALUE"""),"BRITISH AEROSPACE")</f>
        <v>BRITISH AEROSPACE</v>
      </c>
      <c r="C1352" s="5" t="str">
        <f ca="1">IFERROR(__xludf.DUMMYFUNCTION("""COMPUTED_VALUE"""),"Jetstream Super 31")</f>
        <v>Jetstream Super 31</v>
      </c>
      <c r="D1352" s="5" t="str">
        <f ca="1">IFERROR(__xludf.DUMMYFUNCTION("""COMPUTED_VALUE"""),"LandPlane")</f>
        <v>LandPlane</v>
      </c>
      <c r="E1352" s="5" t="str">
        <f ca="1">IFERROR(__xludf.DUMMYFUNCTION("""COMPUTED_VALUE"""),"Turboprop/Turboshaft")</f>
        <v>Turboprop/Turboshaft</v>
      </c>
      <c r="F1352" s="5">
        <f ca="1">IFERROR(__xludf.DUMMYFUNCTION("""COMPUTED_VALUE"""),2)</f>
        <v>2</v>
      </c>
    </row>
    <row r="1353" spans="1:6" ht="15" customHeight="1" x14ac:dyDescent="0.2">
      <c r="A1353" s="5" t="str">
        <f ca="1">IFERROR(__xludf.DUMMYFUNCTION("""COMPUTED_VALUE"""),"JS41")</f>
        <v>JS41</v>
      </c>
      <c r="B1353" s="5" t="str">
        <f ca="1">IFERROR(__xludf.DUMMYFUNCTION("""COMPUTED_VALUE"""),"BRITISH AEROSPACE")</f>
        <v>BRITISH AEROSPACE</v>
      </c>
      <c r="C1353" s="5" t="str">
        <f ca="1">IFERROR(__xludf.DUMMYFUNCTION("""COMPUTED_VALUE"""),"Jetstream 41")</f>
        <v>Jetstream 41</v>
      </c>
      <c r="D1353" s="5" t="str">
        <f ca="1">IFERROR(__xludf.DUMMYFUNCTION("""COMPUTED_VALUE"""),"LandPlane")</f>
        <v>LandPlane</v>
      </c>
      <c r="E1353" s="5" t="str">
        <f ca="1">IFERROR(__xludf.DUMMYFUNCTION("""COMPUTED_VALUE"""),"Turboprop/Turboshaft")</f>
        <v>Turboprop/Turboshaft</v>
      </c>
      <c r="F1353" s="5">
        <f ca="1">IFERROR(__xludf.DUMMYFUNCTION("""COMPUTED_VALUE"""),2)</f>
        <v>2</v>
      </c>
    </row>
    <row r="1354" spans="1:6" ht="15" customHeight="1" x14ac:dyDescent="0.2">
      <c r="A1354" s="5" t="str">
        <f ca="1">IFERROR(__xludf.DUMMYFUNCTION("""COMPUTED_VALUE"""),"JSQA")</f>
        <v>JSQA</v>
      </c>
      <c r="B1354" s="5" t="str">
        <f ca="1">IFERROR(__xludf.DUMMYFUNCTION("""COMPUTED_VALUE"""),"PROMAVIA")</f>
        <v>PROMAVIA</v>
      </c>
      <c r="C1354" s="5" t="str">
        <f ca="1">IFERROR(__xludf.DUMMYFUNCTION("""COMPUTED_VALUE"""),"F-1300 Jet Squalus")</f>
        <v>F-1300 Jet Squalus</v>
      </c>
      <c r="D1354" s="5" t="str">
        <f ca="1">IFERROR(__xludf.DUMMYFUNCTION("""COMPUTED_VALUE"""),"LandPlane")</f>
        <v>LandPlane</v>
      </c>
      <c r="E1354" s="5" t="str">
        <f ca="1">IFERROR(__xludf.DUMMYFUNCTION("""COMPUTED_VALUE"""),"Jet")</f>
        <v>Jet</v>
      </c>
      <c r="F1354" s="5">
        <f ca="1">IFERROR(__xludf.DUMMYFUNCTION("""COMPUTED_VALUE"""),1)</f>
        <v>1</v>
      </c>
    </row>
    <row r="1355" spans="1:6" ht="15" customHeight="1" x14ac:dyDescent="0.2">
      <c r="A1355" s="5" t="str">
        <f ca="1">IFERROR(__xludf.DUMMYFUNCTION("""COMPUTED_VALUE"""),"JSX")</f>
        <v>JSX</v>
      </c>
      <c r="B1355" s="5" t="str">
        <f ca="1">IFERROR(__xludf.DUMMYFUNCTION("""COMPUTED_VALUE"""),"SONEX")</f>
        <v>SONEX</v>
      </c>
      <c r="C1355" s="5" t="str">
        <f ca="1">IFERROR(__xludf.DUMMYFUNCTION("""COMPUTED_VALUE"""),"JSX SubSonex")</f>
        <v>JSX SubSonex</v>
      </c>
      <c r="D1355" s="5" t="str">
        <f ca="1">IFERROR(__xludf.DUMMYFUNCTION("""COMPUTED_VALUE"""),"LandPlane")</f>
        <v>LandPlane</v>
      </c>
      <c r="E1355" s="5" t="str">
        <f ca="1">IFERROR(__xludf.DUMMYFUNCTION("""COMPUTED_VALUE"""),"Jet")</f>
        <v>Jet</v>
      </c>
      <c r="F1355" s="5">
        <f ca="1">IFERROR(__xludf.DUMMYFUNCTION("""COMPUTED_VALUE"""),1)</f>
        <v>1</v>
      </c>
    </row>
    <row r="1356" spans="1:6" ht="15" customHeight="1" x14ac:dyDescent="0.2">
      <c r="A1356" s="5" t="str">
        <f ca="1">IFERROR(__xludf.DUMMYFUNCTION("""COMPUTED_VALUE"""),"JT2")</f>
        <v>JT2</v>
      </c>
      <c r="B1356" s="5" t="str">
        <f ca="1">IFERROR(__xludf.DUMMYFUNCTION("""COMPUTED_VALUE"""),"TAYLOR (4)")</f>
        <v>TAYLOR (4)</v>
      </c>
      <c r="C1356" s="5" t="str">
        <f ca="1">IFERROR(__xludf.DUMMYFUNCTION("""COMPUTED_VALUE"""),"JT-2 Titch")</f>
        <v>JT-2 Titch</v>
      </c>
      <c r="D1356" s="5" t="str">
        <f ca="1">IFERROR(__xludf.DUMMYFUNCTION("""COMPUTED_VALUE"""),"LandPlane")</f>
        <v>LandPlane</v>
      </c>
      <c r="E1356" s="5" t="str">
        <f ca="1">IFERROR(__xludf.DUMMYFUNCTION("""COMPUTED_VALUE"""),"Piston")</f>
        <v>Piston</v>
      </c>
      <c r="F1356" s="5">
        <f ca="1">IFERROR(__xludf.DUMMYFUNCTION("""COMPUTED_VALUE"""),1)</f>
        <v>1</v>
      </c>
    </row>
    <row r="1357" spans="1:6" ht="15" customHeight="1" x14ac:dyDescent="0.2">
      <c r="A1357" s="5" t="str">
        <f ca="1">IFERROR(__xludf.DUMMYFUNCTION("""COMPUTED_VALUE"""),"JU52")</f>
        <v>JU52</v>
      </c>
      <c r="B1357" s="5" t="str">
        <f ca="1">IFERROR(__xludf.DUMMYFUNCTION("""COMPUTED_VALUE"""),"JUNKERS")</f>
        <v>JUNKERS</v>
      </c>
      <c r="C1357" s="5" t="str">
        <f ca="1">IFERROR(__xludf.DUMMYFUNCTION("""COMPUTED_VALUE"""),"Ju-52/3m")</f>
        <v>Ju-52/3m</v>
      </c>
      <c r="D1357" s="5" t="str">
        <f ca="1">IFERROR(__xludf.DUMMYFUNCTION("""COMPUTED_VALUE"""),"LandPlane")</f>
        <v>LandPlane</v>
      </c>
      <c r="E1357" s="5" t="str">
        <f ca="1">IFERROR(__xludf.DUMMYFUNCTION("""COMPUTED_VALUE"""),"Piston")</f>
        <v>Piston</v>
      </c>
      <c r="F1357" s="5">
        <f ca="1">IFERROR(__xludf.DUMMYFUNCTION("""COMPUTED_VALUE"""),3)</f>
        <v>3</v>
      </c>
    </row>
    <row r="1358" spans="1:6" ht="15" customHeight="1" x14ac:dyDescent="0.2">
      <c r="A1358" s="5" t="str">
        <f ca="1">IFERROR(__xludf.DUMMYFUNCTION("""COMPUTED_VALUE"""),"JUN1")</f>
        <v>JUN1</v>
      </c>
      <c r="B1358" s="5" t="str">
        <f ca="1">IFERROR(__xludf.DUMMYFUNCTION("""COMPUTED_VALUE"""),"KAMINSKAS")</f>
        <v>KAMINSKAS</v>
      </c>
      <c r="C1358" s="5" t="str">
        <f ca="1">IFERROR(__xludf.DUMMYFUNCTION("""COMPUTED_VALUE"""),"RK-1 Jungster 1")</f>
        <v>RK-1 Jungster 1</v>
      </c>
      <c r="D1358" s="5" t="str">
        <f ca="1">IFERROR(__xludf.DUMMYFUNCTION("""COMPUTED_VALUE"""),"LandPlane")</f>
        <v>LandPlane</v>
      </c>
      <c r="E1358" s="5" t="str">
        <f ca="1">IFERROR(__xludf.DUMMYFUNCTION("""COMPUTED_VALUE"""),"Piston")</f>
        <v>Piston</v>
      </c>
      <c r="F1358" s="5">
        <f ca="1">IFERROR(__xludf.DUMMYFUNCTION("""COMPUTED_VALUE"""),1)</f>
        <v>1</v>
      </c>
    </row>
    <row r="1359" spans="1:6" ht="15" customHeight="1" x14ac:dyDescent="0.2">
      <c r="A1359" s="5" t="str">
        <f ca="1">IFERROR(__xludf.DUMMYFUNCTION("""COMPUTED_VALUE"""),"JUN2")</f>
        <v>JUN2</v>
      </c>
      <c r="B1359" s="5" t="str">
        <f ca="1">IFERROR(__xludf.DUMMYFUNCTION("""COMPUTED_VALUE"""),"KAMINSKAS")</f>
        <v>KAMINSKAS</v>
      </c>
      <c r="C1359" s="5" t="str">
        <f ca="1">IFERROR(__xludf.DUMMYFUNCTION("""COMPUTED_VALUE"""),"RK-2 Jungster 2")</f>
        <v>RK-2 Jungster 2</v>
      </c>
      <c r="D1359" s="5" t="str">
        <f ca="1">IFERROR(__xludf.DUMMYFUNCTION("""COMPUTED_VALUE"""),"LandPlane")</f>
        <v>LandPlane</v>
      </c>
      <c r="E1359" s="5" t="str">
        <f ca="1">IFERROR(__xludf.DUMMYFUNCTION("""COMPUTED_VALUE"""),"Piston")</f>
        <v>Piston</v>
      </c>
      <c r="F1359" s="5">
        <f ca="1">IFERROR(__xludf.DUMMYFUNCTION("""COMPUTED_VALUE"""),1)</f>
        <v>1</v>
      </c>
    </row>
    <row r="1360" spans="1:6" ht="15" customHeight="1" x14ac:dyDescent="0.2">
      <c r="A1360" s="5" t="str">
        <f ca="1">IFERROR(__xludf.DUMMYFUNCTION("""COMPUTED_VALUE"""),"JUNR")</f>
        <v>JUNR</v>
      </c>
      <c r="B1360" s="5" t="str">
        <f ca="1">IFERROR(__xludf.DUMMYFUNCTION("""COMPUTED_VALUE"""),"BOLKOW")</f>
        <v>BOLKOW</v>
      </c>
      <c r="C1360" s="5" t="str">
        <f ca="1">IFERROR(__xludf.DUMMYFUNCTION("""COMPUTED_VALUE"""),"BO-208 Junior")</f>
        <v>BO-208 Junior</v>
      </c>
      <c r="D1360" s="5" t="str">
        <f ca="1">IFERROR(__xludf.DUMMYFUNCTION("""COMPUTED_VALUE"""),"LandPlane")</f>
        <v>LandPlane</v>
      </c>
      <c r="E1360" s="5" t="str">
        <f ca="1">IFERROR(__xludf.DUMMYFUNCTION("""COMPUTED_VALUE"""),"Piston")</f>
        <v>Piston</v>
      </c>
      <c r="F1360" s="5">
        <f ca="1">IFERROR(__xludf.DUMMYFUNCTION("""COMPUTED_VALUE"""),1)</f>
        <v>1</v>
      </c>
    </row>
    <row r="1361" spans="1:6" ht="15" customHeight="1" x14ac:dyDescent="0.2">
      <c r="A1361" s="5" t="str">
        <f ca="1">IFERROR(__xludf.DUMMYFUNCTION("""COMPUTED_VALUE"""),"JUPI")</f>
        <v>JUPI</v>
      </c>
      <c r="B1361" s="5" t="str">
        <f ca="1">IFERROR(__xludf.DUMMYFUNCTION("""COMPUTED_VALUE"""),"LAMMER GEYER")</f>
        <v>LAMMER GEYER</v>
      </c>
      <c r="C1361" s="5" t="str">
        <f ca="1">IFERROR(__xludf.DUMMYFUNCTION("""COMPUTED_VALUE"""),"Jupiter")</f>
        <v>Jupiter</v>
      </c>
      <c r="D1361" s="5" t="str">
        <f ca="1">IFERROR(__xludf.DUMMYFUNCTION("""COMPUTED_VALUE"""),"LandPlane")</f>
        <v>LandPlane</v>
      </c>
      <c r="E1361" s="5" t="str">
        <f ca="1">IFERROR(__xludf.DUMMYFUNCTION("""COMPUTED_VALUE"""),"Piston")</f>
        <v>Piston</v>
      </c>
      <c r="F1361" s="5">
        <f ca="1">IFERROR(__xludf.DUMMYFUNCTION("""COMPUTED_VALUE"""),1)</f>
        <v>1</v>
      </c>
    </row>
    <row r="1362" spans="1:6" ht="15" customHeight="1" x14ac:dyDescent="0.2">
      <c r="A1362" s="5" t="str">
        <f ca="1">IFERROR(__xludf.DUMMYFUNCTION("""COMPUTED_VALUE"""),"K100")</f>
        <v>K100</v>
      </c>
      <c r="B1362" s="5" t="str">
        <f ca="1">IFERROR(__xludf.DUMMYFUNCTION("""COMPUTED_VALUE"""),"DAHER")</f>
        <v>DAHER</v>
      </c>
      <c r="C1362" s="5" t="str">
        <f ca="1">IFERROR(__xludf.DUMMYFUNCTION("""COMPUTED_VALUE"""),"Kodiak 100")</f>
        <v>Kodiak 100</v>
      </c>
      <c r="D1362" s="5" t="str">
        <f ca="1">IFERROR(__xludf.DUMMYFUNCTION("""COMPUTED_VALUE"""),"LandPlane")</f>
        <v>LandPlane</v>
      </c>
      <c r="E1362" s="5" t="str">
        <f ca="1">IFERROR(__xludf.DUMMYFUNCTION("""COMPUTED_VALUE"""),"Turboprop/Turboshaft")</f>
        <v>Turboprop/Turboshaft</v>
      </c>
      <c r="F1362" s="5">
        <f ca="1">IFERROR(__xludf.DUMMYFUNCTION("""COMPUTED_VALUE"""),1)</f>
        <v>1</v>
      </c>
    </row>
    <row r="1363" spans="1:6" ht="15" customHeight="1" x14ac:dyDescent="0.2">
      <c r="A1363" s="5" t="str">
        <f ca="1">IFERROR(__xludf.DUMMYFUNCTION("""COMPUTED_VALUE"""),"K126")</f>
        <v>K126</v>
      </c>
      <c r="B1363" s="5" t="str">
        <f ca="1">IFERROR(__xludf.DUMMYFUNCTION("""COMPUTED_VALUE"""),"KAMOV")</f>
        <v>KAMOV</v>
      </c>
      <c r="C1363" s="5" t="str">
        <f ca="1">IFERROR(__xludf.DUMMYFUNCTION("""COMPUTED_VALUE"""),"Ka-126")</f>
        <v>Ka-126</v>
      </c>
      <c r="D1363" s="5" t="str">
        <f ca="1">IFERROR(__xludf.DUMMYFUNCTION("""COMPUTED_VALUE"""),"Helicopter")</f>
        <v>Helicopter</v>
      </c>
      <c r="E1363" s="5" t="str">
        <f ca="1">IFERROR(__xludf.DUMMYFUNCTION("""COMPUTED_VALUE"""),"Turboprop/Turboshaft")</f>
        <v>Turboprop/Turboshaft</v>
      </c>
      <c r="F1363" s="5">
        <f ca="1">IFERROR(__xludf.DUMMYFUNCTION("""COMPUTED_VALUE"""),1)</f>
        <v>1</v>
      </c>
    </row>
    <row r="1364" spans="1:6" ht="15" customHeight="1" x14ac:dyDescent="0.2">
      <c r="A1364" s="5" t="str">
        <f ca="1">IFERROR(__xludf.DUMMYFUNCTION("""COMPUTED_VALUE"""),"K200")</f>
        <v>K200</v>
      </c>
      <c r="B1364" s="5" t="str">
        <f ca="1">IFERROR(__xludf.DUMMYFUNCTION("""COMPUTED_VALUE"""),"DAHER")</f>
        <v>DAHER</v>
      </c>
      <c r="C1364" s="5" t="str">
        <f ca="1">IFERROR(__xludf.DUMMYFUNCTION("""COMPUTED_VALUE"""),"Kodiak 200")</f>
        <v>Kodiak 200</v>
      </c>
      <c r="D1364" s="5" t="str">
        <f ca="1">IFERROR(__xludf.DUMMYFUNCTION("""COMPUTED_VALUE"""),"LandPlane")</f>
        <v>LandPlane</v>
      </c>
      <c r="E1364" s="5" t="str">
        <f ca="1">IFERROR(__xludf.DUMMYFUNCTION("""COMPUTED_VALUE"""),"Turboprop/Turboshaft")</f>
        <v>Turboprop/Turboshaft</v>
      </c>
      <c r="F1364" s="5">
        <f ca="1">IFERROR(__xludf.DUMMYFUNCTION("""COMPUTED_VALUE"""),1)</f>
        <v>1</v>
      </c>
    </row>
    <row r="1365" spans="1:6" ht="15" customHeight="1" x14ac:dyDescent="0.2">
      <c r="A1365" s="5" t="str">
        <f ca="1">IFERROR(__xludf.DUMMYFUNCTION("""COMPUTED_VALUE"""),"K209")</f>
        <v>K209</v>
      </c>
      <c r="B1365" s="5" t="str">
        <f ca="1">IFERROR(__xludf.DUMMYFUNCTION("""COMPUTED_VALUE"""),"FAMA")</f>
        <v>FAMA</v>
      </c>
      <c r="C1365" s="5" t="str">
        <f ca="1">IFERROR(__xludf.DUMMYFUNCTION("""COMPUTED_VALUE"""),"K-209 KISS")</f>
        <v>K-209 KISS</v>
      </c>
      <c r="D1365" s="5" t="str">
        <f ca="1">IFERROR(__xludf.DUMMYFUNCTION("""COMPUTED_VALUE"""),"Helicopter")</f>
        <v>Helicopter</v>
      </c>
      <c r="E1365" s="5" t="str">
        <f ca="1">IFERROR(__xludf.DUMMYFUNCTION("""COMPUTED_VALUE"""),"Turboprop/Turboshaft")</f>
        <v>Turboprop/Turboshaft</v>
      </c>
      <c r="F1365" s="5">
        <f ca="1">IFERROR(__xludf.DUMMYFUNCTION("""COMPUTED_VALUE"""),1)</f>
        <v>1</v>
      </c>
    </row>
    <row r="1366" spans="1:6" ht="15" customHeight="1" x14ac:dyDescent="0.2">
      <c r="A1366" s="5" t="str">
        <f ca="1">IFERROR(__xludf.DUMMYFUNCTION("""COMPUTED_VALUE"""),"K226")</f>
        <v>K226</v>
      </c>
      <c r="B1366" s="5" t="str">
        <f ca="1">IFERROR(__xludf.DUMMYFUNCTION("""COMPUTED_VALUE"""),"KAMOV")</f>
        <v>KAMOV</v>
      </c>
      <c r="C1366" s="5" t="str">
        <f ca="1">IFERROR(__xludf.DUMMYFUNCTION("""COMPUTED_VALUE"""),"Ka-226 Sergei")</f>
        <v>Ka-226 Sergei</v>
      </c>
      <c r="D1366" s="5" t="str">
        <f ca="1">IFERROR(__xludf.DUMMYFUNCTION("""COMPUTED_VALUE"""),"Helicopter")</f>
        <v>Helicopter</v>
      </c>
      <c r="E1366" s="5" t="str">
        <f ca="1">IFERROR(__xludf.DUMMYFUNCTION("""COMPUTED_VALUE"""),"Turboprop/Turboshaft")</f>
        <v>Turboprop/Turboshaft</v>
      </c>
      <c r="F1366" s="5">
        <f ca="1">IFERROR(__xludf.DUMMYFUNCTION("""COMPUTED_VALUE"""),2)</f>
        <v>2</v>
      </c>
    </row>
    <row r="1367" spans="1:6" ht="15" customHeight="1" x14ac:dyDescent="0.2">
      <c r="A1367" s="5" t="str">
        <f ca="1">IFERROR(__xludf.DUMMYFUNCTION("""COMPUTED_VALUE"""),"K250")</f>
        <v>K250</v>
      </c>
      <c r="B1367" s="5" t="str">
        <f ca="1">IFERROR(__xludf.DUMMYFUNCTION("""COMPUTED_VALUE"""),"KESTREL (1)")</f>
        <v>KESTREL (1)</v>
      </c>
      <c r="C1367" s="5" t="str">
        <f ca="1">IFERROR(__xludf.DUMMYFUNCTION("""COMPUTED_VALUE"""),"K-250")</f>
        <v>K-250</v>
      </c>
      <c r="D1367" s="5" t="str">
        <f ca="1">IFERROR(__xludf.DUMMYFUNCTION("""COMPUTED_VALUE"""),"LandPlane")</f>
        <v>LandPlane</v>
      </c>
      <c r="E1367" s="5" t="str">
        <f ca="1">IFERROR(__xludf.DUMMYFUNCTION("""COMPUTED_VALUE"""),"Piston")</f>
        <v>Piston</v>
      </c>
      <c r="F1367" s="5">
        <f ca="1">IFERROR(__xludf.DUMMYFUNCTION("""COMPUTED_VALUE"""),1)</f>
        <v>1</v>
      </c>
    </row>
    <row r="1368" spans="1:6" ht="15" customHeight="1" x14ac:dyDescent="0.2">
      <c r="A1368" s="5" t="str">
        <f ca="1">IFERROR(__xludf.DUMMYFUNCTION("""COMPUTED_VALUE"""),"K35E")</f>
        <v>K35E</v>
      </c>
      <c r="B1368" s="5" t="str">
        <f ca="1">IFERROR(__xludf.DUMMYFUNCTION("""COMPUTED_VALUE"""),"BOEING")</f>
        <v>BOEING</v>
      </c>
      <c r="C1368" s="5" t="str">
        <f ca="1">IFERROR(__xludf.DUMMYFUNCTION("""COMPUTED_VALUE"""),"KC-135E Stratotanker")</f>
        <v>KC-135E Stratotanker</v>
      </c>
      <c r="D1368" s="5" t="str">
        <f ca="1">IFERROR(__xludf.DUMMYFUNCTION("""COMPUTED_VALUE"""),"LandPlane")</f>
        <v>LandPlane</v>
      </c>
      <c r="E1368" s="5" t="str">
        <f ca="1">IFERROR(__xludf.DUMMYFUNCTION("""COMPUTED_VALUE"""),"Jet")</f>
        <v>Jet</v>
      </c>
      <c r="F1368" s="5">
        <f ca="1">IFERROR(__xludf.DUMMYFUNCTION("""COMPUTED_VALUE"""),4)</f>
        <v>4</v>
      </c>
    </row>
    <row r="1369" spans="1:6" ht="15" customHeight="1" x14ac:dyDescent="0.2">
      <c r="A1369" s="5" t="str">
        <f ca="1">IFERROR(__xludf.DUMMYFUNCTION("""COMPUTED_VALUE"""),"K35R")</f>
        <v>K35R</v>
      </c>
      <c r="B1369" s="5" t="str">
        <f ca="1">IFERROR(__xludf.DUMMYFUNCTION("""COMPUTED_VALUE"""),"BOEING")</f>
        <v>BOEING</v>
      </c>
      <c r="C1369" s="5" t="str">
        <f ca="1">IFERROR(__xludf.DUMMYFUNCTION("""COMPUTED_VALUE"""),"KC-135R Stratotanker")</f>
        <v>KC-135R Stratotanker</v>
      </c>
      <c r="D1369" s="5" t="str">
        <f ca="1">IFERROR(__xludf.DUMMYFUNCTION("""COMPUTED_VALUE"""),"LandPlane")</f>
        <v>LandPlane</v>
      </c>
      <c r="E1369" s="5" t="str">
        <f ca="1">IFERROR(__xludf.DUMMYFUNCTION("""COMPUTED_VALUE"""),"Jet")</f>
        <v>Jet</v>
      </c>
      <c r="F1369" s="5">
        <f ca="1">IFERROR(__xludf.DUMMYFUNCTION("""COMPUTED_VALUE"""),4)</f>
        <v>4</v>
      </c>
    </row>
    <row r="1370" spans="1:6" ht="15" customHeight="1" x14ac:dyDescent="0.2">
      <c r="A1370" s="5" t="str">
        <f ca="1">IFERROR(__xludf.DUMMYFUNCTION("""COMPUTED_VALUE"""),"K50")</f>
        <v>K50</v>
      </c>
      <c r="B1370" s="5" t="str">
        <f ca="1">IFERROR(__xludf.DUMMYFUNCTION("""COMPUTED_VALUE"""),"KOREA AEROSPACE")</f>
        <v>KOREA AEROSPACE</v>
      </c>
      <c r="C1370" s="5" t="str">
        <f ca="1">IFERROR(__xludf.DUMMYFUNCTION("""COMPUTED_VALUE"""),"A-50 Golden Eagle")</f>
        <v>A-50 Golden Eagle</v>
      </c>
      <c r="D1370" s="5" t="str">
        <f ca="1">IFERROR(__xludf.DUMMYFUNCTION("""COMPUTED_VALUE"""),"LandPlane")</f>
        <v>LandPlane</v>
      </c>
      <c r="E1370" s="5" t="str">
        <f ca="1">IFERROR(__xludf.DUMMYFUNCTION("""COMPUTED_VALUE"""),"Jet")</f>
        <v>Jet</v>
      </c>
      <c r="F1370" s="5">
        <f ca="1">IFERROR(__xludf.DUMMYFUNCTION("""COMPUTED_VALUE"""),1)</f>
        <v>1</v>
      </c>
    </row>
    <row r="1371" spans="1:6" ht="15" customHeight="1" x14ac:dyDescent="0.2">
      <c r="A1371" s="5" t="str">
        <f ca="1">IFERROR(__xludf.DUMMYFUNCTION("""COMPUTED_VALUE"""),"K51")</f>
        <v>K51</v>
      </c>
      <c r="B1371" s="5" t="str">
        <f ca="1">IFERROR(__xludf.DUMMYFUNCTION("""COMPUTED_VALUE"""),"KOVACS")</f>
        <v>KOVACS</v>
      </c>
      <c r="C1371" s="5" t="str">
        <f ca="1">IFERROR(__xludf.DUMMYFUNCTION("""COMPUTED_VALUE"""),"K-51 Peregrino")</f>
        <v>K-51 Peregrino</v>
      </c>
      <c r="D1371" s="5" t="str">
        <f ca="1">IFERROR(__xludf.DUMMYFUNCTION("""COMPUTED_VALUE"""),"LandPlane")</f>
        <v>LandPlane</v>
      </c>
      <c r="E1371" s="5" t="str">
        <f ca="1">IFERROR(__xludf.DUMMYFUNCTION("""COMPUTED_VALUE"""),"Piston")</f>
        <v>Piston</v>
      </c>
      <c r="F1371" s="5">
        <f ca="1">IFERROR(__xludf.DUMMYFUNCTION("""COMPUTED_VALUE"""),1)</f>
        <v>1</v>
      </c>
    </row>
    <row r="1372" spans="1:6" ht="15" customHeight="1" x14ac:dyDescent="0.2">
      <c r="A1372" s="5" t="str">
        <f ca="1">IFERROR(__xludf.DUMMYFUNCTION("""COMPUTED_VALUE"""),"K8")</f>
        <v>K8</v>
      </c>
      <c r="B1372" s="5" t="str">
        <f ca="1">IFERROR(__xludf.DUMMYFUNCTION("""COMPUTED_VALUE"""),"HONGDU")</f>
        <v>HONGDU</v>
      </c>
      <c r="C1372" s="5" t="str">
        <f ca="1">IFERROR(__xludf.DUMMYFUNCTION("""COMPUTED_VALUE"""),"K-8 Karakorum")</f>
        <v>K-8 Karakorum</v>
      </c>
      <c r="D1372" s="5" t="str">
        <f ca="1">IFERROR(__xludf.DUMMYFUNCTION("""COMPUTED_VALUE"""),"LandPlane")</f>
        <v>LandPlane</v>
      </c>
      <c r="E1372" s="5" t="str">
        <f ca="1">IFERROR(__xludf.DUMMYFUNCTION("""COMPUTED_VALUE"""),"Jet")</f>
        <v>Jet</v>
      </c>
      <c r="F1372" s="5">
        <f ca="1">IFERROR(__xludf.DUMMYFUNCTION("""COMPUTED_VALUE"""),1)</f>
        <v>1</v>
      </c>
    </row>
    <row r="1373" spans="1:6" ht="15" customHeight="1" x14ac:dyDescent="0.2">
      <c r="A1373" s="5" t="str">
        <f ca="1">IFERROR(__xludf.DUMMYFUNCTION("""COMPUTED_VALUE"""),"KA25")</f>
        <v>KA25</v>
      </c>
      <c r="B1373" s="5" t="str">
        <f ca="1">IFERROR(__xludf.DUMMYFUNCTION("""COMPUTED_VALUE"""),"KAMOV")</f>
        <v>KAMOV</v>
      </c>
      <c r="C1373" s="5" t="str">
        <f ca="1">IFERROR(__xludf.DUMMYFUNCTION("""COMPUTED_VALUE"""),"Ka-25")</f>
        <v>Ka-25</v>
      </c>
      <c r="D1373" s="5" t="str">
        <f ca="1">IFERROR(__xludf.DUMMYFUNCTION("""COMPUTED_VALUE"""),"Helicopter")</f>
        <v>Helicopter</v>
      </c>
      <c r="E1373" s="5" t="str">
        <f ca="1">IFERROR(__xludf.DUMMYFUNCTION("""COMPUTED_VALUE"""),"Turboprop/Turboshaft")</f>
        <v>Turboprop/Turboshaft</v>
      </c>
      <c r="F1373" s="5">
        <f ca="1">IFERROR(__xludf.DUMMYFUNCTION("""COMPUTED_VALUE"""),2)</f>
        <v>2</v>
      </c>
    </row>
    <row r="1374" spans="1:6" ht="15" customHeight="1" x14ac:dyDescent="0.2">
      <c r="A1374" s="5" t="str">
        <f ca="1">IFERROR(__xludf.DUMMYFUNCTION("""COMPUTED_VALUE"""),"KA26")</f>
        <v>KA26</v>
      </c>
      <c r="B1374" s="5" t="str">
        <f ca="1">IFERROR(__xludf.DUMMYFUNCTION("""COMPUTED_VALUE"""),"KAMOV")</f>
        <v>KAMOV</v>
      </c>
      <c r="C1374" s="5" t="str">
        <f ca="1">IFERROR(__xludf.DUMMYFUNCTION("""COMPUTED_VALUE"""),"Ka-26")</f>
        <v>Ka-26</v>
      </c>
      <c r="D1374" s="5" t="str">
        <f ca="1">IFERROR(__xludf.DUMMYFUNCTION("""COMPUTED_VALUE"""),"Helicopter")</f>
        <v>Helicopter</v>
      </c>
      <c r="E1374" s="5" t="str">
        <f ca="1">IFERROR(__xludf.DUMMYFUNCTION("""COMPUTED_VALUE"""),"Piston")</f>
        <v>Piston</v>
      </c>
      <c r="F1374" s="5">
        <f ca="1">IFERROR(__xludf.DUMMYFUNCTION("""COMPUTED_VALUE"""),2)</f>
        <v>2</v>
      </c>
    </row>
    <row r="1375" spans="1:6" ht="15" customHeight="1" x14ac:dyDescent="0.2">
      <c r="A1375" s="5" t="str">
        <f ca="1">IFERROR(__xludf.DUMMYFUNCTION("""COMPUTED_VALUE"""),"KA27")</f>
        <v>KA27</v>
      </c>
      <c r="B1375" s="5" t="str">
        <f ca="1">IFERROR(__xludf.DUMMYFUNCTION("""COMPUTED_VALUE"""),"KAMOV")</f>
        <v>KAMOV</v>
      </c>
      <c r="C1375" s="5" t="str">
        <f ca="1">IFERROR(__xludf.DUMMYFUNCTION("""COMPUTED_VALUE"""),"Ka-27")</f>
        <v>Ka-27</v>
      </c>
      <c r="D1375" s="5" t="str">
        <f ca="1">IFERROR(__xludf.DUMMYFUNCTION("""COMPUTED_VALUE"""),"Helicopter")</f>
        <v>Helicopter</v>
      </c>
      <c r="E1375" s="5" t="str">
        <f ca="1">IFERROR(__xludf.DUMMYFUNCTION("""COMPUTED_VALUE"""),"Turboprop/Turboshaft")</f>
        <v>Turboprop/Turboshaft</v>
      </c>
      <c r="F1375" s="5">
        <f ca="1">IFERROR(__xludf.DUMMYFUNCTION("""COMPUTED_VALUE"""),2)</f>
        <v>2</v>
      </c>
    </row>
    <row r="1376" spans="1:6" ht="15" customHeight="1" x14ac:dyDescent="0.2">
      <c r="A1376" s="5" t="str">
        <f ca="1">IFERROR(__xludf.DUMMYFUNCTION("""COMPUTED_VALUE"""),"KA50")</f>
        <v>KA50</v>
      </c>
      <c r="B1376" s="5" t="str">
        <f ca="1">IFERROR(__xludf.DUMMYFUNCTION("""COMPUTED_VALUE"""),"KAMOV")</f>
        <v>KAMOV</v>
      </c>
      <c r="C1376" s="5" t="str">
        <f ca="1">IFERROR(__xludf.DUMMYFUNCTION("""COMPUTED_VALUE"""),"Ka-50 Werewolf")</f>
        <v>Ka-50 Werewolf</v>
      </c>
      <c r="D1376" s="5" t="str">
        <f ca="1">IFERROR(__xludf.DUMMYFUNCTION("""COMPUTED_VALUE"""),"Helicopter")</f>
        <v>Helicopter</v>
      </c>
      <c r="E1376" s="5" t="str">
        <f ca="1">IFERROR(__xludf.DUMMYFUNCTION("""COMPUTED_VALUE"""),"Turboprop/Turboshaft")</f>
        <v>Turboprop/Turboshaft</v>
      </c>
      <c r="F1376" s="5">
        <f ca="1">IFERROR(__xludf.DUMMYFUNCTION("""COMPUTED_VALUE"""),2)</f>
        <v>2</v>
      </c>
    </row>
    <row r="1377" spans="1:6" ht="15" customHeight="1" x14ac:dyDescent="0.2">
      <c r="A1377" s="5" t="str">
        <f ca="1">IFERROR(__xludf.DUMMYFUNCTION("""COMPUTED_VALUE"""),"KA52")</f>
        <v>KA52</v>
      </c>
      <c r="B1377" s="5" t="str">
        <f ca="1">IFERROR(__xludf.DUMMYFUNCTION("""COMPUTED_VALUE"""),"KAMOV")</f>
        <v>KAMOV</v>
      </c>
      <c r="C1377" s="5" t="str">
        <f ca="1">IFERROR(__xludf.DUMMYFUNCTION("""COMPUTED_VALUE"""),"Ka-52 Alligator")</f>
        <v>Ka-52 Alligator</v>
      </c>
      <c r="D1377" s="5" t="str">
        <f ca="1">IFERROR(__xludf.DUMMYFUNCTION("""COMPUTED_VALUE"""),"Helicopter")</f>
        <v>Helicopter</v>
      </c>
      <c r="E1377" s="5" t="str">
        <f ca="1">IFERROR(__xludf.DUMMYFUNCTION("""COMPUTED_VALUE"""),"Turboprop/Turboshaft")</f>
        <v>Turboprop/Turboshaft</v>
      </c>
      <c r="F1377" s="5">
        <f ca="1">IFERROR(__xludf.DUMMYFUNCTION("""COMPUTED_VALUE"""),2)</f>
        <v>2</v>
      </c>
    </row>
    <row r="1378" spans="1:6" ht="15" customHeight="1" x14ac:dyDescent="0.2">
      <c r="A1378" s="5" t="str">
        <f ca="1">IFERROR(__xludf.DUMMYFUNCTION("""COMPUTED_VALUE"""),"KA62")</f>
        <v>KA62</v>
      </c>
      <c r="B1378" s="5" t="str">
        <f ca="1">IFERROR(__xludf.DUMMYFUNCTION("""COMPUTED_VALUE"""),"KAMOV")</f>
        <v>KAMOV</v>
      </c>
      <c r="C1378" s="5" t="str">
        <f ca="1">IFERROR(__xludf.DUMMYFUNCTION("""COMPUTED_VALUE"""),"Ka-60 Kasatka")</f>
        <v>Ka-60 Kasatka</v>
      </c>
      <c r="D1378" s="5" t="str">
        <f ca="1">IFERROR(__xludf.DUMMYFUNCTION("""COMPUTED_VALUE"""),"Helicopter")</f>
        <v>Helicopter</v>
      </c>
      <c r="E1378" s="5" t="str">
        <f ca="1">IFERROR(__xludf.DUMMYFUNCTION("""COMPUTED_VALUE"""),"Turboprop/Turboshaft")</f>
        <v>Turboprop/Turboshaft</v>
      </c>
      <c r="F1378" s="5">
        <f ca="1">IFERROR(__xludf.DUMMYFUNCTION("""COMPUTED_VALUE"""),2)</f>
        <v>2</v>
      </c>
    </row>
    <row r="1379" spans="1:6" ht="15" customHeight="1" x14ac:dyDescent="0.2">
      <c r="A1379" s="5" t="str">
        <f ca="1">IFERROR(__xludf.DUMMYFUNCTION("""COMPUTED_VALUE"""),"KAFI")</f>
        <v>KAFI</v>
      </c>
      <c r="B1379" s="5" t="str">
        <f ca="1">IFERROR(__xludf.DUMMYFUNCTION("""COMPUTED_VALUE"""),"KARI")</f>
        <v>KARI</v>
      </c>
      <c r="C1379" s="5" t="str">
        <f ca="1">IFERROR(__xludf.DUMMYFUNCTION("""COMPUTED_VALUE"""),"Firefly")</f>
        <v>Firefly</v>
      </c>
      <c r="D1379" s="5" t="str">
        <f ca="1">IFERROR(__xludf.DUMMYFUNCTION("""COMPUTED_VALUE"""),"LandPlane")</f>
        <v>LandPlane</v>
      </c>
      <c r="E1379" s="5" t="str">
        <f ca="1">IFERROR(__xludf.DUMMYFUNCTION("""COMPUTED_VALUE"""),"Piston")</f>
        <v>Piston</v>
      </c>
      <c r="F1379" s="5">
        <f ca="1">IFERROR(__xludf.DUMMYFUNCTION("""COMPUTED_VALUE"""),1)</f>
        <v>1</v>
      </c>
    </row>
    <row r="1380" spans="1:6" ht="15" customHeight="1" x14ac:dyDescent="0.2">
      <c r="A1380" s="5" t="str">
        <f ca="1">IFERROR(__xludf.DUMMYFUNCTION("""COMPUTED_VALUE"""),"KAK1")</f>
        <v>KAK1</v>
      </c>
      <c r="B1380" s="5" t="str">
        <f ca="1">IFERROR(__xludf.DUMMYFUNCTION("""COMPUTED_VALUE"""),"KIEGER")</f>
        <v>KIEGER</v>
      </c>
      <c r="C1380" s="5" t="str">
        <f ca="1">IFERROR(__xludf.DUMMYFUNCTION("""COMPUTED_VALUE"""),"AK-1")</f>
        <v>AK-1</v>
      </c>
      <c r="D1380" s="5" t="str">
        <f ca="1">IFERROR(__xludf.DUMMYFUNCTION("""COMPUTED_VALUE"""),"LandPlane")</f>
        <v>LandPlane</v>
      </c>
      <c r="E1380" s="5" t="str">
        <f ca="1">IFERROR(__xludf.DUMMYFUNCTION("""COMPUTED_VALUE"""),"Piston")</f>
        <v>Piston</v>
      </c>
      <c r="F1380" s="5">
        <f ca="1">IFERROR(__xludf.DUMMYFUNCTION("""COMPUTED_VALUE"""),1)</f>
        <v>1</v>
      </c>
    </row>
    <row r="1381" spans="1:6" ht="15" customHeight="1" x14ac:dyDescent="0.2">
      <c r="A1381" s="5" t="str">
        <f ca="1">IFERROR(__xludf.DUMMYFUNCTION("""COMPUTED_VALUE"""),"KAK3")</f>
        <v>KAK3</v>
      </c>
      <c r="B1381" s="5" t="str">
        <f ca="1">IFERROR(__xludf.DUMMYFUNCTION("""COMPUTED_VALUE"""),"KIEGER")</f>
        <v>KIEGER</v>
      </c>
      <c r="C1381" s="5" t="str">
        <f ca="1">IFERROR(__xludf.DUMMYFUNCTION("""COMPUTED_VALUE"""),"AK-3")</f>
        <v>AK-3</v>
      </c>
      <c r="D1381" s="5" t="str">
        <f ca="1">IFERROR(__xludf.DUMMYFUNCTION("""COMPUTED_VALUE"""),"LandPlane")</f>
        <v>LandPlane</v>
      </c>
      <c r="E1381" s="5" t="str">
        <f ca="1">IFERROR(__xludf.DUMMYFUNCTION("""COMPUTED_VALUE"""),"Piston")</f>
        <v>Piston</v>
      </c>
      <c r="F1381" s="5">
        <f ca="1">IFERROR(__xludf.DUMMYFUNCTION("""COMPUTED_VALUE"""),1)</f>
        <v>1</v>
      </c>
    </row>
    <row r="1382" spans="1:6" ht="15" customHeight="1" x14ac:dyDescent="0.2">
      <c r="A1382" s="5" t="str">
        <f ca="1">IFERROR(__xludf.DUMMYFUNCTION("""COMPUTED_VALUE"""),"KAT3")</f>
        <v>KAT3</v>
      </c>
      <c r="B1382" s="5" t="str">
        <f ca="1">IFERROR(__xludf.DUMMYFUNCTION("""COMPUTED_VALUE"""),"KHRUNICHEV")</f>
        <v>KHRUNICHEV</v>
      </c>
      <c r="C1382" s="5" t="str">
        <f ca="1">IFERROR(__xludf.DUMMYFUNCTION("""COMPUTED_VALUE"""),"AT-3")</f>
        <v>AT-3</v>
      </c>
      <c r="D1382" s="5" t="str">
        <f ca="1">IFERROR(__xludf.DUMMYFUNCTION("""COMPUTED_VALUE"""),"LandPlane")</f>
        <v>LandPlane</v>
      </c>
      <c r="E1382" s="5" t="str">
        <f ca="1">IFERROR(__xludf.DUMMYFUNCTION("""COMPUTED_VALUE"""),"Turboprop/Turboshaft")</f>
        <v>Turboprop/Turboshaft</v>
      </c>
      <c r="F1382" s="5">
        <f ca="1">IFERROR(__xludf.DUMMYFUNCTION("""COMPUTED_VALUE"""),1)</f>
        <v>1</v>
      </c>
    </row>
    <row r="1383" spans="1:6" ht="15" customHeight="1" x14ac:dyDescent="0.2">
      <c r="A1383" s="5" t="str">
        <f ca="1">IFERROR(__xludf.DUMMYFUNCTION("""COMPUTED_VALUE"""),"KATB")</f>
        <v>KATB</v>
      </c>
      <c r="B1383" s="5" t="str">
        <f ca="1">IFERROR(__xludf.DUMMYFUNCTION("""COMPUTED_VALUE"""),"KARI")</f>
        <v>KARI</v>
      </c>
      <c r="C1383" s="5" t="str">
        <f ca="1">IFERROR(__xludf.DUMMYFUNCTION("""COMPUTED_VALUE"""),"Twinbee")</f>
        <v>Twinbee</v>
      </c>
      <c r="D1383" s="5" t="str">
        <f ca="1">IFERROR(__xludf.DUMMYFUNCTION("""COMPUTED_VALUE"""),"LandPlane")</f>
        <v>LandPlane</v>
      </c>
      <c r="E1383" s="5" t="str">
        <f ca="1">IFERROR(__xludf.DUMMYFUNCTION("""COMPUTED_VALUE"""),"Piston")</f>
        <v>Piston</v>
      </c>
      <c r="F1383" s="5">
        <f ca="1">IFERROR(__xludf.DUMMYFUNCTION("""COMPUTED_VALUE"""),2)</f>
        <v>2</v>
      </c>
    </row>
    <row r="1384" spans="1:6" ht="15" customHeight="1" x14ac:dyDescent="0.2">
      <c r="A1384" s="5" t="str">
        <f ca="1">IFERROR(__xludf.DUMMYFUNCTION("""COMPUTED_VALUE"""),"KATR")</f>
        <v>KATR</v>
      </c>
      <c r="B1384" s="5" t="str">
        <f ca="1">IFERROR(__xludf.DUMMYFUNCTION("""COMPUTED_VALUE"""),"AEROSAMARA")</f>
        <v>AEROSAMARA</v>
      </c>
      <c r="C1384" s="5" t="str">
        <f ca="1">IFERROR(__xludf.DUMMYFUNCTION("""COMPUTED_VALUE"""),"Katran")</f>
        <v>Katran</v>
      </c>
      <c r="D1384" s="5" t="str">
        <f ca="1">IFERROR(__xludf.DUMMYFUNCTION("""COMPUTED_VALUE"""),"LandPlane")</f>
        <v>LandPlane</v>
      </c>
      <c r="E1384" s="5" t="str">
        <f ca="1">IFERROR(__xludf.DUMMYFUNCTION("""COMPUTED_VALUE"""),"Piston")</f>
        <v>Piston</v>
      </c>
      <c r="F1384" s="5">
        <f ca="1">IFERROR(__xludf.DUMMYFUNCTION("""COMPUTED_VALUE"""),1)</f>
        <v>1</v>
      </c>
    </row>
    <row r="1385" spans="1:6" ht="15" customHeight="1" x14ac:dyDescent="0.2">
      <c r="A1385" s="5" t="str">
        <f ca="1">IFERROR(__xludf.DUMMYFUNCTION("""COMPUTED_VALUE"""),"KC2")</f>
        <v>KC2</v>
      </c>
      <c r="B1385" s="5" t="str">
        <f ca="1">IFERROR(__xludf.DUMMYFUNCTION("""COMPUTED_VALUE"""),"KAWASAKI")</f>
        <v>KAWASAKI</v>
      </c>
      <c r="C1385" s="5" t="str">
        <f ca="1">IFERROR(__xludf.DUMMYFUNCTION("""COMPUTED_VALUE"""),"C-2")</f>
        <v>C-2</v>
      </c>
      <c r="D1385" s="5" t="str">
        <f ca="1">IFERROR(__xludf.DUMMYFUNCTION("""COMPUTED_VALUE"""),"LandPlane")</f>
        <v>LandPlane</v>
      </c>
      <c r="E1385" s="5" t="str">
        <f ca="1">IFERROR(__xludf.DUMMYFUNCTION("""COMPUTED_VALUE"""),"Jet")</f>
        <v>Jet</v>
      </c>
      <c r="F1385" s="5">
        <f ca="1">IFERROR(__xludf.DUMMYFUNCTION("""COMPUTED_VALUE"""),2)</f>
        <v>2</v>
      </c>
    </row>
    <row r="1386" spans="1:6" ht="15" customHeight="1" x14ac:dyDescent="0.2">
      <c r="A1386" s="5" t="str">
        <f ca="1">IFERROR(__xludf.DUMMYFUNCTION("""COMPUTED_VALUE"""),"KE3")</f>
        <v>KE3</v>
      </c>
      <c r="B1386" s="5" t="str">
        <f ca="1">IFERROR(__xludf.DUMMYFUNCTION("""COMPUTED_VALUE"""),"BOEING")</f>
        <v>BOEING</v>
      </c>
      <c r="C1386" s="5" t="str">
        <f ca="1">IFERROR(__xludf.DUMMYFUNCTION("""COMPUTED_VALUE"""),"KE-3")</f>
        <v>KE-3</v>
      </c>
      <c r="D1386" s="5" t="str">
        <f ca="1">IFERROR(__xludf.DUMMYFUNCTION("""COMPUTED_VALUE"""),"LandPlane")</f>
        <v>LandPlane</v>
      </c>
      <c r="E1386" s="5" t="str">
        <f ca="1">IFERROR(__xludf.DUMMYFUNCTION("""COMPUTED_VALUE"""),"Jet")</f>
        <v>Jet</v>
      </c>
      <c r="F1386" s="5">
        <f ca="1">IFERROR(__xludf.DUMMYFUNCTION("""COMPUTED_VALUE"""),4)</f>
        <v>4</v>
      </c>
    </row>
    <row r="1387" spans="1:6" ht="15" customHeight="1" x14ac:dyDescent="0.2">
      <c r="A1387" s="5" t="str">
        <f ca="1">IFERROR(__xludf.DUMMYFUNCTION("""COMPUTED_VALUE"""),"KELA")</f>
        <v>KELA</v>
      </c>
      <c r="B1387" s="5" t="str">
        <f ca="1">IFERROR(__xludf.DUMMYFUNCTION("""COMPUTED_VALUE"""),"KELEHER")</f>
        <v>KELEHER</v>
      </c>
      <c r="C1387" s="5" t="str">
        <f ca="1">IFERROR(__xludf.DUMMYFUNCTION("""COMPUTED_VALUE"""),"Lark")</f>
        <v>Lark</v>
      </c>
      <c r="D1387" s="5" t="str">
        <f ca="1">IFERROR(__xludf.DUMMYFUNCTION("""COMPUTED_VALUE"""),"LandPlane")</f>
        <v>LandPlane</v>
      </c>
      <c r="E1387" s="5" t="str">
        <f ca="1">IFERROR(__xludf.DUMMYFUNCTION("""COMPUTED_VALUE"""),"Piston")</f>
        <v>Piston</v>
      </c>
      <c r="F1387" s="5">
        <f ca="1">IFERROR(__xludf.DUMMYFUNCTION("""COMPUTED_VALUE"""),1)</f>
        <v>1</v>
      </c>
    </row>
    <row r="1388" spans="1:6" ht="15" customHeight="1" x14ac:dyDescent="0.2">
      <c r="A1388" s="5" t="str">
        <f ca="1">IFERROR(__xludf.DUMMYFUNCTION("""COMPUTED_VALUE"""),"KELD")</f>
        <v>KELD</v>
      </c>
      <c r="B1388" s="5" t="str">
        <f ca="1">IFERROR(__xludf.DUMMYFUNCTION("""COMPUTED_VALUE"""),"KELLY")</f>
        <v>KELLY</v>
      </c>
      <c r="C1388" s="5" t="str">
        <f ca="1">IFERROR(__xludf.DUMMYFUNCTION("""COMPUTED_VALUE"""),"D")</f>
        <v>D</v>
      </c>
      <c r="D1388" s="5" t="str">
        <f ca="1">IFERROR(__xludf.DUMMYFUNCTION("""COMPUTED_VALUE"""),"LandPlane")</f>
        <v>LandPlane</v>
      </c>
      <c r="E1388" s="5" t="str">
        <f ca="1">IFERROR(__xludf.DUMMYFUNCTION("""COMPUTED_VALUE"""),"Piston")</f>
        <v>Piston</v>
      </c>
      <c r="F1388" s="5">
        <f ca="1">IFERROR(__xludf.DUMMYFUNCTION("""COMPUTED_VALUE"""),1)</f>
        <v>1</v>
      </c>
    </row>
    <row r="1389" spans="1:6" ht="15" customHeight="1" x14ac:dyDescent="0.2">
      <c r="A1389" s="5" t="str">
        <f ca="1">IFERROR(__xludf.DUMMYFUNCTION("""COMPUTED_VALUE"""),"KERO")</f>
        <v>KERO</v>
      </c>
      <c r="B1389" s="5" t="str">
        <f ca="1">IFERROR(__xludf.DUMMYFUNCTION("""COMPUTED_VALUE"""),"REARWIN")</f>
        <v>REARWIN</v>
      </c>
      <c r="C1389" s="5" t="str">
        <f ca="1">IFERROR(__xludf.DUMMYFUNCTION("""COMPUTED_VALUE"""),"2000 Ken-Royce")</f>
        <v>2000 Ken-Royce</v>
      </c>
      <c r="D1389" s="5" t="str">
        <f ca="1">IFERROR(__xludf.DUMMYFUNCTION("""COMPUTED_VALUE"""),"LandPlane")</f>
        <v>LandPlane</v>
      </c>
      <c r="E1389" s="5" t="str">
        <f ca="1">IFERROR(__xludf.DUMMYFUNCTION("""COMPUTED_VALUE"""),"Piston")</f>
        <v>Piston</v>
      </c>
      <c r="F1389" s="5">
        <f ca="1">IFERROR(__xludf.DUMMYFUNCTION("""COMPUTED_VALUE"""),1)</f>
        <v>1</v>
      </c>
    </row>
    <row r="1390" spans="1:6" ht="15" customHeight="1" x14ac:dyDescent="0.2">
      <c r="A1390" s="5" t="str">
        <f ca="1">IFERROR(__xludf.DUMMYFUNCTION("""COMPUTED_VALUE"""),"KEST")</f>
        <v>KEST</v>
      </c>
      <c r="B1390" s="5" t="str">
        <f ca="1">IFERROR(__xludf.DUMMYFUNCTION("""COMPUTED_VALUE"""),"FARNBOROUGH")</f>
        <v>FARNBOROUGH</v>
      </c>
      <c r="C1390" s="5" t="str">
        <f ca="1">IFERROR(__xludf.DUMMYFUNCTION("""COMPUTED_VALUE"""),"F-1 Kestrel")</f>
        <v>F-1 Kestrel</v>
      </c>
      <c r="D1390" s="5" t="str">
        <f ca="1">IFERROR(__xludf.DUMMYFUNCTION("""COMPUTED_VALUE"""),"LandPlane")</f>
        <v>LandPlane</v>
      </c>
      <c r="E1390" s="5" t="str">
        <f ca="1">IFERROR(__xludf.DUMMYFUNCTION("""COMPUTED_VALUE"""),"Turboprop/Turboshaft")</f>
        <v>Turboprop/Turboshaft</v>
      </c>
      <c r="F1390" s="5">
        <f ca="1">IFERROR(__xludf.DUMMYFUNCTION("""COMPUTED_VALUE"""),1)</f>
        <v>1</v>
      </c>
    </row>
    <row r="1391" spans="1:6" ht="15" customHeight="1" x14ac:dyDescent="0.2">
      <c r="A1391" s="5" t="str">
        <f ca="1">IFERROR(__xludf.DUMMYFUNCTION("""COMPUTED_VALUE"""),"KFAB")</f>
        <v>KFAB</v>
      </c>
      <c r="B1391" s="5" t="str">
        <f ca="1">IFERROR(__xludf.DUMMYFUNCTION("""COMPUTED_VALUE"""),"KITPLANES FOR AFRICA")</f>
        <v>KITPLANES FOR AFRICA</v>
      </c>
      <c r="C1391" s="5" t="str">
        <f ca="1">IFERROR(__xludf.DUMMYFUNCTION("""COMPUTED_VALUE"""),"Bushbaby")</f>
        <v>Bushbaby</v>
      </c>
      <c r="D1391" s="5" t="str">
        <f ca="1">IFERROR(__xludf.DUMMYFUNCTION("""COMPUTED_VALUE"""),"LandPlane")</f>
        <v>LandPlane</v>
      </c>
      <c r="E1391" s="5" t="str">
        <f ca="1">IFERROR(__xludf.DUMMYFUNCTION("""COMPUTED_VALUE"""),"Piston")</f>
        <v>Piston</v>
      </c>
      <c r="F1391" s="5">
        <f ca="1">IFERROR(__xludf.DUMMYFUNCTION("""COMPUTED_VALUE"""),1)</f>
        <v>1</v>
      </c>
    </row>
    <row r="1392" spans="1:6" ht="15" customHeight="1" x14ac:dyDescent="0.2">
      <c r="A1392" s="5" t="str">
        <f ca="1">IFERROR(__xludf.DUMMYFUNCTION("""COMPUTED_VALUE"""),"KFAS")</f>
        <v>KFAS</v>
      </c>
      <c r="B1392" s="5" t="str">
        <f ca="1">IFERROR(__xludf.DUMMYFUNCTION("""COMPUTED_VALUE"""),"KITPLANES FOR AFRICA")</f>
        <v>KITPLANES FOR AFRICA</v>
      </c>
      <c r="C1392" s="5" t="str">
        <f ca="1">IFERROR(__xludf.DUMMYFUNCTION("""COMPUTED_VALUE"""),"Safari")</f>
        <v>Safari</v>
      </c>
      <c r="D1392" s="5" t="str">
        <f ca="1">IFERROR(__xludf.DUMMYFUNCTION("""COMPUTED_VALUE"""),"LandPlane")</f>
        <v>LandPlane</v>
      </c>
      <c r="E1392" s="5" t="str">
        <f ca="1">IFERROR(__xludf.DUMMYFUNCTION("""COMPUTED_VALUE"""),"Piston")</f>
        <v>Piston</v>
      </c>
      <c r="F1392" s="5">
        <f ca="1">IFERROR(__xludf.DUMMYFUNCTION("""COMPUTED_VALUE"""),1)</f>
        <v>1</v>
      </c>
    </row>
    <row r="1393" spans="1:6" ht="15" customHeight="1" x14ac:dyDescent="0.2">
      <c r="A1393" s="5" t="str">
        <f ca="1">IFERROR(__xludf.DUMMYFUNCTION("""COMPUTED_VALUE"""),"KFIR")</f>
        <v>KFIR</v>
      </c>
      <c r="B1393" s="5" t="str">
        <f ca="1">IFERROR(__xludf.DUMMYFUNCTION("""COMPUTED_VALUE"""),"IAI")</f>
        <v>IAI</v>
      </c>
      <c r="C1393" s="5" t="str">
        <f ca="1">IFERROR(__xludf.DUMMYFUNCTION("""COMPUTED_VALUE"""),"Kfir")</f>
        <v>Kfir</v>
      </c>
      <c r="D1393" s="5" t="str">
        <f ca="1">IFERROR(__xludf.DUMMYFUNCTION("""COMPUTED_VALUE"""),"LandPlane")</f>
        <v>LandPlane</v>
      </c>
      <c r="E1393" s="5" t="str">
        <f ca="1">IFERROR(__xludf.DUMMYFUNCTION("""COMPUTED_VALUE"""),"Jet")</f>
        <v>Jet</v>
      </c>
      <c r="F1393" s="5">
        <f ca="1">IFERROR(__xludf.DUMMYFUNCTION("""COMPUTED_VALUE"""),1)</f>
        <v>1</v>
      </c>
    </row>
    <row r="1394" spans="1:6" ht="15" customHeight="1" x14ac:dyDescent="0.2">
      <c r="A1394" s="5" t="str">
        <f ca="1">IFERROR(__xludf.DUMMYFUNCTION("""COMPUTED_VALUE"""),"KFIS")</f>
        <v>KFIS</v>
      </c>
      <c r="B1394" s="5" t="str">
        <f ca="1">IFERROR(__xludf.DUMMYFUNCTION("""COMPUTED_VALUE"""),"ANDERSON")</f>
        <v>ANDERSON</v>
      </c>
      <c r="C1394" s="5" t="str">
        <f ca="1">IFERROR(__xludf.DUMMYFUNCTION("""COMPUTED_VALUE"""),"EA-1 Kingfisher")</f>
        <v>EA-1 Kingfisher</v>
      </c>
      <c r="D1394" s="5" t="str">
        <f ca="1">IFERROR(__xludf.DUMMYFUNCTION("""COMPUTED_VALUE"""),"Amphibian")</f>
        <v>Amphibian</v>
      </c>
      <c r="E1394" s="5" t="str">
        <f ca="1">IFERROR(__xludf.DUMMYFUNCTION("""COMPUTED_VALUE"""),"Piston")</f>
        <v>Piston</v>
      </c>
      <c r="F1394" s="5">
        <f ca="1">IFERROR(__xludf.DUMMYFUNCTION("""COMPUTED_VALUE"""),1)</f>
        <v>1</v>
      </c>
    </row>
    <row r="1395" spans="1:6" ht="15" customHeight="1" x14ac:dyDescent="0.2">
      <c r="A1395" s="5" t="str">
        <f ca="1">IFERROR(__xludf.DUMMYFUNCTION("""COMPUTED_VALUE"""),"KH4")</f>
        <v>KH4</v>
      </c>
      <c r="B1395" s="5" t="str">
        <f ca="1">IFERROR(__xludf.DUMMYFUNCTION("""COMPUTED_VALUE"""),"KAWASAKI")</f>
        <v>KAWASAKI</v>
      </c>
      <c r="C1395" s="5" t="str">
        <f ca="1">IFERROR(__xludf.DUMMYFUNCTION("""COMPUTED_VALUE"""),"KH-4")</f>
        <v>KH-4</v>
      </c>
      <c r="D1395" s="5" t="str">
        <f ca="1">IFERROR(__xludf.DUMMYFUNCTION("""COMPUTED_VALUE"""),"Helicopter")</f>
        <v>Helicopter</v>
      </c>
      <c r="E1395" s="5" t="str">
        <f ca="1">IFERROR(__xludf.DUMMYFUNCTION("""COMPUTED_VALUE"""),"Piston")</f>
        <v>Piston</v>
      </c>
      <c r="F1395" s="5">
        <f ca="1">IFERROR(__xludf.DUMMYFUNCTION("""COMPUTED_VALUE"""),1)</f>
        <v>1</v>
      </c>
    </row>
    <row r="1396" spans="1:6" ht="15" customHeight="1" x14ac:dyDescent="0.2">
      <c r="A1396" s="5" t="str">
        <f ca="1">IFERROR(__xludf.DUMMYFUNCTION("""COMPUTED_VALUE"""),"KIS2")</f>
        <v>KIS2</v>
      </c>
      <c r="B1396" s="5" t="str">
        <f ca="1">IFERROR(__xludf.DUMMYFUNCTION("""COMPUTED_VALUE"""),"TRI-R")</f>
        <v>TRI-R</v>
      </c>
      <c r="C1396" s="5" t="str">
        <f ca="1">IFERROR(__xludf.DUMMYFUNCTION("""COMPUTED_VALUE"""),"KIS TR-1")</f>
        <v>KIS TR-1</v>
      </c>
      <c r="D1396" s="5" t="str">
        <f ca="1">IFERROR(__xludf.DUMMYFUNCTION("""COMPUTED_VALUE"""),"LandPlane")</f>
        <v>LandPlane</v>
      </c>
      <c r="E1396" s="5" t="str">
        <f ca="1">IFERROR(__xludf.DUMMYFUNCTION("""COMPUTED_VALUE"""),"Piston")</f>
        <v>Piston</v>
      </c>
      <c r="F1396" s="5">
        <f ca="1">IFERROR(__xludf.DUMMYFUNCTION("""COMPUTED_VALUE"""),1)</f>
        <v>1</v>
      </c>
    </row>
    <row r="1397" spans="1:6" ht="15" customHeight="1" x14ac:dyDescent="0.2">
      <c r="A1397" s="5" t="str">
        <f ca="1">IFERROR(__xludf.DUMMYFUNCTION("""COMPUTED_VALUE"""),"KIS4")</f>
        <v>KIS4</v>
      </c>
      <c r="B1397" s="5" t="str">
        <f ca="1">IFERROR(__xludf.DUMMYFUNCTION("""COMPUTED_VALUE"""),"TRI-R")</f>
        <v>TRI-R</v>
      </c>
      <c r="C1397" s="5" t="str">
        <f ca="1">IFERROR(__xludf.DUMMYFUNCTION("""COMPUTED_VALUE"""),"KIS TR-4 Cruiser")</f>
        <v>KIS TR-4 Cruiser</v>
      </c>
      <c r="D1397" s="5" t="str">
        <f ca="1">IFERROR(__xludf.DUMMYFUNCTION("""COMPUTED_VALUE"""),"LandPlane")</f>
        <v>LandPlane</v>
      </c>
      <c r="E1397" s="5" t="str">
        <f ca="1">IFERROR(__xludf.DUMMYFUNCTION("""COMPUTED_VALUE"""),"Piston")</f>
        <v>Piston</v>
      </c>
      <c r="F1397" s="5">
        <f ca="1">IFERROR(__xludf.DUMMYFUNCTION("""COMPUTED_VALUE"""),1)</f>
        <v>1</v>
      </c>
    </row>
    <row r="1398" spans="1:6" ht="15" customHeight="1" x14ac:dyDescent="0.2">
      <c r="A1398" s="5" t="str">
        <f ca="1">IFERROR(__xludf.DUMMYFUNCTION("""COMPUTED_VALUE"""),"KITH")</f>
        <v>KITH</v>
      </c>
      <c r="B1398" s="5" t="str">
        <f ca="1">IFERROR(__xludf.DUMMYFUNCTION("""COMPUTED_VALUE"""),"BOURDON")</f>
        <v>BOURDON</v>
      </c>
      <c r="C1398" s="5" t="str">
        <f ca="1">IFERROR(__xludf.DUMMYFUNCTION("""COMPUTED_VALUE"""),"Kitty Hawk")</f>
        <v>Kitty Hawk</v>
      </c>
      <c r="D1398" s="5" t="str">
        <f ca="1">IFERROR(__xludf.DUMMYFUNCTION("""COMPUTED_VALUE"""),"LandPlane")</f>
        <v>LandPlane</v>
      </c>
      <c r="E1398" s="5" t="str">
        <f ca="1">IFERROR(__xludf.DUMMYFUNCTION("""COMPUTED_VALUE"""),"Piston")</f>
        <v>Piston</v>
      </c>
      <c r="F1398" s="5">
        <f ca="1">IFERROR(__xludf.DUMMYFUNCTION("""COMPUTED_VALUE"""),1)</f>
        <v>1</v>
      </c>
    </row>
    <row r="1399" spans="1:6" ht="15" customHeight="1" x14ac:dyDescent="0.2">
      <c r="A1399" s="5" t="str">
        <f ca="1">IFERROR(__xludf.DUMMYFUNCTION("""COMPUTED_VALUE"""),"KITI")</f>
        <v>KITI</v>
      </c>
      <c r="B1399" s="5" t="str">
        <f ca="1">IFERROR(__xludf.DUMMYFUNCTION("""COMPUTED_VALUE"""),"MITCHELL-PROCTER")</f>
        <v>MITCHELL-PROCTER</v>
      </c>
      <c r="C1399" s="5" t="str">
        <f ca="1">IFERROR(__xludf.DUMMYFUNCTION("""COMPUTED_VALUE"""),"Kittiwake")</f>
        <v>Kittiwake</v>
      </c>
      <c r="D1399" s="5" t="str">
        <f ca="1">IFERROR(__xludf.DUMMYFUNCTION("""COMPUTED_VALUE"""),"LandPlane")</f>
        <v>LandPlane</v>
      </c>
      <c r="E1399" s="5" t="str">
        <f ca="1">IFERROR(__xludf.DUMMYFUNCTION("""COMPUTED_VALUE"""),"Piston")</f>
        <v>Piston</v>
      </c>
      <c r="F1399" s="5">
        <f ca="1">IFERROR(__xludf.DUMMYFUNCTION("""COMPUTED_VALUE"""),1)</f>
        <v>1</v>
      </c>
    </row>
    <row r="1400" spans="1:6" ht="15" customHeight="1" x14ac:dyDescent="0.2">
      <c r="A1400" s="5" t="str">
        <f ca="1">IFERROR(__xludf.DUMMYFUNCTION("""COMPUTED_VALUE"""),"KIWI")</f>
        <v>KIWI</v>
      </c>
      <c r="B1400" s="5" t="str">
        <f ca="1">IFERROR(__xludf.DUMMYFUNCTION("""COMPUTED_VALUE"""),"VALENTIN")</f>
        <v>VALENTIN</v>
      </c>
      <c r="C1400" s="5" t="str">
        <f ca="1">IFERROR(__xludf.DUMMYFUNCTION("""COMPUTED_VALUE"""),"Kiwi")</f>
        <v>Kiwi</v>
      </c>
      <c r="D1400" s="5" t="str">
        <f ca="1">IFERROR(__xludf.DUMMYFUNCTION("""COMPUTED_VALUE"""),"LandPlane")</f>
        <v>LandPlane</v>
      </c>
      <c r="E1400" s="5" t="str">
        <f ca="1">IFERROR(__xludf.DUMMYFUNCTION("""COMPUTED_VALUE"""),"Piston")</f>
        <v>Piston</v>
      </c>
      <c r="F1400" s="5">
        <f ca="1">IFERROR(__xludf.DUMMYFUNCTION("""COMPUTED_VALUE"""),1)</f>
        <v>1</v>
      </c>
    </row>
    <row r="1401" spans="1:6" ht="15" customHeight="1" x14ac:dyDescent="0.2">
      <c r="A1401" s="5" t="str">
        <f ca="1">IFERROR(__xludf.DUMMYFUNCTION("""COMPUTED_VALUE"""),"KK60")</f>
        <v>KK60</v>
      </c>
      <c r="B1401" s="5" t="str">
        <f ca="1">IFERROR(__xludf.DUMMYFUNCTION("""COMPUTED_VALUE"""),"KARI-KEEN")</f>
        <v>KARI-KEEN</v>
      </c>
      <c r="C1401" s="5" t="str">
        <f ca="1">IFERROR(__xludf.DUMMYFUNCTION("""COMPUTED_VALUE"""),"60 Coupe")</f>
        <v>60 Coupe</v>
      </c>
      <c r="D1401" s="5" t="str">
        <f ca="1">IFERROR(__xludf.DUMMYFUNCTION("""COMPUTED_VALUE"""),"LandPlane")</f>
        <v>LandPlane</v>
      </c>
      <c r="E1401" s="5" t="str">
        <f ca="1">IFERROR(__xludf.DUMMYFUNCTION("""COMPUTED_VALUE"""),"Piston")</f>
        <v>Piston</v>
      </c>
      <c r="F1401" s="5">
        <f ca="1">IFERROR(__xludf.DUMMYFUNCTION("""COMPUTED_VALUE"""),1)</f>
        <v>1</v>
      </c>
    </row>
    <row r="1402" spans="1:6" ht="15" customHeight="1" x14ac:dyDescent="0.2">
      <c r="A1402" s="5" t="str">
        <f ca="1">IFERROR(__xludf.DUMMYFUNCTION("""COMPUTED_VALUE"""),"KL07")</f>
        <v>KL07</v>
      </c>
      <c r="B1402" s="5" t="str">
        <f ca="1">IFERROR(__xludf.DUMMYFUNCTION("""COMPUTED_VALUE"""),"KLEMM")</f>
        <v>KLEMM</v>
      </c>
      <c r="C1402" s="5" t="str">
        <f ca="1">IFERROR(__xludf.DUMMYFUNCTION("""COMPUTED_VALUE"""),"Kl-107")</f>
        <v>Kl-107</v>
      </c>
      <c r="D1402" s="5" t="str">
        <f ca="1">IFERROR(__xludf.DUMMYFUNCTION("""COMPUTED_VALUE"""),"LandPlane")</f>
        <v>LandPlane</v>
      </c>
      <c r="E1402" s="5" t="str">
        <f ca="1">IFERROR(__xludf.DUMMYFUNCTION("""COMPUTED_VALUE"""),"Piston")</f>
        <v>Piston</v>
      </c>
      <c r="F1402" s="5">
        <f ca="1">IFERROR(__xludf.DUMMYFUNCTION("""COMPUTED_VALUE"""),1)</f>
        <v>1</v>
      </c>
    </row>
    <row r="1403" spans="1:6" ht="15" customHeight="1" x14ac:dyDescent="0.2">
      <c r="A1403" s="5" t="str">
        <f ca="1">IFERROR(__xludf.DUMMYFUNCTION("""COMPUTED_VALUE"""),"KL10")</f>
        <v>KL10</v>
      </c>
      <c r="B1403" s="5" t="str">
        <f ca="1">IFERROR(__xludf.DUMMYFUNCTION("""COMPUTED_VALUE"""),"FLIGHT DESIGN-VESSEL")</f>
        <v>FLIGHT DESIGN-VESSEL</v>
      </c>
      <c r="C1403" s="5" t="str">
        <f ca="1">IFERROR(__xludf.DUMMYFUNCTION("""COMPUTED_VALUE"""),"KLA-100")</f>
        <v>KLA-100</v>
      </c>
      <c r="D1403" s="5" t="str">
        <f ca="1">IFERROR(__xludf.DUMMYFUNCTION("""COMPUTED_VALUE"""),"LandPlane")</f>
        <v>LandPlane</v>
      </c>
      <c r="E1403" s="5" t="str">
        <f ca="1">IFERROR(__xludf.DUMMYFUNCTION("""COMPUTED_VALUE"""),"Piston")</f>
        <v>Piston</v>
      </c>
      <c r="F1403" s="5">
        <f ca="1">IFERROR(__xludf.DUMMYFUNCTION("""COMPUTED_VALUE"""),1)</f>
        <v>1</v>
      </c>
    </row>
    <row r="1404" spans="1:6" ht="15" customHeight="1" x14ac:dyDescent="0.2">
      <c r="A1404" s="5" t="str">
        <f ca="1">IFERROR(__xludf.DUMMYFUNCTION("""COMPUTED_VALUE"""),"KL25")</f>
        <v>KL25</v>
      </c>
      <c r="B1404" s="5" t="str">
        <f ca="1">IFERROR(__xludf.DUMMYFUNCTION("""COMPUTED_VALUE"""),"KLEMM")</f>
        <v>KLEMM</v>
      </c>
      <c r="C1404" s="5" t="str">
        <f ca="1">IFERROR(__xludf.DUMMYFUNCTION("""COMPUTED_VALUE"""),"L-25")</f>
        <v>L-25</v>
      </c>
      <c r="D1404" s="5" t="str">
        <f ca="1">IFERROR(__xludf.DUMMYFUNCTION("""COMPUTED_VALUE"""),"LandPlane")</f>
        <v>LandPlane</v>
      </c>
      <c r="E1404" s="5" t="str">
        <f ca="1">IFERROR(__xludf.DUMMYFUNCTION("""COMPUTED_VALUE"""),"Piston")</f>
        <v>Piston</v>
      </c>
      <c r="F1404" s="5">
        <f ca="1">IFERROR(__xludf.DUMMYFUNCTION("""COMPUTED_VALUE"""),1)</f>
        <v>1</v>
      </c>
    </row>
    <row r="1405" spans="1:6" ht="15" customHeight="1" x14ac:dyDescent="0.2">
      <c r="A1405" s="5" t="str">
        <f ca="1">IFERROR(__xludf.DUMMYFUNCTION("""COMPUTED_VALUE"""),"KL35")</f>
        <v>KL35</v>
      </c>
      <c r="B1405" s="5" t="str">
        <f ca="1">IFERROR(__xludf.DUMMYFUNCTION("""COMPUTED_VALUE"""),"KLEMM")</f>
        <v>KLEMM</v>
      </c>
      <c r="C1405" s="5" t="str">
        <f ca="1">IFERROR(__xludf.DUMMYFUNCTION("""COMPUTED_VALUE"""),"Kl-35")</f>
        <v>Kl-35</v>
      </c>
      <c r="D1405" s="5" t="str">
        <f ca="1">IFERROR(__xludf.DUMMYFUNCTION("""COMPUTED_VALUE"""),"LandPlane")</f>
        <v>LandPlane</v>
      </c>
      <c r="E1405" s="5" t="str">
        <f ca="1">IFERROR(__xludf.DUMMYFUNCTION("""COMPUTED_VALUE"""),"Piston")</f>
        <v>Piston</v>
      </c>
      <c r="F1405" s="5">
        <f ca="1">IFERROR(__xludf.DUMMYFUNCTION("""COMPUTED_VALUE"""),1)</f>
        <v>1</v>
      </c>
    </row>
    <row r="1406" spans="1:6" ht="15" customHeight="1" x14ac:dyDescent="0.2">
      <c r="A1406" s="5" t="str">
        <f ca="1">IFERROR(__xludf.DUMMYFUNCTION("""COMPUTED_VALUE"""),"KLBR")</f>
        <v>KLBR</v>
      </c>
      <c r="B1406" s="5" t="str">
        <f ca="1">IFERROR(__xludf.DUMMYFUNCTION("""COMPUTED_VALUE"""),"KOLB")</f>
        <v>KOLB</v>
      </c>
      <c r="C1406" s="5" t="str">
        <f ca="1">IFERROR(__xludf.DUMMYFUNCTION("""COMPUTED_VALUE"""),"King Colbra")</f>
        <v>King Colbra</v>
      </c>
      <c r="D1406" s="5" t="str">
        <f ca="1">IFERROR(__xludf.DUMMYFUNCTION("""COMPUTED_VALUE"""),"LandPlane")</f>
        <v>LandPlane</v>
      </c>
      <c r="E1406" s="5" t="str">
        <f ca="1">IFERROR(__xludf.DUMMYFUNCTION("""COMPUTED_VALUE"""),"Piston")</f>
        <v>Piston</v>
      </c>
      <c r="F1406" s="5">
        <f ca="1">IFERROR(__xludf.DUMMYFUNCTION("""COMPUTED_VALUE"""),1)</f>
        <v>1</v>
      </c>
    </row>
    <row r="1407" spans="1:6" ht="15" customHeight="1" x14ac:dyDescent="0.2">
      <c r="A1407" s="5" t="str">
        <f ca="1">IFERROR(__xludf.DUMMYFUNCTION("""COMPUTED_VALUE"""),"KM2")</f>
        <v>KM2</v>
      </c>
      <c r="B1407" s="5" t="str">
        <f ca="1">IFERROR(__xludf.DUMMYFUNCTION("""COMPUTED_VALUE"""),"FUJI")</f>
        <v>FUJI</v>
      </c>
      <c r="C1407" s="5" t="str">
        <f ca="1">IFERROR(__xludf.DUMMYFUNCTION("""COMPUTED_VALUE"""),"KM-2")</f>
        <v>KM-2</v>
      </c>
      <c r="D1407" s="5" t="str">
        <f ca="1">IFERROR(__xludf.DUMMYFUNCTION("""COMPUTED_VALUE"""),"LandPlane")</f>
        <v>LandPlane</v>
      </c>
      <c r="E1407" s="5" t="str">
        <f ca="1">IFERROR(__xludf.DUMMYFUNCTION("""COMPUTED_VALUE"""),"Piston")</f>
        <v>Piston</v>
      </c>
      <c r="F1407" s="5">
        <f ca="1">IFERROR(__xludf.DUMMYFUNCTION("""COMPUTED_VALUE"""),1)</f>
        <v>1</v>
      </c>
    </row>
    <row r="1408" spans="1:6" ht="15" customHeight="1" x14ac:dyDescent="0.2">
      <c r="A1408" s="5" t="str">
        <f ca="1">IFERROR(__xludf.DUMMYFUNCTION("""COMPUTED_VALUE"""),"KMAX")</f>
        <v>KMAX</v>
      </c>
      <c r="B1408" s="5" t="str">
        <f ca="1">IFERROR(__xludf.DUMMYFUNCTION("""COMPUTED_VALUE"""),"KAMAN")</f>
        <v>KAMAN</v>
      </c>
      <c r="C1408" s="5" t="str">
        <f ca="1">IFERROR(__xludf.DUMMYFUNCTION("""COMPUTED_VALUE"""),"K-1200 K-Max")</f>
        <v>K-1200 K-Max</v>
      </c>
      <c r="D1408" s="5" t="str">
        <f ca="1">IFERROR(__xludf.DUMMYFUNCTION("""COMPUTED_VALUE"""),"Helicopter")</f>
        <v>Helicopter</v>
      </c>
      <c r="E1408" s="5" t="str">
        <f ca="1">IFERROR(__xludf.DUMMYFUNCTION("""COMPUTED_VALUE"""),"Turboprop/Turboshaft")</f>
        <v>Turboprop/Turboshaft</v>
      </c>
      <c r="F1408" s="5">
        <f ca="1">IFERROR(__xludf.DUMMYFUNCTION("""COMPUTED_VALUE"""),1)</f>
        <v>1</v>
      </c>
    </row>
    <row r="1409" spans="1:6" ht="15" customHeight="1" x14ac:dyDescent="0.2">
      <c r="A1409" s="5" t="str">
        <f ca="1">IFERROR(__xludf.DUMMYFUNCTION("""COMPUTED_VALUE"""),"KNTW")</f>
        <v>KNTW</v>
      </c>
      <c r="B1409" s="5" t="str">
        <f ca="1">IFERROR(__xludf.DUMMYFUNCTION("""COMPUTED_VALUE"""),"PAYNE")</f>
        <v>PAYNE</v>
      </c>
      <c r="C1409" s="5" t="str">
        <f ca="1">IFERROR(__xludf.DUMMYFUNCTION("""COMPUTED_VALUE"""),"Knight Twister")</f>
        <v>Knight Twister</v>
      </c>
      <c r="D1409" s="5" t="str">
        <f ca="1">IFERROR(__xludf.DUMMYFUNCTION("""COMPUTED_VALUE"""),"LandPlane")</f>
        <v>LandPlane</v>
      </c>
      <c r="E1409" s="5" t="str">
        <f ca="1">IFERROR(__xludf.DUMMYFUNCTION("""COMPUTED_VALUE"""),"Piston")</f>
        <v>Piston</v>
      </c>
      <c r="F1409" s="5">
        <f ca="1">IFERROR(__xludf.DUMMYFUNCTION("""COMPUTED_VALUE"""),1)</f>
        <v>1</v>
      </c>
    </row>
    <row r="1410" spans="1:6" ht="15" customHeight="1" x14ac:dyDescent="0.2">
      <c r="A1410" s="5" t="str">
        <f ca="1">IFERROR(__xludf.DUMMYFUNCTION("""COMPUTED_VALUE"""),"KOLL")</f>
        <v>KOLL</v>
      </c>
      <c r="B1410" s="5" t="str">
        <f ca="1">IFERROR(__xludf.DUMMYFUNCTION("""COMPUTED_VALUE"""),"KOLB")</f>
        <v>KOLB</v>
      </c>
      <c r="C1410" s="5" t="str">
        <f ca="1">IFERROR(__xludf.DUMMYFUNCTION("""COMPUTED_VALUE"""),"Laser")</f>
        <v>Laser</v>
      </c>
      <c r="D1410" s="5" t="str">
        <f ca="1">IFERROR(__xludf.DUMMYFUNCTION("""COMPUTED_VALUE"""),"LandPlane")</f>
        <v>LandPlane</v>
      </c>
      <c r="E1410" s="5" t="str">
        <f ca="1">IFERROR(__xludf.DUMMYFUNCTION("""COMPUTED_VALUE"""),"Piston")</f>
        <v>Piston</v>
      </c>
      <c r="F1410" s="5">
        <f ca="1">IFERROR(__xludf.DUMMYFUNCTION("""COMPUTED_VALUE"""),1)</f>
        <v>1</v>
      </c>
    </row>
    <row r="1411" spans="1:6" ht="15" customHeight="1" x14ac:dyDescent="0.2">
      <c r="A1411" s="5" t="str">
        <f ca="1">IFERROR(__xludf.DUMMYFUNCTION("""COMPUTED_VALUE"""),"KP2")</f>
        <v>KP2</v>
      </c>
      <c r="B1411" s="5" t="str">
        <f ca="1">IFERROR(__xludf.DUMMYFUNCTION("""COMPUTED_VALUE"""),"JIHLAVAN")</f>
        <v>JIHLAVAN</v>
      </c>
      <c r="C1411" s="5" t="str">
        <f ca="1">IFERROR(__xludf.DUMMYFUNCTION("""COMPUTED_VALUE"""),"KP-2 Rapid 200")</f>
        <v>KP-2 Rapid 200</v>
      </c>
      <c r="D1411" s="5" t="str">
        <f ca="1">IFERROR(__xludf.DUMMYFUNCTION("""COMPUTED_VALUE"""),"LandPlane")</f>
        <v>LandPlane</v>
      </c>
      <c r="E1411" s="5" t="str">
        <f ca="1">IFERROR(__xludf.DUMMYFUNCTION("""COMPUTED_VALUE"""),"Piston")</f>
        <v>Piston</v>
      </c>
      <c r="F1411" s="5">
        <f ca="1">IFERROR(__xludf.DUMMYFUNCTION("""COMPUTED_VALUE"""),1)</f>
        <v>1</v>
      </c>
    </row>
    <row r="1412" spans="1:6" ht="15" customHeight="1" x14ac:dyDescent="0.2">
      <c r="A1412" s="5" t="str">
        <f ca="1">IFERROR(__xludf.DUMMYFUNCTION("""COMPUTED_VALUE"""),"KP5")</f>
        <v>KP5</v>
      </c>
      <c r="B1412" s="5" t="str">
        <f ca="1">IFERROR(__xludf.DUMMYFUNCTION("""COMPUTED_VALUE"""),"JIHLAVAN")</f>
        <v>JIHLAVAN</v>
      </c>
      <c r="C1412" s="5" t="str">
        <f ca="1">IFERROR(__xludf.DUMMYFUNCTION("""COMPUTED_VALUE"""),"KP-5 Rapid 500")</f>
        <v>KP-5 Rapid 500</v>
      </c>
      <c r="D1412" s="5" t="str">
        <f ca="1">IFERROR(__xludf.DUMMYFUNCTION("""COMPUTED_VALUE"""),"LandPlane")</f>
        <v>LandPlane</v>
      </c>
      <c r="E1412" s="5" t="str">
        <f ca="1">IFERROR(__xludf.DUMMYFUNCTION("""COMPUTED_VALUE"""),"Piston")</f>
        <v>Piston</v>
      </c>
      <c r="F1412" s="5">
        <f ca="1">IFERROR(__xludf.DUMMYFUNCTION("""COMPUTED_VALUE"""),1)</f>
        <v>1</v>
      </c>
    </row>
    <row r="1413" spans="1:6" ht="15" customHeight="1" x14ac:dyDescent="0.2">
      <c r="A1413" s="5" t="str">
        <f ca="1">IFERROR(__xludf.DUMMYFUNCTION("""COMPUTED_VALUE"""),"KR1")</f>
        <v>KR1</v>
      </c>
      <c r="B1413" s="5" t="str">
        <f ca="1">IFERROR(__xludf.DUMMYFUNCTION("""COMPUTED_VALUE"""),"RAND")</f>
        <v>RAND</v>
      </c>
      <c r="C1413" s="5" t="str">
        <f ca="1">IFERROR(__xludf.DUMMYFUNCTION("""COMPUTED_VALUE"""),"KR-1")</f>
        <v>KR-1</v>
      </c>
      <c r="D1413" s="5" t="str">
        <f ca="1">IFERROR(__xludf.DUMMYFUNCTION("""COMPUTED_VALUE"""),"LandPlane")</f>
        <v>LandPlane</v>
      </c>
      <c r="E1413" s="5" t="str">
        <f ca="1">IFERROR(__xludf.DUMMYFUNCTION("""COMPUTED_VALUE"""),"Piston")</f>
        <v>Piston</v>
      </c>
      <c r="F1413" s="5">
        <f ca="1">IFERROR(__xludf.DUMMYFUNCTION("""COMPUTED_VALUE"""),1)</f>
        <v>1</v>
      </c>
    </row>
    <row r="1414" spans="1:6" ht="15" customHeight="1" x14ac:dyDescent="0.2">
      <c r="A1414" s="5" t="str">
        <f ca="1">IFERROR(__xludf.DUMMYFUNCTION("""COMPUTED_VALUE"""),"KR2")</f>
        <v>KR2</v>
      </c>
      <c r="B1414" s="5" t="str">
        <f ca="1">IFERROR(__xludf.DUMMYFUNCTION("""COMPUTED_VALUE"""),"RAND")</f>
        <v>RAND</v>
      </c>
      <c r="C1414" s="5" t="str">
        <f ca="1">IFERROR(__xludf.DUMMYFUNCTION("""COMPUTED_VALUE"""),"KR-2")</f>
        <v>KR-2</v>
      </c>
      <c r="D1414" s="5" t="str">
        <f ca="1">IFERROR(__xludf.DUMMYFUNCTION("""COMPUTED_VALUE"""),"LandPlane")</f>
        <v>LandPlane</v>
      </c>
      <c r="E1414" s="5" t="str">
        <f ca="1">IFERROR(__xludf.DUMMYFUNCTION("""COMPUTED_VALUE"""),"Piston")</f>
        <v>Piston</v>
      </c>
      <c r="F1414" s="5">
        <f ca="1">IFERROR(__xludf.DUMMYFUNCTION("""COMPUTED_VALUE"""),1)</f>
        <v>1</v>
      </c>
    </row>
    <row r="1415" spans="1:6" ht="15" customHeight="1" x14ac:dyDescent="0.2">
      <c r="A1415" s="5" t="str">
        <f ca="1">IFERROR(__xludf.DUMMYFUNCTION("""COMPUTED_VALUE"""),"KR21")</f>
        <v>KR21</v>
      </c>
      <c r="B1415" s="5" t="str">
        <f ca="1">IFERROR(__xludf.DUMMYFUNCTION("""COMPUTED_VALUE"""),"FAIRCHILD (1)")</f>
        <v>FAIRCHILD (1)</v>
      </c>
      <c r="C1415" s="5" t="str">
        <f ca="1">IFERROR(__xludf.DUMMYFUNCTION("""COMPUTED_VALUE"""),"KR-21")</f>
        <v>KR-21</v>
      </c>
      <c r="D1415" s="5" t="str">
        <f ca="1">IFERROR(__xludf.DUMMYFUNCTION("""COMPUTED_VALUE"""),"LandPlane")</f>
        <v>LandPlane</v>
      </c>
      <c r="E1415" s="5" t="str">
        <f ca="1">IFERROR(__xludf.DUMMYFUNCTION("""COMPUTED_VALUE"""),"Piston")</f>
        <v>Piston</v>
      </c>
      <c r="F1415" s="5">
        <f ca="1">IFERROR(__xludf.DUMMYFUNCTION("""COMPUTED_VALUE"""),1)</f>
        <v>1</v>
      </c>
    </row>
    <row r="1416" spans="1:6" ht="15" customHeight="1" x14ac:dyDescent="0.2">
      <c r="A1416" s="5" t="str">
        <f ca="1">IFERROR(__xludf.DUMMYFUNCTION("""COMPUTED_VALUE"""),"KR30")</f>
        <v>KR30</v>
      </c>
      <c r="B1416" s="5" t="str">
        <f ca="1">IFERROR(__xludf.DUMMYFUNCTION("""COMPUTED_VALUE"""),"EKOLOT")</f>
        <v>EKOLOT</v>
      </c>
      <c r="C1416" s="5" t="str">
        <f ca="1">IFERROR(__xludf.DUMMYFUNCTION("""COMPUTED_VALUE"""),"KR-030 Topaz")</f>
        <v>KR-030 Topaz</v>
      </c>
      <c r="D1416" s="5" t="str">
        <f ca="1">IFERROR(__xludf.DUMMYFUNCTION("""COMPUTED_VALUE"""),"LandPlane")</f>
        <v>LandPlane</v>
      </c>
      <c r="E1416" s="5" t="str">
        <f ca="1">IFERROR(__xludf.DUMMYFUNCTION("""COMPUTED_VALUE"""),"Piston")</f>
        <v>Piston</v>
      </c>
      <c r="F1416" s="5">
        <f ca="1">IFERROR(__xludf.DUMMYFUNCTION("""COMPUTED_VALUE"""),1)</f>
        <v>1</v>
      </c>
    </row>
    <row r="1417" spans="1:6" ht="15" customHeight="1" x14ac:dyDescent="0.2">
      <c r="A1417" s="5" t="str">
        <f ca="1">IFERROR(__xludf.DUMMYFUNCTION("""COMPUTED_VALUE"""),"KR31")</f>
        <v>KR31</v>
      </c>
      <c r="B1417" s="5" t="str">
        <f ca="1">IFERROR(__xludf.DUMMYFUNCTION("""COMPUTED_VALUE"""),"KREIDER-REISNER")</f>
        <v>KREIDER-REISNER</v>
      </c>
      <c r="C1417" s="5" t="str">
        <f ca="1">IFERROR(__xludf.DUMMYFUNCTION("""COMPUTED_VALUE"""),"C-2 Challenger")</f>
        <v>C-2 Challenger</v>
      </c>
      <c r="D1417" s="5" t="str">
        <f ca="1">IFERROR(__xludf.DUMMYFUNCTION("""COMPUTED_VALUE"""),"LandPlane")</f>
        <v>LandPlane</v>
      </c>
      <c r="E1417" s="5" t="str">
        <f ca="1">IFERROR(__xludf.DUMMYFUNCTION("""COMPUTED_VALUE"""),"Piston")</f>
        <v>Piston</v>
      </c>
      <c r="F1417" s="5">
        <f ca="1">IFERROR(__xludf.DUMMYFUNCTION("""COMPUTED_VALUE"""),1)</f>
        <v>1</v>
      </c>
    </row>
    <row r="1418" spans="1:6" ht="15" customHeight="1" x14ac:dyDescent="0.2">
      <c r="A1418" s="5" t="str">
        <f ca="1">IFERROR(__xludf.DUMMYFUNCTION("""COMPUTED_VALUE"""),"KR34")</f>
        <v>KR34</v>
      </c>
      <c r="B1418" s="5" t="str">
        <f ca="1">IFERROR(__xludf.DUMMYFUNCTION("""COMPUTED_VALUE"""),"KREIDER-REISNER")</f>
        <v>KREIDER-REISNER</v>
      </c>
      <c r="C1418" s="5" t="str">
        <f ca="1">IFERROR(__xludf.DUMMYFUNCTION("""COMPUTED_VALUE"""),"C-4 Challenger")</f>
        <v>C-4 Challenger</v>
      </c>
      <c r="D1418" s="5" t="str">
        <f ca="1">IFERROR(__xludf.DUMMYFUNCTION("""COMPUTED_VALUE"""),"LandPlane")</f>
        <v>LandPlane</v>
      </c>
      <c r="E1418" s="5" t="str">
        <f ca="1">IFERROR(__xludf.DUMMYFUNCTION("""COMPUTED_VALUE"""),"Piston")</f>
        <v>Piston</v>
      </c>
      <c r="F1418" s="5">
        <f ca="1">IFERROR(__xludf.DUMMYFUNCTION("""COMPUTED_VALUE"""),1)</f>
        <v>1</v>
      </c>
    </row>
    <row r="1419" spans="1:6" ht="15" customHeight="1" x14ac:dyDescent="0.2">
      <c r="A1419" s="5" t="str">
        <f ca="1">IFERROR(__xludf.DUMMYFUNCTION("""COMPUTED_VALUE"""),"KRAG")</f>
        <v>KRAG</v>
      </c>
      <c r="B1419" s="5" t="str">
        <f ca="1">IFERROR(__xludf.DUMMYFUNCTION("""COMPUTED_VALUE"""),"SOKO")</f>
        <v>SOKO</v>
      </c>
      <c r="C1419" s="5" t="str">
        <f ca="1">IFERROR(__xludf.DUMMYFUNCTION("""COMPUTED_VALUE"""),"P-2 Kraguj")</f>
        <v>P-2 Kraguj</v>
      </c>
      <c r="D1419" s="5" t="str">
        <f ca="1">IFERROR(__xludf.DUMMYFUNCTION("""COMPUTED_VALUE"""),"LandPlane")</f>
        <v>LandPlane</v>
      </c>
      <c r="E1419" s="5" t="str">
        <f ca="1">IFERROR(__xludf.DUMMYFUNCTION("""COMPUTED_VALUE"""),"Piston")</f>
        <v>Piston</v>
      </c>
      <c r="F1419" s="5">
        <f ca="1">IFERROR(__xludf.DUMMYFUNCTION("""COMPUTED_VALUE"""),1)</f>
        <v>1</v>
      </c>
    </row>
    <row r="1420" spans="1:6" ht="15" customHeight="1" x14ac:dyDescent="0.2">
      <c r="A1420" s="5" t="str">
        <f ca="1">IFERROR(__xludf.DUMMYFUNCTION("""COMPUTED_VALUE"""),"KRAH")</f>
        <v>KRAH</v>
      </c>
      <c r="B1420" s="5" t="str">
        <f ca="1">IFERROR(__xludf.DUMMYFUNCTION("""COMPUTED_VALUE"""),"ROCK")</f>
        <v>ROCK</v>
      </c>
      <c r="C1420" s="5" t="str">
        <f ca="1">IFERROR(__xludf.DUMMYFUNCTION("""COMPUTED_VALUE"""),"Krähe")</f>
        <v>Krähe</v>
      </c>
      <c r="D1420" s="5" t="str">
        <f ca="1">IFERROR(__xludf.DUMMYFUNCTION("""COMPUTED_VALUE"""),"LandPlane")</f>
        <v>LandPlane</v>
      </c>
      <c r="E1420" s="5" t="str">
        <f ca="1">IFERROR(__xludf.DUMMYFUNCTION("""COMPUTED_VALUE"""),"Piston")</f>
        <v>Piston</v>
      </c>
      <c r="F1420" s="5">
        <f ca="1">IFERROR(__xludf.DUMMYFUNCTION("""COMPUTED_VALUE"""),1)</f>
        <v>1</v>
      </c>
    </row>
    <row r="1421" spans="1:6" ht="15" customHeight="1" x14ac:dyDescent="0.2">
      <c r="A1421" s="5" t="str">
        <f ca="1">IFERROR(__xludf.DUMMYFUNCTION("""COMPUTED_VALUE"""),"KRIC")</f>
        <v>KRIC</v>
      </c>
      <c r="B1421" s="5" t="str">
        <f ca="1">IFERROR(__xludf.DUMMYFUNCTION("""COMPUTED_VALUE"""),"FLSZ")</f>
        <v>FLSZ</v>
      </c>
      <c r="C1421" s="5" t="str">
        <f ca="1">IFERROR(__xludf.DUMMYFUNCTION("""COMPUTED_VALUE"""),"DK-1 Der Kricket")</f>
        <v>DK-1 Der Kricket</v>
      </c>
      <c r="D1421" s="5" t="str">
        <f ca="1">IFERROR(__xludf.DUMMYFUNCTION("""COMPUTED_VALUE"""),"LandPlane")</f>
        <v>LandPlane</v>
      </c>
      <c r="E1421" s="5" t="str">
        <f ca="1">IFERROR(__xludf.DUMMYFUNCTION("""COMPUTED_VALUE"""),"Piston")</f>
        <v>Piston</v>
      </c>
      <c r="F1421" s="5">
        <f ca="1">IFERROR(__xludf.DUMMYFUNCTION("""COMPUTED_VALUE"""),1)</f>
        <v>1</v>
      </c>
    </row>
    <row r="1422" spans="1:6" ht="15" customHeight="1" x14ac:dyDescent="0.2">
      <c r="A1422" s="5" t="str">
        <f ca="1">IFERROR(__xludf.DUMMYFUNCTION("""COMPUTED_VALUE"""),"KSTK")</f>
        <v>KSTK</v>
      </c>
      <c r="B1422" s="5" t="str">
        <f ca="1">IFERROR(__xludf.DUMMYFUNCTION("""COMPUTED_VALUE"""),"PHOENIX-AVIACOR")</f>
        <v>PHOENIX-AVIACOR</v>
      </c>
      <c r="C1422" s="5" t="str">
        <f ca="1">IFERROR(__xludf.DUMMYFUNCTION("""COMPUTED_VALUE"""),"M-12 Kasatik")</f>
        <v>M-12 Kasatik</v>
      </c>
      <c r="D1422" s="5" t="str">
        <f ca="1">IFERROR(__xludf.DUMMYFUNCTION("""COMPUTED_VALUE"""),"LandPlane")</f>
        <v>LandPlane</v>
      </c>
      <c r="E1422" s="5" t="str">
        <f ca="1">IFERROR(__xludf.DUMMYFUNCTION("""COMPUTED_VALUE"""),"Piston")</f>
        <v>Piston</v>
      </c>
      <c r="F1422" s="5">
        <f ca="1">IFERROR(__xludf.DUMMYFUNCTION("""COMPUTED_VALUE"""),2)</f>
        <v>2</v>
      </c>
    </row>
    <row r="1423" spans="1:6" ht="15" customHeight="1" x14ac:dyDescent="0.2">
      <c r="A1423" s="5" t="str">
        <f ca="1">IFERROR(__xludf.DUMMYFUNCTION("""COMPUTED_VALUE"""),"KT1")</f>
        <v>KT1</v>
      </c>
      <c r="B1423" s="5" t="str">
        <f ca="1">IFERROR(__xludf.DUMMYFUNCTION("""COMPUTED_VALUE"""),"DAEWOO")</f>
        <v>DAEWOO</v>
      </c>
      <c r="C1423" s="5" t="str">
        <f ca="1">IFERROR(__xludf.DUMMYFUNCTION("""COMPUTED_VALUE"""),"KT-1 Woong-Bee")</f>
        <v>KT-1 Woong-Bee</v>
      </c>
      <c r="D1423" s="5" t="str">
        <f ca="1">IFERROR(__xludf.DUMMYFUNCTION("""COMPUTED_VALUE"""),"LandPlane")</f>
        <v>LandPlane</v>
      </c>
      <c r="E1423" s="5" t="str">
        <f ca="1">IFERROR(__xludf.DUMMYFUNCTION("""COMPUTED_VALUE"""),"Turboprop/Turboshaft")</f>
        <v>Turboprop/Turboshaft</v>
      </c>
      <c r="F1423" s="5">
        <f ca="1">IFERROR(__xludf.DUMMYFUNCTION("""COMPUTED_VALUE"""),1)</f>
        <v>1</v>
      </c>
    </row>
    <row r="1424" spans="1:6" ht="15" customHeight="1" x14ac:dyDescent="0.2">
      <c r="A1424" s="5" t="str">
        <f ca="1">IFERROR(__xludf.DUMMYFUNCTION("""COMPUTED_VALUE"""),"KTOO")</f>
        <v>KTOO</v>
      </c>
      <c r="B1424" s="5" t="str">
        <f ca="1">IFERROR(__xludf.DUMMYFUNCTION("""COMPUTED_VALUE"""),"ANGLIN")</f>
        <v>ANGLIN</v>
      </c>
      <c r="C1424" s="5" t="str">
        <f ca="1">IFERROR(__xludf.DUMMYFUNCTION("""COMPUTED_VALUE"""),"J-6 Karatoo")</f>
        <v>J-6 Karatoo</v>
      </c>
      <c r="D1424" s="5" t="str">
        <f ca="1">IFERROR(__xludf.DUMMYFUNCTION("""COMPUTED_VALUE"""),"LandPlane")</f>
        <v>LandPlane</v>
      </c>
      <c r="E1424" s="5" t="str">
        <f ca="1">IFERROR(__xludf.DUMMYFUNCTION("""COMPUTED_VALUE"""),"Piston")</f>
        <v>Piston</v>
      </c>
      <c r="F1424" s="5">
        <f ca="1">IFERROR(__xludf.DUMMYFUNCTION("""COMPUTED_VALUE"""),1)</f>
        <v>1</v>
      </c>
    </row>
    <row r="1425" spans="1:6" ht="15" customHeight="1" x14ac:dyDescent="0.2">
      <c r="A1425" s="5" t="str">
        <f ca="1">IFERROR(__xludf.DUMMYFUNCTION("""COMPUTED_VALUE"""),"KZ2")</f>
        <v>KZ2</v>
      </c>
      <c r="B1425" s="5" t="str">
        <f ca="1">IFERROR(__xludf.DUMMYFUNCTION("""COMPUTED_VALUE"""),"SAI (1)")</f>
        <v>SAI (1)</v>
      </c>
      <c r="C1425" s="5" t="str">
        <f ca="1">IFERROR(__xludf.DUMMYFUNCTION("""COMPUTED_VALUE"""),"KZ-2 Kupe")</f>
        <v>KZ-2 Kupe</v>
      </c>
      <c r="D1425" s="5" t="str">
        <f ca="1">IFERROR(__xludf.DUMMYFUNCTION("""COMPUTED_VALUE"""),"LandPlane")</f>
        <v>LandPlane</v>
      </c>
      <c r="E1425" s="5" t="str">
        <f ca="1">IFERROR(__xludf.DUMMYFUNCTION("""COMPUTED_VALUE"""),"Piston")</f>
        <v>Piston</v>
      </c>
      <c r="F1425" s="5">
        <f ca="1">IFERROR(__xludf.DUMMYFUNCTION("""COMPUTED_VALUE"""),1)</f>
        <v>1</v>
      </c>
    </row>
    <row r="1426" spans="1:6" ht="15" customHeight="1" x14ac:dyDescent="0.2">
      <c r="A1426" s="5" t="str">
        <f ca="1">IFERROR(__xludf.DUMMYFUNCTION("""COMPUTED_VALUE"""),"KZ3")</f>
        <v>KZ3</v>
      </c>
      <c r="B1426" s="5" t="str">
        <f ca="1">IFERROR(__xludf.DUMMYFUNCTION("""COMPUTED_VALUE"""),"SAI (1)")</f>
        <v>SAI (1)</v>
      </c>
      <c r="C1426" s="5" t="str">
        <f ca="1">IFERROR(__xludf.DUMMYFUNCTION("""COMPUTED_VALUE"""),"KZ-3")</f>
        <v>KZ-3</v>
      </c>
      <c r="D1426" s="5" t="str">
        <f ca="1">IFERROR(__xludf.DUMMYFUNCTION("""COMPUTED_VALUE"""),"LandPlane")</f>
        <v>LandPlane</v>
      </c>
      <c r="E1426" s="5" t="str">
        <f ca="1">IFERROR(__xludf.DUMMYFUNCTION("""COMPUTED_VALUE"""),"Piston")</f>
        <v>Piston</v>
      </c>
      <c r="F1426" s="5">
        <f ca="1">IFERROR(__xludf.DUMMYFUNCTION("""COMPUTED_VALUE"""),1)</f>
        <v>1</v>
      </c>
    </row>
    <row r="1427" spans="1:6" ht="15" customHeight="1" x14ac:dyDescent="0.2">
      <c r="A1427" s="5" t="str">
        <f ca="1">IFERROR(__xludf.DUMMYFUNCTION("""COMPUTED_VALUE"""),"KZ4")</f>
        <v>KZ4</v>
      </c>
      <c r="B1427" s="5" t="str">
        <f ca="1">IFERROR(__xludf.DUMMYFUNCTION("""COMPUTED_VALUE"""),"SAI (1)")</f>
        <v>SAI (1)</v>
      </c>
      <c r="C1427" s="5" t="str">
        <f ca="1">IFERROR(__xludf.DUMMYFUNCTION("""COMPUTED_VALUE"""),"KZ-4")</f>
        <v>KZ-4</v>
      </c>
      <c r="D1427" s="5" t="str">
        <f ca="1">IFERROR(__xludf.DUMMYFUNCTION("""COMPUTED_VALUE"""),"LandPlane")</f>
        <v>LandPlane</v>
      </c>
      <c r="E1427" s="5" t="str">
        <f ca="1">IFERROR(__xludf.DUMMYFUNCTION("""COMPUTED_VALUE"""),"Piston")</f>
        <v>Piston</v>
      </c>
      <c r="F1427" s="5">
        <f ca="1">IFERROR(__xludf.DUMMYFUNCTION("""COMPUTED_VALUE"""),2)</f>
        <v>2</v>
      </c>
    </row>
    <row r="1428" spans="1:6" ht="15" customHeight="1" x14ac:dyDescent="0.2">
      <c r="A1428" s="5" t="str">
        <f ca="1">IFERROR(__xludf.DUMMYFUNCTION("""COMPUTED_VALUE"""),"KZ7")</f>
        <v>KZ7</v>
      </c>
      <c r="B1428" s="5" t="str">
        <f ca="1">IFERROR(__xludf.DUMMYFUNCTION("""COMPUTED_VALUE"""),"SAI (1)")</f>
        <v>SAI (1)</v>
      </c>
      <c r="C1428" s="5" t="str">
        <f ca="1">IFERROR(__xludf.DUMMYFUNCTION("""COMPUTED_VALUE"""),"KZ-7 Laerke")</f>
        <v>KZ-7 Laerke</v>
      </c>
      <c r="D1428" s="5" t="str">
        <f ca="1">IFERROR(__xludf.DUMMYFUNCTION("""COMPUTED_VALUE"""),"LandPlane")</f>
        <v>LandPlane</v>
      </c>
      <c r="E1428" s="5" t="str">
        <f ca="1">IFERROR(__xludf.DUMMYFUNCTION("""COMPUTED_VALUE"""),"Piston")</f>
        <v>Piston</v>
      </c>
      <c r="F1428" s="5">
        <f ca="1">IFERROR(__xludf.DUMMYFUNCTION("""COMPUTED_VALUE"""),1)</f>
        <v>1</v>
      </c>
    </row>
    <row r="1429" spans="1:6" ht="15" customHeight="1" x14ac:dyDescent="0.2">
      <c r="A1429" s="5" t="str">
        <f ca="1">IFERROR(__xludf.DUMMYFUNCTION("""COMPUTED_VALUE"""),"KZ8")</f>
        <v>KZ8</v>
      </c>
      <c r="B1429" s="5" t="str">
        <f ca="1">IFERROR(__xludf.DUMMYFUNCTION("""COMPUTED_VALUE"""),"SAI (1)")</f>
        <v>SAI (1)</v>
      </c>
      <c r="C1429" s="5" t="str">
        <f ca="1">IFERROR(__xludf.DUMMYFUNCTION("""COMPUTED_VALUE"""),"KZ-8")</f>
        <v>KZ-8</v>
      </c>
      <c r="D1429" s="5" t="str">
        <f ca="1">IFERROR(__xludf.DUMMYFUNCTION("""COMPUTED_VALUE"""),"LandPlane")</f>
        <v>LandPlane</v>
      </c>
      <c r="E1429" s="5" t="str">
        <f ca="1">IFERROR(__xludf.DUMMYFUNCTION("""COMPUTED_VALUE"""),"Piston")</f>
        <v>Piston</v>
      </c>
      <c r="F1429" s="5">
        <f ca="1">IFERROR(__xludf.DUMMYFUNCTION("""COMPUTED_VALUE"""),1)</f>
        <v>1</v>
      </c>
    </row>
    <row r="1430" spans="1:6" ht="15" customHeight="1" x14ac:dyDescent="0.2">
      <c r="A1430" s="5" t="str">
        <f ca="1">IFERROR(__xludf.DUMMYFUNCTION("""COMPUTED_VALUE"""),"L10")</f>
        <v>L10</v>
      </c>
      <c r="B1430" s="5" t="str">
        <f ca="1">IFERROR(__xludf.DUMMYFUNCTION("""COMPUTED_VALUE"""),"LOCKHEED")</f>
        <v>LOCKHEED</v>
      </c>
      <c r="C1430" s="5" t="str">
        <f ca="1">IFERROR(__xludf.DUMMYFUNCTION("""COMPUTED_VALUE"""),"L-10 Electra")</f>
        <v>L-10 Electra</v>
      </c>
      <c r="D1430" s="5" t="str">
        <f ca="1">IFERROR(__xludf.DUMMYFUNCTION("""COMPUTED_VALUE"""),"LandPlane")</f>
        <v>LandPlane</v>
      </c>
      <c r="E1430" s="5" t="str">
        <f ca="1">IFERROR(__xludf.DUMMYFUNCTION("""COMPUTED_VALUE"""),"Piston")</f>
        <v>Piston</v>
      </c>
      <c r="F1430" s="5">
        <f ca="1">IFERROR(__xludf.DUMMYFUNCTION("""COMPUTED_VALUE"""),2)</f>
        <v>2</v>
      </c>
    </row>
    <row r="1431" spans="1:6" ht="15" customHeight="1" x14ac:dyDescent="0.2">
      <c r="A1431" s="5" t="str">
        <f ca="1">IFERROR(__xludf.DUMMYFUNCTION("""COMPUTED_VALUE"""),"L101")</f>
        <v>L101</v>
      </c>
      <c r="B1431" s="5" t="str">
        <f ca="1">IFERROR(__xludf.DUMMYFUNCTION("""COMPUTED_VALUE"""),"LOCKHEED")</f>
        <v>LOCKHEED</v>
      </c>
      <c r="C1431" s="5" t="str">
        <f ca="1">IFERROR(__xludf.DUMMYFUNCTION("""COMPUTED_VALUE"""),"L-1011 TriStar")</f>
        <v>L-1011 TriStar</v>
      </c>
      <c r="D1431" s="5" t="str">
        <f ca="1">IFERROR(__xludf.DUMMYFUNCTION("""COMPUTED_VALUE"""),"LandPlane")</f>
        <v>LandPlane</v>
      </c>
      <c r="E1431" s="5" t="str">
        <f ca="1">IFERROR(__xludf.DUMMYFUNCTION("""COMPUTED_VALUE"""),"Jet")</f>
        <v>Jet</v>
      </c>
      <c r="F1431" s="5">
        <f ca="1">IFERROR(__xludf.DUMMYFUNCTION("""COMPUTED_VALUE"""),3)</f>
        <v>3</v>
      </c>
    </row>
    <row r="1432" spans="1:6" s="9" customFormat="1" ht="15" customHeight="1" x14ac:dyDescent="0.2">
      <c r="A1432" s="8" t="str">
        <f ca="1">IFERROR(__xludf.DUMMYFUNCTION("""COMPUTED_VALUE"""),"L11")</f>
        <v>L11</v>
      </c>
      <c r="B1432" s="8" t="str">
        <f ca="1">IFERROR(__xludf.DUMMYFUNCTION("""COMPUTED_VALUE"""),"LUSCOMBE")</f>
        <v>LUSCOMBE</v>
      </c>
      <c r="C1432" s="8" t="str">
        <f ca="1">IFERROR(__xludf.DUMMYFUNCTION("""COMPUTED_VALUE"""),"11A Sedan")</f>
        <v>11A Sedan</v>
      </c>
      <c r="D1432" s="8" t="str">
        <f ca="1">IFERROR(__xludf.DUMMYFUNCTION("""COMPUTED_VALUE"""),"LandPlane")</f>
        <v>LandPlane</v>
      </c>
      <c r="E1432" s="8" t="str">
        <f ca="1">IFERROR(__xludf.DUMMYFUNCTION("""COMPUTED_VALUE"""),"Piston")</f>
        <v>Piston</v>
      </c>
      <c r="F1432" s="8">
        <f ca="1">IFERROR(__xludf.DUMMYFUNCTION("""COMPUTED_VALUE"""),1)</f>
        <v>1</v>
      </c>
    </row>
    <row r="1433" spans="1:6" ht="15" customHeight="1" x14ac:dyDescent="0.2">
      <c r="A1433" s="5" t="str">
        <f ca="1">IFERROR(__xludf.DUMMYFUNCTION("""COMPUTED_VALUE"""),"L11E")</f>
        <v>L11E</v>
      </c>
      <c r="B1433" s="5" t="str">
        <f ca="1">IFERROR(__xludf.DUMMYFUNCTION("""COMPUTED_VALUE"""),"LUSCOMBE")</f>
        <v>LUSCOMBE</v>
      </c>
      <c r="C1433" s="5" t="str">
        <f ca="1">IFERROR(__xludf.DUMMYFUNCTION("""COMPUTED_VALUE"""),"11E Spartan 185")</f>
        <v>11E Spartan 185</v>
      </c>
      <c r="D1433" s="5" t="str">
        <f ca="1">IFERROR(__xludf.DUMMYFUNCTION("""COMPUTED_VALUE"""),"LandPlane")</f>
        <v>LandPlane</v>
      </c>
      <c r="E1433" s="5" t="str">
        <f ca="1">IFERROR(__xludf.DUMMYFUNCTION("""COMPUTED_VALUE"""),"Piston")</f>
        <v>Piston</v>
      </c>
      <c r="F1433" s="5">
        <f ca="1">IFERROR(__xludf.DUMMYFUNCTION("""COMPUTED_VALUE"""),1)</f>
        <v>1</v>
      </c>
    </row>
    <row r="1434" spans="1:6" ht="15" customHeight="1" x14ac:dyDescent="0.2">
      <c r="A1434" s="5" t="str">
        <f ca="1">IFERROR(__xludf.DUMMYFUNCTION("""COMPUTED_VALUE"""),"L12")</f>
        <v>L12</v>
      </c>
      <c r="B1434" s="5" t="str">
        <f ca="1">IFERROR(__xludf.DUMMYFUNCTION("""COMPUTED_VALUE"""),"LOCKHEED")</f>
        <v>LOCKHEED</v>
      </c>
      <c r="C1434" s="5" t="str">
        <f ca="1">IFERROR(__xludf.DUMMYFUNCTION("""COMPUTED_VALUE"""),"L-12 Electra Junior")</f>
        <v>L-12 Electra Junior</v>
      </c>
      <c r="D1434" s="5" t="str">
        <f ca="1">IFERROR(__xludf.DUMMYFUNCTION("""COMPUTED_VALUE"""),"LandPlane")</f>
        <v>LandPlane</v>
      </c>
      <c r="E1434" s="5" t="str">
        <f ca="1">IFERROR(__xludf.DUMMYFUNCTION("""COMPUTED_VALUE"""),"Piston")</f>
        <v>Piston</v>
      </c>
      <c r="F1434" s="5">
        <f ca="1">IFERROR(__xludf.DUMMYFUNCTION("""COMPUTED_VALUE"""),2)</f>
        <v>2</v>
      </c>
    </row>
    <row r="1435" spans="1:6" ht="15" customHeight="1" x14ac:dyDescent="0.2">
      <c r="A1435" s="5" t="str">
        <f ca="1">IFERROR(__xludf.DUMMYFUNCTION("""COMPUTED_VALUE"""),"L13")</f>
        <v>L13</v>
      </c>
      <c r="B1435" s="5" t="str">
        <f ca="1">IFERROR(__xludf.DUMMYFUNCTION("""COMPUTED_VALUE"""),"LONGREN")</f>
        <v>LONGREN</v>
      </c>
      <c r="C1435" s="5" t="str">
        <f ca="1">IFERROR(__xludf.DUMMYFUNCTION("""COMPUTED_VALUE"""),"L-13 Centaur")</f>
        <v>L-13 Centaur</v>
      </c>
      <c r="D1435" s="5" t="str">
        <f ca="1">IFERROR(__xludf.DUMMYFUNCTION("""COMPUTED_VALUE"""),"LandPlane")</f>
        <v>LandPlane</v>
      </c>
      <c r="E1435" s="5" t="str">
        <f ca="1">IFERROR(__xludf.DUMMYFUNCTION("""COMPUTED_VALUE"""),"Piston")</f>
        <v>Piston</v>
      </c>
      <c r="F1435" s="5">
        <f ca="1">IFERROR(__xludf.DUMMYFUNCTION("""COMPUTED_VALUE"""),1)</f>
        <v>1</v>
      </c>
    </row>
    <row r="1436" spans="1:6" ht="15" customHeight="1" x14ac:dyDescent="0.2">
      <c r="A1436" s="5" t="str">
        <f ca="1">IFERROR(__xludf.DUMMYFUNCTION("""COMPUTED_VALUE"""),"L13M")</f>
        <v>L13M</v>
      </c>
      <c r="B1436" s="5" t="str">
        <f ca="1">IFERROR(__xludf.DUMMYFUNCTION("""COMPUTED_VALUE"""),"LET")</f>
        <v>LET</v>
      </c>
      <c r="C1436" s="5" t="str">
        <f ca="1">IFERROR(__xludf.DUMMYFUNCTION("""COMPUTED_VALUE"""),"L-13 Blanik (single-engine conversions)")</f>
        <v>L-13 Blanik (single-engine conversions)</v>
      </c>
      <c r="D1436" s="5" t="str">
        <f ca="1">IFERROR(__xludf.DUMMYFUNCTION("""COMPUTED_VALUE"""),"LandPlane")</f>
        <v>LandPlane</v>
      </c>
      <c r="E1436" s="5" t="str">
        <f ca="1">IFERROR(__xludf.DUMMYFUNCTION("""COMPUTED_VALUE"""),"Piston")</f>
        <v>Piston</v>
      </c>
      <c r="F1436" s="5">
        <f ca="1">IFERROR(__xludf.DUMMYFUNCTION("""COMPUTED_VALUE"""),1)</f>
        <v>1</v>
      </c>
    </row>
    <row r="1437" spans="1:6" ht="15" customHeight="1" x14ac:dyDescent="0.2">
      <c r="A1437" s="5" t="str">
        <f ca="1">IFERROR(__xludf.DUMMYFUNCTION("""COMPUTED_VALUE"""),"L13S")</f>
        <v>L13S</v>
      </c>
      <c r="B1437" s="5" t="str">
        <f ca="1">IFERROR(__xludf.DUMMYFUNCTION("""COMPUTED_VALUE"""),"AEROTECHNIK")</f>
        <v>AEROTECHNIK</v>
      </c>
      <c r="C1437" s="5" t="str">
        <f ca="1">IFERROR(__xludf.DUMMYFUNCTION("""COMPUTED_VALUE"""),"L-13S Vivat")</f>
        <v>L-13S Vivat</v>
      </c>
      <c r="D1437" s="5" t="str">
        <f ca="1">IFERROR(__xludf.DUMMYFUNCTION("""COMPUTED_VALUE"""),"LandPlane")</f>
        <v>LandPlane</v>
      </c>
      <c r="E1437" s="5" t="str">
        <f ca="1">IFERROR(__xludf.DUMMYFUNCTION("""COMPUTED_VALUE"""),"Piston")</f>
        <v>Piston</v>
      </c>
      <c r="F1437" s="5">
        <f ca="1">IFERROR(__xludf.DUMMYFUNCTION("""COMPUTED_VALUE"""),1)</f>
        <v>1</v>
      </c>
    </row>
    <row r="1438" spans="1:6" ht="15" customHeight="1" x14ac:dyDescent="0.2">
      <c r="A1438" s="5" t="str">
        <f ca="1">IFERROR(__xludf.DUMMYFUNCTION("""COMPUTED_VALUE"""),"L14")</f>
        <v>L14</v>
      </c>
      <c r="B1438" s="5" t="str">
        <f ca="1">IFERROR(__xludf.DUMMYFUNCTION("""COMPUTED_VALUE"""),"LOCKHEED")</f>
        <v>LOCKHEED</v>
      </c>
      <c r="C1438" s="5" t="str">
        <f ca="1">IFERROR(__xludf.DUMMYFUNCTION("""COMPUTED_VALUE"""),"L-14 Hudson")</f>
        <v>L-14 Hudson</v>
      </c>
      <c r="D1438" s="5" t="str">
        <f ca="1">IFERROR(__xludf.DUMMYFUNCTION("""COMPUTED_VALUE"""),"LandPlane")</f>
        <v>LandPlane</v>
      </c>
      <c r="E1438" s="5" t="str">
        <f ca="1">IFERROR(__xludf.DUMMYFUNCTION("""COMPUTED_VALUE"""),"Piston")</f>
        <v>Piston</v>
      </c>
      <c r="F1438" s="5">
        <f ca="1">IFERROR(__xludf.DUMMYFUNCTION("""COMPUTED_VALUE"""),2)</f>
        <v>2</v>
      </c>
    </row>
    <row r="1439" spans="1:6" ht="15" customHeight="1" x14ac:dyDescent="0.2">
      <c r="A1439" s="5" t="str">
        <f ca="1">IFERROR(__xludf.DUMMYFUNCTION("""COMPUTED_VALUE"""),"L15")</f>
        <v>L15</v>
      </c>
      <c r="B1439" s="5" t="str">
        <f ca="1">IFERROR(__xludf.DUMMYFUNCTION("""COMPUTED_VALUE"""),"HONGDU")</f>
        <v>HONGDU</v>
      </c>
      <c r="C1439" s="5" t="str">
        <f ca="1">IFERROR(__xludf.DUMMYFUNCTION("""COMPUTED_VALUE"""),"L-15 Lieying")</f>
        <v>L-15 Lieying</v>
      </c>
      <c r="D1439" s="5" t="str">
        <f ca="1">IFERROR(__xludf.DUMMYFUNCTION("""COMPUTED_VALUE"""),"LandPlane")</f>
        <v>LandPlane</v>
      </c>
      <c r="E1439" s="5" t="str">
        <f ca="1">IFERROR(__xludf.DUMMYFUNCTION("""COMPUTED_VALUE"""),"Jet")</f>
        <v>Jet</v>
      </c>
      <c r="F1439" s="5">
        <f ca="1">IFERROR(__xludf.DUMMYFUNCTION("""COMPUTED_VALUE"""),2)</f>
        <v>2</v>
      </c>
    </row>
    <row r="1440" spans="1:6" ht="15" customHeight="1" x14ac:dyDescent="0.2">
      <c r="A1440" s="5" t="str">
        <f ca="1">IFERROR(__xludf.DUMMYFUNCTION("""COMPUTED_VALUE"""),"L159")</f>
        <v>L159</v>
      </c>
      <c r="B1440" s="5" t="str">
        <f ca="1">IFERROR(__xludf.DUMMYFUNCTION("""COMPUTED_VALUE"""),"AERO (2)")</f>
        <v>AERO (2)</v>
      </c>
      <c r="C1440" s="5" t="str">
        <f ca="1">IFERROR(__xludf.DUMMYFUNCTION("""COMPUTED_VALUE"""),"L-159  Albatros 2")</f>
        <v>L-159  Albatros 2</v>
      </c>
      <c r="D1440" s="5" t="str">
        <f ca="1">IFERROR(__xludf.DUMMYFUNCTION("""COMPUTED_VALUE"""),"LandPlane")</f>
        <v>LandPlane</v>
      </c>
      <c r="E1440" s="5" t="str">
        <f ca="1">IFERROR(__xludf.DUMMYFUNCTION("""COMPUTED_VALUE"""),"Jet")</f>
        <v>Jet</v>
      </c>
      <c r="F1440" s="5">
        <f ca="1">IFERROR(__xludf.DUMMYFUNCTION("""COMPUTED_VALUE"""),1)</f>
        <v>1</v>
      </c>
    </row>
    <row r="1441" spans="1:6" ht="15" customHeight="1" x14ac:dyDescent="0.2">
      <c r="A1441" s="5" t="str">
        <f ca="1">IFERROR(__xludf.DUMMYFUNCTION("""COMPUTED_VALUE"""),"L18")</f>
        <v>L18</v>
      </c>
      <c r="B1441" s="5" t="str">
        <f ca="1">IFERROR(__xludf.DUMMYFUNCTION("""COMPUTED_VALUE"""),"HOWARD (2)")</f>
        <v>HOWARD (2)</v>
      </c>
      <c r="C1441" s="5" t="str">
        <f ca="1">IFERROR(__xludf.DUMMYFUNCTION("""COMPUTED_VALUE"""),"250")</f>
        <v>250</v>
      </c>
      <c r="D1441" s="5" t="str">
        <f ca="1">IFERROR(__xludf.DUMMYFUNCTION("""COMPUTED_VALUE"""),"LandPlane")</f>
        <v>LandPlane</v>
      </c>
      <c r="E1441" s="5" t="str">
        <f ca="1">IFERROR(__xludf.DUMMYFUNCTION("""COMPUTED_VALUE"""),"Piston")</f>
        <v>Piston</v>
      </c>
      <c r="F1441" s="5">
        <f ca="1">IFERROR(__xludf.DUMMYFUNCTION("""COMPUTED_VALUE"""),2)</f>
        <v>2</v>
      </c>
    </row>
    <row r="1442" spans="1:6" ht="15" customHeight="1" x14ac:dyDescent="0.2">
      <c r="A1442" s="5" t="str">
        <f ca="1">IFERROR(__xludf.DUMMYFUNCTION("""COMPUTED_VALUE"""),"L18")</f>
        <v>L18</v>
      </c>
      <c r="B1442" s="5" t="str">
        <f ca="1">IFERROR(__xludf.DUMMYFUNCTION("""COMPUTED_VALUE"""),"LOCKHEED")</f>
        <v>LOCKHEED</v>
      </c>
      <c r="C1442" s="5" t="str">
        <f ca="1">IFERROR(__xludf.DUMMYFUNCTION("""COMPUTED_VALUE"""),"L-18 Lodestar")</f>
        <v>L-18 Lodestar</v>
      </c>
      <c r="D1442" s="5" t="str">
        <f ca="1">IFERROR(__xludf.DUMMYFUNCTION("""COMPUTED_VALUE"""),"LandPlane")</f>
        <v>LandPlane</v>
      </c>
      <c r="E1442" s="5" t="str">
        <f ca="1">IFERROR(__xludf.DUMMYFUNCTION("""COMPUTED_VALUE"""),"Piston")</f>
        <v>Piston</v>
      </c>
      <c r="F1442" s="5">
        <f ca="1">IFERROR(__xludf.DUMMYFUNCTION("""COMPUTED_VALUE"""),2)</f>
        <v>2</v>
      </c>
    </row>
    <row r="1443" spans="1:6" ht="15" customHeight="1" x14ac:dyDescent="0.2">
      <c r="A1443" s="5" t="str">
        <f ca="1">IFERROR(__xludf.DUMMYFUNCTION("""COMPUTED_VALUE"""),"L181")</f>
        <v>L181</v>
      </c>
      <c r="B1443" s="5" t="str">
        <f ca="1">IFERROR(__xludf.DUMMYFUNCTION("""COMPUTED_VALUE"""),"ASSOCIATED AIR")</f>
        <v>ASSOCIATED AIR</v>
      </c>
      <c r="C1443" s="5" t="str">
        <f ca="1">IFERROR(__xludf.DUMMYFUNCTION("""COMPUTED_VALUE"""),"Liberty 181")</f>
        <v>Liberty 181</v>
      </c>
      <c r="D1443" s="5" t="str">
        <f ca="1">IFERROR(__xludf.DUMMYFUNCTION("""COMPUTED_VALUE"""),"LandPlane")</f>
        <v>LandPlane</v>
      </c>
      <c r="E1443" s="5" t="str">
        <f ca="1">IFERROR(__xludf.DUMMYFUNCTION("""COMPUTED_VALUE"""),"Piston")</f>
        <v>Piston</v>
      </c>
      <c r="F1443" s="5">
        <f ca="1">IFERROR(__xludf.DUMMYFUNCTION("""COMPUTED_VALUE"""),1)</f>
        <v>1</v>
      </c>
    </row>
    <row r="1444" spans="1:6" ht="15" customHeight="1" x14ac:dyDescent="0.2">
      <c r="A1444" s="5" t="str">
        <f ca="1">IFERROR(__xludf.DUMMYFUNCTION("""COMPUTED_VALUE"""),"L188")</f>
        <v>L188</v>
      </c>
      <c r="B1444" s="5" t="str">
        <f ca="1">IFERROR(__xludf.DUMMYFUNCTION("""COMPUTED_VALUE"""),"LOCKHEED")</f>
        <v>LOCKHEED</v>
      </c>
      <c r="C1444" s="5" t="str">
        <f ca="1">IFERROR(__xludf.DUMMYFUNCTION("""COMPUTED_VALUE"""),"L-188 Electra")</f>
        <v>L-188 Electra</v>
      </c>
      <c r="D1444" s="5" t="str">
        <f ca="1">IFERROR(__xludf.DUMMYFUNCTION("""COMPUTED_VALUE"""),"LandPlane")</f>
        <v>LandPlane</v>
      </c>
      <c r="E1444" s="5" t="str">
        <f ca="1">IFERROR(__xludf.DUMMYFUNCTION("""COMPUTED_VALUE"""),"Turboprop/Turboshaft")</f>
        <v>Turboprop/Turboshaft</v>
      </c>
      <c r="F1444" s="5">
        <f ca="1">IFERROR(__xludf.DUMMYFUNCTION("""COMPUTED_VALUE"""),4)</f>
        <v>4</v>
      </c>
    </row>
    <row r="1445" spans="1:6" ht="15" customHeight="1" x14ac:dyDescent="0.2">
      <c r="A1445" s="5" t="str">
        <f ca="1">IFERROR(__xludf.DUMMYFUNCTION("""COMPUTED_VALUE"""),"L200")</f>
        <v>L200</v>
      </c>
      <c r="B1445" s="5" t="str">
        <f ca="1">IFERROR(__xludf.DUMMYFUNCTION("""COMPUTED_VALUE"""),"LET")</f>
        <v>LET</v>
      </c>
      <c r="C1445" s="5" t="str">
        <f ca="1">IFERROR(__xludf.DUMMYFUNCTION("""COMPUTED_VALUE"""),"L-200 Morava")</f>
        <v>L-200 Morava</v>
      </c>
      <c r="D1445" s="5" t="str">
        <f ca="1">IFERROR(__xludf.DUMMYFUNCTION("""COMPUTED_VALUE"""),"LandPlane")</f>
        <v>LandPlane</v>
      </c>
      <c r="E1445" s="5" t="str">
        <f ca="1">IFERROR(__xludf.DUMMYFUNCTION("""COMPUTED_VALUE"""),"Piston")</f>
        <v>Piston</v>
      </c>
      <c r="F1445" s="5">
        <f ca="1">IFERROR(__xludf.DUMMYFUNCTION("""COMPUTED_VALUE"""),2)</f>
        <v>2</v>
      </c>
    </row>
    <row r="1446" spans="1:6" ht="15" customHeight="1" x14ac:dyDescent="0.2">
      <c r="A1446" s="5" t="str">
        <f ca="1">IFERROR(__xludf.DUMMYFUNCTION("""COMPUTED_VALUE"""),"L29")</f>
        <v>L29</v>
      </c>
      <c r="B1446" s="5" t="str">
        <f ca="1">IFERROR(__xludf.DUMMYFUNCTION("""COMPUTED_VALUE"""),"AERO (2)")</f>
        <v>AERO (2)</v>
      </c>
      <c r="C1446" s="5" t="str">
        <f ca="1">IFERROR(__xludf.DUMMYFUNCTION("""COMPUTED_VALUE"""),"L-29 Delfin")</f>
        <v>L-29 Delfin</v>
      </c>
      <c r="D1446" s="5" t="str">
        <f ca="1">IFERROR(__xludf.DUMMYFUNCTION("""COMPUTED_VALUE"""),"LandPlane")</f>
        <v>LandPlane</v>
      </c>
      <c r="E1446" s="5" t="str">
        <f ca="1">IFERROR(__xludf.DUMMYFUNCTION("""COMPUTED_VALUE"""),"Jet")</f>
        <v>Jet</v>
      </c>
      <c r="F1446" s="5">
        <f ca="1">IFERROR(__xludf.DUMMYFUNCTION("""COMPUTED_VALUE"""),1)</f>
        <v>1</v>
      </c>
    </row>
    <row r="1447" spans="1:6" ht="15" customHeight="1" x14ac:dyDescent="0.2">
      <c r="A1447" s="5" t="str">
        <f ca="1">IFERROR(__xludf.DUMMYFUNCTION("""COMPUTED_VALUE"""),"L29A")</f>
        <v>L29A</v>
      </c>
      <c r="B1447" s="5" t="str">
        <f ca="1">IFERROR(__xludf.DUMMYFUNCTION("""COMPUTED_VALUE"""),"LOCKHEED")</f>
        <v>LOCKHEED</v>
      </c>
      <c r="C1447" s="5" t="str">
        <f ca="1">IFERROR(__xludf.DUMMYFUNCTION("""COMPUTED_VALUE"""),"L-1329 Jetstar 6")</f>
        <v>L-1329 Jetstar 6</v>
      </c>
      <c r="D1447" s="5" t="str">
        <f ca="1">IFERROR(__xludf.DUMMYFUNCTION("""COMPUTED_VALUE"""),"LandPlane")</f>
        <v>LandPlane</v>
      </c>
      <c r="E1447" s="5" t="str">
        <f ca="1">IFERROR(__xludf.DUMMYFUNCTION("""COMPUTED_VALUE"""),"Jet")</f>
        <v>Jet</v>
      </c>
      <c r="F1447" s="5">
        <f ca="1">IFERROR(__xludf.DUMMYFUNCTION("""COMPUTED_VALUE"""),4)</f>
        <v>4</v>
      </c>
    </row>
    <row r="1448" spans="1:6" ht="15" customHeight="1" x14ac:dyDescent="0.2">
      <c r="A1448" s="5" t="str">
        <f ca="1">IFERROR(__xludf.DUMMYFUNCTION("""COMPUTED_VALUE"""),"L29B")</f>
        <v>L29B</v>
      </c>
      <c r="B1448" s="5" t="str">
        <f ca="1">IFERROR(__xludf.DUMMYFUNCTION("""COMPUTED_VALUE"""),"LOCKHEED")</f>
        <v>LOCKHEED</v>
      </c>
      <c r="C1448" s="5" t="str">
        <f ca="1">IFERROR(__xludf.DUMMYFUNCTION("""COMPUTED_VALUE"""),"L-1329 Jetstar 2")</f>
        <v>L-1329 Jetstar 2</v>
      </c>
      <c r="D1448" s="5" t="str">
        <f ca="1">IFERROR(__xludf.DUMMYFUNCTION("""COMPUTED_VALUE"""),"LandPlane")</f>
        <v>LandPlane</v>
      </c>
      <c r="E1448" s="5" t="str">
        <f ca="1">IFERROR(__xludf.DUMMYFUNCTION("""COMPUTED_VALUE"""),"Jet")</f>
        <v>Jet</v>
      </c>
      <c r="F1448" s="5">
        <f ca="1">IFERROR(__xludf.DUMMYFUNCTION("""COMPUTED_VALUE"""),4)</f>
        <v>4</v>
      </c>
    </row>
    <row r="1449" spans="1:6" ht="15" customHeight="1" x14ac:dyDescent="0.2">
      <c r="A1449" s="5" t="str">
        <f ca="1">IFERROR(__xludf.DUMMYFUNCTION("""COMPUTED_VALUE"""),"L37")</f>
        <v>L37</v>
      </c>
      <c r="B1449" s="5" t="str">
        <f ca="1">IFERROR(__xludf.DUMMYFUNCTION("""COMPUTED_VALUE"""),"LOCKHEED")</f>
        <v>LOCKHEED</v>
      </c>
      <c r="C1449" s="5" t="str">
        <f ca="1">IFERROR(__xludf.DUMMYFUNCTION("""COMPUTED_VALUE"""),"Ventura")</f>
        <v>Ventura</v>
      </c>
      <c r="D1449" s="5" t="str">
        <f ca="1">IFERROR(__xludf.DUMMYFUNCTION("""COMPUTED_VALUE"""),"LandPlane")</f>
        <v>LandPlane</v>
      </c>
      <c r="E1449" s="5" t="str">
        <f ca="1">IFERROR(__xludf.DUMMYFUNCTION("""COMPUTED_VALUE"""),"Piston")</f>
        <v>Piston</v>
      </c>
      <c r="F1449" s="5">
        <f ca="1">IFERROR(__xludf.DUMMYFUNCTION("""COMPUTED_VALUE"""),2)</f>
        <v>2</v>
      </c>
    </row>
    <row r="1450" spans="1:6" ht="15" customHeight="1" x14ac:dyDescent="0.2">
      <c r="A1450" s="5" t="str">
        <f ca="1">IFERROR(__xludf.DUMMYFUNCTION("""COMPUTED_VALUE"""),"L380")</f>
        <v>L380</v>
      </c>
      <c r="B1450" s="5" t="str">
        <f ca="1">IFERROR(__xludf.DUMMYFUNCTION("""COMPUTED_VALUE"""),"LEDERLIN")</f>
        <v>LEDERLIN</v>
      </c>
      <c r="C1450" s="5" t="str">
        <f ca="1">IFERROR(__xludf.DUMMYFUNCTION("""COMPUTED_VALUE"""),"380 Ladybug")</f>
        <v>380 Ladybug</v>
      </c>
      <c r="D1450" s="5" t="str">
        <f ca="1">IFERROR(__xludf.DUMMYFUNCTION("""COMPUTED_VALUE"""),"LandPlane")</f>
        <v>LandPlane</v>
      </c>
      <c r="E1450" s="5" t="str">
        <f ca="1">IFERROR(__xludf.DUMMYFUNCTION("""COMPUTED_VALUE"""),"Piston")</f>
        <v>Piston</v>
      </c>
      <c r="F1450" s="5">
        <f ca="1">IFERROR(__xludf.DUMMYFUNCTION("""COMPUTED_VALUE"""),1)</f>
        <v>1</v>
      </c>
    </row>
    <row r="1451" spans="1:6" ht="15" customHeight="1" x14ac:dyDescent="0.2">
      <c r="A1451" s="5" t="str">
        <f ca="1">IFERROR(__xludf.DUMMYFUNCTION("""COMPUTED_VALUE"""),"L39")</f>
        <v>L39</v>
      </c>
      <c r="B1451" s="5" t="str">
        <f ca="1">IFERROR(__xludf.DUMMYFUNCTION("""COMPUTED_VALUE"""),"AERO (2)")</f>
        <v>AERO (2)</v>
      </c>
      <c r="C1451" s="5" t="str">
        <f ca="1">IFERROR(__xludf.DUMMYFUNCTION("""COMPUTED_VALUE"""),"L-39 Albatros")</f>
        <v>L-39 Albatros</v>
      </c>
      <c r="D1451" s="5" t="str">
        <f ca="1">IFERROR(__xludf.DUMMYFUNCTION("""COMPUTED_VALUE"""),"LandPlane")</f>
        <v>LandPlane</v>
      </c>
      <c r="E1451" s="5" t="str">
        <f ca="1">IFERROR(__xludf.DUMMYFUNCTION("""COMPUTED_VALUE"""),"Jet")</f>
        <v>Jet</v>
      </c>
      <c r="F1451" s="5">
        <f ca="1">IFERROR(__xludf.DUMMYFUNCTION("""COMPUTED_VALUE"""),1)</f>
        <v>1</v>
      </c>
    </row>
    <row r="1452" spans="1:6" ht="15" customHeight="1" x14ac:dyDescent="0.2">
      <c r="A1452" s="5" t="str">
        <f ca="1">IFERROR(__xludf.DUMMYFUNCTION("""COMPUTED_VALUE"""),"L4")</f>
        <v>L4</v>
      </c>
      <c r="B1452" s="5" t="str">
        <f ca="1">IFERROR(__xludf.DUMMYFUNCTION("""COMPUTED_VALUE"""),"CHAIKA")</f>
        <v>CHAIKA</v>
      </c>
      <c r="C1452" s="5" t="str">
        <f ca="1">IFERROR(__xludf.DUMMYFUNCTION("""COMPUTED_VALUE"""),"L-4")</f>
        <v>L-4</v>
      </c>
      <c r="D1452" s="5" t="str">
        <f ca="1">IFERROR(__xludf.DUMMYFUNCTION("""COMPUTED_VALUE"""),"Amphibian")</f>
        <v>Amphibian</v>
      </c>
      <c r="E1452" s="5" t="str">
        <f ca="1">IFERROR(__xludf.DUMMYFUNCTION("""COMPUTED_VALUE"""),"Piston")</f>
        <v>Piston</v>
      </c>
      <c r="F1452" s="5">
        <f ca="1">IFERROR(__xludf.DUMMYFUNCTION("""COMPUTED_VALUE"""),2)</f>
        <v>2</v>
      </c>
    </row>
    <row r="1453" spans="1:6" ht="15" customHeight="1" x14ac:dyDescent="0.2">
      <c r="A1453" s="5" t="str">
        <f ca="1">IFERROR(__xludf.DUMMYFUNCTION("""COMPUTED_VALUE"""),"L40")</f>
        <v>L40</v>
      </c>
      <c r="B1453" s="5" t="str">
        <f ca="1">IFERROR(__xludf.DUMMYFUNCTION("""COMPUTED_VALUE"""),"ORLICAN")</f>
        <v>ORLICAN</v>
      </c>
      <c r="C1453" s="5" t="str">
        <f ca="1">IFERROR(__xludf.DUMMYFUNCTION("""COMPUTED_VALUE"""),"L-40 Meta Sokol")</f>
        <v>L-40 Meta Sokol</v>
      </c>
      <c r="D1453" s="5" t="str">
        <f ca="1">IFERROR(__xludf.DUMMYFUNCTION("""COMPUTED_VALUE"""),"LandPlane")</f>
        <v>LandPlane</v>
      </c>
      <c r="E1453" s="5" t="str">
        <f ca="1">IFERROR(__xludf.DUMMYFUNCTION("""COMPUTED_VALUE"""),"Piston")</f>
        <v>Piston</v>
      </c>
      <c r="F1453" s="5">
        <f ca="1">IFERROR(__xludf.DUMMYFUNCTION("""COMPUTED_VALUE"""),1)</f>
        <v>1</v>
      </c>
    </row>
    <row r="1454" spans="1:6" ht="15" customHeight="1" x14ac:dyDescent="0.2">
      <c r="A1454" s="5" t="str">
        <f ca="1">IFERROR(__xludf.DUMMYFUNCTION("""COMPUTED_VALUE"""),"L410")</f>
        <v>L410</v>
      </c>
      <c r="B1454" s="5" t="str">
        <f ca="1">IFERROR(__xludf.DUMMYFUNCTION("""COMPUTED_VALUE"""),"LET")</f>
        <v>LET</v>
      </c>
      <c r="C1454" s="5" t="str">
        <f ca="1">IFERROR(__xludf.DUMMYFUNCTION("""COMPUTED_VALUE"""),"L-410 Turbolet")</f>
        <v>L-410 Turbolet</v>
      </c>
      <c r="D1454" s="5" t="str">
        <f ca="1">IFERROR(__xludf.DUMMYFUNCTION("""COMPUTED_VALUE"""),"LandPlane")</f>
        <v>LandPlane</v>
      </c>
      <c r="E1454" s="5" t="str">
        <f ca="1">IFERROR(__xludf.DUMMYFUNCTION("""COMPUTED_VALUE"""),"Turboprop/Turboshaft")</f>
        <v>Turboprop/Turboshaft</v>
      </c>
      <c r="F1454" s="5">
        <f ca="1">IFERROR(__xludf.DUMMYFUNCTION("""COMPUTED_VALUE"""),2)</f>
        <v>2</v>
      </c>
    </row>
    <row r="1455" spans="1:6" ht="15" customHeight="1" x14ac:dyDescent="0.2">
      <c r="A1455" s="5" t="str">
        <f ca="1">IFERROR(__xludf.DUMMYFUNCTION("""COMPUTED_VALUE"""),"L5")</f>
        <v>L5</v>
      </c>
      <c r="B1455" s="5" t="str">
        <f ca="1">IFERROR(__xludf.DUMMYFUNCTION("""COMPUTED_VALUE"""),"STINSON")</f>
        <v>STINSON</v>
      </c>
      <c r="C1455" s="5" t="str">
        <f ca="1">IFERROR(__xludf.DUMMYFUNCTION("""COMPUTED_VALUE"""),"L-5 Sentinel")</f>
        <v>L-5 Sentinel</v>
      </c>
      <c r="D1455" s="5" t="str">
        <f ca="1">IFERROR(__xludf.DUMMYFUNCTION("""COMPUTED_VALUE"""),"LandPlane")</f>
        <v>LandPlane</v>
      </c>
      <c r="E1455" s="5" t="str">
        <f ca="1">IFERROR(__xludf.DUMMYFUNCTION("""COMPUTED_VALUE"""),"Piston")</f>
        <v>Piston</v>
      </c>
      <c r="F1455" s="5">
        <f ca="1">IFERROR(__xludf.DUMMYFUNCTION("""COMPUTED_VALUE"""),1)</f>
        <v>1</v>
      </c>
    </row>
    <row r="1456" spans="1:6" ht="15" customHeight="1" x14ac:dyDescent="0.2">
      <c r="A1456" s="5" t="str">
        <f ca="1">IFERROR(__xludf.DUMMYFUNCTION("""COMPUTED_VALUE"""),"L59")</f>
        <v>L59</v>
      </c>
      <c r="B1456" s="5" t="str">
        <f ca="1">IFERROR(__xludf.DUMMYFUNCTION("""COMPUTED_VALUE"""),"AERO (2)")</f>
        <v>AERO (2)</v>
      </c>
      <c r="C1456" s="5" t="str">
        <f ca="1">IFERROR(__xludf.DUMMYFUNCTION("""COMPUTED_VALUE"""),"L-59")</f>
        <v>L-59</v>
      </c>
      <c r="D1456" s="5" t="str">
        <f ca="1">IFERROR(__xludf.DUMMYFUNCTION("""COMPUTED_VALUE"""),"LandPlane")</f>
        <v>LandPlane</v>
      </c>
      <c r="E1456" s="5" t="str">
        <f ca="1">IFERROR(__xludf.DUMMYFUNCTION("""COMPUTED_VALUE"""),"Jet")</f>
        <v>Jet</v>
      </c>
      <c r="F1456" s="5">
        <f ca="1">IFERROR(__xludf.DUMMYFUNCTION("""COMPUTED_VALUE"""),1)</f>
        <v>1</v>
      </c>
    </row>
    <row r="1457" spans="1:6" ht="15" customHeight="1" x14ac:dyDescent="0.2">
      <c r="A1457" s="5" t="str">
        <f ca="1">IFERROR(__xludf.DUMMYFUNCTION("""COMPUTED_VALUE"""),"L6")</f>
        <v>L6</v>
      </c>
      <c r="B1457" s="5" t="str">
        <f ca="1">IFERROR(__xludf.DUMMYFUNCTION("""COMPUTED_VALUE"""),"AEROVOLGA")</f>
        <v>AEROVOLGA</v>
      </c>
      <c r="C1457" s="5" t="str">
        <f ca="1">IFERROR(__xludf.DUMMYFUNCTION("""COMPUTED_VALUE"""),"L-6")</f>
        <v>L-6</v>
      </c>
      <c r="D1457" s="5" t="str">
        <f ca="1">IFERROR(__xludf.DUMMYFUNCTION("""COMPUTED_VALUE"""),"Amphibian")</f>
        <v>Amphibian</v>
      </c>
      <c r="E1457" s="5" t="str">
        <f ca="1">IFERROR(__xludf.DUMMYFUNCTION("""COMPUTED_VALUE"""),"Piston")</f>
        <v>Piston</v>
      </c>
      <c r="F1457" s="5">
        <f ca="1">IFERROR(__xludf.DUMMYFUNCTION("""COMPUTED_VALUE"""),2)</f>
        <v>2</v>
      </c>
    </row>
    <row r="1458" spans="1:6" ht="15" customHeight="1" x14ac:dyDescent="0.2">
      <c r="A1458" s="5" t="str">
        <f ca="1">IFERROR(__xludf.DUMMYFUNCTION("""COMPUTED_VALUE"""),"L60")</f>
        <v>L60</v>
      </c>
      <c r="B1458" s="5" t="str">
        <f ca="1">IFERROR(__xludf.DUMMYFUNCTION("""COMPUTED_VALUE"""),"AERO (2)")</f>
        <v>AERO (2)</v>
      </c>
      <c r="C1458" s="5" t="str">
        <f ca="1">IFERROR(__xludf.DUMMYFUNCTION("""COMPUTED_VALUE"""),"L-60 Brigadyr")</f>
        <v>L-60 Brigadyr</v>
      </c>
      <c r="D1458" s="5" t="str">
        <f ca="1">IFERROR(__xludf.DUMMYFUNCTION("""COMPUTED_VALUE"""),"LandPlane")</f>
        <v>LandPlane</v>
      </c>
      <c r="E1458" s="5" t="str">
        <f ca="1">IFERROR(__xludf.DUMMYFUNCTION("""COMPUTED_VALUE"""),"Piston")</f>
        <v>Piston</v>
      </c>
      <c r="F1458" s="5">
        <f ca="1">IFERROR(__xludf.DUMMYFUNCTION("""COMPUTED_VALUE"""),1)</f>
        <v>1</v>
      </c>
    </row>
    <row r="1459" spans="1:6" ht="15" customHeight="1" x14ac:dyDescent="0.2">
      <c r="A1459" s="5" t="str">
        <f ca="1">IFERROR(__xludf.DUMMYFUNCTION("""COMPUTED_VALUE"""),"L610")</f>
        <v>L610</v>
      </c>
      <c r="B1459" s="5" t="str">
        <f ca="1">IFERROR(__xludf.DUMMYFUNCTION("""COMPUTED_VALUE"""),"LET")</f>
        <v>LET</v>
      </c>
      <c r="C1459" s="5" t="str">
        <f ca="1">IFERROR(__xludf.DUMMYFUNCTION("""COMPUTED_VALUE"""),"L-610")</f>
        <v>L-610</v>
      </c>
      <c r="D1459" s="5" t="str">
        <f ca="1">IFERROR(__xludf.DUMMYFUNCTION("""COMPUTED_VALUE"""),"LandPlane")</f>
        <v>LandPlane</v>
      </c>
      <c r="E1459" s="5" t="str">
        <f ca="1">IFERROR(__xludf.DUMMYFUNCTION("""COMPUTED_VALUE"""),"Turboprop/Turboshaft")</f>
        <v>Turboprop/Turboshaft</v>
      </c>
      <c r="F1459" s="5">
        <f ca="1">IFERROR(__xludf.DUMMYFUNCTION("""COMPUTED_VALUE"""),2)</f>
        <v>2</v>
      </c>
    </row>
    <row r="1460" spans="1:6" ht="15" customHeight="1" x14ac:dyDescent="0.2">
      <c r="A1460" s="5" t="str">
        <f ca="1">IFERROR(__xludf.DUMMYFUNCTION("""COMPUTED_VALUE"""),"L70")</f>
        <v>L70</v>
      </c>
      <c r="B1460" s="5" t="str">
        <f ca="1">IFERROR(__xludf.DUMMYFUNCTION("""COMPUTED_VALUE"""),"VALMET")</f>
        <v>VALMET</v>
      </c>
      <c r="C1460" s="5" t="str">
        <f ca="1">IFERROR(__xludf.DUMMYFUNCTION("""COMPUTED_VALUE"""),"L-70 Vinka")</f>
        <v>L-70 Vinka</v>
      </c>
      <c r="D1460" s="5" t="str">
        <f ca="1">IFERROR(__xludf.DUMMYFUNCTION("""COMPUTED_VALUE"""),"LandPlane")</f>
        <v>LandPlane</v>
      </c>
      <c r="E1460" s="5" t="str">
        <f ca="1">IFERROR(__xludf.DUMMYFUNCTION("""COMPUTED_VALUE"""),"Piston")</f>
        <v>Piston</v>
      </c>
      <c r="F1460" s="5">
        <f ca="1">IFERROR(__xludf.DUMMYFUNCTION("""COMPUTED_VALUE"""),1)</f>
        <v>1</v>
      </c>
    </row>
    <row r="1461" spans="1:6" ht="15" customHeight="1" x14ac:dyDescent="0.2">
      <c r="A1461" s="5" t="str">
        <f ca="1">IFERROR(__xludf.DUMMYFUNCTION("""COMPUTED_VALUE"""),"L8")</f>
        <v>L8</v>
      </c>
      <c r="B1461" s="5" t="str">
        <f ca="1">IFERROR(__xludf.DUMMYFUNCTION("""COMPUTED_VALUE"""),"LUSCOMBE")</f>
        <v>LUSCOMBE</v>
      </c>
      <c r="C1461" s="5" t="str">
        <f ca="1">IFERROR(__xludf.DUMMYFUNCTION("""COMPUTED_VALUE"""),"8")</f>
        <v>8</v>
      </c>
      <c r="D1461" s="5" t="str">
        <f ca="1">IFERROR(__xludf.DUMMYFUNCTION("""COMPUTED_VALUE"""),"LandPlane")</f>
        <v>LandPlane</v>
      </c>
      <c r="E1461" s="5" t="str">
        <f ca="1">IFERROR(__xludf.DUMMYFUNCTION("""COMPUTED_VALUE"""),"Piston")</f>
        <v>Piston</v>
      </c>
      <c r="F1461" s="5">
        <f ca="1">IFERROR(__xludf.DUMMYFUNCTION("""COMPUTED_VALUE"""),1)</f>
        <v>1</v>
      </c>
    </row>
    <row r="1462" spans="1:6" ht="15" customHeight="1" x14ac:dyDescent="0.2">
      <c r="A1462" s="5" t="str">
        <f ca="1">IFERROR(__xludf.DUMMYFUNCTION("""COMPUTED_VALUE"""),"L90")</f>
        <v>L90</v>
      </c>
      <c r="B1462" s="5" t="str">
        <f ca="1">IFERROR(__xludf.DUMMYFUNCTION("""COMPUTED_VALUE"""),"AERMACCHI")</f>
        <v>AERMACCHI</v>
      </c>
      <c r="C1462" s="5" t="str">
        <f ca="1">IFERROR(__xludf.DUMMYFUNCTION("""COMPUTED_VALUE"""),"M-290TP Redigo")</f>
        <v>M-290TP Redigo</v>
      </c>
      <c r="D1462" s="5" t="str">
        <f ca="1">IFERROR(__xludf.DUMMYFUNCTION("""COMPUTED_VALUE"""),"LandPlane")</f>
        <v>LandPlane</v>
      </c>
      <c r="E1462" s="5" t="str">
        <f ca="1">IFERROR(__xludf.DUMMYFUNCTION("""COMPUTED_VALUE"""),"Turboprop/Turboshaft")</f>
        <v>Turboprop/Turboshaft</v>
      </c>
      <c r="F1462" s="5">
        <f ca="1">IFERROR(__xludf.DUMMYFUNCTION("""COMPUTED_VALUE"""),1)</f>
        <v>1</v>
      </c>
    </row>
    <row r="1463" spans="1:6" ht="15" customHeight="1" x14ac:dyDescent="0.2">
      <c r="A1463" s="5" t="str">
        <f ca="1">IFERROR(__xludf.DUMMYFUNCTION("""COMPUTED_VALUE"""),"LA25")</f>
        <v>LA25</v>
      </c>
      <c r="B1463" s="5" t="str">
        <f ca="1">IFERROR(__xludf.DUMMYFUNCTION("""COMPUTED_VALUE"""),"LAKE")</f>
        <v>LAKE</v>
      </c>
      <c r="C1463" s="5" t="str">
        <f ca="1">IFERROR(__xludf.DUMMYFUNCTION("""COMPUTED_VALUE"""),"LA-250 Renegade")</f>
        <v>LA-250 Renegade</v>
      </c>
      <c r="D1463" s="5" t="str">
        <f ca="1">IFERROR(__xludf.DUMMYFUNCTION("""COMPUTED_VALUE"""),"Amphibian")</f>
        <v>Amphibian</v>
      </c>
      <c r="E1463" s="5" t="str">
        <f ca="1">IFERROR(__xludf.DUMMYFUNCTION("""COMPUTED_VALUE"""),"Piston")</f>
        <v>Piston</v>
      </c>
      <c r="F1463" s="5">
        <f ca="1">IFERROR(__xludf.DUMMYFUNCTION("""COMPUTED_VALUE"""),1)</f>
        <v>1</v>
      </c>
    </row>
    <row r="1464" spans="1:6" ht="15" customHeight="1" x14ac:dyDescent="0.2">
      <c r="A1464" s="5" t="str">
        <f ca="1">IFERROR(__xludf.DUMMYFUNCTION("""COMPUTED_VALUE"""),"LA4")</f>
        <v>LA4</v>
      </c>
      <c r="B1464" s="5" t="str">
        <f ca="1">IFERROR(__xludf.DUMMYFUNCTION("""COMPUTED_VALUE"""),"LAKE")</f>
        <v>LAKE</v>
      </c>
      <c r="C1464" s="5" t="str">
        <f ca="1">IFERROR(__xludf.DUMMYFUNCTION("""COMPUTED_VALUE"""),"LA-4 Buccaneer")</f>
        <v>LA-4 Buccaneer</v>
      </c>
      <c r="D1464" s="5" t="str">
        <f ca="1">IFERROR(__xludf.DUMMYFUNCTION("""COMPUTED_VALUE"""),"Amphibian")</f>
        <v>Amphibian</v>
      </c>
      <c r="E1464" s="5" t="str">
        <f ca="1">IFERROR(__xludf.DUMMYFUNCTION("""COMPUTED_VALUE"""),"Piston")</f>
        <v>Piston</v>
      </c>
      <c r="F1464" s="5">
        <f ca="1">IFERROR(__xludf.DUMMYFUNCTION("""COMPUTED_VALUE"""),1)</f>
        <v>1</v>
      </c>
    </row>
    <row r="1465" spans="1:6" ht="15" customHeight="1" x14ac:dyDescent="0.2">
      <c r="A1465" s="5" t="str">
        <f ca="1">IFERROR(__xludf.DUMMYFUNCTION("""COMPUTED_VALUE"""),"LA60")</f>
        <v>LA60</v>
      </c>
      <c r="B1465" s="5" t="str">
        <f ca="1">IFERROR(__xludf.DUMMYFUNCTION("""COMPUTED_VALUE"""),"AERMACCHI")</f>
        <v>AERMACCHI</v>
      </c>
      <c r="C1465" s="5" t="str">
        <f ca="1">IFERROR(__xludf.DUMMYFUNCTION("""COMPUTED_VALUE"""),"AL-60")</f>
        <v>AL-60</v>
      </c>
      <c r="D1465" s="5" t="str">
        <f ca="1">IFERROR(__xludf.DUMMYFUNCTION("""COMPUTED_VALUE"""),"LandPlane")</f>
        <v>LandPlane</v>
      </c>
      <c r="E1465" s="5" t="str">
        <f ca="1">IFERROR(__xludf.DUMMYFUNCTION("""COMPUTED_VALUE"""),"Piston")</f>
        <v>Piston</v>
      </c>
      <c r="F1465" s="5">
        <f ca="1">IFERROR(__xludf.DUMMYFUNCTION("""COMPUTED_VALUE"""),1)</f>
        <v>1</v>
      </c>
    </row>
    <row r="1466" spans="1:6" ht="15" customHeight="1" x14ac:dyDescent="0.2">
      <c r="A1466" s="5" t="str">
        <f ca="1">IFERROR(__xludf.DUMMYFUNCTION("""COMPUTED_VALUE"""),"LA6T")</f>
        <v>LA6T</v>
      </c>
      <c r="B1466" s="5" t="str">
        <f ca="1">IFERROR(__xludf.DUMMYFUNCTION("""COMPUTED_VALUE"""),"AERMACCHI")</f>
        <v>AERMACCHI</v>
      </c>
      <c r="C1466" s="5" t="str">
        <f ca="1">IFERROR(__xludf.DUMMYFUNCTION("""COMPUTED_VALUE"""),"AL-60 Turbine Grizzly")</f>
        <v>AL-60 Turbine Grizzly</v>
      </c>
      <c r="D1466" s="5" t="str">
        <f ca="1">IFERROR(__xludf.DUMMYFUNCTION("""COMPUTED_VALUE"""),"LandPlane")</f>
        <v>LandPlane</v>
      </c>
      <c r="E1466" s="5" t="str">
        <f ca="1">IFERROR(__xludf.DUMMYFUNCTION("""COMPUTED_VALUE"""),"Turboprop/Turboshaft")</f>
        <v>Turboprop/Turboshaft</v>
      </c>
      <c r="F1466" s="5">
        <f ca="1">IFERROR(__xludf.DUMMYFUNCTION("""COMPUTED_VALUE"""),1)</f>
        <v>1</v>
      </c>
    </row>
    <row r="1467" spans="1:6" ht="15" customHeight="1" x14ac:dyDescent="0.2">
      <c r="A1467" s="5" t="str">
        <f ca="1">IFERROR(__xludf.DUMMYFUNCTION("""COMPUTED_VALUE"""),"LA8")</f>
        <v>LA8</v>
      </c>
      <c r="B1467" s="5" t="str">
        <f ca="1">IFERROR(__xludf.DUMMYFUNCTION("""COMPUTED_VALUE"""),"AEROVOLGA")</f>
        <v>AEROVOLGA</v>
      </c>
      <c r="C1467" s="5" t="str">
        <f ca="1">IFERROR(__xludf.DUMMYFUNCTION("""COMPUTED_VALUE"""),"LA-8 Flagman")</f>
        <v>LA-8 Flagman</v>
      </c>
      <c r="D1467" s="5" t="str">
        <f ca="1">IFERROR(__xludf.DUMMYFUNCTION("""COMPUTED_VALUE"""),"Amphibian")</f>
        <v>Amphibian</v>
      </c>
      <c r="E1467" s="5" t="str">
        <f ca="1">IFERROR(__xludf.DUMMYFUNCTION("""COMPUTED_VALUE"""),"Piston")</f>
        <v>Piston</v>
      </c>
      <c r="F1467" s="5">
        <f ca="1">IFERROR(__xludf.DUMMYFUNCTION("""COMPUTED_VALUE"""),2)</f>
        <v>2</v>
      </c>
    </row>
    <row r="1468" spans="1:6" ht="15" customHeight="1" x14ac:dyDescent="0.2">
      <c r="A1468" s="5" t="str">
        <f ca="1">IFERROR(__xludf.DUMMYFUNCTION("""COMPUTED_VALUE"""),"LACO")</f>
        <v>LACO</v>
      </c>
      <c r="B1468" s="5" t="str">
        <f ca="1">IFERROR(__xludf.DUMMYFUNCTION("""COMPUTED_VALUE"""),"LAVEN")</f>
        <v>LAVEN</v>
      </c>
      <c r="C1468" s="5" t="str">
        <f ca="1">IFERROR(__xludf.DUMMYFUNCTION("""COMPUTED_VALUE"""),"LACO-125")</f>
        <v>LACO-125</v>
      </c>
      <c r="D1468" s="5" t="str">
        <f ca="1">IFERROR(__xludf.DUMMYFUNCTION("""COMPUTED_VALUE"""),"LandPlane")</f>
        <v>LandPlane</v>
      </c>
      <c r="E1468" s="5" t="str">
        <f ca="1">IFERROR(__xludf.DUMMYFUNCTION("""COMPUTED_VALUE"""),"Piston")</f>
        <v>Piston</v>
      </c>
      <c r="F1468" s="5">
        <f ca="1">IFERROR(__xludf.DUMMYFUNCTION("""COMPUTED_VALUE"""),1)</f>
        <v>1</v>
      </c>
    </row>
    <row r="1469" spans="1:6" ht="15" customHeight="1" x14ac:dyDescent="0.2">
      <c r="A1469" s="5" t="str">
        <f ca="1">IFERROR(__xludf.DUMMYFUNCTION("""COMPUTED_VALUE"""),"LAE1")</f>
        <v>LAE1</v>
      </c>
      <c r="B1469" s="5" t="str">
        <f ca="1">IFERROR(__xludf.DUMMYFUNCTION("""COMPUTED_VALUE"""),"LANGE")</f>
        <v>LANGE</v>
      </c>
      <c r="C1469" s="5" t="str">
        <f ca="1">IFERROR(__xludf.DUMMYFUNCTION("""COMPUTED_VALUE"""),"E-1 Antares 20E")</f>
        <v>E-1 Antares 20E</v>
      </c>
      <c r="D1469" s="5" t="str">
        <f ca="1">IFERROR(__xludf.DUMMYFUNCTION("""COMPUTED_VALUE"""),"LandPlane")</f>
        <v>LandPlane</v>
      </c>
      <c r="E1469" s="5" t="str">
        <f ca="1">IFERROR(__xludf.DUMMYFUNCTION("""COMPUTED_VALUE"""),"Electric")</f>
        <v>Electric</v>
      </c>
      <c r="F1469" s="5">
        <f ca="1">IFERROR(__xludf.DUMMYFUNCTION("""COMPUTED_VALUE"""),1)</f>
        <v>1</v>
      </c>
    </row>
    <row r="1470" spans="1:6" ht="15" customHeight="1" x14ac:dyDescent="0.2">
      <c r="A1470" s="5" t="str">
        <f ca="1">IFERROR(__xludf.DUMMYFUNCTION("""COMPUTED_VALUE"""),"LAKR")</f>
        <v>LAKR</v>
      </c>
      <c r="B1470" s="5" t="str">
        <f ca="1">IFERROR(__xludf.DUMMYFUNCTION("""COMPUTED_VALUE"""),"LASER")</f>
        <v>LASER</v>
      </c>
      <c r="C1470" s="5" t="str">
        <f ca="1">IFERROR(__xludf.DUMMYFUNCTION("""COMPUTED_VALUE"""),"Akro Z")</f>
        <v>Akro Z</v>
      </c>
      <c r="D1470" s="5" t="str">
        <f ca="1">IFERROR(__xludf.DUMMYFUNCTION("""COMPUTED_VALUE"""),"LandPlane")</f>
        <v>LandPlane</v>
      </c>
      <c r="E1470" s="5" t="str">
        <f ca="1">IFERROR(__xludf.DUMMYFUNCTION("""COMPUTED_VALUE"""),"Piston")</f>
        <v>Piston</v>
      </c>
      <c r="F1470" s="5">
        <f ca="1">IFERROR(__xludf.DUMMYFUNCTION("""COMPUTED_VALUE"""),1)</f>
        <v>1</v>
      </c>
    </row>
    <row r="1471" spans="1:6" ht="15" customHeight="1" x14ac:dyDescent="0.2">
      <c r="A1471" s="5" t="str">
        <f ca="1">IFERROR(__xludf.DUMMYFUNCTION("""COMPUTED_VALUE"""),"LAKX")</f>
        <v>LAKX</v>
      </c>
      <c r="B1471" s="5" t="str">
        <f ca="1">IFERROR(__xludf.DUMMYFUNCTION("""COMPUTED_VALUE"""),"AEROPLASTIKA")</f>
        <v>AEROPLASTIKA</v>
      </c>
      <c r="C1471" s="5" t="str">
        <f ca="1">IFERROR(__xludf.DUMMYFUNCTION("""COMPUTED_VALUE"""),"LAK-X")</f>
        <v>LAK-X</v>
      </c>
      <c r="D1471" s="5" t="str">
        <f ca="1">IFERROR(__xludf.DUMMYFUNCTION("""COMPUTED_VALUE"""),"LandPlane")</f>
        <v>LandPlane</v>
      </c>
      <c r="E1471" s="5" t="str">
        <f ca="1">IFERROR(__xludf.DUMMYFUNCTION("""COMPUTED_VALUE"""),"Piston")</f>
        <v>Piston</v>
      </c>
      <c r="F1471" s="5">
        <f ca="1">IFERROR(__xludf.DUMMYFUNCTION("""COMPUTED_VALUE"""),1)</f>
        <v>1</v>
      </c>
    </row>
    <row r="1472" spans="1:6" ht="15" customHeight="1" x14ac:dyDescent="0.2">
      <c r="A1472" s="5" t="str">
        <f ca="1">IFERROR(__xludf.DUMMYFUNCTION("""COMPUTED_VALUE"""),"LAMA")</f>
        <v>LAMA</v>
      </c>
      <c r="B1472" s="5" t="str">
        <f ca="1">IFERROR(__xludf.DUMMYFUNCTION("""COMPUTED_VALUE"""),"AEROSPATIALE")</f>
        <v>AEROSPATIALE</v>
      </c>
      <c r="C1472" s="5" t="str">
        <f ca="1">IFERROR(__xludf.DUMMYFUNCTION("""COMPUTED_VALUE"""),"SA-315 Lama")</f>
        <v>SA-315 Lama</v>
      </c>
      <c r="D1472" s="5" t="str">
        <f ca="1">IFERROR(__xludf.DUMMYFUNCTION("""COMPUTED_VALUE"""),"Helicopter")</f>
        <v>Helicopter</v>
      </c>
      <c r="E1472" s="5" t="str">
        <f ca="1">IFERROR(__xludf.DUMMYFUNCTION("""COMPUTED_VALUE"""),"Turboprop/Turboshaft")</f>
        <v>Turboprop/Turboshaft</v>
      </c>
      <c r="F1472" s="5">
        <f ca="1">IFERROR(__xludf.DUMMYFUNCTION("""COMPUTED_VALUE"""),1)</f>
        <v>1</v>
      </c>
    </row>
    <row r="1473" spans="1:6" ht="15" customHeight="1" x14ac:dyDescent="0.2">
      <c r="A1473" s="5" t="str">
        <f ca="1">IFERROR(__xludf.DUMMYFUNCTION("""COMPUTED_VALUE"""),"LANC")</f>
        <v>LANC</v>
      </c>
      <c r="B1473" s="5" t="str">
        <f ca="1">IFERROR(__xludf.DUMMYFUNCTION("""COMPUTED_VALUE"""),"AVRO")</f>
        <v>AVRO</v>
      </c>
      <c r="C1473" s="5" t="str">
        <f ca="1">IFERROR(__xludf.DUMMYFUNCTION("""COMPUTED_VALUE"""),"Lancaster")</f>
        <v>Lancaster</v>
      </c>
      <c r="D1473" s="5" t="str">
        <f ca="1">IFERROR(__xludf.DUMMYFUNCTION("""COMPUTED_VALUE"""),"LandPlane")</f>
        <v>LandPlane</v>
      </c>
      <c r="E1473" s="5" t="str">
        <f ca="1">IFERROR(__xludf.DUMMYFUNCTION("""COMPUTED_VALUE"""),"Piston")</f>
        <v>Piston</v>
      </c>
      <c r="F1473" s="5">
        <f ca="1">IFERROR(__xludf.DUMMYFUNCTION("""COMPUTED_VALUE"""),4)</f>
        <v>4</v>
      </c>
    </row>
    <row r="1474" spans="1:6" ht="15" customHeight="1" x14ac:dyDescent="0.2">
      <c r="A1474" s="5" t="str">
        <f ca="1">IFERROR(__xludf.DUMMYFUNCTION("""COMPUTED_VALUE"""),"LAR1")</f>
        <v>LAR1</v>
      </c>
      <c r="B1474" s="5" t="str">
        <f ca="1">IFERROR(__xludf.DUMMYFUNCTION("""COMPUTED_VALUE"""),"FLARIS")</f>
        <v>FLARIS</v>
      </c>
      <c r="C1474" s="5" t="str">
        <f ca="1">IFERROR(__xludf.DUMMYFUNCTION("""COMPUTED_VALUE"""),"LAR-1")</f>
        <v>LAR-1</v>
      </c>
      <c r="D1474" s="5" t="str">
        <f ca="1">IFERROR(__xludf.DUMMYFUNCTION("""COMPUTED_VALUE"""),"LandPlane")</f>
        <v>LandPlane</v>
      </c>
      <c r="E1474" s="5" t="str">
        <f ca="1">IFERROR(__xludf.DUMMYFUNCTION("""COMPUTED_VALUE"""),"Jet")</f>
        <v>Jet</v>
      </c>
      <c r="F1474" s="5">
        <f ca="1">IFERROR(__xludf.DUMMYFUNCTION("""COMPUTED_VALUE"""),1)</f>
        <v>1</v>
      </c>
    </row>
    <row r="1475" spans="1:6" ht="15" customHeight="1" x14ac:dyDescent="0.2">
      <c r="A1475" s="5" t="str">
        <f ca="1">IFERROR(__xludf.DUMMYFUNCTION("""COMPUTED_VALUE"""),"LARK")</f>
        <v>LARK</v>
      </c>
      <c r="B1475" s="5" t="str">
        <f ca="1">IFERROR(__xludf.DUMMYFUNCTION("""COMPUTED_VALUE"""),"NORTH AMERICAN ROCKWELL")</f>
        <v>NORTH AMERICAN ROCKWELL</v>
      </c>
      <c r="C1475" s="5" t="str">
        <f ca="1">IFERROR(__xludf.DUMMYFUNCTION("""COMPUTED_VALUE"""),"100 Lark Commander")</f>
        <v>100 Lark Commander</v>
      </c>
      <c r="D1475" s="5" t="str">
        <f ca="1">IFERROR(__xludf.DUMMYFUNCTION("""COMPUTED_VALUE"""),"LandPlane")</f>
        <v>LandPlane</v>
      </c>
      <c r="E1475" s="5" t="str">
        <f ca="1">IFERROR(__xludf.DUMMYFUNCTION("""COMPUTED_VALUE"""),"Piston")</f>
        <v>Piston</v>
      </c>
      <c r="F1475" s="5">
        <f ca="1">IFERROR(__xludf.DUMMYFUNCTION("""COMPUTED_VALUE"""),1)</f>
        <v>1</v>
      </c>
    </row>
    <row r="1476" spans="1:6" ht="15" customHeight="1" x14ac:dyDescent="0.2">
      <c r="A1476" s="5" t="str">
        <f ca="1">IFERROR(__xludf.DUMMYFUNCTION("""COMPUTED_VALUE"""),"LAST")</f>
        <v>LAST</v>
      </c>
      <c r="B1476" s="5" t="str">
        <f ca="1">IFERROR(__xludf.DUMMYFUNCTION("""COMPUTED_VALUE"""),"UTVA")</f>
        <v>UTVA</v>
      </c>
      <c r="C1476" s="5" t="str">
        <f ca="1">IFERROR(__xludf.DUMMYFUNCTION("""COMPUTED_VALUE"""),"N-63 Lasta")</f>
        <v>N-63 Lasta</v>
      </c>
      <c r="D1476" s="5" t="str">
        <f ca="1">IFERROR(__xludf.DUMMYFUNCTION("""COMPUTED_VALUE"""),"LandPlane")</f>
        <v>LandPlane</v>
      </c>
      <c r="E1476" s="5" t="str">
        <f ca="1">IFERROR(__xludf.DUMMYFUNCTION("""COMPUTED_VALUE"""),"Piston")</f>
        <v>Piston</v>
      </c>
      <c r="F1476" s="5">
        <f ca="1">IFERROR(__xludf.DUMMYFUNCTION("""COMPUTED_VALUE"""),1)</f>
        <v>1</v>
      </c>
    </row>
    <row r="1477" spans="1:6" ht="15" customHeight="1" x14ac:dyDescent="0.2">
      <c r="A1477" s="5" t="str">
        <f ca="1">IFERROR(__xludf.DUMMYFUNCTION("""COMPUTED_VALUE"""),"LBUG")</f>
        <v>LBUG</v>
      </c>
      <c r="B1477" s="5" t="str">
        <f ca="1">IFERROR(__xludf.DUMMYFUNCTION("""COMPUTED_VALUE"""),"REFLEX")</f>
        <v>REFLEX</v>
      </c>
      <c r="C1477" s="5" t="str">
        <f ca="1">IFERROR(__xludf.DUMMYFUNCTION("""COMPUTED_VALUE"""),"Lightning Bug")</f>
        <v>Lightning Bug</v>
      </c>
      <c r="D1477" s="5" t="str">
        <f ca="1">IFERROR(__xludf.DUMMYFUNCTION("""COMPUTED_VALUE"""),"LandPlane")</f>
        <v>LandPlane</v>
      </c>
      <c r="E1477" s="5" t="str">
        <f ca="1">IFERROR(__xludf.DUMMYFUNCTION("""COMPUTED_VALUE"""),"Piston")</f>
        <v>Piston</v>
      </c>
      <c r="F1477" s="5">
        <f ca="1">IFERROR(__xludf.DUMMYFUNCTION("""COMPUTED_VALUE"""),1)</f>
        <v>1</v>
      </c>
    </row>
    <row r="1478" spans="1:6" ht="15" customHeight="1" x14ac:dyDescent="0.2">
      <c r="A1478" s="5" t="str">
        <f ca="1">IFERROR(__xludf.DUMMYFUNCTION("""COMPUTED_VALUE"""),"LCA")</f>
        <v>LCA</v>
      </c>
      <c r="B1478" s="5" t="str">
        <f ca="1">IFERROR(__xludf.DUMMYFUNCTION("""COMPUTED_VALUE"""),"ADA")</f>
        <v>ADA</v>
      </c>
      <c r="C1478" s="5" t="str">
        <f ca="1">IFERROR(__xludf.DUMMYFUNCTION("""COMPUTED_VALUE"""),"LCA Tejas")</f>
        <v>LCA Tejas</v>
      </c>
      <c r="D1478" s="5" t="str">
        <f ca="1">IFERROR(__xludf.DUMMYFUNCTION("""COMPUTED_VALUE"""),"LandPlane")</f>
        <v>LandPlane</v>
      </c>
      <c r="E1478" s="5" t="str">
        <f ca="1">IFERROR(__xludf.DUMMYFUNCTION("""COMPUTED_VALUE"""),"Jet")</f>
        <v>Jet</v>
      </c>
      <c r="F1478" s="5">
        <f ca="1">IFERROR(__xludf.DUMMYFUNCTION("""COMPUTED_VALUE"""),1)</f>
        <v>1</v>
      </c>
    </row>
    <row r="1479" spans="1:6" ht="15" customHeight="1" x14ac:dyDescent="0.2">
      <c r="A1479" s="5" t="str">
        <f ca="1">IFERROR(__xludf.DUMMYFUNCTION("""COMPUTED_VALUE"""),"LCB")</f>
        <v>LCB</v>
      </c>
      <c r="B1479" s="5" t="str">
        <f ca="1">IFERROR(__xludf.DUMMYFUNCTION("""COMPUTED_VALUE"""),"LAIRD")</f>
        <v>LAIRD</v>
      </c>
      <c r="C1479" s="5" t="str">
        <f ca="1">IFERROR(__xludf.DUMMYFUNCTION("""COMPUTED_VALUE"""),"LC-B Commercial")</f>
        <v>LC-B Commercial</v>
      </c>
      <c r="D1479" s="5" t="str">
        <f ca="1">IFERROR(__xludf.DUMMYFUNCTION("""COMPUTED_VALUE"""),"LandPlane")</f>
        <v>LandPlane</v>
      </c>
      <c r="E1479" s="5" t="str">
        <f ca="1">IFERROR(__xludf.DUMMYFUNCTION("""COMPUTED_VALUE"""),"Piston")</f>
        <v>Piston</v>
      </c>
      <c r="F1479" s="5">
        <f ca="1">IFERROR(__xludf.DUMMYFUNCTION("""COMPUTED_VALUE"""),1)</f>
        <v>1</v>
      </c>
    </row>
    <row r="1480" spans="1:6" ht="15" customHeight="1" x14ac:dyDescent="0.2">
      <c r="A1480" s="5" t="str">
        <f ca="1">IFERROR(__xludf.DUMMYFUNCTION("""COMPUTED_VALUE"""),"LCH")</f>
        <v>LCH</v>
      </c>
      <c r="B1480" s="5" t="str">
        <f ca="1">IFERROR(__xludf.DUMMYFUNCTION("""COMPUTED_VALUE"""),"HINDUSTAN")</f>
        <v>HINDUSTAN</v>
      </c>
      <c r="C1480" s="5" t="str">
        <f ca="1">IFERROR(__xludf.DUMMYFUNCTION("""COMPUTED_VALUE"""),"LCH")</f>
        <v>LCH</v>
      </c>
      <c r="D1480" s="5" t="str">
        <f ca="1">IFERROR(__xludf.DUMMYFUNCTION("""COMPUTED_VALUE"""),"Helicopter")</f>
        <v>Helicopter</v>
      </c>
      <c r="E1480" s="5" t="str">
        <f ca="1">IFERROR(__xludf.DUMMYFUNCTION("""COMPUTED_VALUE"""),"Turboprop/Turboshaft")</f>
        <v>Turboprop/Turboshaft</v>
      </c>
      <c r="F1480" s="5">
        <f ca="1">IFERROR(__xludf.DUMMYFUNCTION("""COMPUTED_VALUE"""),2)</f>
        <v>2</v>
      </c>
    </row>
    <row r="1481" spans="1:6" ht="15" customHeight="1" x14ac:dyDescent="0.2">
      <c r="A1481" s="5" t="str">
        <f ca="1">IFERROR(__xludf.DUMMYFUNCTION("""COMPUTED_VALUE"""),"LCR")</f>
        <v>LCR</v>
      </c>
      <c r="B1481" s="5" t="str">
        <f ca="1">IFERROR(__xludf.DUMMYFUNCTION("""COMPUTED_VALUE"""),"LAIRD")</f>
        <v>LAIRD</v>
      </c>
      <c r="C1481" s="5" t="str">
        <f ca="1">IFERROR(__xludf.DUMMYFUNCTION("""COMPUTED_VALUE"""),"LC-R Speedwing")</f>
        <v>LC-R Speedwing</v>
      </c>
      <c r="D1481" s="5" t="str">
        <f ca="1">IFERROR(__xludf.DUMMYFUNCTION("""COMPUTED_VALUE"""),"LandPlane")</f>
        <v>LandPlane</v>
      </c>
      <c r="E1481" s="5" t="str">
        <f ca="1">IFERROR(__xludf.DUMMYFUNCTION("""COMPUTED_VALUE"""),"Piston")</f>
        <v>Piston</v>
      </c>
      <c r="F1481" s="5">
        <f ca="1">IFERROR(__xludf.DUMMYFUNCTION("""COMPUTED_VALUE"""),1)</f>
        <v>1</v>
      </c>
    </row>
    <row r="1482" spans="1:6" ht="15" customHeight="1" x14ac:dyDescent="0.2">
      <c r="A1482" s="5" t="str">
        <f ca="1">IFERROR(__xludf.DUMMYFUNCTION("""COMPUTED_VALUE"""),"LEG2")</f>
        <v>LEG2</v>
      </c>
      <c r="B1482" s="5" t="str">
        <f ca="1">IFERROR(__xludf.DUMMYFUNCTION("""COMPUTED_VALUE"""),"LANCAIR")</f>
        <v>LANCAIR</v>
      </c>
      <c r="C1482" s="5" t="str">
        <f ca="1">IFERROR(__xludf.DUMMYFUNCTION("""COMPUTED_VALUE"""),"Legacy")</f>
        <v>Legacy</v>
      </c>
      <c r="D1482" s="5" t="str">
        <f ca="1">IFERROR(__xludf.DUMMYFUNCTION("""COMPUTED_VALUE"""),"LandPlane")</f>
        <v>LandPlane</v>
      </c>
      <c r="E1482" s="5" t="str">
        <f ca="1">IFERROR(__xludf.DUMMYFUNCTION("""COMPUTED_VALUE"""),"Piston")</f>
        <v>Piston</v>
      </c>
      <c r="F1482" s="5">
        <f ca="1">IFERROR(__xludf.DUMMYFUNCTION("""COMPUTED_VALUE"""),1)</f>
        <v>1</v>
      </c>
    </row>
    <row r="1483" spans="1:6" ht="15" customHeight="1" x14ac:dyDescent="0.2">
      <c r="A1483" s="5" t="str">
        <f ca="1">IFERROR(__xludf.DUMMYFUNCTION("""COMPUTED_VALUE"""),"LEGD")</f>
        <v>LEGD</v>
      </c>
      <c r="B1483" s="5" t="str">
        <f ca="1">IFERROR(__xludf.DUMMYFUNCTION("""COMPUTED_VALUE"""),"PERFORMANCE")</f>
        <v>PERFORMANCE</v>
      </c>
      <c r="C1483" s="5" t="str">
        <f ca="1">IFERROR(__xludf.DUMMYFUNCTION("""COMPUTED_VALUE"""),"Legend")</f>
        <v>Legend</v>
      </c>
      <c r="D1483" s="5" t="str">
        <f ca="1">IFERROR(__xludf.DUMMYFUNCTION("""COMPUTED_VALUE"""),"LandPlane")</f>
        <v>LandPlane</v>
      </c>
      <c r="E1483" s="5" t="str">
        <f ca="1">IFERROR(__xludf.DUMMYFUNCTION("""COMPUTED_VALUE"""),"Piston")</f>
        <v>Piston</v>
      </c>
      <c r="F1483" s="5">
        <f ca="1">IFERROR(__xludf.DUMMYFUNCTION("""COMPUTED_VALUE"""),1)</f>
        <v>1</v>
      </c>
    </row>
    <row r="1484" spans="1:6" ht="15" customHeight="1" x14ac:dyDescent="0.2">
      <c r="A1484" s="5" t="str">
        <f ca="1">IFERROR(__xludf.DUMMYFUNCTION("""COMPUTED_VALUE"""),"LEOP")</f>
        <v>LEOP</v>
      </c>
      <c r="B1484" s="5" t="str">
        <f ca="1">IFERROR(__xludf.DUMMYFUNCTION("""COMPUTED_VALUE"""),"CHICHESTER-MILES")</f>
        <v>CHICHESTER-MILES</v>
      </c>
      <c r="C1484" s="5" t="str">
        <f ca="1">IFERROR(__xludf.DUMMYFUNCTION("""COMPUTED_VALUE"""),"Leopard")</f>
        <v>Leopard</v>
      </c>
      <c r="D1484" s="5" t="str">
        <f ca="1">IFERROR(__xludf.DUMMYFUNCTION("""COMPUTED_VALUE"""),"LandPlane")</f>
        <v>LandPlane</v>
      </c>
      <c r="E1484" s="5" t="str">
        <f ca="1">IFERROR(__xludf.DUMMYFUNCTION("""COMPUTED_VALUE"""),"Jet")</f>
        <v>Jet</v>
      </c>
      <c r="F1484" s="5">
        <f ca="1">IFERROR(__xludf.DUMMYFUNCTION("""COMPUTED_VALUE"""),2)</f>
        <v>2</v>
      </c>
    </row>
    <row r="1485" spans="1:6" ht="15" customHeight="1" x14ac:dyDescent="0.2">
      <c r="A1485" s="5" t="str">
        <f ca="1">IFERROR(__xludf.DUMMYFUNCTION("""COMPUTED_VALUE"""),"LESP")</f>
        <v>LESP</v>
      </c>
      <c r="B1485" s="5" t="str">
        <f ca="1">IFERROR(__xludf.DUMMYFUNCTION("""COMPUTED_VALUE"""),"LANCAIR")</f>
        <v>LANCAIR</v>
      </c>
      <c r="C1485" s="5" t="str">
        <f ca="1">IFERROR(__xludf.DUMMYFUNCTION("""COMPUTED_VALUE"""),"Lancair ES-P")</f>
        <v>Lancair ES-P</v>
      </c>
      <c r="D1485" s="5" t="str">
        <f ca="1">IFERROR(__xludf.DUMMYFUNCTION("""COMPUTED_VALUE"""),"LandPlane")</f>
        <v>LandPlane</v>
      </c>
      <c r="E1485" s="5" t="str">
        <f ca="1">IFERROR(__xludf.DUMMYFUNCTION("""COMPUTED_VALUE"""),"Piston")</f>
        <v>Piston</v>
      </c>
      <c r="F1485" s="5">
        <f ca="1">IFERROR(__xludf.DUMMYFUNCTION("""COMPUTED_VALUE"""),1)</f>
        <v>1</v>
      </c>
    </row>
    <row r="1486" spans="1:6" ht="15" customHeight="1" x14ac:dyDescent="0.2">
      <c r="A1486" s="5" t="str">
        <f ca="1">IFERROR(__xludf.DUMMYFUNCTION("""COMPUTED_VALUE"""),"LEVI")</f>
        <v>LEVI</v>
      </c>
      <c r="B1486" s="5" t="str">
        <f ca="1">IFERROR(__xludf.DUMMYFUNCTION("""COMPUTED_VALUE"""),"TAPANEE")</f>
        <v>TAPANEE</v>
      </c>
      <c r="C1486" s="5" t="str">
        <f ca="1">IFERROR(__xludf.DUMMYFUNCTION("""COMPUTED_VALUE"""),"Levitation 4")</f>
        <v>Levitation 4</v>
      </c>
      <c r="D1486" s="5" t="str">
        <f ca="1">IFERROR(__xludf.DUMMYFUNCTION("""COMPUTED_VALUE"""),"LandPlane")</f>
        <v>LandPlane</v>
      </c>
      <c r="E1486" s="5" t="str">
        <f ca="1">IFERROR(__xludf.DUMMYFUNCTION("""COMPUTED_VALUE"""),"Piston")</f>
        <v>Piston</v>
      </c>
      <c r="F1486" s="5">
        <f ca="1">IFERROR(__xludf.DUMMYFUNCTION("""COMPUTED_VALUE"""),1)</f>
        <v>1</v>
      </c>
    </row>
    <row r="1487" spans="1:6" ht="15" customHeight="1" x14ac:dyDescent="0.2">
      <c r="A1487" s="5" t="str">
        <f ca="1">IFERROR(__xludf.DUMMYFUNCTION("""COMPUTED_VALUE"""),"LGEZ")</f>
        <v>LGEZ</v>
      </c>
      <c r="B1487" s="5" t="str">
        <f ca="1">IFERROR(__xludf.DUMMYFUNCTION("""COMPUTED_VALUE"""),"RUTAN")</f>
        <v>RUTAN</v>
      </c>
      <c r="C1487" s="5" t="str">
        <f ca="1">IFERROR(__xludf.DUMMYFUNCTION("""COMPUTED_VALUE"""),"61 Long-EZ")</f>
        <v>61 Long-EZ</v>
      </c>
      <c r="D1487" s="5" t="str">
        <f ca="1">IFERROR(__xludf.DUMMYFUNCTION("""COMPUTED_VALUE"""),"LandPlane")</f>
        <v>LandPlane</v>
      </c>
      <c r="E1487" s="5" t="str">
        <f ca="1">IFERROR(__xludf.DUMMYFUNCTION("""COMPUTED_VALUE"""),"Piston")</f>
        <v>Piston</v>
      </c>
      <c r="F1487" s="5">
        <f ca="1">IFERROR(__xludf.DUMMYFUNCTION("""COMPUTED_VALUE"""),1)</f>
        <v>1</v>
      </c>
    </row>
    <row r="1488" spans="1:6" ht="15" customHeight="1" x14ac:dyDescent="0.2">
      <c r="A1488" s="5" t="str">
        <f ca="1">IFERROR(__xludf.DUMMYFUNCTION("""COMPUTED_VALUE"""),"LH10")</f>
        <v>LH10</v>
      </c>
      <c r="B1488" s="5" t="str">
        <f ca="1">IFERROR(__xludf.DUMMYFUNCTION("""COMPUTED_VALUE"""),"LH AVIATION")</f>
        <v>LH AVIATION</v>
      </c>
      <c r="C1488" s="5" t="str">
        <f ca="1">IFERROR(__xludf.DUMMYFUNCTION("""COMPUTED_VALUE"""),"LH-10 Ellipse")</f>
        <v>LH-10 Ellipse</v>
      </c>
      <c r="D1488" s="5" t="str">
        <f ca="1">IFERROR(__xludf.DUMMYFUNCTION("""COMPUTED_VALUE"""),"LandPlane")</f>
        <v>LandPlane</v>
      </c>
      <c r="E1488" s="5" t="str">
        <f ca="1">IFERROR(__xludf.DUMMYFUNCTION("""COMPUTED_VALUE"""),"Piston")</f>
        <v>Piston</v>
      </c>
      <c r="F1488" s="5">
        <f ca="1">IFERROR(__xludf.DUMMYFUNCTION("""COMPUTED_VALUE"""),1)</f>
        <v>1</v>
      </c>
    </row>
    <row r="1489" spans="1:6" ht="15" customHeight="1" x14ac:dyDescent="0.2">
      <c r="A1489" s="5" t="str">
        <f ca="1">IFERROR(__xludf.DUMMYFUNCTION("""COMPUTED_VALUE"""),"LIBE")</f>
        <v>LIBE</v>
      </c>
      <c r="B1489" s="5" t="str">
        <f ca="1">IFERROR(__xludf.DUMMYFUNCTION("""COMPUTED_VALUE"""),"LIBERTY (1)")</f>
        <v>LIBERTY (1)</v>
      </c>
      <c r="C1489" s="5" t="str">
        <f ca="1">IFERROR(__xludf.DUMMYFUNCTION("""COMPUTED_VALUE"""),"Bellaire")</f>
        <v>Bellaire</v>
      </c>
      <c r="D1489" s="5" t="str">
        <f ca="1">IFERROR(__xludf.DUMMYFUNCTION("""COMPUTED_VALUE"""),"LandPlane")</f>
        <v>LandPlane</v>
      </c>
      <c r="E1489" s="5" t="str">
        <f ca="1">IFERROR(__xludf.DUMMYFUNCTION("""COMPUTED_VALUE"""),"Piston")</f>
        <v>Piston</v>
      </c>
      <c r="F1489" s="5">
        <f ca="1">IFERROR(__xludf.DUMMYFUNCTION("""COMPUTED_VALUE"""),1)</f>
        <v>1</v>
      </c>
    </row>
    <row r="1490" spans="1:6" ht="15" customHeight="1" x14ac:dyDescent="0.2">
      <c r="A1490" s="5" t="str">
        <f ca="1">IFERROR(__xludf.DUMMYFUNCTION("""COMPUTED_VALUE"""),"LION")</f>
        <v>LION</v>
      </c>
      <c r="B1490" s="5" t="str">
        <f ca="1">IFERROR(__xludf.DUMMYFUNCTION("""COMPUTED_VALUE"""),"GRIFFON")</f>
        <v>GRIFFON</v>
      </c>
      <c r="C1490" s="5" t="str">
        <f ca="1">IFERROR(__xludf.DUMMYFUNCTION("""COMPUTED_VALUE"""),"Lionheart")</f>
        <v>Lionheart</v>
      </c>
      <c r="D1490" s="5" t="str">
        <f ca="1">IFERROR(__xludf.DUMMYFUNCTION("""COMPUTED_VALUE"""),"LandPlane")</f>
        <v>LandPlane</v>
      </c>
      <c r="E1490" s="5" t="str">
        <f ca="1">IFERROR(__xludf.DUMMYFUNCTION("""COMPUTED_VALUE"""),"Piston")</f>
        <v>Piston</v>
      </c>
      <c r="F1490" s="5">
        <f ca="1">IFERROR(__xludf.DUMMYFUNCTION("""COMPUTED_VALUE"""),1)</f>
        <v>1</v>
      </c>
    </row>
    <row r="1491" spans="1:6" ht="15" customHeight="1" x14ac:dyDescent="0.2">
      <c r="A1491" s="5" t="str">
        <f ca="1">IFERROR(__xludf.DUMMYFUNCTION("""COMPUTED_VALUE"""),"LJ23")</f>
        <v>LJ23</v>
      </c>
      <c r="B1491" s="5" t="str">
        <f ca="1">IFERROR(__xludf.DUMMYFUNCTION("""COMPUTED_VALUE"""),"LEAR JET")</f>
        <v>LEAR JET</v>
      </c>
      <c r="C1491" s="5" t="str">
        <f ca="1">IFERROR(__xludf.DUMMYFUNCTION("""COMPUTED_VALUE"""),"23")</f>
        <v>23</v>
      </c>
      <c r="D1491" s="5" t="str">
        <f ca="1">IFERROR(__xludf.DUMMYFUNCTION("""COMPUTED_VALUE"""),"LandPlane")</f>
        <v>LandPlane</v>
      </c>
      <c r="E1491" s="5" t="str">
        <f ca="1">IFERROR(__xludf.DUMMYFUNCTION("""COMPUTED_VALUE"""),"Jet")</f>
        <v>Jet</v>
      </c>
      <c r="F1491" s="5">
        <f ca="1">IFERROR(__xludf.DUMMYFUNCTION("""COMPUTED_VALUE"""),2)</f>
        <v>2</v>
      </c>
    </row>
    <row r="1492" spans="1:6" ht="15" customHeight="1" x14ac:dyDescent="0.2">
      <c r="A1492" s="5" t="str">
        <f ca="1">IFERROR(__xludf.DUMMYFUNCTION("""COMPUTED_VALUE"""),"LJ24")</f>
        <v>LJ24</v>
      </c>
      <c r="B1492" s="5" t="str">
        <f ca="1">IFERROR(__xludf.DUMMYFUNCTION("""COMPUTED_VALUE"""),"LEAR JET")</f>
        <v>LEAR JET</v>
      </c>
      <c r="C1492" s="5" t="str">
        <f ca="1">IFERROR(__xludf.DUMMYFUNCTION("""COMPUTED_VALUE"""),"24")</f>
        <v>24</v>
      </c>
      <c r="D1492" s="5" t="str">
        <f ca="1">IFERROR(__xludf.DUMMYFUNCTION("""COMPUTED_VALUE"""),"LandPlane")</f>
        <v>LandPlane</v>
      </c>
      <c r="E1492" s="5" t="str">
        <f ca="1">IFERROR(__xludf.DUMMYFUNCTION("""COMPUTED_VALUE"""),"Jet")</f>
        <v>Jet</v>
      </c>
      <c r="F1492" s="5">
        <f ca="1">IFERROR(__xludf.DUMMYFUNCTION("""COMPUTED_VALUE"""),2)</f>
        <v>2</v>
      </c>
    </row>
    <row r="1493" spans="1:6" ht="15" customHeight="1" x14ac:dyDescent="0.2">
      <c r="A1493" s="5" t="str">
        <f ca="1">IFERROR(__xludf.DUMMYFUNCTION("""COMPUTED_VALUE"""),"LJ25")</f>
        <v>LJ25</v>
      </c>
      <c r="B1493" s="5" t="str">
        <f ca="1">IFERROR(__xludf.DUMMYFUNCTION("""COMPUTED_VALUE"""),"LEAR JET")</f>
        <v>LEAR JET</v>
      </c>
      <c r="C1493" s="5" t="str">
        <f ca="1">IFERROR(__xludf.DUMMYFUNCTION("""COMPUTED_VALUE"""),"25")</f>
        <v>25</v>
      </c>
      <c r="D1493" s="5" t="str">
        <f ca="1">IFERROR(__xludf.DUMMYFUNCTION("""COMPUTED_VALUE"""),"LandPlane")</f>
        <v>LandPlane</v>
      </c>
      <c r="E1493" s="5" t="str">
        <f ca="1">IFERROR(__xludf.DUMMYFUNCTION("""COMPUTED_VALUE"""),"Jet")</f>
        <v>Jet</v>
      </c>
      <c r="F1493" s="5">
        <f ca="1">IFERROR(__xludf.DUMMYFUNCTION("""COMPUTED_VALUE"""),2)</f>
        <v>2</v>
      </c>
    </row>
    <row r="1494" spans="1:6" ht="15" customHeight="1" x14ac:dyDescent="0.2">
      <c r="A1494" s="5" t="str">
        <f ca="1">IFERROR(__xludf.DUMMYFUNCTION("""COMPUTED_VALUE"""),"LJ28")</f>
        <v>LJ28</v>
      </c>
      <c r="B1494" s="5" t="str">
        <f ca="1">IFERROR(__xludf.DUMMYFUNCTION("""COMPUTED_VALUE"""),"GATES LEARJET")</f>
        <v>GATES LEARJET</v>
      </c>
      <c r="C1494" s="5" t="str">
        <f ca="1">IFERROR(__xludf.DUMMYFUNCTION("""COMPUTED_VALUE"""),"28")</f>
        <v>28</v>
      </c>
      <c r="D1494" s="5" t="str">
        <f ca="1">IFERROR(__xludf.DUMMYFUNCTION("""COMPUTED_VALUE"""),"LandPlane")</f>
        <v>LandPlane</v>
      </c>
      <c r="E1494" s="5" t="str">
        <f ca="1">IFERROR(__xludf.DUMMYFUNCTION("""COMPUTED_VALUE"""),"Jet")</f>
        <v>Jet</v>
      </c>
      <c r="F1494" s="5">
        <f ca="1">IFERROR(__xludf.DUMMYFUNCTION("""COMPUTED_VALUE"""),2)</f>
        <v>2</v>
      </c>
    </row>
    <row r="1495" spans="1:6" ht="15" customHeight="1" x14ac:dyDescent="0.2">
      <c r="A1495" s="5" t="str">
        <f ca="1">IFERROR(__xludf.DUMMYFUNCTION("""COMPUTED_VALUE"""),"LJ31")</f>
        <v>LJ31</v>
      </c>
      <c r="B1495" s="5" t="str">
        <f ca="1">IFERROR(__xludf.DUMMYFUNCTION("""COMPUTED_VALUE"""),"LEARJET")</f>
        <v>LEARJET</v>
      </c>
      <c r="C1495" s="5" t="str">
        <f ca="1">IFERROR(__xludf.DUMMYFUNCTION("""COMPUTED_VALUE"""),"31")</f>
        <v>31</v>
      </c>
      <c r="D1495" s="5" t="str">
        <f ca="1">IFERROR(__xludf.DUMMYFUNCTION("""COMPUTED_VALUE"""),"LandPlane")</f>
        <v>LandPlane</v>
      </c>
      <c r="E1495" s="5" t="str">
        <f ca="1">IFERROR(__xludf.DUMMYFUNCTION("""COMPUTED_VALUE"""),"Jet")</f>
        <v>Jet</v>
      </c>
      <c r="F1495" s="5">
        <f ca="1">IFERROR(__xludf.DUMMYFUNCTION("""COMPUTED_VALUE"""),2)</f>
        <v>2</v>
      </c>
    </row>
    <row r="1496" spans="1:6" ht="15" customHeight="1" x14ac:dyDescent="0.2">
      <c r="A1496" s="5" t="str">
        <f ca="1">IFERROR(__xludf.DUMMYFUNCTION("""COMPUTED_VALUE"""),"LJ35")</f>
        <v>LJ35</v>
      </c>
      <c r="B1496" s="5" t="str">
        <f ca="1">IFERROR(__xludf.DUMMYFUNCTION("""COMPUTED_VALUE"""),"LEARJET")</f>
        <v>LEARJET</v>
      </c>
      <c r="C1496" s="5" t="str">
        <f ca="1">IFERROR(__xludf.DUMMYFUNCTION("""COMPUTED_VALUE"""),"35")</f>
        <v>35</v>
      </c>
      <c r="D1496" s="5" t="str">
        <f ca="1">IFERROR(__xludf.DUMMYFUNCTION("""COMPUTED_VALUE"""),"LandPlane")</f>
        <v>LandPlane</v>
      </c>
      <c r="E1496" s="5" t="str">
        <f ca="1">IFERROR(__xludf.DUMMYFUNCTION("""COMPUTED_VALUE"""),"Jet")</f>
        <v>Jet</v>
      </c>
      <c r="F1496" s="5">
        <f ca="1">IFERROR(__xludf.DUMMYFUNCTION("""COMPUTED_VALUE"""),2)</f>
        <v>2</v>
      </c>
    </row>
    <row r="1497" spans="1:6" ht="15" customHeight="1" x14ac:dyDescent="0.2">
      <c r="A1497" s="5" t="str">
        <f ca="1">IFERROR(__xludf.DUMMYFUNCTION("""COMPUTED_VALUE"""),"LJ40")</f>
        <v>LJ40</v>
      </c>
      <c r="B1497" s="5" t="str">
        <f ca="1">IFERROR(__xludf.DUMMYFUNCTION("""COMPUTED_VALUE"""),"LEARJET")</f>
        <v>LEARJET</v>
      </c>
      <c r="C1497" s="5" t="str">
        <f ca="1">IFERROR(__xludf.DUMMYFUNCTION("""COMPUTED_VALUE"""),"40")</f>
        <v>40</v>
      </c>
      <c r="D1497" s="5" t="str">
        <f ca="1">IFERROR(__xludf.DUMMYFUNCTION("""COMPUTED_VALUE"""),"LandPlane")</f>
        <v>LandPlane</v>
      </c>
      <c r="E1497" s="5" t="str">
        <f ca="1">IFERROR(__xludf.DUMMYFUNCTION("""COMPUTED_VALUE"""),"Jet")</f>
        <v>Jet</v>
      </c>
      <c r="F1497" s="5">
        <f ca="1">IFERROR(__xludf.DUMMYFUNCTION("""COMPUTED_VALUE"""),2)</f>
        <v>2</v>
      </c>
    </row>
    <row r="1498" spans="1:6" ht="15" customHeight="1" x14ac:dyDescent="0.2">
      <c r="A1498" s="5" t="str">
        <f ca="1">IFERROR(__xludf.DUMMYFUNCTION("""COMPUTED_VALUE"""),"LJ45")</f>
        <v>LJ45</v>
      </c>
      <c r="B1498" s="5" t="str">
        <f ca="1">IFERROR(__xludf.DUMMYFUNCTION("""COMPUTED_VALUE"""),"LEARJET")</f>
        <v>LEARJET</v>
      </c>
      <c r="C1498" s="5" t="str">
        <f ca="1">IFERROR(__xludf.DUMMYFUNCTION("""COMPUTED_VALUE"""),"45")</f>
        <v>45</v>
      </c>
      <c r="D1498" s="5" t="str">
        <f ca="1">IFERROR(__xludf.DUMMYFUNCTION("""COMPUTED_VALUE"""),"LandPlane")</f>
        <v>LandPlane</v>
      </c>
      <c r="E1498" s="5" t="str">
        <f ca="1">IFERROR(__xludf.DUMMYFUNCTION("""COMPUTED_VALUE"""),"Jet")</f>
        <v>Jet</v>
      </c>
      <c r="F1498" s="5">
        <f ca="1">IFERROR(__xludf.DUMMYFUNCTION("""COMPUTED_VALUE"""),2)</f>
        <v>2</v>
      </c>
    </row>
    <row r="1499" spans="1:6" ht="15" customHeight="1" x14ac:dyDescent="0.2">
      <c r="A1499" s="5" t="str">
        <f ca="1">IFERROR(__xludf.DUMMYFUNCTION("""COMPUTED_VALUE"""),"LJ55")</f>
        <v>LJ55</v>
      </c>
      <c r="B1499" s="5" t="str">
        <f ca="1">IFERROR(__xludf.DUMMYFUNCTION("""COMPUTED_VALUE"""),"LEARJET")</f>
        <v>LEARJET</v>
      </c>
      <c r="C1499" s="5" t="str">
        <f ca="1">IFERROR(__xludf.DUMMYFUNCTION("""COMPUTED_VALUE"""),"55")</f>
        <v>55</v>
      </c>
      <c r="D1499" s="5" t="str">
        <f ca="1">IFERROR(__xludf.DUMMYFUNCTION("""COMPUTED_VALUE"""),"LandPlane")</f>
        <v>LandPlane</v>
      </c>
      <c r="E1499" s="5" t="str">
        <f ca="1">IFERROR(__xludf.DUMMYFUNCTION("""COMPUTED_VALUE"""),"Jet")</f>
        <v>Jet</v>
      </c>
      <c r="F1499" s="5">
        <f ca="1">IFERROR(__xludf.DUMMYFUNCTION("""COMPUTED_VALUE"""),2)</f>
        <v>2</v>
      </c>
    </row>
    <row r="1500" spans="1:6" ht="15" customHeight="1" x14ac:dyDescent="0.2">
      <c r="A1500" s="5" t="str">
        <f ca="1">IFERROR(__xludf.DUMMYFUNCTION("""COMPUTED_VALUE"""),"LJ60")</f>
        <v>LJ60</v>
      </c>
      <c r="B1500" s="5" t="str">
        <f ca="1">IFERROR(__xludf.DUMMYFUNCTION("""COMPUTED_VALUE"""),"LEARJET")</f>
        <v>LEARJET</v>
      </c>
      <c r="C1500" s="5" t="str">
        <f ca="1">IFERROR(__xludf.DUMMYFUNCTION("""COMPUTED_VALUE"""),"60")</f>
        <v>60</v>
      </c>
      <c r="D1500" s="5" t="str">
        <f ca="1">IFERROR(__xludf.DUMMYFUNCTION("""COMPUTED_VALUE"""),"LandPlane")</f>
        <v>LandPlane</v>
      </c>
      <c r="E1500" s="5" t="str">
        <f ca="1">IFERROR(__xludf.DUMMYFUNCTION("""COMPUTED_VALUE"""),"Jet")</f>
        <v>Jet</v>
      </c>
      <c r="F1500" s="5">
        <f ca="1">IFERROR(__xludf.DUMMYFUNCTION("""COMPUTED_VALUE"""),2)</f>
        <v>2</v>
      </c>
    </row>
    <row r="1501" spans="1:6" ht="15" customHeight="1" x14ac:dyDescent="0.2">
      <c r="A1501" s="5" t="str">
        <f ca="1">IFERROR(__xludf.DUMMYFUNCTION("""COMPUTED_VALUE"""),"LJ70")</f>
        <v>LJ70</v>
      </c>
      <c r="B1501" s="5" t="str">
        <f ca="1">IFERROR(__xludf.DUMMYFUNCTION("""COMPUTED_VALUE"""),"LEARJET")</f>
        <v>LEARJET</v>
      </c>
      <c r="C1501" s="5" t="str">
        <f ca="1">IFERROR(__xludf.DUMMYFUNCTION("""COMPUTED_VALUE"""),"70")</f>
        <v>70</v>
      </c>
      <c r="D1501" s="5" t="str">
        <f ca="1">IFERROR(__xludf.DUMMYFUNCTION("""COMPUTED_VALUE"""),"LandPlane")</f>
        <v>LandPlane</v>
      </c>
      <c r="E1501" s="5" t="str">
        <f ca="1">IFERROR(__xludf.DUMMYFUNCTION("""COMPUTED_VALUE"""),"Jet")</f>
        <v>Jet</v>
      </c>
      <c r="F1501" s="5">
        <f ca="1">IFERROR(__xludf.DUMMYFUNCTION("""COMPUTED_VALUE"""),2)</f>
        <v>2</v>
      </c>
    </row>
    <row r="1502" spans="1:6" ht="15" customHeight="1" x14ac:dyDescent="0.2">
      <c r="A1502" s="5" t="str">
        <f ca="1">IFERROR(__xludf.DUMMYFUNCTION("""COMPUTED_VALUE"""),"LJ75")</f>
        <v>LJ75</v>
      </c>
      <c r="B1502" s="5" t="str">
        <f ca="1">IFERROR(__xludf.DUMMYFUNCTION("""COMPUTED_VALUE"""),"LEARJET")</f>
        <v>LEARJET</v>
      </c>
      <c r="C1502" s="5" t="str">
        <f ca="1">IFERROR(__xludf.DUMMYFUNCTION("""COMPUTED_VALUE"""),"75")</f>
        <v>75</v>
      </c>
      <c r="D1502" s="5" t="str">
        <f ca="1">IFERROR(__xludf.DUMMYFUNCTION("""COMPUTED_VALUE"""),"LandPlane")</f>
        <v>LandPlane</v>
      </c>
      <c r="E1502" s="5" t="str">
        <f ca="1">IFERROR(__xludf.DUMMYFUNCTION("""COMPUTED_VALUE"""),"Jet")</f>
        <v>Jet</v>
      </c>
      <c r="F1502" s="5">
        <f ca="1">IFERROR(__xludf.DUMMYFUNCTION("""COMPUTED_VALUE"""),2)</f>
        <v>2</v>
      </c>
    </row>
    <row r="1503" spans="1:6" ht="15" customHeight="1" x14ac:dyDescent="0.2">
      <c r="A1503" s="5" t="str">
        <f ca="1">IFERROR(__xludf.DUMMYFUNCTION("""COMPUTED_VALUE"""),"LJ85")</f>
        <v>LJ85</v>
      </c>
      <c r="B1503" s="5" t="str">
        <f ca="1">IFERROR(__xludf.DUMMYFUNCTION("""COMPUTED_VALUE"""),"LEARJET")</f>
        <v>LEARJET</v>
      </c>
      <c r="C1503" s="5" t="str">
        <f ca="1">IFERROR(__xludf.DUMMYFUNCTION("""COMPUTED_VALUE"""),"85")</f>
        <v>85</v>
      </c>
      <c r="D1503" s="5" t="str">
        <f ca="1">IFERROR(__xludf.DUMMYFUNCTION("""COMPUTED_VALUE"""),"LandPlane")</f>
        <v>LandPlane</v>
      </c>
      <c r="E1503" s="5" t="str">
        <f ca="1">IFERROR(__xludf.DUMMYFUNCTION("""COMPUTED_VALUE"""),"Jet")</f>
        <v>Jet</v>
      </c>
      <c r="F1503" s="5">
        <f ca="1">IFERROR(__xludf.DUMMYFUNCTION("""COMPUTED_VALUE"""),2)</f>
        <v>2</v>
      </c>
    </row>
    <row r="1504" spans="1:6" ht="15" customHeight="1" x14ac:dyDescent="0.2">
      <c r="A1504" s="5" t="str">
        <f ca="1">IFERROR(__xludf.DUMMYFUNCTION("""COMPUTED_VALUE"""),"LK17")</f>
        <v>LK17</v>
      </c>
      <c r="B1504" s="5" t="str">
        <f ca="1">IFERROR(__xludf.DUMMYFUNCTION("""COMPUTED_VALUE"""),"LAK")</f>
        <v>LAK</v>
      </c>
      <c r="C1504" s="5" t="str">
        <f ca="1">IFERROR(__xludf.DUMMYFUNCTION("""COMPUTED_VALUE"""),"LAK-17AT")</f>
        <v>LAK-17AT</v>
      </c>
      <c r="D1504" s="5" t="str">
        <f ca="1">IFERROR(__xludf.DUMMYFUNCTION("""COMPUTED_VALUE"""),"LandPlane")</f>
        <v>LandPlane</v>
      </c>
      <c r="E1504" s="5" t="str">
        <f ca="1">IFERROR(__xludf.DUMMYFUNCTION("""COMPUTED_VALUE"""),"Piston")</f>
        <v>Piston</v>
      </c>
      <c r="F1504" s="5">
        <f ca="1">IFERROR(__xludf.DUMMYFUNCTION("""COMPUTED_VALUE"""),1)</f>
        <v>1</v>
      </c>
    </row>
    <row r="1505" spans="1:6" ht="15" customHeight="1" x14ac:dyDescent="0.2">
      <c r="A1505" s="5" t="str">
        <f ca="1">IFERROR(__xludf.DUMMYFUNCTION("""COMPUTED_VALUE"""),"LK19")</f>
        <v>LK19</v>
      </c>
      <c r="B1505" s="5" t="str">
        <f ca="1">IFERROR(__xludf.DUMMYFUNCTION("""COMPUTED_VALUE"""),"LAK")</f>
        <v>LAK</v>
      </c>
      <c r="C1505" s="5" t="str">
        <f ca="1">IFERROR(__xludf.DUMMYFUNCTION("""COMPUTED_VALUE"""),"LAK-19T")</f>
        <v>LAK-19T</v>
      </c>
      <c r="D1505" s="5" t="str">
        <f ca="1">IFERROR(__xludf.DUMMYFUNCTION("""COMPUTED_VALUE"""),"LandPlane")</f>
        <v>LandPlane</v>
      </c>
      <c r="E1505" s="5" t="str">
        <f ca="1">IFERROR(__xludf.DUMMYFUNCTION("""COMPUTED_VALUE"""),"Piston")</f>
        <v>Piston</v>
      </c>
      <c r="F1505" s="5">
        <f ca="1">IFERROR(__xludf.DUMMYFUNCTION("""COMPUTED_VALUE"""),1)</f>
        <v>1</v>
      </c>
    </row>
    <row r="1506" spans="1:6" ht="15" customHeight="1" x14ac:dyDescent="0.2">
      <c r="A1506" s="5" t="str">
        <f ca="1">IFERROR(__xludf.DUMMYFUNCTION("""COMPUTED_VALUE"""),"LK20")</f>
        <v>LK20</v>
      </c>
      <c r="B1506" s="5" t="str">
        <f ca="1">IFERROR(__xludf.DUMMYFUNCTION("""COMPUTED_VALUE"""),"LAK")</f>
        <v>LAK</v>
      </c>
      <c r="C1506" s="5" t="str">
        <f ca="1">IFERROR(__xludf.DUMMYFUNCTION("""COMPUTED_VALUE"""),"LAK-20M")</f>
        <v>LAK-20M</v>
      </c>
      <c r="D1506" s="5" t="str">
        <f ca="1">IFERROR(__xludf.DUMMYFUNCTION("""COMPUTED_VALUE"""),"LandPlane")</f>
        <v>LandPlane</v>
      </c>
      <c r="E1506" s="5" t="str">
        <f ca="1">IFERROR(__xludf.DUMMYFUNCTION("""COMPUTED_VALUE"""),"Piston")</f>
        <v>Piston</v>
      </c>
      <c r="F1506" s="5">
        <f ca="1">IFERROR(__xludf.DUMMYFUNCTION("""COMPUTED_VALUE"""),1)</f>
        <v>1</v>
      </c>
    </row>
    <row r="1507" spans="1:6" ht="15" customHeight="1" x14ac:dyDescent="0.2">
      <c r="A1507" s="5" t="str">
        <f ca="1">IFERROR(__xludf.DUMMYFUNCTION("""COMPUTED_VALUE"""),"LM5")</f>
        <v>LM5</v>
      </c>
      <c r="B1507" s="5" t="str">
        <f ca="1">IFERROR(__xludf.DUMMYFUNCTION("""COMPUTED_VALUE"""),"LOMBARDI")</f>
        <v>LOMBARDI</v>
      </c>
      <c r="C1507" s="5" t="str">
        <f ca="1">IFERROR(__xludf.DUMMYFUNCTION("""COMPUTED_VALUE"""),"LM-5 Aviastar")</f>
        <v>LM-5 Aviastar</v>
      </c>
      <c r="D1507" s="5" t="str">
        <f ca="1">IFERROR(__xludf.DUMMYFUNCTION("""COMPUTED_VALUE"""),"LandPlane")</f>
        <v>LandPlane</v>
      </c>
      <c r="E1507" s="5" t="str">
        <f ca="1">IFERROR(__xludf.DUMMYFUNCTION("""COMPUTED_VALUE"""),"Piston")</f>
        <v>Piston</v>
      </c>
      <c r="F1507" s="5">
        <f ca="1">IFERROR(__xludf.DUMMYFUNCTION("""COMPUTED_VALUE"""),1)</f>
        <v>1</v>
      </c>
    </row>
    <row r="1508" spans="1:6" ht="15" customHeight="1" x14ac:dyDescent="0.2">
      <c r="A1508" s="5" t="str">
        <f ca="1">IFERROR(__xludf.DUMMYFUNCTION("""COMPUTED_VALUE"""),"LM5X")</f>
        <v>LM5X</v>
      </c>
      <c r="B1508" s="5" t="str">
        <f ca="1">IFERROR(__xludf.DUMMYFUNCTION("""COMPUTED_VALUE"""),"LIGHT MINIATURE")</f>
        <v>LIGHT MINIATURE</v>
      </c>
      <c r="C1508" s="5" t="str">
        <f ca="1">IFERROR(__xludf.DUMMYFUNCTION("""COMPUTED_VALUE"""),"LM-5 Super Cub")</f>
        <v>LM-5 Super Cub</v>
      </c>
      <c r="D1508" s="5" t="str">
        <f ca="1">IFERROR(__xludf.DUMMYFUNCTION("""COMPUTED_VALUE"""),"LandPlane")</f>
        <v>LandPlane</v>
      </c>
      <c r="E1508" s="5" t="str">
        <f ca="1">IFERROR(__xludf.DUMMYFUNCTION("""COMPUTED_VALUE"""),"Piston")</f>
        <v>Piston</v>
      </c>
      <c r="F1508" s="5">
        <f ca="1">IFERROR(__xludf.DUMMYFUNCTION("""COMPUTED_VALUE"""),1)</f>
        <v>1</v>
      </c>
    </row>
    <row r="1509" spans="1:6" ht="15" customHeight="1" x14ac:dyDescent="0.2">
      <c r="A1509" s="5" t="str">
        <f ca="1">IFERROR(__xludf.DUMMYFUNCTION("""COMPUTED_VALUE"""),"LM7")</f>
        <v>LM7</v>
      </c>
      <c r="B1509" s="5" t="str">
        <f ca="1">IFERROR(__xludf.DUMMYFUNCTION("""COMPUTED_VALUE"""),"LOMBARDI")</f>
        <v>LOMBARDI</v>
      </c>
      <c r="C1509" s="5" t="str">
        <f ca="1">IFERROR(__xludf.DUMMYFUNCTION("""COMPUTED_VALUE"""),"LM-7")</f>
        <v>LM-7</v>
      </c>
      <c r="D1509" s="5" t="str">
        <f ca="1">IFERROR(__xludf.DUMMYFUNCTION("""COMPUTED_VALUE"""),"LandPlane")</f>
        <v>LandPlane</v>
      </c>
      <c r="E1509" s="5" t="str">
        <f ca="1">IFERROR(__xludf.DUMMYFUNCTION("""COMPUTED_VALUE"""),"Piston")</f>
        <v>Piston</v>
      </c>
      <c r="F1509" s="5">
        <f ca="1">IFERROR(__xludf.DUMMYFUNCTION("""COMPUTED_VALUE"""),1)</f>
        <v>1</v>
      </c>
    </row>
    <row r="1510" spans="1:6" ht="15" customHeight="1" x14ac:dyDescent="0.2">
      <c r="A1510" s="5" t="str">
        <f ca="1">IFERROR(__xludf.DUMMYFUNCTION("""COMPUTED_VALUE"""),"LMK1")</f>
        <v>LMK1</v>
      </c>
      <c r="B1510" s="5" t="str">
        <f ca="1">IFERROR(__xludf.DUMMYFUNCTION("""COMPUTED_VALUE"""),"CATA")</f>
        <v>CATA</v>
      </c>
      <c r="C1510" s="5" t="str">
        <f ca="1">IFERROR(__xludf.DUMMYFUNCTION("""COMPUTED_VALUE"""),"LMK-1 Oryx")</f>
        <v>LMK-1 Oryx</v>
      </c>
      <c r="D1510" s="5" t="str">
        <f ca="1">IFERROR(__xludf.DUMMYFUNCTION("""COMPUTED_VALUE"""),"LandPlane")</f>
        <v>LandPlane</v>
      </c>
      <c r="E1510" s="5" t="str">
        <f ca="1">IFERROR(__xludf.DUMMYFUNCTION("""COMPUTED_VALUE"""),"Piston")</f>
        <v>Piston</v>
      </c>
      <c r="F1510" s="5">
        <f ca="1">IFERROR(__xludf.DUMMYFUNCTION("""COMPUTED_VALUE"""),1)</f>
        <v>1</v>
      </c>
    </row>
    <row r="1511" spans="1:6" ht="15" customHeight="1" x14ac:dyDescent="0.2">
      <c r="A1511" s="5" t="str">
        <f ca="1">IFERROR(__xludf.DUMMYFUNCTION("""COMPUTED_VALUE"""),"LN27")</f>
        <v>LN27</v>
      </c>
      <c r="B1511" s="5" t="str">
        <f ca="1">IFERROR(__xludf.DUMMYFUNCTION("""COMPUTED_VALUE"""),"FALCOMPOSITE")</f>
        <v>FALCOMPOSITE</v>
      </c>
      <c r="C1511" s="5" t="str">
        <f ca="1">IFERROR(__xludf.DUMMYFUNCTION("""COMPUTED_VALUE"""),"LN-27 Furio")</f>
        <v>LN-27 Furio</v>
      </c>
      <c r="D1511" s="5" t="str">
        <f ca="1">IFERROR(__xludf.DUMMYFUNCTION("""COMPUTED_VALUE"""),"LandPlane")</f>
        <v>LandPlane</v>
      </c>
      <c r="E1511" s="5" t="str">
        <f ca="1">IFERROR(__xludf.DUMMYFUNCTION("""COMPUTED_VALUE"""),"Piston")</f>
        <v>Piston</v>
      </c>
      <c r="F1511" s="5">
        <f ca="1">IFERROR(__xludf.DUMMYFUNCTION("""COMPUTED_VALUE"""),1)</f>
        <v>1</v>
      </c>
    </row>
    <row r="1512" spans="1:6" ht="15" customHeight="1" x14ac:dyDescent="0.2">
      <c r="A1512" s="5" t="str">
        <f ca="1">IFERROR(__xludf.DUMMYFUNCTION("""COMPUTED_VALUE"""),"LN3")</f>
        <v>LN3</v>
      </c>
      <c r="B1512" s="5" t="str">
        <f ca="1">IFERROR(__xludf.DUMMYFUNCTION("""COMPUTED_VALUE"""),"FLYGFABRIKEN")</f>
        <v>FLYGFABRIKEN</v>
      </c>
      <c r="C1512" s="5" t="str">
        <f ca="1">IFERROR(__xludf.DUMMYFUNCTION("""COMPUTED_VALUE"""),"LN-3 Seagull")</f>
        <v>LN-3 Seagull</v>
      </c>
      <c r="D1512" s="5" t="str">
        <f ca="1">IFERROR(__xludf.DUMMYFUNCTION("""COMPUTED_VALUE"""),"Amphibian")</f>
        <v>Amphibian</v>
      </c>
      <c r="E1512" s="5" t="str">
        <f ca="1">IFERROR(__xludf.DUMMYFUNCTION("""COMPUTED_VALUE"""),"Piston")</f>
        <v>Piston</v>
      </c>
      <c r="F1512" s="5">
        <f ca="1">IFERROR(__xludf.DUMMYFUNCTION("""COMPUTED_VALUE"""),1)</f>
        <v>1</v>
      </c>
    </row>
    <row r="1513" spans="1:6" ht="15" customHeight="1" x14ac:dyDescent="0.2">
      <c r="A1513" s="5" t="str">
        <f ca="1">IFERROR(__xludf.DUMMYFUNCTION("""COMPUTED_VALUE"""),"LNC2")</f>
        <v>LNC2</v>
      </c>
      <c r="B1513" s="5" t="str">
        <f ca="1">IFERROR(__xludf.DUMMYFUNCTION("""COMPUTED_VALUE"""),"LANCAIR")</f>
        <v>LANCAIR</v>
      </c>
      <c r="C1513" s="5" t="str">
        <f ca="1">IFERROR(__xludf.DUMMYFUNCTION("""COMPUTED_VALUE"""),"Lancair 200")</f>
        <v>Lancair 200</v>
      </c>
      <c r="D1513" s="5" t="str">
        <f ca="1">IFERROR(__xludf.DUMMYFUNCTION("""COMPUTED_VALUE"""),"LandPlane")</f>
        <v>LandPlane</v>
      </c>
      <c r="E1513" s="5" t="str">
        <f ca="1">IFERROR(__xludf.DUMMYFUNCTION("""COMPUTED_VALUE"""),"Piston")</f>
        <v>Piston</v>
      </c>
      <c r="F1513" s="5">
        <f ca="1">IFERROR(__xludf.DUMMYFUNCTION("""COMPUTED_VALUE"""),1)</f>
        <v>1</v>
      </c>
    </row>
    <row r="1514" spans="1:6" ht="15" customHeight="1" x14ac:dyDescent="0.2">
      <c r="A1514" s="5" t="str">
        <f ca="1">IFERROR(__xludf.DUMMYFUNCTION("""COMPUTED_VALUE"""),"LNC4")</f>
        <v>LNC4</v>
      </c>
      <c r="B1514" s="5" t="str">
        <f ca="1">IFERROR(__xludf.DUMMYFUNCTION("""COMPUTED_VALUE"""),"LANCAIR")</f>
        <v>LANCAIR</v>
      </c>
      <c r="C1514" s="5" t="str">
        <f ca="1">IFERROR(__xludf.DUMMYFUNCTION("""COMPUTED_VALUE"""),"Lancair 4")</f>
        <v>Lancair 4</v>
      </c>
      <c r="D1514" s="5" t="str">
        <f ca="1">IFERROR(__xludf.DUMMYFUNCTION("""COMPUTED_VALUE"""),"LandPlane")</f>
        <v>LandPlane</v>
      </c>
      <c r="E1514" s="5" t="str">
        <f ca="1">IFERROR(__xludf.DUMMYFUNCTION("""COMPUTED_VALUE"""),"Piston")</f>
        <v>Piston</v>
      </c>
      <c r="F1514" s="5">
        <f ca="1">IFERROR(__xludf.DUMMYFUNCTION("""COMPUTED_VALUE"""),1)</f>
        <v>1</v>
      </c>
    </row>
    <row r="1515" spans="1:6" ht="15" customHeight="1" x14ac:dyDescent="0.2">
      <c r="A1515" s="5" t="str">
        <f ca="1">IFERROR(__xludf.DUMMYFUNCTION("""COMPUTED_VALUE"""),"LNCE")</f>
        <v>LNCE</v>
      </c>
      <c r="B1515" s="5" t="str">
        <f ca="1">IFERROR(__xludf.DUMMYFUNCTION("""COMPUTED_VALUE"""),"LANCAIR")</f>
        <v>LANCAIR</v>
      </c>
      <c r="C1515" s="5" t="str">
        <f ca="1">IFERROR(__xludf.DUMMYFUNCTION("""COMPUTED_VALUE"""),"Lancair ES")</f>
        <v>Lancair ES</v>
      </c>
      <c r="D1515" s="5" t="str">
        <f ca="1">IFERROR(__xludf.DUMMYFUNCTION("""COMPUTED_VALUE"""),"LandPlane")</f>
        <v>LandPlane</v>
      </c>
      <c r="E1515" s="5" t="str">
        <f ca="1">IFERROR(__xludf.DUMMYFUNCTION("""COMPUTED_VALUE"""),"Piston")</f>
        <v>Piston</v>
      </c>
      <c r="F1515" s="5">
        <f ca="1">IFERROR(__xludf.DUMMYFUNCTION("""COMPUTED_VALUE"""),1)</f>
        <v>1</v>
      </c>
    </row>
    <row r="1516" spans="1:6" ht="15" customHeight="1" x14ac:dyDescent="0.2">
      <c r="A1516" s="5" t="str">
        <f ca="1">IFERROR(__xludf.DUMMYFUNCTION("""COMPUTED_VALUE"""),"LNP4")</f>
        <v>LNP4</v>
      </c>
      <c r="B1516" s="5" t="str">
        <f ca="1">IFERROR(__xludf.DUMMYFUNCTION("""COMPUTED_VALUE"""),"LANCAIR")</f>
        <v>LANCAIR</v>
      </c>
      <c r="C1516" s="5" t="str">
        <f ca="1">IFERROR(__xludf.DUMMYFUNCTION("""COMPUTED_VALUE"""),"Lancair PropJet 4")</f>
        <v>Lancair PropJet 4</v>
      </c>
      <c r="D1516" s="5" t="str">
        <f ca="1">IFERROR(__xludf.DUMMYFUNCTION("""COMPUTED_VALUE"""),"LandPlane")</f>
        <v>LandPlane</v>
      </c>
      <c r="E1516" s="5" t="str">
        <f ca="1">IFERROR(__xludf.DUMMYFUNCTION("""COMPUTED_VALUE"""),"Turboprop/Turboshaft")</f>
        <v>Turboprop/Turboshaft</v>
      </c>
      <c r="F1516" s="5">
        <f ca="1">IFERROR(__xludf.DUMMYFUNCTION("""COMPUTED_VALUE"""),1)</f>
        <v>1</v>
      </c>
    </row>
    <row r="1517" spans="1:6" ht="15" customHeight="1" x14ac:dyDescent="0.2">
      <c r="A1517" s="5" t="str">
        <f ca="1">IFERROR(__xludf.DUMMYFUNCTION("""COMPUTED_VALUE"""),"LNT4")</f>
        <v>LNT4</v>
      </c>
      <c r="B1517" s="5" t="str">
        <f ca="1">IFERROR(__xludf.DUMMYFUNCTION("""COMPUTED_VALUE"""),"LANCAIR")</f>
        <v>LANCAIR</v>
      </c>
      <c r="C1517" s="5" t="str">
        <f ca="1">IFERROR(__xludf.DUMMYFUNCTION("""COMPUTED_VALUE"""),"Sentry 4T")</f>
        <v>Sentry 4T</v>
      </c>
      <c r="D1517" s="5" t="str">
        <f ca="1">IFERROR(__xludf.DUMMYFUNCTION("""COMPUTED_VALUE"""),"LandPlane")</f>
        <v>LandPlane</v>
      </c>
      <c r="E1517" s="5" t="str">
        <f ca="1">IFERROR(__xludf.DUMMYFUNCTION("""COMPUTED_VALUE"""),"Turboprop/Turboshaft")</f>
        <v>Turboprop/Turboshaft</v>
      </c>
      <c r="F1517" s="5">
        <f ca="1">IFERROR(__xludf.DUMMYFUNCTION("""COMPUTED_VALUE"""),1)</f>
        <v>1</v>
      </c>
    </row>
    <row r="1518" spans="1:6" ht="15" customHeight="1" x14ac:dyDescent="0.2">
      <c r="A1518" s="5" t="str">
        <f ca="1">IFERROR(__xludf.DUMMYFUNCTION("""COMPUTED_VALUE"""),"LOCA")</f>
        <v>LOCA</v>
      </c>
      <c r="B1518" s="5" t="str">
        <f ca="1">IFERROR(__xludf.DUMMYFUNCTION("""COMPUTED_VALUE"""),"AEROLAB")</f>
        <v>AEROLAB</v>
      </c>
      <c r="C1518" s="5" t="str">
        <f ca="1">IFERROR(__xludf.DUMMYFUNCTION("""COMPUTED_VALUE"""),"LoCamp")</f>
        <v>LoCamp</v>
      </c>
      <c r="D1518" s="5" t="str">
        <f ca="1">IFERROR(__xludf.DUMMYFUNCTION("""COMPUTED_VALUE"""),"LandPlane")</f>
        <v>LandPlane</v>
      </c>
      <c r="E1518" s="5" t="str">
        <f ca="1">IFERROR(__xludf.DUMMYFUNCTION("""COMPUTED_VALUE"""),"Piston")</f>
        <v>Piston</v>
      </c>
      <c r="F1518" s="5">
        <f ca="1">IFERROR(__xludf.DUMMYFUNCTION("""COMPUTED_VALUE"""),1)</f>
        <v>1</v>
      </c>
    </row>
    <row r="1519" spans="1:6" ht="15" customHeight="1" x14ac:dyDescent="0.2">
      <c r="A1519" s="5" t="str">
        <f ca="1">IFERROR(__xludf.DUMMYFUNCTION("""COMPUTED_VALUE"""),"LOVE")</f>
        <v>LOVE</v>
      </c>
      <c r="B1519" s="5" t="str">
        <f ca="1">IFERROR(__xludf.DUMMYFUNCTION("""COMPUTED_VALUE"""),"LOVING-WAYNE")</f>
        <v>LOVING-WAYNE</v>
      </c>
      <c r="C1519" s="5" t="str">
        <f ca="1">IFERROR(__xludf.DUMMYFUNCTION("""COMPUTED_VALUE"""),"WR-1 Love")</f>
        <v>WR-1 Love</v>
      </c>
      <c r="D1519" s="5" t="str">
        <f ca="1">IFERROR(__xludf.DUMMYFUNCTION("""COMPUTED_VALUE"""),"LandPlane")</f>
        <v>LandPlane</v>
      </c>
      <c r="E1519" s="5" t="str">
        <f ca="1">IFERROR(__xludf.DUMMYFUNCTION("""COMPUTED_VALUE"""),"Piston")</f>
        <v>Piston</v>
      </c>
      <c r="F1519" s="5">
        <f ca="1">IFERROR(__xludf.DUMMYFUNCTION("""COMPUTED_VALUE"""),1)</f>
        <v>1</v>
      </c>
    </row>
    <row r="1520" spans="1:6" ht="15" customHeight="1" x14ac:dyDescent="0.2">
      <c r="A1520" s="5" t="str">
        <f ca="1">IFERROR(__xludf.DUMMYFUNCTION("""COMPUTED_VALUE"""),"LP1")</f>
        <v>LP1</v>
      </c>
      <c r="B1520" s="5" t="str">
        <f ca="1">IFERROR(__xludf.DUMMYFUNCTION("""COMPUTED_VALUE"""),"LOPRESTI")</f>
        <v>LOPRESTI</v>
      </c>
      <c r="C1520" s="5" t="str">
        <f ca="1">IFERROR(__xludf.DUMMYFUNCTION("""COMPUTED_VALUE"""),"LP-1 Fury")</f>
        <v>LP-1 Fury</v>
      </c>
      <c r="D1520" s="5" t="str">
        <f ca="1">IFERROR(__xludf.DUMMYFUNCTION("""COMPUTED_VALUE"""),"LandPlane")</f>
        <v>LandPlane</v>
      </c>
      <c r="E1520" s="5" t="str">
        <f ca="1">IFERROR(__xludf.DUMMYFUNCTION("""COMPUTED_VALUE"""),"Piston")</f>
        <v>Piston</v>
      </c>
      <c r="F1520" s="5">
        <f ca="1">IFERROR(__xludf.DUMMYFUNCTION("""COMPUTED_VALUE"""),1)</f>
        <v>1</v>
      </c>
    </row>
    <row r="1521" spans="1:6" ht="15" customHeight="1" x14ac:dyDescent="0.2">
      <c r="A1521" s="5" t="str">
        <f ca="1">IFERROR(__xludf.DUMMYFUNCTION("""COMPUTED_VALUE"""),"LR2T")</f>
        <v>LR2T</v>
      </c>
      <c r="B1521" s="5" t="str">
        <f ca="1">IFERROR(__xludf.DUMMYFUNCTION("""COMPUTED_VALUE"""),"LOAD RANGER")</f>
        <v>LOAD RANGER</v>
      </c>
      <c r="C1521" s="5" t="str">
        <f ca="1">IFERROR(__xludf.DUMMYFUNCTION("""COMPUTED_VALUE"""),"2000")</f>
        <v>2000</v>
      </c>
      <c r="D1521" s="5" t="str">
        <f ca="1">IFERROR(__xludf.DUMMYFUNCTION("""COMPUTED_VALUE"""),"Helicopter")</f>
        <v>Helicopter</v>
      </c>
      <c r="E1521" s="5" t="str">
        <f ca="1">IFERROR(__xludf.DUMMYFUNCTION("""COMPUTED_VALUE"""),"Turboprop/Turboshaft")</f>
        <v>Turboprop/Turboshaft</v>
      </c>
      <c r="F1521" s="5">
        <f ca="1">IFERROR(__xludf.DUMMYFUNCTION("""COMPUTED_VALUE"""),1)</f>
        <v>1</v>
      </c>
    </row>
    <row r="1522" spans="1:6" ht="15" customHeight="1" x14ac:dyDescent="0.2">
      <c r="A1522" s="5" t="str">
        <f ca="1">IFERROR(__xludf.DUMMYFUNCTION("""COMPUTED_VALUE"""),"LS10")</f>
        <v>LS10</v>
      </c>
      <c r="B1522" s="5" t="str">
        <f ca="1">IFERROR(__xludf.DUMMYFUNCTION("""COMPUTED_VALUE"""),"DG FLUGZEUGBAU")</f>
        <v>DG FLUGZEUGBAU</v>
      </c>
      <c r="C1522" s="5" t="str">
        <f ca="1">IFERROR(__xludf.DUMMYFUNCTION("""COMPUTED_VALUE"""),"LS-10ST")</f>
        <v>LS-10ST</v>
      </c>
      <c r="D1522" s="5" t="str">
        <f ca="1">IFERROR(__xludf.DUMMYFUNCTION("""COMPUTED_VALUE"""),"LandPlane")</f>
        <v>LandPlane</v>
      </c>
      <c r="E1522" s="5" t="str">
        <f ca="1">IFERROR(__xludf.DUMMYFUNCTION("""COMPUTED_VALUE"""),"Piston")</f>
        <v>Piston</v>
      </c>
      <c r="F1522" s="5">
        <f ca="1">IFERROR(__xludf.DUMMYFUNCTION("""COMPUTED_VALUE"""),1)</f>
        <v>1</v>
      </c>
    </row>
    <row r="1523" spans="1:6" ht="15" customHeight="1" x14ac:dyDescent="0.2">
      <c r="A1523" s="5" t="str">
        <f ca="1">IFERROR(__xludf.DUMMYFUNCTION("""COMPUTED_VALUE"""),"LS2")</f>
        <v>LS2</v>
      </c>
      <c r="B1523" s="5" t="str">
        <f ca="1">IFERROR(__xludf.DUMMYFUNCTION("""COMPUTED_VALUE"""),"HAT")</f>
        <v>HAT</v>
      </c>
      <c r="C1523" s="5" t="str">
        <f ca="1">IFERROR(__xludf.DUMMYFUNCTION("""COMPUTED_VALUE"""),"LS-2")</f>
        <v>LS-2</v>
      </c>
      <c r="D1523" s="5" t="str">
        <f ca="1">IFERROR(__xludf.DUMMYFUNCTION("""COMPUTED_VALUE"""),"LandPlane")</f>
        <v>LandPlane</v>
      </c>
      <c r="E1523" s="5" t="str">
        <f ca="1">IFERROR(__xludf.DUMMYFUNCTION("""COMPUTED_VALUE"""),"Piston")</f>
        <v>Piston</v>
      </c>
      <c r="F1523" s="5">
        <f ca="1">IFERROR(__xludf.DUMMYFUNCTION("""COMPUTED_VALUE"""),1)</f>
        <v>1</v>
      </c>
    </row>
    <row r="1524" spans="1:6" ht="15" customHeight="1" x14ac:dyDescent="0.2">
      <c r="A1524" s="5" t="str">
        <f ca="1">IFERROR(__xludf.DUMMYFUNCTION("""COMPUTED_VALUE"""),"LS8")</f>
        <v>LS8</v>
      </c>
      <c r="B1524" s="5" t="str">
        <f ca="1">IFERROR(__xludf.DUMMYFUNCTION("""COMPUTED_VALUE"""),"DG FLUGZEUGBAU")</f>
        <v>DG FLUGZEUGBAU</v>
      </c>
      <c r="C1524" s="5" t="str">
        <f ca="1">IFERROR(__xludf.DUMMYFUNCTION("""COMPUTED_VALUE"""),"LS-8ST")</f>
        <v>LS-8ST</v>
      </c>
      <c r="D1524" s="5" t="str">
        <f ca="1">IFERROR(__xludf.DUMMYFUNCTION("""COMPUTED_VALUE"""),"LandPlane")</f>
        <v>LandPlane</v>
      </c>
      <c r="E1524" s="5" t="str">
        <f ca="1">IFERROR(__xludf.DUMMYFUNCTION("""COMPUTED_VALUE"""),"Piston")</f>
        <v>Piston</v>
      </c>
      <c r="F1524" s="5">
        <f ca="1">IFERROR(__xludf.DUMMYFUNCTION("""COMPUTED_VALUE"""),1)</f>
        <v>1</v>
      </c>
    </row>
    <row r="1525" spans="1:6" ht="15" customHeight="1" x14ac:dyDescent="0.2">
      <c r="A1525" s="5" t="str">
        <f ca="1">IFERROR(__xludf.DUMMYFUNCTION("""COMPUTED_VALUE"""),"LS8")</f>
        <v>LS8</v>
      </c>
      <c r="B1525" s="5" t="str">
        <f ca="1">IFERROR(__xludf.DUMMYFUNCTION("""COMPUTED_VALUE"""),"ROLLADEN-SCHNEIDER")</f>
        <v>ROLLADEN-SCHNEIDER</v>
      </c>
      <c r="C1525" s="5" t="str">
        <f ca="1">IFERROR(__xludf.DUMMYFUNCTION("""COMPUTED_VALUE"""),"LS-8T")</f>
        <v>LS-8T</v>
      </c>
      <c r="D1525" s="5" t="str">
        <f ca="1">IFERROR(__xludf.DUMMYFUNCTION("""COMPUTED_VALUE"""),"LandPlane")</f>
        <v>LandPlane</v>
      </c>
      <c r="E1525" s="5" t="str">
        <f ca="1">IFERROR(__xludf.DUMMYFUNCTION("""COMPUTED_VALUE"""),"Piston")</f>
        <v>Piston</v>
      </c>
      <c r="F1525" s="5">
        <f ca="1">IFERROR(__xludf.DUMMYFUNCTION("""COMPUTED_VALUE"""),1)</f>
        <v>1</v>
      </c>
    </row>
    <row r="1526" spans="1:6" ht="15" customHeight="1" x14ac:dyDescent="0.2">
      <c r="A1526" s="5" t="str">
        <f ca="1">IFERROR(__xludf.DUMMYFUNCTION("""COMPUTED_VALUE"""),"LS9")</f>
        <v>LS9</v>
      </c>
      <c r="B1526" s="5" t="str">
        <f ca="1">IFERROR(__xludf.DUMMYFUNCTION("""COMPUTED_VALUE"""),"ROLLADEN-SCHNEIDER")</f>
        <v>ROLLADEN-SCHNEIDER</v>
      </c>
      <c r="C1526" s="5" t="str">
        <f ca="1">IFERROR(__xludf.DUMMYFUNCTION("""COMPUTED_VALUE"""),"LS-9")</f>
        <v>LS-9</v>
      </c>
      <c r="D1526" s="5" t="str">
        <f ca="1">IFERROR(__xludf.DUMMYFUNCTION("""COMPUTED_VALUE"""),"LandPlane")</f>
        <v>LandPlane</v>
      </c>
      <c r="E1526" s="5" t="str">
        <f ca="1">IFERROR(__xludf.DUMMYFUNCTION("""COMPUTED_VALUE"""),"Piston")</f>
        <v>Piston</v>
      </c>
      <c r="F1526" s="5">
        <f ca="1">IFERROR(__xludf.DUMMYFUNCTION("""COMPUTED_VALUE"""),1)</f>
        <v>1</v>
      </c>
    </row>
    <row r="1527" spans="1:6" ht="15" customHeight="1" x14ac:dyDescent="0.2">
      <c r="A1527" s="5" t="str">
        <f ca="1">IFERROR(__xludf.DUMMYFUNCTION("""COMPUTED_VALUE"""),"LSTR")</f>
        <v>LSTR</v>
      </c>
      <c r="B1527" s="5" t="str">
        <f ca="1">IFERROR(__xludf.DUMMYFUNCTION("""COMPUTED_VALUE"""),"CUSTOM FLIGHT")</f>
        <v>CUSTOM FLIGHT</v>
      </c>
      <c r="C1527" s="5" t="str">
        <f ca="1">IFERROR(__xludf.DUMMYFUNCTION("""COMPUTED_VALUE"""),"Lite Star")</f>
        <v>Lite Star</v>
      </c>
      <c r="D1527" s="5" t="str">
        <f ca="1">IFERROR(__xludf.DUMMYFUNCTION("""COMPUTED_VALUE"""),"LandPlane")</f>
        <v>LandPlane</v>
      </c>
      <c r="E1527" s="5" t="str">
        <f ca="1">IFERROR(__xludf.DUMMYFUNCTION("""COMPUTED_VALUE"""),"Piston")</f>
        <v>Piston</v>
      </c>
      <c r="F1527" s="5">
        <f ca="1">IFERROR(__xludf.DUMMYFUNCTION("""COMPUTED_VALUE"""),1)</f>
        <v>1</v>
      </c>
    </row>
    <row r="1528" spans="1:6" ht="15" customHeight="1" x14ac:dyDescent="0.2">
      <c r="A1528" s="5" t="str">
        <f ca="1">IFERROR(__xludf.DUMMYFUNCTION("""COMPUTED_VALUE"""),"LTNG")</f>
        <v>LTNG</v>
      </c>
      <c r="B1528" s="5" t="str">
        <f ca="1">IFERROR(__xludf.DUMMYFUNCTION("""COMPUTED_VALUE"""),"ENGLISH ELECTRIC")</f>
        <v>ENGLISH ELECTRIC</v>
      </c>
      <c r="C1528" s="5" t="str">
        <f ca="1">IFERROR(__xludf.DUMMYFUNCTION("""COMPUTED_VALUE"""),"Lightning")</f>
        <v>Lightning</v>
      </c>
      <c r="D1528" s="5" t="str">
        <f ca="1">IFERROR(__xludf.DUMMYFUNCTION("""COMPUTED_VALUE"""),"LandPlane")</f>
        <v>LandPlane</v>
      </c>
      <c r="E1528" s="5" t="str">
        <f ca="1">IFERROR(__xludf.DUMMYFUNCTION("""COMPUTED_VALUE"""),"Jet")</f>
        <v>Jet</v>
      </c>
      <c r="F1528" s="5">
        <f ca="1">IFERROR(__xludf.DUMMYFUNCTION("""COMPUTED_VALUE"""),2)</f>
        <v>2</v>
      </c>
    </row>
    <row r="1529" spans="1:6" ht="15" customHeight="1" x14ac:dyDescent="0.2">
      <c r="A1529" s="5" t="str">
        <f ca="1">IFERROR(__xludf.DUMMYFUNCTION("""COMPUTED_VALUE"""),"LUL5")</f>
        <v>LUL5</v>
      </c>
      <c r="B1529" s="5" t="str">
        <f ca="1">IFERROR(__xludf.DUMMYFUNCTION("""COMPUTED_VALUE"""),"LUCAS")</f>
        <v>LUCAS</v>
      </c>
      <c r="C1529" s="5" t="str">
        <f ca="1">IFERROR(__xludf.DUMMYFUNCTION("""COMPUTED_VALUE"""),"L-5")</f>
        <v>L-5</v>
      </c>
      <c r="D1529" s="5" t="str">
        <f ca="1">IFERROR(__xludf.DUMMYFUNCTION("""COMPUTED_VALUE"""),"LandPlane")</f>
        <v>LandPlane</v>
      </c>
      <c r="E1529" s="5" t="str">
        <f ca="1">IFERROR(__xludf.DUMMYFUNCTION("""COMPUTED_VALUE"""),"Piston")</f>
        <v>Piston</v>
      </c>
      <c r="F1529" s="5">
        <f ca="1">IFERROR(__xludf.DUMMYFUNCTION("""COMPUTED_VALUE"""),1)</f>
        <v>1</v>
      </c>
    </row>
    <row r="1530" spans="1:6" ht="15" customHeight="1" x14ac:dyDescent="0.2">
      <c r="A1530" s="5" t="str">
        <f ca="1">IFERROR(__xludf.DUMMYFUNCTION("""COMPUTED_VALUE"""),"LUL6")</f>
        <v>LUL6</v>
      </c>
      <c r="B1530" s="5" t="str">
        <f ca="1">IFERROR(__xludf.DUMMYFUNCTION("""COMPUTED_VALUE"""),"LUCAS")</f>
        <v>LUCAS</v>
      </c>
      <c r="C1530" s="5" t="str">
        <f ca="1">IFERROR(__xludf.DUMMYFUNCTION("""COMPUTED_VALUE"""),"L-6")</f>
        <v>L-6</v>
      </c>
      <c r="D1530" s="5" t="str">
        <f ca="1">IFERROR(__xludf.DUMMYFUNCTION("""COMPUTED_VALUE"""),"LandPlane")</f>
        <v>LandPlane</v>
      </c>
      <c r="E1530" s="5" t="str">
        <f ca="1">IFERROR(__xludf.DUMMYFUNCTION("""COMPUTED_VALUE"""),"Piston")</f>
        <v>Piston</v>
      </c>
      <c r="F1530" s="5">
        <f ca="1">IFERROR(__xludf.DUMMYFUNCTION("""COMPUTED_VALUE"""),1)</f>
        <v>1</v>
      </c>
    </row>
    <row r="1531" spans="1:6" ht="15" customHeight="1" x14ac:dyDescent="0.2">
      <c r="A1531" s="5" t="str">
        <f ca="1">IFERROR(__xludf.DUMMYFUNCTION("""COMPUTED_VALUE"""),"LUL7")</f>
        <v>LUL7</v>
      </c>
      <c r="B1531" s="5" t="str">
        <f ca="1">IFERROR(__xludf.DUMMYFUNCTION("""COMPUTED_VALUE"""),"LUCAS")</f>
        <v>LUCAS</v>
      </c>
      <c r="C1531" s="5" t="str">
        <f ca="1">IFERROR(__xludf.DUMMYFUNCTION("""COMPUTED_VALUE"""),"L-7")</f>
        <v>L-7</v>
      </c>
      <c r="D1531" s="5" t="str">
        <f ca="1">IFERROR(__xludf.DUMMYFUNCTION("""COMPUTED_VALUE"""),"LandPlane")</f>
        <v>LandPlane</v>
      </c>
      <c r="E1531" s="5" t="str">
        <f ca="1">IFERROR(__xludf.DUMMYFUNCTION("""COMPUTED_VALUE"""),"Piston")</f>
        <v>Piston</v>
      </c>
      <c r="F1531" s="5">
        <f ca="1">IFERROR(__xludf.DUMMYFUNCTION("""COMPUTED_VALUE"""),1)</f>
        <v>1</v>
      </c>
    </row>
    <row r="1532" spans="1:6" ht="15" customHeight="1" x14ac:dyDescent="0.2">
      <c r="A1532" s="5" t="str">
        <f ca="1">IFERROR(__xludf.DUMMYFUNCTION("""COMPUTED_VALUE"""),"LUL8")</f>
        <v>LUL8</v>
      </c>
      <c r="B1532" s="5" t="str">
        <f ca="1">IFERROR(__xludf.DUMMYFUNCTION("""COMPUTED_VALUE"""),"LUCAS")</f>
        <v>LUCAS</v>
      </c>
      <c r="C1532" s="5" t="str">
        <f ca="1">IFERROR(__xludf.DUMMYFUNCTION("""COMPUTED_VALUE"""),"L-8")</f>
        <v>L-8</v>
      </c>
      <c r="D1532" s="5" t="str">
        <f ca="1">IFERROR(__xludf.DUMMYFUNCTION("""COMPUTED_VALUE"""),"LandPlane")</f>
        <v>LandPlane</v>
      </c>
      <c r="E1532" s="5" t="str">
        <f ca="1">IFERROR(__xludf.DUMMYFUNCTION("""COMPUTED_VALUE"""),"Piston")</f>
        <v>Piston</v>
      </c>
      <c r="F1532" s="5">
        <f ca="1">IFERROR(__xludf.DUMMYFUNCTION("""COMPUTED_VALUE"""),1)</f>
        <v>1</v>
      </c>
    </row>
    <row r="1533" spans="1:6" ht="15" customHeight="1" x14ac:dyDescent="0.2">
      <c r="A1533" s="5" t="str">
        <f ca="1">IFERROR(__xludf.DUMMYFUNCTION("""COMPUTED_VALUE"""),"LV51")</f>
        <v>LV51</v>
      </c>
      <c r="B1533" s="5" t="str">
        <f ca="1">IFERROR(__xludf.DUMMYFUNCTION("""COMPUTED_VALUE"""),"LAVIASA")</f>
        <v>LAVIASA</v>
      </c>
      <c r="C1533" s="5" t="str">
        <f ca="1">IFERROR(__xludf.DUMMYFUNCTION("""COMPUTED_VALUE"""),"LAV-51 Master")</f>
        <v>LAV-51 Master</v>
      </c>
      <c r="D1533" s="5" t="str">
        <f ca="1">IFERROR(__xludf.DUMMYFUNCTION("""COMPUTED_VALUE"""),"LandPlane")</f>
        <v>LandPlane</v>
      </c>
      <c r="E1533" s="5" t="str">
        <f ca="1">IFERROR(__xludf.DUMMYFUNCTION("""COMPUTED_VALUE"""),"Piston")</f>
        <v>Piston</v>
      </c>
      <c r="F1533" s="5">
        <f ca="1">IFERROR(__xludf.DUMMYFUNCTION("""COMPUTED_VALUE"""),1)</f>
        <v>1</v>
      </c>
    </row>
    <row r="1534" spans="1:6" ht="15" customHeight="1" x14ac:dyDescent="0.2">
      <c r="A1534" s="5" t="str">
        <f ca="1">IFERROR(__xludf.DUMMYFUNCTION("""COMPUTED_VALUE"""),"LW20")</f>
        <v>LW20</v>
      </c>
      <c r="B1534" s="5" t="str">
        <f ca="1">IFERROR(__xludf.DUMMYFUNCTION("""COMPUTED_VALUE"""),"HOWARD HUGHES")</f>
        <v>HOWARD HUGHES</v>
      </c>
      <c r="C1534" s="5" t="str">
        <f ca="1">IFERROR(__xludf.DUMMYFUNCTION("""COMPUTED_VALUE"""),"Australian LightWing Speed SP-2000")</f>
        <v>Australian LightWing Speed SP-2000</v>
      </c>
      <c r="D1534" s="5" t="str">
        <f ca="1">IFERROR(__xludf.DUMMYFUNCTION("""COMPUTED_VALUE"""),"LandPlane")</f>
        <v>LandPlane</v>
      </c>
      <c r="E1534" s="5" t="str">
        <f ca="1">IFERROR(__xludf.DUMMYFUNCTION("""COMPUTED_VALUE"""),"Piston")</f>
        <v>Piston</v>
      </c>
      <c r="F1534" s="5">
        <f ca="1">IFERROR(__xludf.DUMMYFUNCTION("""COMPUTED_VALUE"""),1)</f>
        <v>1</v>
      </c>
    </row>
    <row r="1535" spans="1:6" ht="15" customHeight="1" x14ac:dyDescent="0.2">
      <c r="A1535" s="5" t="str">
        <f ca="1">IFERROR(__xludf.DUMMYFUNCTION("""COMPUTED_VALUE"""),"LW40")</f>
        <v>LW40</v>
      </c>
      <c r="B1535" s="5" t="str">
        <f ca="1">IFERROR(__xludf.DUMMYFUNCTION("""COMPUTED_VALUE"""),"HOWARD HUGHES")</f>
        <v>HOWARD HUGHES</v>
      </c>
      <c r="C1535" s="5" t="str">
        <f ca="1">IFERROR(__xludf.DUMMYFUNCTION("""COMPUTED_VALUE"""),"Australian LightWing Speed SP-4000")</f>
        <v>Australian LightWing Speed SP-4000</v>
      </c>
      <c r="D1535" s="5" t="str">
        <f ca="1">IFERROR(__xludf.DUMMYFUNCTION("""COMPUTED_VALUE"""),"LandPlane")</f>
        <v>LandPlane</v>
      </c>
      <c r="E1535" s="5" t="str">
        <f ca="1">IFERROR(__xludf.DUMMYFUNCTION("""COMPUTED_VALUE"""),"Piston")</f>
        <v>Piston</v>
      </c>
      <c r="F1535" s="5">
        <f ca="1">IFERROR(__xludf.DUMMYFUNCTION("""COMPUTED_VALUE"""),1)</f>
        <v>1</v>
      </c>
    </row>
    <row r="1536" spans="1:6" ht="15" customHeight="1" x14ac:dyDescent="0.2">
      <c r="A1536" s="5" t="str">
        <f ca="1">IFERROR(__xludf.DUMMYFUNCTION("""COMPUTED_VALUE"""),"LWIN")</f>
        <v>LWIN</v>
      </c>
      <c r="B1536" s="5" t="str">
        <f ca="1">IFERROR(__xludf.DUMMYFUNCTION("""COMPUTED_VALUE"""),"HOWARD HUGHES")</f>
        <v>HOWARD HUGHES</v>
      </c>
      <c r="C1536" s="5" t="str">
        <f ca="1">IFERROR(__xludf.DUMMYFUNCTION("""COMPUTED_VALUE"""),"Australian LightWing   GR-912")</f>
        <v>Australian LightWing   GR-912</v>
      </c>
      <c r="D1536" s="5" t="str">
        <f ca="1">IFERROR(__xludf.DUMMYFUNCTION("""COMPUTED_VALUE"""),"LandPlane")</f>
        <v>LandPlane</v>
      </c>
      <c r="E1536" s="5" t="str">
        <f ca="1">IFERROR(__xludf.DUMMYFUNCTION("""COMPUTED_VALUE"""),"Piston")</f>
        <v>Piston</v>
      </c>
      <c r="F1536" s="5">
        <f ca="1">IFERROR(__xludf.DUMMYFUNCTION("""COMPUTED_VALUE"""),1)</f>
        <v>1</v>
      </c>
    </row>
    <row r="1537" spans="1:6" ht="15" customHeight="1" x14ac:dyDescent="0.2">
      <c r="A1537" s="5" t="str">
        <f ca="1">IFERROR(__xludf.DUMMYFUNCTION("""COMPUTED_VALUE"""),"LX32")</f>
        <v>LX32</v>
      </c>
      <c r="B1537" s="5" t="str">
        <f ca="1">IFERROR(__xludf.DUMMYFUNCTION("""COMPUTED_VALUE"""),"LILIENTHAL")</f>
        <v>LILIENTHAL</v>
      </c>
      <c r="C1537" s="5" t="str">
        <f ca="1">IFERROR(__xludf.DUMMYFUNCTION("""COMPUTED_VALUE"""),"X-32 Bekas")</f>
        <v>X-32 Bekas</v>
      </c>
      <c r="D1537" s="5" t="str">
        <f ca="1">IFERROR(__xludf.DUMMYFUNCTION("""COMPUTED_VALUE"""),"LandPlane")</f>
        <v>LandPlane</v>
      </c>
      <c r="E1537" s="5" t="str">
        <f ca="1">IFERROR(__xludf.DUMMYFUNCTION("""COMPUTED_VALUE"""),"Piston")</f>
        <v>Piston</v>
      </c>
      <c r="F1537" s="5">
        <f ca="1">IFERROR(__xludf.DUMMYFUNCTION("""COMPUTED_VALUE"""),1)</f>
        <v>1</v>
      </c>
    </row>
    <row r="1538" spans="1:6" ht="15" customHeight="1" x14ac:dyDescent="0.2">
      <c r="A1538" s="5" t="str">
        <f ca="1">IFERROR(__xludf.DUMMYFUNCTION("""COMPUTED_VALUE"""),"LX34")</f>
        <v>LX34</v>
      </c>
      <c r="B1538" s="5" t="str">
        <f ca="1">IFERROR(__xludf.DUMMYFUNCTION("""COMPUTED_VALUE"""),"LILIENTHAL")</f>
        <v>LILIENTHAL</v>
      </c>
      <c r="C1538" s="5" t="str">
        <f ca="1">IFERROR(__xludf.DUMMYFUNCTION("""COMPUTED_VALUE"""),"X-34 Bekas")</f>
        <v>X-34 Bekas</v>
      </c>
      <c r="D1538" s="5" t="str">
        <f ca="1">IFERROR(__xludf.DUMMYFUNCTION("""COMPUTED_VALUE"""),"LandPlane")</f>
        <v>LandPlane</v>
      </c>
      <c r="E1538" s="5" t="str">
        <f ca="1">IFERROR(__xludf.DUMMYFUNCTION("""COMPUTED_VALUE"""),"Piston")</f>
        <v>Piston</v>
      </c>
      <c r="F1538" s="5">
        <f ca="1">IFERROR(__xludf.DUMMYFUNCTION("""COMPUTED_VALUE"""),1)</f>
        <v>1</v>
      </c>
    </row>
    <row r="1539" spans="1:6" ht="15" customHeight="1" x14ac:dyDescent="0.2">
      <c r="A1539" s="5" t="str">
        <f ca="1">IFERROR(__xludf.DUMMYFUNCTION("""COMPUTED_VALUE"""),"LXR")</f>
        <v>LXR</v>
      </c>
      <c r="B1539" s="5" t="str">
        <f ca="1">IFERROR(__xludf.DUMMYFUNCTION("""COMPUTED_VALUE"""),"ELIXIR")</f>
        <v>ELIXIR</v>
      </c>
      <c r="C1539" s="5" t="str">
        <f ca="1">IFERROR(__xludf.DUMMYFUNCTION("""COMPUTED_VALUE"""),"Elixir")</f>
        <v>Elixir</v>
      </c>
      <c r="D1539" s="5" t="str">
        <f ca="1">IFERROR(__xludf.DUMMYFUNCTION("""COMPUTED_VALUE"""),"LandPlane")</f>
        <v>LandPlane</v>
      </c>
      <c r="E1539" s="5" t="str">
        <f ca="1">IFERROR(__xludf.DUMMYFUNCTION("""COMPUTED_VALUE"""),"Piston")</f>
        <v>Piston</v>
      </c>
      <c r="F1539" s="5">
        <f ca="1">IFERROR(__xludf.DUMMYFUNCTION("""COMPUTED_VALUE"""),1)</f>
        <v>1</v>
      </c>
    </row>
    <row r="1540" spans="1:6" ht="15" customHeight="1" x14ac:dyDescent="0.2">
      <c r="A1540" s="5" t="str">
        <f ca="1">IFERROR(__xludf.DUMMYFUNCTION("""COMPUTED_VALUE"""),"LYNX")</f>
        <v>LYNX</v>
      </c>
      <c r="B1540" s="5" t="str">
        <f ca="1">IFERROR(__xludf.DUMMYFUNCTION("""COMPUTED_VALUE"""),"LEONARDO")</f>
        <v>LEONARDO</v>
      </c>
      <c r="C1540" s="5" t="str">
        <f ca="1">IFERROR(__xludf.DUMMYFUNCTION("""COMPUTED_VALUE"""),"AW-159 Wildcat")</f>
        <v>AW-159 Wildcat</v>
      </c>
      <c r="D1540" s="5" t="str">
        <f ca="1">IFERROR(__xludf.DUMMYFUNCTION("""COMPUTED_VALUE"""),"Helicopter")</f>
        <v>Helicopter</v>
      </c>
      <c r="E1540" s="5" t="str">
        <f ca="1">IFERROR(__xludf.DUMMYFUNCTION("""COMPUTED_VALUE"""),"Turboprop/Turboshaft")</f>
        <v>Turboprop/Turboshaft</v>
      </c>
      <c r="F1540" s="5">
        <f ca="1">IFERROR(__xludf.DUMMYFUNCTION("""COMPUTED_VALUE"""),2)</f>
        <v>2</v>
      </c>
    </row>
    <row r="1541" spans="1:6" ht="15" customHeight="1" x14ac:dyDescent="0.2">
      <c r="A1541" s="5" t="str">
        <f ca="1">IFERROR(__xludf.DUMMYFUNCTION("""COMPUTED_VALUE"""),"LYSA")</f>
        <v>LYSA</v>
      </c>
      <c r="B1541" s="5" t="str">
        <f ca="1">IFERROR(__xludf.DUMMYFUNCTION("""COMPUTED_VALUE"""),"WESTLAND")</f>
        <v>WESTLAND</v>
      </c>
      <c r="C1541" s="5" t="str">
        <f ca="1">IFERROR(__xludf.DUMMYFUNCTION("""COMPUTED_VALUE"""),"Lysander")</f>
        <v>Lysander</v>
      </c>
      <c r="D1541" s="5" t="str">
        <f ca="1">IFERROR(__xludf.DUMMYFUNCTION("""COMPUTED_VALUE"""),"LandPlane")</f>
        <v>LandPlane</v>
      </c>
      <c r="E1541" s="5" t="str">
        <f ca="1">IFERROR(__xludf.DUMMYFUNCTION("""COMPUTED_VALUE"""),"Piston")</f>
        <v>Piston</v>
      </c>
      <c r="F1541" s="5">
        <f ca="1">IFERROR(__xludf.DUMMYFUNCTION("""COMPUTED_VALUE"""),1)</f>
        <v>1</v>
      </c>
    </row>
    <row r="1542" spans="1:6" ht="15" customHeight="1" x14ac:dyDescent="0.2">
      <c r="A1542" s="5" t="str">
        <f ca="1">IFERROR(__xludf.DUMMYFUNCTION("""COMPUTED_VALUE"""),"M10")</f>
        <v>M10</v>
      </c>
      <c r="B1542" s="5" t="str">
        <f ca="1">IFERROR(__xludf.DUMMYFUNCTION("""COMPUTED_VALUE"""),"MOONEY")</f>
        <v>MOONEY</v>
      </c>
      <c r="C1542" s="5" t="str">
        <f ca="1">IFERROR(__xludf.DUMMYFUNCTION("""COMPUTED_VALUE"""),"M-10 Cadet")</f>
        <v>M-10 Cadet</v>
      </c>
      <c r="D1542" s="5" t="str">
        <f ca="1">IFERROR(__xludf.DUMMYFUNCTION("""COMPUTED_VALUE"""),"LandPlane")</f>
        <v>LandPlane</v>
      </c>
      <c r="E1542" s="5" t="str">
        <f ca="1">IFERROR(__xludf.DUMMYFUNCTION("""COMPUTED_VALUE"""),"Piston")</f>
        <v>Piston</v>
      </c>
      <c r="F1542" s="5">
        <f ca="1">IFERROR(__xludf.DUMMYFUNCTION("""COMPUTED_VALUE"""),1)</f>
        <v>1</v>
      </c>
    </row>
    <row r="1543" spans="1:6" ht="15" customHeight="1" x14ac:dyDescent="0.2">
      <c r="A1543" s="5" t="str">
        <f ca="1">IFERROR(__xludf.DUMMYFUNCTION("""COMPUTED_VALUE"""),"M101")</f>
        <v>M101</v>
      </c>
      <c r="B1543" s="5" t="str">
        <f ca="1">IFERROR(__xludf.DUMMYFUNCTION("""COMPUTED_VALUE"""),"MYASISHCHEV")</f>
        <v>MYASISHCHEV</v>
      </c>
      <c r="C1543" s="5" t="str">
        <f ca="1">IFERROR(__xludf.DUMMYFUNCTION("""COMPUTED_VALUE"""),"M-101 Expedition")</f>
        <v>M-101 Expedition</v>
      </c>
      <c r="D1543" s="5" t="str">
        <f ca="1">IFERROR(__xludf.DUMMYFUNCTION("""COMPUTED_VALUE"""),"LandPlane")</f>
        <v>LandPlane</v>
      </c>
      <c r="E1543" s="5" t="str">
        <f ca="1">IFERROR(__xludf.DUMMYFUNCTION("""COMPUTED_VALUE"""),"Turboprop/Turboshaft")</f>
        <v>Turboprop/Turboshaft</v>
      </c>
      <c r="F1543" s="5">
        <f ca="1">IFERROR(__xludf.DUMMYFUNCTION("""COMPUTED_VALUE"""),1)</f>
        <v>1</v>
      </c>
    </row>
    <row r="1544" spans="1:6" ht="15" customHeight="1" x14ac:dyDescent="0.2">
      <c r="A1544" s="5" t="str">
        <f ca="1">IFERROR(__xludf.DUMMYFUNCTION("""COMPUTED_VALUE"""),"M106")</f>
        <v>M106</v>
      </c>
      <c r="B1544" s="5" t="str">
        <f ca="1">IFERROR(__xludf.DUMMYFUNCTION("""COMPUTED_VALUE"""),"LAMBERT")</f>
        <v>LAMBERT</v>
      </c>
      <c r="C1544" s="5" t="str">
        <f ca="1">IFERROR(__xludf.DUMMYFUNCTION("""COMPUTED_VALUE"""),"M-106 Mission")</f>
        <v>M-106 Mission</v>
      </c>
      <c r="D1544" s="5" t="str">
        <f ca="1">IFERROR(__xludf.DUMMYFUNCTION("""COMPUTED_VALUE"""),"LandPlane")</f>
        <v>LandPlane</v>
      </c>
      <c r="E1544" s="5" t="str">
        <f ca="1">IFERROR(__xludf.DUMMYFUNCTION("""COMPUTED_VALUE"""),"Piston")</f>
        <v>Piston</v>
      </c>
      <c r="F1544" s="5">
        <f ca="1">IFERROR(__xludf.DUMMYFUNCTION("""COMPUTED_VALUE"""),1)</f>
        <v>1</v>
      </c>
    </row>
    <row r="1545" spans="1:6" ht="15" customHeight="1" x14ac:dyDescent="0.2">
      <c r="A1545" s="5" t="str">
        <f ca="1">IFERROR(__xludf.DUMMYFUNCTION("""COMPUTED_VALUE"""),"M108")</f>
        <v>M108</v>
      </c>
      <c r="B1545" s="5" t="str">
        <f ca="1">IFERROR(__xludf.DUMMYFUNCTION("""COMPUTED_VALUE"""),"LAMBERT")</f>
        <v>LAMBERT</v>
      </c>
      <c r="C1545" s="5" t="str">
        <f ca="1">IFERROR(__xludf.DUMMYFUNCTION("""COMPUTED_VALUE"""),"M-108 Mission")</f>
        <v>M-108 Mission</v>
      </c>
      <c r="D1545" s="5" t="str">
        <f ca="1">IFERROR(__xludf.DUMMYFUNCTION("""COMPUTED_VALUE"""),"LandPlane")</f>
        <v>LandPlane</v>
      </c>
      <c r="E1545" s="5" t="str">
        <f ca="1">IFERROR(__xludf.DUMMYFUNCTION("""COMPUTED_VALUE"""),"Piston")</f>
        <v>Piston</v>
      </c>
      <c r="F1545" s="5">
        <f ca="1">IFERROR(__xludf.DUMMYFUNCTION("""COMPUTED_VALUE"""),1)</f>
        <v>1</v>
      </c>
    </row>
    <row r="1546" spans="1:6" ht="15" customHeight="1" x14ac:dyDescent="0.2">
      <c r="A1546" s="5" t="str">
        <f ca="1">IFERROR(__xludf.DUMMYFUNCTION("""COMPUTED_VALUE"""),"M10F")</f>
        <v>M10F</v>
      </c>
      <c r="B1546" s="5" t="str">
        <f ca="1">IFERROR(__xludf.DUMMYFUNCTION("""COMPUTED_VALUE"""),"MOONEY")</f>
        <v>MOONEY</v>
      </c>
      <c r="C1546" s="5" t="str">
        <f ca="1">IFERROR(__xludf.DUMMYFUNCTION("""COMPUTED_VALUE"""),"M-10T")</f>
        <v>M-10T</v>
      </c>
      <c r="D1546" s="5" t="str">
        <f ca="1">IFERROR(__xludf.DUMMYFUNCTION("""COMPUTED_VALUE"""),"LandPlane")</f>
        <v>LandPlane</v>
      </c>
      <c r="E1546" s="5" t="str">
        <f ca="1">IFERROR(__xludf.DUMMYFUNCTION("""COMPUTED_VALUE"""),"Piston")</f>
        <v>Piston</v>
      </c>
      <c r="F1546" s="5">
        <f ca="1">IFERROR(__xludf.DUMMYFUNCTION("""COMPUTED_VALUE"""),1)</f>
        <v>1</v>
      </c>
    </row>
    <row r="1547" spans="1:6" ht="15" customHeight="1" x14ac:dyDescent="0.2">
      <c r="A1547" s="5" t="str">
        <f ca="1">IFERROR(__xludf.DUMMYFUNCTION("""COMPUTED_VALUE"""),"M10R")</f>
        <v>M10R</v>
      </c>
      <c r="B1547" s="5" t="str">
        <f ca="1">IFERROR(__xludf.DUMMYFUNCTION("""COMPUTED_VALUE"""),"MOONEY")</f>
        <v>MOONEY</v>
      </c>
      <c r="C1547" s="5" t="str">
        <f ca="1">IFERROR(__xludf.DUMMYFUNCTION("""COMPUTED_VALUE"""),"M-10J")</f>
        <v>M-10J</v>
      </c>
      <c r="D1547" s="5" t="str">
        <f ca="1">IFERROR(__xludf.DUMMYFUNCTION("""COMPUTED_VALUE"""),"LandPlane")</f>
        <v>LandPlane</v>
      </c>
      <c r="E1547" s="5" t="str">
        <f ca="1">IFERROR(__xludf.DUMMYFUNCTION("""COMPUTED_VALUE"""),"Piston")</f>
        <v>Piston</v>
      </c>
      <c r="F1547" s="5">
        <f ca="1">IFERROR(__xludf.DUMMYFUNCTION("""COMPUTED_VALUE"""),1)</f>
        <v>1</v>
      </c>
    </row>
    <row r="1548" spans="1:6" ht="15" customHeight="1" x14ac:dyDescent="0.2">
      <c r="A1548" s="5" t="str">
        <f ca="1">IFERROR(__xludf.DUMMYFUNCTION("""COMPUTED_VALUE"""),"M110")</f>
        <v>M110</v>
      </c>
      <c r="B1548" s="5" t="str">
        <f ca="1">IFERROR(__xludf.DUMMYFUNCTION("""COMPUTED_VALUE"""),"MONOCOUPE")</f>
        <v>MONOCOUPE</v>
      </c>
      <c r="C1548" s="5" t="str">
        <f ca="1">IFERROR(__xludf.DUMMYFUNCTION("""COMPUTED_VALUE"""),"110 Special")</f>
        <v>110 Special</v>
      </c>
      <c r="D1548" s="5" t="str">
        <f ca="1">IFERROR(__xludf.DUMMYFUNCTION("""COMPUTED_VALUE"""),"LandPlane")</f>
        <v>LandPlane</v>
      </c>
      <c r="E1548" s="5" t="str">
        <f ca="1">IFERROR(__xludf.DUMMYFUNCTION("""COMPUTED_VALUE"""),"Piston")</f>
        <v>Piston</v>
      </c>
      <c r="F1548" s="5">
        <f ca="1">IFERROR(__xludf.DUMMYFUNCTION("""COMPUTED_VALUE"""),1)</f>
        <v>1</v>
      </c>
    </row>
    <row r="1549" spans="1:6" ht="15" customHeight="1" x14ac:dyDescent="0.2">
      <c r="A1549" s="5" t="str">
        <f ca="1">IFERROR(__xludf.DUMMYFUNCTION("""COMPUTED_VALUE"""),"M15")</f>
        <v>M15</v>
      </c>
      <c r="B1549" s="5" t="str">
        <f ca="1">IFERROR(__xludf.DUMMYFUNCTION("""COMPUTED_VALUE"""),"PZL-MIELEC")</f>
        <v>PZL-MIELEC</v>
      </c>
      <c r="C1549" s="5" t="str">
        <f ca="1">IFERROR(__xludf.DUMMYFUNCTION("""COMPUTED_VALUE"""),"M-15 Belphegor")</f>
        <v>M-15 Belphegor</v>
      </c>
      <c r="D1549" s="5" t="str">
        <f ca="1">IFERROR(__xludf.DUMMYFUNCTION("""COMPUTED_VALUE"""),"LandPlane")</f>
        <v>LandPlane</v>
      </c>
      <c r="E1549" s="5" t="str">
        <f ca="1">IFERROR(__xludf.DUMMYFUNCTION("""COMPUTED_VALUE"""),"Jet")</f>
        <v>Jet</v>
      </c>
      <c r="F1549" s="5">
        <f ca="1">IFERROR(__xludf.DUMMYFUNCTION("""COMPUTED_VALUE"""),1)</f>
        <v>1</v>
      </c>
    </row>
    <row r="1550" spans="1:6" ht="15" customHeight="1" x14ac:dyDescent="0.2">
      <c r="A1550" s="5" t="str">
        <f ca="1">IFERROR(__xludf.DUMMYFUNCTION("""COMPUTED_VALUE"""),"M17")</f>
        <v>M17</v>
      </c>
      <c r="B1550" s="5" t="str">
        <f ca="1">IFERROR(__xludf.DUMMYFUNCTION("""COMPUTED_VALUE"""),"MYASISHCHEV")</f>
        <v>MYASISHCHEV</v>
      </c>
      <c r="C1550" s="5" t="str">
        <f ca="1">IFERROR(__xludf.DUMMYFUNCTION("""COMPUTED_VALUE"""),"M-17 Stratosfera")</f>
        <v>M-17 Stratosfera</v>
      </c>
      <c r="D1550" s="5" t="str">
        <f ca="1">IFERROR(__xludf.DUMMYFUNCTION("""COMPUTED_VALUE"""),"LandPlane")</f>
        <v>LandPlane</v>
      </c>
      <c r="E1550" s="5" t="str">
        <f ca="1">IFERROR(__xludf.DUMMYFUNCTION("""COMPUTED_VALUE"""),"Jet")</f>
        <v>Jet</v>
      </c>
      <c r="F1550" s="5">
        <f ca="1">IFERROR(__xludf.DUMMYFUNCTION("""COMPUTED_VALUE"""),1)</f>
        <v>1</v>
      </c>
    </row>
    <row r="1551" spans="1:6" ht="15" customHeight="1" x14ac:dyDescent="0.2">
      <c r="A1551" s="5" t="str">
        <f ca="1">IFERROR(__xludf.DUMMYFUNCTION("""COMPUTED_VALUE"""),"M18")</f>
        <v>M18</v>
      </c>
      <c r="B1551" s="5" t="str">
        <f ca="1">IFERROR(__xludf.DUMMYFUNCTION("""COMPUTED_VALUE"""),"PZL-MIELEC")</f>
        <v>PZL-MIELEC</v>
      </c>
      <c r="C1551" s="5" t="str">
        <f ca="1">IFERROR(__xludf.DUMMYFUNCTION("""COMPUTED_VALUE"""),"M-18 Dromader")</f>
        <v>M-18 Dromader</v>
      </c>
      <c r="D1551" s="5" t="str">
        <f ca="1">IFERROR(__xludf.DUMMYFUNCTION("""COMPUTED_VALUE"""),"LandPlane")</f>
        <v>LandPlane</v>
      </c>
      <c r="E1551" s="5" t="str">
        <f ca="1">IFERROR(__xludf.DUMMYFUNCTION("""COMPUTED_VALUE"""),"Piston")</f>
        <v>Piston</v>
      </c>
      <c r="F1551" s="5">
        <f ca="1">IFERROR(__xludf.DUMMYFUNCTION("""COMPUTED_VALUE"""),1)</f>
        <v>1</v>
      </c>
    </row>
    <row r="1552" spans="1:6" ht="15" customHeight="1" x14ac:dyDescent="0.2">
      <c r="A1552" s="5" t="str">
        <f ca="1">IFERROR(__xludf.DUMMYFUNCTION("""COMPUTED_VALUE"""),"M18T")</f>
        <v>M18T</v>
      </c>
      <c r="B1552" s="5" t="str">
        <f ca="1">IFERROR(__xludf.DUMMYFUNCTION("""COMPUTED_VALUE"""),"PZL-MIELEC")</f>
        <v>PZL-MIELEC</v>
      </c>
      <c r="C1552" s="5" t="str">
        <f ca="1">IFERROR(__xludf.DUMMYFUNCTION("""COMPUTED_VALUE"""),"M-18 Turbine Dromader")</f>
        <v>M-18 Turbine Dromader</v>
      </c>
      <c r="D1552" s="5" t="str">
        <f ca="1">IFERROR(__xludf.DUMMYFUNCTION("""COMPUTED_VALUE"""),"LandPlane")</f>
        <v>LandPlane</v>
      </c>
      <c r="E1552" s="5" t="str">
        <f ca="1">IFERROR(__xludf.DUMMYFUNCTION("""COMPUTED_VALUE"""),"Turboprop/Turboshaft")</f>
        <v>Turboprop/Turboshaft</v>
      </c>
      <c r="F1552" s="5">
        <f ca="1">IFERROR(__xludf.DUMMYFUNCTION("""COMPUTED_VALUE"""),1)</f>
        <v>1</v>
      </c>
    </row>
    <row r="1553" spans="1:6" ht="15" customHeight="1" x14ac:dyDescent="0.2">
      <c r="A1553" s="5" t="str">
        <f ca="1">IFERROR(__xludf.DUMMYFUNCTION("""COMPUTED_VALUE"""),"M2")</f>
        <v>M2</v>
      </c>
      <c r="B1553" s="5" t="str">
        <f ca="1">IFERROR(__xludf.DUMMYFUNCTION("""COMPUTED_VALUE"""),"KUBICEK")</f>
        <v>KUBICEK</v>
      </c>
      <c r="C1553" s="5" t="str">
        <f ca="1">IFERROR(__xludf.DUMMYFUNCTION("""COMPUTED_VALUE"""),"M-2 Scout")</f>
        <v>M-2 Scout</v>
      </c>
      <c r="D1553" s="5" t="str">
        <f ca="1">IFERROR(__xludf.DUMMYFUNCTION("""COMPUTED_VALUE"""),"LandPlane")</f>
        <v>LandPlane</v>
      </c>
      <c r="E1553" s="5" t="str">
        <f ca="1">IFERROR(__xludf.DUMMYFUNCTION("""COMPUTED_VALUE"""),"Piston")</f>
        <v>Piston</v>
      </c>
      <c r="F1553" s="5">
        <f ca="1">IFERROR(__xludf.DUMMYFUNCTION("""COMPUTED_VALUE"""),1)</f>
        <v>1</v>
      </c>
    </row>
    <row r="1554" spans="1:6" ht="15" customHeight="1" x14ac:dyDescent="0.2">
      <c r="A1554" s="5" t="str">
        <f ca="1">IFERROR(__xludf.DUMMYFUNCTION("""COMPUTED_VALUE"""),"M200")</f>
        <v>M200</v>
      </c>
      <c r="B1554" s="5" t="str">
        <f ca="1">IFERROR(__xludf.DUMMYFUNCTION("""COMPUTED_VALUE"""),"MEYERS")</f>
        <v>MEYERS</v>
      </c>
      <c r="C1554" s="5" t="str">
        <f ca="1">IFERROR(__xludf.DUMMYFUNCTION("""COMPUTED_VALUE"""),"200")</f>
        <v>200</v>
      </c>
      <c r="D1554" s="5" t="str">
        <f ca="1">IFERROR(__xludf.DUMMYFUNCTION("""COMPUTED_VALUE"""),"LandPlane")</f>
        <v>LandPlane</v>
      </c>
      <c r="E1554" s="5" t="str">
        <f ca="1">IFERROR(__xludf.DUMMYFUNCTION("""COMPUTED_VALUE"""),"Piston")</f>
        <v>Piston</v>
      </c>
      <c r="F1554" s="5">
        <f ca="1">IFERROR(__xludf.DUMMYFUNCTION("""COMPUTED_VALUE"""),1)</f>
        <v>1</v>
      </c>
    </row>
    <row r="1555" spans="1:6" ht="15" customHeight="1" x14ac:dyDescent="0.2">
      <c r="A1555" s="5" t="str">
        <f ca="1">IFERROR(__xludf.DUMMYFUNCTION("""COMPUTED_VALUE"""),"M20P")</f>
        <v>M20P</v>
      </c>
      <c r="B1555" s="5" t="str">
        <f ca="1">IFERROR(__xludf.DUMMYFUNCTION("""COMPUTED_VALUE"""),"MOONEY")</f>
        <v>MOONEY</v>
      </c>
      <c r="C1555" s="5" t="str">
        <f ca="1">IFERROR(__xludf.DUMMYFUNCTION("""COMPUTED_VALUE"""),"M-20")</f>
        <v>M-20</v>
      </c>
      <c r="D1555" s="5" t="str">
        <f ca="1">IFERROR(__xludf.DUMMYFUNCTION("""COMPUTED_VALUE"""),"LandPlane")</f>
        <v>LandPlane</v>
      </c>
      <c r="E1555" s="5" t="str">
        <f ca="1">IFERROR(__xludf.DUMMYFUNCTION("""COMPUTED_VALUE"""),"Piston")</f>
        <v>Piston</v>
      </c>
      <c r="F1555" s="5">
        <f ca="1">IFERROR(__xludf.DUMMYFUNCTION("""COMPUTED_VALUE"""),1)</f>
        <v>1</v>
      </c>
    </row>
    <row r="1556" spans="1:6" ht="15" customHeight="1" x14ac:dyDescent="0.2">
      <c r="A1556" s="5" t="str">
        <f ca="1">IFERROR(__xludf.DUMMYFUNCTION("""COMPUTED_VALUE"""),"M20T")</f>
        <v>M20T</v>
      </c>
      <c r="B1556" s="5" t="str">
        <f ca="1">IFERROR(__xludf.DUMMYFUNCTION("""COMPUTED_VALUE"""),"MOONEY")</f>
        <v>MOONEY</v>
      </c>
      <c r="C1556" s="5" t="str">
        <f ca="1">IFERROR(__xludf.DUMMYFUNCTION("""COMPUTED_VALUE"""),"M-20M Bravo")</f>
        <v>M-20M Bravo</v>
      </c>
      <c r="D1556" s="5" t="str">
        <f ca="1">IFERROR(__xludf.DUMMYFUNCTION("""COMPUTED_VALUE"""),"LandPlane")</f>
        <v>LandPlane</v>
      </c>
      <c r="E1556" s="5" t="str">
        <f ca="1">IFERROR(__xludf.DUMMYFUNCTION("""COMPUTED_VALUE"""),"Piston")</f>
        <v>Piston</v>
      </c>
      <c r="F1556" s="5">
        <f ca="1">IFERROR(__xludf.DUMMYFUNCTION("""COMPUTED_VALUE"""),1)</f>
        <v>1</v>
      </c>
    </row>
    <row r="1557" spans="1:6" ht="15" customHeight="1" x14ac:dyDescent="0.2">
      <c r="A1557" s="5" t="str">
        <f ca="1">IFERROR(__xludf.DUMMYFUNCTION("""COMPUTED_VALUE"""),"M21")</f>
        <v>M21</v>
      </c>
      <c r="B1557" s="5" t="str">
        <f ca="1">IFERROR(__xludf.DUMMYFUNCTION("""COMPUTED_VALUE"""),"PZL-MIELEC")</f>
        <v>PZL-MIELEC</v>
      </c>
      <c r="C1557" s="5" t="str">
        <f ca="1">IFERROR(__xludf.DUMMYFUNCTION("""COMPUTED_VALUE"""),"M-21 Dromader Mini")</f>
        <v>M-21 Dromader Mini</v>
      </c>
      <c r="D1557" s="5" t="str">
        <f ca="1">IFERROR(__xludf.DUMMYFUNCTION("""COMPUTED_VALUE"""),"LandPlane")</f>
        <v>LandPlane</v>
      </c>
      <c r="E1557" s="5" t="str">
        <f ca="1">IFERROR(__xludf.DUMMYFUNCTION("""COMPUTED_VALUE"""),"Piston")</f>
        <v>Piston</v>
      </c>
      <c r="F1557" s="5">
        <f ca="1">IFERROR(__xludf.DUMMYFUNCTION("""COMPUTED_VALUE"""),1)</f>
        <v>1</v>
      </c>
    </row>
    <row r="1558" spans="1:6" ht="15" customHeight="1" x14ac:dyDescent="0.2">
      <c r="A1558" s="5" t="str">
        <f ca="1">IFERROR(__xludf.DUMMYFUNCTION("""COMPUTED_VALUE"""),"M212")</f>
        <v>M212</v>
      </c>
      <c r="B1558" s="5" t="str">
        <f ca="1">IFERROR(__xludf.DUMMYFUNCTION("""COMPUTED_VALUE"""),"LAMBERT")</f>
        <v>LAMBERT</v>
      </c>
      <c r="C1558" s="5" t="str">
        <f ca="1">IFERROR(__xludf.DUMMYFUNCTION("""COMPUTED_VALUE"""),"M-212 Mission")</f>
        <v>M-212 Mission</v>
      </c>
      <c r="D1558" s="5" t="str">
        <f ca="1">IFERROR(__xludf.DUMMYFUNCTION("""COMPUTED_VALUE"""),"LandPlane")</f>
        <v>LandPlane</v>
      </c>
      <c r="E1558" s="5" t="str">
        <f ca="1">IFERROR(__xludf.DUMMYFUNCTION("""COMPUTED_VALUE"""),"Piston")</f>
        <v>Piston</v>
      </c>
      <c r="F1558" s="5">
        <f ca="1">IFERROR(__xludf.DUMMYFUNCTION("""COMPUTED_VALUE"""),1)</f>
        <v>1</v>
      </c>
    </row>
    <row r="1559" spans="1:6" ht="15" customHeight="1" x14ac:dyDescent="0.2">
      <c r="A1559" s="5" t="str">
        <f ca="1">IFERROR(__xludf.DUMMYFUNCTION("""COMPUTED_VALUE"""),"M22")</f>
        <v>M22</v>
      </c>
      <c r="B1559" s="5" t="str">
        <f ca="1">IFERROR(__xludf.DUMMYFUNCTION("""COMPUTED_VALUE"""),"MOONEY")</f>
        <v>MOONEY</v>
      </c>
      <c r="C1559" s="5" t="str">
        <f ca="1">IFERROR(__xludf.DUMMYFUNCTION("""COMPUTED_VALUE"""),"M-22 Mustang")</f>
        <v>M-22 Mustang</v>
      </c>
      <c r="D1559" s="5" t="str">
        <f ca="1">IFERROR(__xludf.DUMMYFUNCTION("""COMPUTED_VALUE"""),"LandPlane")</f>
        <v>LandPlane</v>
      </c>
      <c r="E1559" s="5" t="str">
        <f ca="1">IFERROR(__xludf.DUMMYFUNCTION("""COMPUTED_VALUE"""),"Piston")</f>
        <v>Piston</v>
      </c>
      <c r="F1559" s="5">
        <f ca="1">IFERROR(__xludf.DUMMYFUNCTION("""COMPUTED_VALUE"""),1)</f>
        <v>1</v>
      </c>
    </row>
    <row r="1560" spans="1:6" ht="15" customHeight="1" x14ac:dyDescent="0.2">
      <c r="A1560" s="5" t="str">
        <f ca="1">IFERROR(__xludf.DUMMYFUNCTION("""COMPUTED_VALUE"""),"M24")</f>
        <v>M24</v>
      </c>
      <c r="B1560" s="5" t="str">
        <f ca="1">IFERROR(__xludf.DUMMYFUNCTION("""COMPUTED_VALUE"""),"PZL-MIELEC")</f>
        <v>PZL-MIELEC</v>
      </c>
      <c r="C1560" s="5" t="str">
        <f ca="1">IFERROR(__xludf.DUMMYFUNCTION("""COMPUTED_VALUE"""),"M-24 Dromader Super")</f>
        <v>M-24 Dromader Super</v>
      </c>
      <c r="D1560" s="5" t="str">
        <f ca="1">IFERROR(__xludf.DUMMYFUNCTION("""COMPUTED_VALUE"""),"LandPlane")</f>
        <v>LandPlane</v>
      </c>
      <c r="E1560" s="5" t="str">
        <f ca="1">IFERROR(__xludf.DUMMYFUNCTION("""COMPUTED_VALUE"""),"Piston")</f>
        <v>Piston</v>
      </c>
      <c r="F1560" s="5">
        <f ca="1">IFERROR(__xludf.DUMMYFUNCTION("""COMPUTED_VALUE"""),1)</f>
        <v>1</v>
      </c>
    </row>
    <row r="1561" spans="1:6" ht="15" customHeight="1" x14ac:dyDescent="0.2">
      <c r="A1561" s="5" t="str">
        <f ca="1">IFERROR(__xludf.DUMMYFUNCTION("""COMPUTED_VALUE"""),"M26")</f>
        <v>M26</v>
      </c>
      <c r="B1561" s="5" t="str">
        <f ca="1">IFERROR(__xludf.DUMMYFUNCTION("""COMPUTED_VALUE"""),"PZL-MIELEC")</f>
        <v>PZL-MIELEC</v>
      </c>
      <c r="C1561" s="5" t="str">
        <f ca="1">IFERROR(__xludf.DUMMYFUNCTION("""COMPUTED_VALUE"""),"M-26 Iskierka")</f>
        <v>M-26 Iskierka</v>
      </c>
      <c r="D1561" s="5" t="str">
        <f ca="1">IFERROR(__xludf.DUMMYFUNCTION("""COMPUTED_VALUE"""),"LandPlane")</f>
        <v>LandPlane</v>
      </c>
      <c r="E1561" s="5" t="str">
        <f ca="1">IFERROR(__xludf.DUMMYFUNCTION("""COMPUTED_VALUE"""),"Piston")</f>
        <v>Piston</v>
      </c>
      <c r="F1561" s="5">
        <f ca="1">IFERROR(__xludf.DUMMYFUNCTION("""COMPUTED_VALUE"""),1)</f>
        <v>1</v>
      </c>
    </row>
    <row r="1562" spans="1:6" ht="15" customHeight="1" x14ac:dyDescent="0.2">
      <c r="A1562" s="5" t="str">
        <f ca="1">IFERROR(__xludf.DUMMYFUNCTION("""COMPUTED_VALUE"""),"M28")</f>
        <v>M28</v>
      </c>
      <c r="B1562" s="5" t="str">
        <f ca="1">IFERROR(__xludf.DUMMYFUNCTION("""COMPUTED_VALUE"""),"PZL-MIELEC")</f>
        <v>PZL-MIELEC</v>
      </c>
      <c r="C1562" s="5" t="str">
        <f ca="1">IFERROR(__xludf.DUMMYFUNCTION("""COMPUTED_VALUE"""),"M-28 Skytruck")</f>
        <v>M-28 Skytruck</v>
      </c>
      <c r="D1562" s="5" t="str">
        <f ca="1">IFERROR(__xludf.DUMMYFUNCTION("""COMPUTED_VALUE"""),"LandPlane")</f>
        <v>LandPlane</v>
      </c>
      <c r="E1562" s="5" t="str">
        <f ca="1">IFERROR(__xludf.DUMMYFUNCTION("""COMPUTED_VALUE"""),"Turboprop/Turboshaft")</f>
        <v>Turboprop/Turboshaft</v>
      </c>
      <c r="F1562" s="5">
        <f ca="1">IFERROR(__xludf.DUMMYFUNCTION("""COMPUTED_VALUE"""),2)</f>
        <v>2</v>
      </c>
    </row>
    <row r="1563" spans="1:6" ht="15" customHeight="1" x14ac:dyDescent="0.2">
      <c r="A1563" s="5" t="str">
        <f ca="1">IFERROR(__xludf.DUMMYFUNCTION("""COMPUTED_VALUE"""),"M2HK")</f>
        <v>M2HK</v>
      </c>
      <c r="B1563" s="5" t="str">
        <f ca="1">IFERROR(__xludf.DUMMYFUNCTION("""COMPUTED_VALUE"""),"MILES")</f>
        <v>MILES</v>
      </c>
      <c r="C1563" s="5" t="str">
        <f ca="1">IFERROR(__xludf.DUMMYFUNCTION("""COMPUTED_VALUE"""),"M-2 Hawk Major")</f>
        <v>M-2 Hawk Major</v>
      </c>
      <c r="D1563" s="5" t="str">
        <f ca="1">IFERROR(__xludf.DUMMYFUNCTION("""COMPUTED_VALUE"""),"LandPlane")</f>
        <v>LandPlane</v>
      </c>
      <c r="E1563" s="5" t="str">
        <f ca="1">IFERROR(__xludf.DUMMYFUNCTION("""COMPUTED_VALUE"""),"Piston")</f>
        <v>Piston</v>
      </c>
      <c r="F1563" s="5">
        <f ca="1">IFERROR(__xludf.DUMMYFUNCTION("""COMPUTED_VALUE"""),1)</f>
        <v>1</v>
      </c>
    </row>
    <row r="1564" spans="1:6" ht="15" customHeight="1" x14ac:dyDescent="0.2">
      <c r="A1564" s="5" t="str">
        <f ca="1">IFERROR(__xludf.DUMMYFUNCTION("""COMPUTED_VALUE"""),"M2HK")</f>
        <v>M2HK</v>
      </c>
      <c r="B1564" s="5" t="str">
        <f ca="1">IFERROR(__xludf.DUMMYFUNCTION("""COMPUTED_VALUE"""),"MILES")</f>
        <v>MILES</v>
      </c>
      <c r="C1564" s="5" t="str">
        <f ca="1">IFERROR(__xludf.DUMMYFUNCTION("""COMPUTED_VALUE"""),"M-2 Hawk Speed Six")</f>
        <v>M-2 Hawk Speed Six</v>
      </c>
      <c r="D1564" s="5" t="str">
        <f ca="1">IFERROR(__xludf.DUMMYFUNCTION("""COMPUTED_VALUE"""),"LandPlane")</f>
        <v>LandPlane</v>
      </c>
      <c r="E1564" s="5" t="str">
        <f ca="1">IFERROR(__xludf.DUMMYFUNCTION("""COMPUTED_VALUE"""),"Piston")</f>
        <v>Piston</v>
      </c>
      <c r="F1564" s="5">
        <f ca="1">IFERROR(__xludf.DUMMYFUNCTION("""COMPUTED_VALUE"""),1)</f>
        <v>1</v>
      </c>
    </row>
    <row r="1565" spans="1:6" ht="15" customHeight="1" x14ac:dyDescent="0.2">
      <c r="A1565" s="5" t="str">
        <f ca="1">IFERROR(__xludf.DUMMYFUNCTION("""COMPUTED_VALUE"""),"M308")</f>
        <v>M308</v>
      </c>
      <c r="B1565" s="5" t="str">
        <f ca="1">IFERROR(__xludf.DUMMYFUNCTION("""COMPUTED_VALUE"""),"MACCHI")</f>
        <v>MACCHI</v>
      </c>
      <c r="C1565" s="5" t="str">
        <f ca="1">IFERROR(__xludf.DUMMYFUNCTION("""COMPUTED_VALUE"""),"MB-308")</f>
        <v>MB-308</v>
      </c>
      <c r="D1565" s="5" t="str">
        <f ca="1">IFERROR(__xludf.DUMMYFUNCTION("""COMPUTED_VALUE"""),"LandPlane")</f>
        <v>LandPlane</v>
      </c>
      <c r="E1565" s="5" t="str">
        <f ca="1">IFERROR(__xludf.DUMMYFUNCTION("""COMPUTED_VALUE"""),"Piston")</f>
        <v>Piston</v>
      </c>
      <c r="F1565" s="5">
        <f ca="1">IFERROR(__xludf.DUMMYFUNCTION("""COMPUTED_VALUE"""),1)</f>
        <v>1</v>
      </c>
    </row>
    <row r="1566" spans="1:6" ht="15" customHeight="1" x14ac:dyDescent="0.2">
      <c r="A1566" s="5" t="str">
        <f ca="1">IFERROR(__xludf.DUMMYFUNCTION("""COMPUTED_VALUE"""),"M326")</f>
        <v>M326</v>
      </c>
      <c r="B1566" s="5" t="str">
        <f ca="1">IFERROR(__xludf.DUMMYFUNCTION("""COMPUTED_VALUE"""),"AERMACCHI")</f>
        <v>AERMACCHI</v>
      </c>
      <c r="C1566" s="5" t="str">
        <f ca="1">IFERROR(__xludf.DUMMYFUNCTION("""COMPUTED_VALUE"""),"MB-326")</f>
        <v>MB-326</v>
      </c>
      <c r="D1566" s="5" t="str">
        <f ca="1">IFERROR(__xludf.DUMMYFUNCTION("""COMPUTED_VALUE"""),"LandPlane")</f>
        <v>LandPlane</v>
      </c>
      <c r="E1566" s="5" t="str">
        <f ca="1">IFERROR(__xludf.DUMMYFUNCTION("""COMPUTED_VALUE"""),"Jet")</f>
        <v>Jet</v>
      </c>
      <c r="F1566" s="5">
        <f ca="1">IFERROR(__xludf.DUMMYFUNCTION("""COMPUTED_VALUE"""),1)</f>
        <v>1</v>
      </c>
    </row>
    <row r="1567" spans="1:6" ht="15" customHeight="1" x14ac:dyDescent="0.2">
      <c r="A1567" s="5" t="str">
        <f ca="1">IFERROR(__xludf.DUMMYFUNCTION("""COMPUTED_VALUE"""),"M339")</f>
        <v>M339</v>
      </c>
      <c r="B1567" s="5" t="str">
        <f ca="1">IFERROR(__xludf.DUMMYFUNCTION("""COMPUTED_VALUE"""),"AERMACCHI")</f>
        <v>AERMACCHI</v>
      </c>
      <c r="C1567" s="5" t="str">
        <f ca="1">IFERROR(__xludf.DUMMYFUNCTION("""COMPUTED_VALUE"""),"MB-339")</f>
        <v>MB-339</v>
      </c>
      <c r="D1567" s="5" t="str">
        <f ca="1">IFERROR(__xludf.DUMMYFUNCTION("""COMPUTED_VALUE"""),"LandPlane")</f>
        <v>LandPlane</v>
      </c>
      <c r="E1567" s="5" t="str">
        <f ca="1">IFERROR(__xludf.DUMMYFUNCTION("""COMPUTED_VALUE"""),"Jet")</f>
        <v>Jet</v>
      </c>
      <c r="F1567" s="5">
        <f ca="1">IFERROR(__xludf.DUMMYFUNCTION("""COMPUTED_VALUE"""),1)</f>
        <v>1</v>
      </c>
    </row>
    <row r="1568" spans="1:6" ht="15" customHeight="1" x14ac:dyDescent="0.2">
      <c r="A1568" s="5" t="str">
        <f ca="1">IFERROR(__xludf.DUMMYFUNCTION("""COMPUTED_VALUE"""),"M345")</f>
        <v>M345</v>
      </c>
      <c r="B1568" s="5" t="str">
        <f ca="1">IFERROR(__xludf.DUMMYFUNCTION("""COMPUTED_VALUE"""),"SIAI-MARCHETTI")</f>
        <v>SIAI-MARCHETTI</v>
      </c>
      <c r="C1568" s="5" t="str">
        <f ca="1">IFERROR(__xludf.DUMMYFUNCTION("""COMPUTED_VALUE"""),"M-345")</f>
        <v>M-345</v>
      </c>
      <c r="D1568" s="5" t="str">
        <f ca="1">IFERROR(__xludf.DUMMYFUNCTION("""COMPUTED_VALUE"""),"LandPlane")</f>
        <v>LandPlane</v>
      </c>
      <c r="E1568" s="5" t="str">
        <f ca="1">IFERROR(__xludf.DUMMYFUNCTION("""COMPUTED_VALUE"""),"Jet")</f>
        <v>Jet</v>
      </c>
      <c r="F1568" s="5">
        <f ca="1">IFERROR(__xludf.DUMMYFUNCTION("""COMPUTED_VALUE"""),1)</f>
        <v>1</v>
      </c>
    </row>
    <row r="1569" spans="1:6" ht="15" customHeight="1" x14ac:dyDescent="0.2">
      <c r="A1569" s="5" t="str">
        <f ca="1">IFERROR(__xludf.DUMMYFUNCTION("""COMPUTED_VALUE"""),"M360")</f>
        <v>M360</v>
      </c>
      <c r="B1569" s="5" t="str">
        <f ca="1">IFERROR(__xludf.DUMMYFUNCTION("""COMPUTED_VALUE"""),"AIRCRAFT TECHNOLOGIES")</f>
        <v>AIRCRAFT TECHNOLOGIES</v>
      </c>
      <c r="C1569" s="5" t="str">
        <f ca="1">IFERROR(__xludf.DUMMYFUNCTION("""COMPUTED_VALUE"""),"Meyer-360")</f>
        <v>Meyer-360</v>
      </c>
      <c r="D1569" s="5" t="str">
        <f ca="1">IFERROR(__xludf.DUMMYFUNCTION("""COMPUTED_VALUE"""),"LandPlane")</f>
        <v>LandPlane</v>
      </c>
      <c r="E1569" s="5" t="str">
        <f ca="1">IFERROR(__xludf.DUMMYFUNCTION("""COMPUTED_VALUE"""),"Piston")</f>
        <v>Piston</v>
      </c>
      <c r="F1569" s="5">
        <f ca="1">IFERROR(__xludf.DUMMYFUNCTION("""COMPUTED_VALUE"""),1)</f>
        <v>1</v>
      </c>
    </row>
    <row r="1570" spans="1:6" ht="15" customHeight="1" x14ac:dyDescent="0.2">
      <c r="A1570" s="5" t="str">
        <f ca="1">IFERROR(__xludf.DUMMYFUNCTION("""COMPUTED_VALUE"""),"M36J")</f>
        <v>M36J</v>
      </c>
      <c r="B1570" s="5" t="str">
        <f ca="1">IFERROR(__xludf.DUMMYFUNCTION("""COMPUTED_VALUE"""),"MATRA")</f>
        <v>MATRA</v>
      </c>
      <c r="C1570" s="5" t="str">
        <f ca="1">IFERROR(__xludf.DUMMYFUNCTION("""COMPUTED_VALUE"""),"M-360 Jupiter")</f>
        <v>M-360 Jupiter</v>
      </c>
      <c r="D1570" s="5" t="str">
        <f ca="1">IFERROR(__xludf.DUMMYFUNCTION("""COMPUTED_VALUE"""),"LandPlane")</f>
        <v>LandPlane</v>
      </c>
      <c r="E1570" s="5" t="str">
        <f ca="1">IFERROR(__xludf.DUMMYFUNCTION("""COMPUTED_VALUE"""),"Piston")</f>
        <v>Piston</v>
      </c>
      <c r="F1570" s="5">
        <f ca="1">IFERROR(__xludf.DUMMYFUNCTION("""COMPUTED_VALUE"""),2)</f>
        <v>2</v>
      </c>
    </row>
    <row r="1571" spans="1:6" ht="15" customHeight="1" x14ac:dyDescent="0.2">
      <c r="A1571" s="5" t="str">
        <f ca="1">IFERROR(__xludf.DUMMYFUNCTION("""COMPUTED_VALUE"""),"M4")</f>
        <v>M4</v>
      </c>
      <c r="B1571" s="5" t="str">
        <f ca="1">IFERROR(__xludf.DUMMYFUNCTION("""COMPUTED_VALUE"""),"MAULE")</f>
        <v>MAULE</v>
      </c>
      <c r="C1571" s="5" t="str">
        <f ca="1">IFERROR(__xludf.DUMMYFUNCTION("""COMPUTED_VALUE"""),"M-4 Astro Rocket")</f>
        <v>M-4 Astro Rocket</v>
      </c>
      <c r="D1571" s="5" t="str">
        <f ca="1">IFERROR(__xludf.DUMMYFUNCTION("""COMPUTED_VALUE"""),"LandPlane")</f>
        <v>LandPlane</v>
      </c>
      <c r="E1571" s="5" t="str">
        <f ca="1">IFERROR(__xludf.DUMMYFUNCTION("""COMPUTED_VALUE"""),"Piston")</f>
        <v>Piston</v>
      </c>
      <c r="F1571" s="5">
        <f ca="1">IFERROR(__xludf.DUMMYFUNCTION("""COMPUTED_VALUE"""),1)</f>
        <v>1</v>
      </c>
    </row>
    <row r="1572" spans="1:6" ht="15" customHeight="1" x14ac:dyDescent="0.2">
      <c r="A1572" s="5" t="str">
        <f ca="1">IFERROR(__xludf.DUMMYFUNCTION("""COMPUTED_VALUE"""),"M404")</f>
        <v>M404</v>
      </c>
      <c r="B1572" s="5" t="str">
        <f ca="1">IFERROR(__xludf.DUMMYFUNCTION("""COMPUTED_VALUE"""),"MARTIN")</f>
        <v>MARTIN</v>
      </c>
      <c r="C1572" s="5" t="str">
        <f ca="1">IFERROR(__xludf.DUMMYFUNCTION("""COMPUTED_VALUE"""),"404")</f>
        <v>404</v>
      </c>
      <c r="D1572" s="5" t="str">
        <f ca="1">IFERROR(__xludf.DUMMYFUNCTION("""COMPUTED_VALUE"""),"LandPlane")</f>
        <v>LandPlane</v>
      </c>
      <c r="E1572" s="5" t="str">
        <f ca="1">IFERROR(__xludf.DUMMYFUNCTION("""COMPUTED_VALUE"""),"Piston")</f>
        <v>Piston</v>
      </c>
      <c r="F1572" s="5">
        <f ca="1">IFERROR(__xludf.DUMMYFUNCTION("""COMPUTED_VALUE"""),2)</f>
        <v>2</v>
      </c>
    </row>
    <row r="1573" spans="1:6" ht="15" customHeight="1" x14ac:dyDescent="0.2">
      <c r="A1573" s="5" t="str">
        <f ca="1">IFERROR(__xludf.DUMMYFUNCTION("""COMPUTED_VALUE"""),"M5")</f>
        <v>M5</v>
      </c>
      <c r="B1573" s="5" t="str">
        <f ca="1">IFERROR(__xludf.DUMMYFUNCTION("""COMPUTED_VALUE"""),"MAULE")</f>
        <v>MAULE</v>
      </c>
      <c r="C1573" s="5" t="str">
        <f ca="1">IFERROR(__xludf.DUMMYFUNCTION("""COMPUTED_VALUE"""),"M-5 Lunar Rocket")</f>
        <v>M-5 Lunar Rocket</v>
      </c>
      <c r="D1573" s="5" t="str">
        <f ca="1">IFERROR(__xludf.DUMMYFUNCTION("""COMPUTED_VALUE"""),"LandPlane")</f>
        <v>LandPlane</v>
      </c>
      <c r="E1573" s="5" t="str">
        <f ca="1">IFERROR(__xludf.DUMMYFUNCTION("""COMPUTED_VALUE"""),"Piston")</f>
        <v>Piston</v>
      </c>
      <c r="F1573" s="5">
        <f ca="1">IFERROR(__xludf.DUMMYFUNCTION("""COMPUTED_VALUE"""),1)</f>
        <v>1</v>
      </c>
    </row>
    <row r="1574" spans="1:6" ht="15" customHeight="1" x14ac:dyDescent="0.2">
      <c r="A1574" s="5" t="str">
        <f ca="1">IFERROR(__xludf.DUMMYFUNCTION("""COMPUTED_VALUE"""),"M55")</f>
        <v>M55</v>
      </c>
      <c r="B1574" s="5" t="str">
        <f ca="1">IFERROR(__xludf.DUMMYFUNCTION("""COMPUTED_VALUE"""),"MYASISHCHEV")</f>
        <v>MYASISHCHEV</v>
      </c>
      <c r="C1574" s="5" t="str">
        <f ca="1">IFERROR(__xludf.DUMMYFUNCTION("""COMPUTED_VALUE"""),"M-55 Geophysica")</f>
        <v>M-55 Geophysica</v>
      </c>
      <c r="D1574" s="5" t="str">
        <f ca="1">IFERROR(__xludf.DUMMYFUNCTION("""COMPUTED_VALUE"""),"LandPlane")</f>
        <v>LandPlane</v>
      </c>
      <c r="E1574" s="5" t="str">
        <f ca="1">IFERROR(__xludf.DUMMYFUNCTION("""COMPUTED_VALUE"""),"Jet")</f>
        <v>Jet</v>
      </c>
      <c r="F1574" s="5">
        <f ca="1">IFERROR(__xludf.DUMMYFUNCTION("""COMPUTED_VALUE"""),2)</f>
        <v>2</v>
      </c>
    </row>
    <row r="1575" spans="1:6" ht="15" customHeight="1" x14ac:dyDescent="0.2">
      <c r="A1575" s="5" t="str">
        <f ca="1">IFERROR(__xludf.DUMMYFUNCTION("""COMPUTED_VALUE"""),"M6")</f>
        <v>M6</v>
      </c>
      <c r="B1575" s="5" t="str">
        <f ca="1">IFERROR(__xludf.DUMMYFUNCTION("""COMPUTED_VALUE"""),"MAULE")</f>
        <v>MAULE</v>
      </c>
      <c r="C1575" s="5" t="str">
        <f ca="1">IFERROR(__xludf.DUMMYFUNCTION("""COMPUTED_VALUE"""),"M-6 Super Rocket")</f>
        <v>M-6 Super Rocket</v>
      </c>
      <c r="D1575" s="5" t="str">
        <f ca="1">IFERROR(__xludf.DUMMYFUNCTION("""COMPUTED_VALUE"""),"LandPlane")</f>
        <v>LandPlane</v>
      </c>
      <c r="E1575" s="5" t="str">
        <f ca="1">IFERROR(__xludf.DUMMYFUNCTION("""COMPUTED_VALUE"""),"Piston")</f>
        <v>Piston</v>
      </c>
      <c r="F1575" s="5">
        <f ca="1">IFERROR(__xludf.DUMMYFUNCTION("""COMPUTED_VALUE"""),1)</f>
        <v>1</v>
      </c>
    </row>
    <row r="1576" spans="1:6" ht="15" customHeight="1" x14ac:dyDescent="0.2">
      <c r="A1576" s="5" t="str">
        <f ca="1">IFERROR(__xludf.DUMMYFUNCTION("""COMPUTED_VALUE"""),"M600")</f>
        <v>M600</v>
      </c>
      <c r="B1576" s="5" t="str">
        <f ca="1">IFERROR(__xludf.DUMMYFUNCTION("""COMPUTED_VALUE"""),"PIPER")</f>
        <v>PIPER</v>
      </c>
      <c r="C1576" s="5" t="str">
        <f ca="1">IFERROR(__xludf.DUMMYFUNCTION("""COMPUTED_VALUE"""),"PA-46-600TP M600")</f>
        <v>PA-46-600TP M600</v>
      </c>
      <c r="D1576" s="5" t="str">
        <f ca="1">IFERROR(__xludf.DUMMYFUNCTION("""COMPUTED_VALUE"""),"LandPlane")</f>
        <v>LandPlane</v>
      </c>
      <c r="E1576" s="5" t="str">
        <f ca="1">IFERROR(__xludf.DUMMYFUNCTION("""COMPUTED_VALUE"""),"Turboprop/Turboshaft")</f>
        <v>Turboprop/Turboshaft</v>
      </c>
      <c r="F1576" s="5">
        <f ca="1">IFERROR(__xludf.DUMMYFUNCTION("""COMPUTED_VALUE"""),1)</f>
        <v>1</v>
      </c>
    </row>
    <row r="1577" spans="1:6" ht="15" customHeight="1" x14ac:dyDescent="0.2">
      <c r="A1577" s="5" t="str">
        <f ca="1">IFERROR(__xludf.DUMMYFUNCTION("""COMPUTED_VALUE"""),"M7")</f>
        <v>M7</v>
      </c>
      <c r="B1577" s="5" t="str">
        <f ca="1">IFERROR(__xludf.DUMMYFUNCTION("""COMPUTED_VALUE"""),"MAULE")</f>
        <v>MAULE</v>
      </c>
      <c r="C1577" s="5" t="str">
        <f ca="1">IFERROR(__xludf.DUMMYFUNCTION("""COMPUTED_VALUE"""),"MX-7-180 Star Rocket")</f>
        <v>MX-7-180 Star Rocket</v>
      </c>
      <c r="D1577" s="5" t="str">
        <f ca="1">IFERROR(__xludf.DUMMYFUNCTION("""COMPUTED_VALUE"""),"LandPlane")</f>
        <v>LandPlane</v>
      </c>
      <c r="E1577" s="5" t="str">
        <f ca="1">IFERROR(__xludf.DUMMYFUNCTION("""COMPUTED_VALUE"""),"Piston")</f>
        <v>Piston</v>
      </c>
      <c r="F1577" s="5">
        <f ca="1">IFERROR(__xludf.DUMMYFUNCTION("""COMPUTED_VALUE"""),1)</f>
        <v>1</v>
      </c>
    </row>
    <row r="1578" spans="1:6" ht="15" customHeight="1" x14ac:dyDescent="0.2">
      <c r="A1578" s="5" t="str">
        <f ca="1">IFERROR(__xludf.DUMMYFUNCTION("""COMPUTED_VALUE"""),"M74")</f>
        <v>M74</v>
      </c>
      <c r="B1578" s="5" t="str">
        <f ca="1">IFERROR(__xludf.DUMMYFUNCTION("""COMPUTED_VALUE"""),"TEXAS HELICOPTER")</f>
        <v>TEXAS HELICOPTER</v>
      </c>
      <c r="C1578" s="5" t="str">
        <f ca="1">IFERROR(__xludf.DUMMYFUNCTION("""COMPUTED_VALUE"""),"M-74 Wasp")</f>
        <v>M-74 Wasp</v>
      </c>
      <c r="D1578" s="5" t="str">
        <f ca="1">IFERROR(__xludf.DUMMYFUNCTION("""COMPUTED_VALUE"""),"Helicopter")</f>
        <v>Helicopter</v>
      </c>
      <c r="E1578" s="5" t="str">
        <f ca="1">IFERROR(__xludf.DUMMYFUNCTION("""COMPUTED_VALUE"""),"Piston")</f>
        <v>Piston</v>
      </c>
      <c r="F1578" s="5">
        <f ca="1">IFERROR(__xludf.DUMMYFUNCTION("""COMPUTED_VALUE"""),1)</f>
        <v>1</v>
      </c>
    </row>
    <row r="1579" spans="1:6" ht="15" customHeight="1" x14ac:dyDescent="0.2">
      <c r="A1579" s="5" t="str">
        <f ca="1">IFERROR(__xludf.DUMMYFUNCTION("""COMPUTED_VALUE"""),"M7T")</f>
        <v>M7T</v>
      </c>
      <c r="B1579" s="5" t="str">
        <f ca="1">IFERROR(__xludf.DUMMYFUNCTION("""COMPUTED_VALUE"""),"MAULE")</f>
        <v>MAULE</v>
      </c>
      <c r="C1579" s="5" t="str">
        <f ca="1">IFERROR(__xludf.DUMMYFUNCTION("""COMPUTED_VALUE"""),"MX-7-420 Star Craft")</f>
        <v>MX-7-420 Star Craft</v>
      </c>
      <c r="D1579" s="5" t="str">
        <f ca="1">IFERROR(__xludf.DUMMYFUNCTION("""COMPUTED_VALUE"""),"LandPlane")</f>
        <v>LandPlane</v>
      </c>
      <c r="E1579" s="5" t="str">
        <f ca="1">IFERROR(__xludf.DUMMYFUNCTION("""COMPUTED_VALUE"""),"Turboprop/Turboshaft")</f>
        <v>Turboprop/Turboshaft</v>
      </c>
      <c r="F1579" s="5">
        <f ca="1">IFERROR(__xludf.DUMMYFUNCTION("""COMPUTED_VALUE"""),1)</f>
        <v>1</v>
      </c>
    </row>
    <row r="1580" spans="1:6" ht="15" customHeight="1" x14ac:dyDescent="0.2">
      <c r="A1580" s="5" t="str">
        <f ca="1">IFERROR(__xludf.DUMMYFUNCTION("""COMPUTED_VALUE"""),"M8")</f>
        <v>M8</v>
      </c>
      <c r="B1580" s="5" t="str">
        <f ca="1">IFERROR(__xludf.DUMMYFUNCTION("""COMPUTED_VALUE"""),"MAULE")</f>
        <v>MAULE</v>
      </c>
      <c r="C1580" s="5" t="str">
        <f ca="1">IFERROR(__xludf.DUMMYFUNCTION("""COMPUTED_VALUE"""),"M-8")</f>
        <v>M-8</v>
      </c>
      <c r="D1580" s="5" t="str">
        <f ca="1">IFERROR(__xludf.DUMMYFUNCTION("""COMPUTED_VALUE"""),"LandPlane")</f>
        <v>LandPlane</v>
      </c>
      <c r="E1580" s="5" t="str">
        <f ca="1">IFERROR(__xludf.DUMMYFUNCTION("""COMPUTED_VALUE"""),"Piston")</f>
        <v>Piston</v>
      </c>
      <c r="F1580" s="5">
        <f ca="1">IFERROR(__xludf.DUMMYFUNCTION("""COMPUTED_VALUE"""),1)</f>
        <v>1</v>
      </c>
    </row>
    <row r="1581" spans="1:6" ht="15" customHeight="1" x14ac:dyDescent="0.2">
      <c r="A1581" s="5" t="str">
        <f ca="1">IFERROR(__xludf.DUMMYFUNCTION("""COMPUTED_VALUE"""),"M9")</f>
        <v>M9</v>
      </c>
      <c r="B1581" s="5" t="str">
        <f ca="1">IFERROR(__xludf.DUMMYFUNCTION("""COMPUTED_VALUE"""),"MAULE")</f>
        <v>MAULE</v>
      </c>
      <c r="C1581" s="5" t="str">
        <f ca="1">IFERROR(__xludf.DUMMYFUNCTION("""COMPUTED_VALUE"""),"M-9")</f>
        <v>M-9</v>
      </c>
      <c r="D1581" s="5" t="str">
        <f ca="1">IFERROR(__xludf.DUMMYFUNCTION("""COMPUTED_VALUE"""),"LandPlane")</f>
        <v>LandPlane</v>
      </c>
      <c r="E1581" s="5" t="str">
        <f ca="1">IFERROR(__xludf.DUMMYFUNCTION("""COMPUTED_VALUE"""),"Piston")</f>
        <v>Piston</v>
      </c>
      <c r="F1581" s="5">
        <f ca="1">IFERROR(__xludf.DUMMYFUNCTION("""COMPUTED_VALUE"""),1)</f>
        <v>1</v>
      </c>
    </row>
    <row r="1582" spans="1:6" s="7" customFormat="1" ht="15" customHeight="1" x14ac:dyDescent="0.2">
      <c r="A1582" s="6" t="str">
        <f ca="1">IFERROR(__xludf.DUMMYFUNCTION("""COMPUTED_VALUE"""),"MA1")</f>
        <v>MA1</v>
      </c>
      <c r="B1582" s="6" t="str">
        <f ca="1">IFERROR(__xludf.DUMMYFUNCTION("""COMPUTED_VALUE"""),"EMAIR")</f>
        <v>EMAIR</v>
      </c>
      <c r="C1582" s="6" t="str">
        <f ca="1">IFERROR(__xludf.DUMMYFUNCTION("""COMPUTED_VALUE"""),"MA-1 Paymaster")</f>
        <v>MA-1 Paymaster</v>
      </c>
      <c r="D1582" s="6" t="str">
        <f ca="1">IFERROR(__xludf.DUMMYFUNCTION("""COMPUTED_VALUE"""),"LandPlane")</f>
        <v>LandPlane</v>
      </c>
      <c r="E1582" s="6" t="str">
        <f ca="1">IFERROR(__xludf.DUMMYFUNCTION("""COMPUTED_VALUE"""),"Piston")</f>
        <v>Piston</v>
      </c>
      <c r="F1582" s="6">
        <f ca="1">IFERROR(__xludf.DUMMYFUNCTION("""COMPUTED_VALUE"""),1)</f>
        <v>1</v>
      </c>
    </row>
    <row r="1583" spans="1:6" ht="15" customHeight="1" x14ac:dyDescent="0.2">
      <c r="A1583" s="5" t="str">
        <f ca="1">IFERROR(__xludf.DUMMYFUNCTION("""COMPUTED_VALUE"""),"MA5")</f>
        <v>MA5</v>
      </c>
      <c r="B1583" s="5" t="str">
        <f ca="1">IFERROR(__xludf.DUMMYFUNCTION("""COMPUTED_VALUE"""),"MARQUART")</f>
        <v>MARQUART</v>
      </c>
      <c r="C1583" s="5" t="str">
        <f ca="1">IFERROR(__xludf.DUMMYFUNCTION("""COMPUTED_VALUE"""),"MA-5 Charger")</f>
        <v>MA-5 Charger</v>
      </c>
      <c r="D1583" s="5" t="str">
        <f ca="1">IFERROR(__xludf.DUMMYFUNCTION("""COMPUTED_VALUE"""),"LandPlane")</f>
        <v>LandPlane</v>
      </c>
      <c r="E1583" s="5" t="str">
        <f ca="1">IFERROR(__xludf.DUMMYFUNCTION("""COMPUTED_VALUE"""),"Piston")</f>
        <v>Piston</v>
      </c>
      <c r="F1583" s="5">
        <f ca="1">IFERROR(__xludf.DUMMYFUNCTION("""COMPUTED_VALUE"""),1)</f>
        <v>1</v>
      </c>
    </row>
    <row r="1584" spans="1:6" ht="15" customHeight="1" x14ac:dyDescent="0.2">
      <c r="A1584" s="5" t="str">
        <f ca="1">IFERROR(__xludf.DUMMYFUNCTION("""COMPUTED_VALUE"""),"MA60")</f>
        <v>MA60</v>
      </c>
      <c r="B1584" s="5" t="str">
        <f ca="1">IFERROR(__xludf.DUMMYFUNCTION("""COMPUTED_VALUE"""),"XIAN")</f>
        <v>XIAN</v>
      </c>
      <c r="C1584" s="5" t="str">
        <f ca="1">IFERROR(__xludf.DUMMYFUNCTION("""COMPUTED_VALUE"""),"MA-60")</f>
        <v>MA-60</v>
      </c>
      <c r="D1584" s="5" t="str">
        <f ca="1">IFERROR(__xludf.DUMMYFUNCTION("""COMPUTED_VALUE"""),"LandPlane")</f>
        <v>LandPlane</v>
      </c>
      <c r="E1584" s="5" t="str">
        <f ca="1">IFERROR(__xludf.DUMMYFUNCTION("""COMPUTED_VALUE"""),"Turboprop/Turboshaft")</f>
        <v>Turboprop/Turboshaft</v>
      </c>
      <c r="F1584" s="5">
        <f ca="1">IFERROR(__xludf.DUMMYFUNCTION("""COMPUTED_VALUE"""),2)</f>
        <v>2</v>
      </c>
    </row>
    <row r="1585" spans="1:6" ht="15" customHeight="1" x14ac:dyDescent="0.2">
      <c r="A1585" s="5" t="str">
        <f ca="1">IFERROR(__xludf.DUMMYFUNCTION("""COMPUTED_VALUE"""),"MA6H")</f>
        <v>MA6H</v>
      </c>
      <c r="B1585" s="5" t="str">
        <f ca="1">IFERROR(__xludf.DUMMYFUNCTION("""COMPUTED_VALUE"""),"XIAN")</f>
        <v>XIAN</v>
      </c>
      <c r="C1585" s="5" t="str">
        <f ca="1">IFERROR(__xludf.DUMMYFUNCTION("""COMPUTED_VALUE"""),"MA-60H")</f>
        <v>MA-60H</v>
      </c>
      <c r="D1585" s="5" t="str">
        <f ca="1">IFERROR(__xludf.DUMMYFUNCTION("""COMPUTED_VALUE"""),"LandPlane")</f>
        <v>LandPlane</v>
      </c>
      <c r="E1585" s="5" t="str">
        <f ca="1">IFERROR(__xludf.DUMMYFUNCTION("""COMPUTED_VALUE"""),"Turboprop/Turboshaft")</f>
        <v>Turboprop/Turboshaft</v>
      </c>
      <c r="F1585" s="5">
        <f ca="1">IFERROR(__xludf.DUMMYFUNCTION("""COMPUTED_VALUE"""),2)</f>
        <v>2</v>
      </c>
    </row>
    <row r="1586" spans="1:6" ht="15" customHeight="1" x14ac:dyDescent="0.2">
      <c r="A1586" s="5" t="str">
        <f ca="1">IFERROR(__xludf.DUMMYFUNCTION("""COMPUTED_VALUE"""),"MAGC")</f>
        <v>MAGC</v>
      </c>
      <c r="B1586" s="5" t="str">
        <f ca="1">IFERROR(__xludf.DUMMYFUNCTION("""COMPUTED_VALUE"""),"EAGLE AVIATION")</f>
        <v>EAGLE AVIATION</v>
      </c>
      <c r="C1586" s="5" t="str">
        <f ca="1">IFERROR(__xludf.DUMMYFUNCTION("""COMPUTED_VALUE"""),"EA-100")</f>
        <v>EA-100</v>
      </c>
      <c r="D1586" s="5" t="str">
        <f ca="1">IFERROR(__xludf.DUMMYFUNCTION("""COMPUTED_VALUE"""),"LandPlane")</f>
        <v>LandPlane</v>
      </c>
      <c r="E1586" s="5" t="str">
        <f ca="1">IFERROR(__xludf.DUMMYFUNCTION("""COMPUTED_VALUE"""),"Piston")</f>
        <v>Piston</v>
      </c>
      <c r="F1586" s="5">
        <f ca="1">IFERROR(__xludf.DUMMYFUNCTION("""COMPUTED_VALUE"""),1)</f>
        <v>1</v>
      </c>
    </row>
    <row r="1587" spans="1:6" ht="15" customHeight="1" x14ac:dyDescent="0.2">
      <c r="A1587" s="5" t="str">
        <f ca="1">IFERROR(__xludf.DUMMYFUNCTION("""COMPUTED_VALUE"""),"MAGI")</f>
        <v>MAGI</v>
      </c>
      <c r="B1587" s="5" t="str">
        <f ca="1">IFERROR(__xludf.DUMMYFUNCTION("""COMPUTED_VALUE"""),"MILES")</f>
        <v>MILES</v>
      </c>
      <c r="C1587" s="5" t="str">
        <f ca="1">IFERROR(__xludf.DUMMYFUNCTION("""COMPUTED_VALUE"""),"M-14 Magister")</f>
        <v>M-14 Magister</v>
      </c>
      <c r="D1587" s="5" t="str">
        <f ca="1">IFERROR(__xludf.DUMMYFUNCTION("""COMPUTED_VALUE"""),"LandPlane")</f>
        <v>LandPlane</v>
      </c>
      <c r="E1587" s="5" t="str">
        <f ca="1">IFERROR(__xludf.DUMMYFUNCTION("""COMPUTED_VALUE"""),"Piston")</f>
        <v>Piston</v>
      </c>
      <c r="F1587" s="5">
        <f ca="1">IFERROR(__xludf.DUMMYFUNCTION("""COMPUTED_VALUE"""),1)</f>
        <v>1</v>
      </c>
    </row>
    <row r="1588" spans="1:6" ht="15" customHeight="1" x14ac:dyDescent="0.2">
      <c r="A1588" s="5" t="str">
        <f ca="1">IFERROR(__xludf.DUMMYFUNCTION("""COMPUTED_VALUE"""),"MAGN")</f>
        <v>MAGN</v>
      </c>
      <c r="B1588" s="5" t="str">
        <f ca="1">IFERROR(__xludf.DUMMYFUNCTION("""COMPUTED_VALUE"""),"AVID")</f>
        <v>AVID</v>
      </c>
      <c r="C1588" s="5" t="str">
        <f ca="1">IFERROR(__xludf.DUMMYFUNCTION("""COMPUTED_VALUE"""),"Magnum")</f>
        <v>Magnum</v>
      </c>
      <c r="D1588" s="5" t="str">
        <f ca="1">IFERROR(__xludf.DUMMYFUNCTION("""COMPUTED_VALUE"""),"LandPlane")</f>
        <v>LandPlane</v>
      </c>
      <c r="E1588" s="5" t="str">
        <f ca="1">IFERROR(__xludf.DUMMYFUNCTION("""COMPUTED_VALUE"""),"Piston")</f>
        <v>Piston</v>
      </c>
      <c r="F1588" s="5">
        <f ca="1">IFERROR(__xludf.DUMMYFUNCTION("""COMPUTED_VALUE"""),1)</f>
        <v>1</v>
      </c>
    </row>
    <row r="1589" spans="1:6" ht="15" customHeight="1" x14ac:dyDescent="0.2">
      <c r="A1589" s="5" t="str">
        <f ca="1">IFERROR(__xludf.DUMMYFUNCTION("""COMPUTED_VALUE"""),"MAJR")</f>
        <v>MAJR</v>
      </c>
      <c r="B1589" s="5" t="str">
        <f ca="1">IFERROR(__xludf.DUMMYFUNCTION("""COMPUTED_VALUE"""),"LUTON")</f>
        <v>LUTON</v>
      </c>
      <c r="C1589" s="5" t="str">
        <f ca="1">IFERROR(__xludf.DUMMYFUNCTION("""COMPUTED_VALUE"""),"LA-5 Major")</f>
        <v>LA-5 Major</v>
      </c>
      <c r="D1589" s="5" t="str">
        <f ca="1">IFERROR(__xludf.DUMMYFUNCTION("""COMPUTED_VALUE"""),"LandPlane")</f>
        <v>LandPlane</v>
      </c>
      <c r="E1589" s="5" t="str">
        <f ca="1">IFERROR(__xludf.DUMMYFUNCTION("""COMPUTED_VALUE"""),"Piston")</f>
        <v>Piston</v>
      </c>
      <c r="F1589" s="5">
        <f ca="1">IFERROR(__xludf.DUMMYFUNCTION("""COMPUTED_VALUE"""),1)</f>
        <v>1</v>
      </c>
    </row>
    <row r="1590" spans="1:6" ht="15" customHeight="1" x14ac:dyDescent="0.2">
      <c r="A1590" s="5" t="str">
        <f ca="1">IFERROR(__xludf.DUMMYFUNCTION("""COMPUTED_VALUE"""),"MAKO")</f>
        <v>MAKO</v>
      </c>
      <c r="B1590" s="5" t="str">
        <f ca="1">IFERROR(__xludf.DUMMYFUNCTION("""COMPUTED_VALUE"""),"LANCAIR")</f>
        <v>LANCAIR</v>
      </c>
      <c r="C1590" s="5" t="str">
        <f ca="1">IFERROR(__xludf.DUMMYFUNCTION("""COMPUTED_VALUE"""),"Mako")</f>
        <v>Mako</v>
      </c>
      <c r="D1590" s="5" t="str">
        <f ca="1">IFERROR(__xludf.DUMMYFUNCTION("""COMPUTED_VALUE"""),"LandPlane")</f>
        <v>LandPlane</v>
      </c>
      <c r="E1590" s="5" t="str">
        <f ca="1">IFERROR(__xludf.DUMMYFUNCTION("""COMPUTED_VALUE"""),"Piston")</f>
        <v>Piston</v>
      </c>
      <c r="F1590" s="5">
        <f ca="1">IFERROR(__xludf.DUMMYFUNCTION("""COMPUTED_VALUE"""),1)</f>
        <v>1</v>
      </c>
    </row>
    <row r="1591" spans="1:6" ht="15" customHeight="1" x14ac:dyDescent="0.2">
      <c r="A1591" s="5" t="str">
        <f ca="1">IFERROR(__xludf.DUMMYFUNCTION("""COMPUTED_VALUE"""),"MAMB")</f>
        <v>MAMB</v>
      </c>
      <c r="B1591" s="5" t="str">
        <f ca="1">IFERROR(__xludf.DUMMYFUNCTION("""COMPUTED_VALUE"""),"MELBOURNE")</f>
        <v>MELBOURNE</v>
      </c>
      <c r="C1591" s="5" t="str">
        <f ca="1">IFERROR(__xludf.DUMMYFUNCTION("""COMPUTED_VALUE"""),"MA-2 Mamba")</f>
        <v>MA-2 Mamba</v>
      </c>
      <c r="D1591" s="5" t="str">
        <f ca="1">IFERROR(__xludf.DUMMYFUNCTION("""COMPUTED_VALUE"""),"LandPlane")</f>
        <v>LandPlane</v>
      </c>
      <c r="E1591" s="5" t="str">
        <f ca="1">IFERROR(__xludf.DUMMYFUNCTION("""COMPUTED_VALUE"""),"Piston")</f>
        <v>Piston</v>
      </c>
      <c r="F1591" s="5">
        <f ca="1">IFERROR(__xludf.DUMMYFUNCTION("""COMPUTED_VALUE"""),1)</f>
        <v>1</v>
      </c>
    </row>
    <row r="1592" spans="1:6" ht="15" customHeight="1" x14ac:dyDescent="0.2">
      <c r="A1592" s="5" t="str">
        <f ca="1">IFERROR(__xludf.DUMMYFUNCTION("""COMPUTED_VALUE"""),"MAME")</f>
        <v>MAME</v>
      </c>
      <c r="B1592" s="5" t="str">
        <f ca="1">IFERROR(__xludf.DUMMYFUNCTION("""COMPUTED_VALUE"""),"BLUE YONDER")</f>
        <v>BLUE YONDER</v>
      </c>
      <c r="C1592" s="5" t="str">
        <f ca="1">IFERROR(__xludf.DUMMYFUNCTION("""COMPUTED_VALUE"""),"Merlin")</f>
        <v>Merlin</v>
      </c>
      <c r="D1592" s="5" t="str">
        <f ca="1">IFERROR(__xludf.DUMMYFUNCTION("""COMPUTED_VALUE"""),"LandPlane")</f>
        <v>LandPlane</v>
      </c>
      <c r="E1592" s="5" t="str">
        <f ca="1">IFERROR(__xludf.DUMMYFUNCTION("""COMPUTED_VALUE"""),"Piston")</f>
        <v>Piston</v>
      </c>
      <c r="F1592" s="5">
        <f ca="1">IFERROR(__xludf.DUMMYFUNCTION("""COMPUTED_VALUE"""),1)</f>
        <v>1</v>
      </c>
    </row>
    <row r="1593" spans="1:6" ht="15" customHeight="1" x14ac:dyDescent="0.2">
      <c r="A1593" s="5" t="str">
        <f ca="1">IFERROR(__xludf.DUMMYFUNCTION("""COMPUTED_VALUE"""),"MARS")</f>
        <v>MARS</v>
      </c>
      <c r="B1593" s="5" t="str">
        <f ca="1">IFERROR(__xludf.DUMMYFUNCTION("""COMPUTED_VALUE"""),"MARTIN")</f>
        <v>MARTIN</v>
      </c>
      <c r="C1593" s="5" t="str">
        <f ca="1">IFERROR(__xludf.DUMMYFUNCTION("""COMPUTED_VALUE"""),"170 Mars")</f>
        <v>170 Mars</v>
      </c>
      <c r="D1593" s="5" t="str">
        <f ca="1">IFERROR(__xludf.DUMMYFUNCTION("""COMPUTED_VALUE"""),"SeaPlane")</f>
        <v>SeaPlane</v>
      </c>
      <c r="E1593" s="5" t="str">
        <f ca="1">IFERROR(__xludf.DUMMYFUNCTION("""COMPUTED_VALUE"""),"Piston")</f>
        <v>Piston</v>
      </c>
      <c r="F1593" s="5">
        <f ca="1">IFERROR(__xludf.DUMMYFUNCTION("""COMPUTED_VALUE"""),4)</f>
        <v>4</v>
      </c>
    </row>
    <row r="1594" spans="1:6" ht="15" customHeight="1" x14ac:dyDescent="0.2">
      <c r="A1594" s="5" t="str">
        <f ca="1">IFERROR(__xludf.DUMMYFUNCTION("""COMPUTED_VALUE"""),"MAVR")</f>
        <v>MAVR</v>
      </c>
      <c r="B1594" s="5" t="str">
        <f ca="1">IFERROR(__xludf.DUMMYFUNCTION("""COMPUTED_VALUE"""),"AEA")</f>
        <v>AEA</v>
      </c>
      <c r="C1594" s="5" t="str">
        <f ca="1">IFERROR(__xludf.DUMMYFUNCTION("""COMPUTED_VALUE"""),"Maverick")</f>
        <v>Maverick</v>
      </c>
      <c r="D1594" s="5" t="str">
        <f ca="1">IFERROR(__xludf.DUMMYFUNCTION("""COMPUTED_VALUE"""),"LandPlane")</f>
        <v>LandPlane</v>
      </c>
      <c r="E1594" s="5" t="str">
        <f ca="1">IFERROR(__xludf.DUMMYFUNCTION("""COMPUTED_VALUE"""),"Piston")</f>
        <v>Piston</v>
      </c>
      <c r="F1594" s="5">
        <f ca="1">IFERROR(__xludf.DUMMYFUNCTION("""COMPUTED_VALUE"""),1)</f>
        <v>1</v>
      </c>
    </row>
    <row r="1595" spans="1:6" ht="15" customHeight="1" x14ac:dyDescent="0.2">
      <c r="A1595" s="5" t="str">
        <f ca="1">IFERROR(__xludf.DUMMYFUNCTION("""COMPUTED_VALUE"""),"MC01")</f>
        <v>MC01</v>
      </c>
      <c r="B1595" s="5" t="str">
        <f ca="1">IFERROR(__xludf.DUMMYFUNCTION("""COMPUTED_VALUE"""),"MONTAER")</f>
        <v>MONTAER</v>
      </c>
      <c r="C1595" s="5" t="str">
        <f ca="1">IFERROR(__xludf.DUMMYFUNCTION("""COMPUTED_VALUE"""),"MC-01")</f>
        <v>MC-01</v>
      </c>
      <c r="D1595" s="5" t="str">
        <f ca="1">IFERROR(__xludf.DUMMYFUNCTION("""COMPUTED_VALUE"""),"LandPlane")</f>
        <v>LandPlane</v>
      </c>
      <c r="E1595" s="5" t="str">
        <f ca="1">IFERROR(__xludf.DUMMYFUNCTION("""COMPUTED_VALUE"""),"Piston")</f>
        <v>Piston</v>
      </c>
      <c r="F1595" s="5">
        <f ca="1">IFERROR(__xludf.DUMMYFUNCTION("""COMPUTED_VALUE"""),1)</f>
        <v>1</v>
      </c>
    </row>
    <row r="1596" spans="1:6" ht="15" customHeight="1" x14ac:dyDescent="0.2">
      <c r="A1596" s="5" t="str">
        <f ca="1">IFERROR(__xludf.DUMMYFUNCTION("""COMPUTED_VALUE"""),"MC10")</f>
        <v>MC10</v>
      </c>
      <c r="B1596" s="5" t="str">
        <f ca="1">IFERROR(__xludf.DUMMYFUNCTION("""COMPUTED_VALUE"""),"COLOMBAN")</f>
        <v>COLOMBAN</v>
      </c>
      <c r="C1596" s="5" t="str">
        <f ca="1">IFERROR(__xludf.DUMMYFUNCTION("""COMPUTED_VALUE"""),"MC-10 Cricri")</f>
        <v>MC-10 Cricri</v>
      </c>
      <c r="D1596" s="5" t="str">
        <f ca="1">IFERROR(__xludf.DUMMYFUNCTION("""COMPUTED_VALUE"""),"LandPlane")</f>
        <v>LandPlane</v>
      </c>
      <c r="E1596" s="5" t="str">
        <f ca="1">IFERROR(__xludf.DUMMYFUNCTION("""COMPUTED_VALUE"""),"Piston")</f>
        <v>Piston</v>
      </c>
      <c r="F1596" s="5">
        <f ca="1">IFERROR(__xludf.DUMMYFUNCTION("""COMPUTED_VALUE"""),2)</f>
        <v>2</v>
      </c>
    </row>
    <row r="1597" spans="1:6" ht="15" customHeight="1" x14ac:dyDescent="0.2">
      <c r="A1597" s="5" t="str">
        <f ca="1">IFERROR(__xludf.DUMMYFUNCTION("""COMPUTED_VALUE"""),"MC23")</f>
        <v>MC23</v>
      </c>
      <c r="B1597" s="5" t="str">
        <f ca="1">IFERROR(__xludf.DUMMYFUNCTION("""COMPUTED_VALUE"""),"IRKUT")</f>
        <v>IRKUT</v>
      </c>
      <c r="C1597" s="5" t="str">
        <f ca="1">IFERROR(__xludf.DUMMYFUNCTION("""COMPUTED_VALUE"""),"MC-21-300")</f>
        <v>MC-21-300</v>
      </c>
      <c r="D1597" s="5" t="str">
        <f ca="1">IFERROR(__xludf.DUMMYFUNCTION("""COMPUTED_VALUE"""),"LandPlane")</f>
        <v>LandPlane</v>
      </c>
      <c r="E1597" s="5" t="str">
        <f ca="1">IFERROR(__xludf.DUMMYFUNCTION("""COMPUTED_VALUE"""),"Jet")</f>
        <v>Jet</v>
      </c>
      <c r="F1597" s="5">
        <f ca="1">IFERROR(__xludf.DUMMYFUNCTION("""COMPUTED_VALUE"""),2)</f>
        <v>2</v>
      </c>
    </row>
    <row r="1598" spans="1:6" ht="15" customHeight="1" x14ac:dyDescent="0.2">
      <c r="A1598" s="5" t="str">
        <f ca="1">IFERROR(__xludf.DUMMYFUNCTION("""COMPUTED_VALUE"""),"MC45")</f>
        <v>MC45</v>
      </c>
      <c r="B1598" s="5" t="str">
        <f ca="1">IFERROR(__xludf.DUMMYFUNCTION("""COMPUTED_VALUE"""),"MEYERS")</f>
        <v>MEYERS</v>
      </c>
      <c r="C1598" s="5" t="str">
        <f ca="1">IFERROR(__xludf.DUMMYFUNCTION("""COMPUTED_VALUE"""),"MAC-145")</f>
        <v>MAC-145</v>
      </c>
      <c r="D1598" s="5" t="str">
        <f ca="1">IFERROR(__xludf.DUMMYFUNCTION("""COMPUTED_VALUE"""),"LandPlane")</f>
        <v>LandPlane</v>
      </c>
      <c r="E1598" s="5" t="str">
        <f ca="1">IFERROR(__xludf.DUMMYFUNCTION("""COMPUTED_VALUE"""),"Piston")</f>
        <v>Piston</v>
      </c>
      <c r="F1598" s="5">
        <f ca="1">IFERROR(__xludf.DUMMYFUNCTION("""COMPUTED_VALUE"""),1)</f>
        <v>1</v>
      </c>
    </row>
    <row r="1599" spans="1:6" ht="15" customHeight="1" x14ac:dyDescent="0.2">
      <c r="A1599" s="5" t="str">
        <f ca="1">IFERROR(__xludf.DUMMYFUNCTION("""COMPUTED_VALUE"""),"MC90")</f>
        <v>MC90</v>
      </c>
      <c r="B1599" s="5" t="str">
        <f ca="1">IFERROR(__xludf.DUMMYFUNCTION("""COMPUTED_VALUE"""),"MONOCOUPE")</f>
        <v>MONOCOUPE</v>
      </c>
      <c r="C1599" s="5" t="str">
        <f ca="1">IFERROR(__xludf.DUMMYFUNCTION("""COMPUTED_VALUE"""),"90")</f>
        <v>90</v>
      </c>
      <c r="D1599" s="5" t="str">
        <f ca="1">IFERROR(__xludf.DUMMYFUNCTION("""COMPUTED_VALUE"""),"LandPlane")</f>
        <v>LandPlane</v>
      </c>
      <c r="E1599" s="5" t="str">
        <f ca="1">IFERROR(__xludf.DUMMYFUNCTION("""COMPUTED_VALUE"""),"Piston")</f>
        <v>Piston</v>
      </c>
      <c r="F1599" s="5">
        <f ca="1">IFERROR(__xludf.DUMMYFUNCTION("""COMPUTED_VALUE"""),1)</f>
        <v>1</v>
      </c>
    </row>
    <row r="1600" spans="1:6" ht="15" customHeight="1" x14ac:dyDescent="0.2">
      <c r="A1600" s="5" t="str">
        <f ca="1">IFERROR(__xludf.DUMMYFUNCTION("""COMPUTED_VALUE"""),"MCOU")</f>
        <v>MCOU</v>
      </c>
      <c r="B1600" s="5" t="str">
        <f ca="1">IFERROR(__xludf.DUMMYFUNCTION("""COMPUTED_VALUE"""),"CHRIS TENA")</f>
        <v>CHRIS TENA</v>
      </c>
      <c r="C1600" s="5" t="str">
        <f ca="1">IFERROR(__xludf.DUMMYFUNCTION("""COMPUTED_VALUE"""),"Mini Coupe")</f>
        <v>Mini Coupe</v>
      </c>
      <c r="D1600" s="5" t="str">
        <f ca="1">IFERROR(__xludf.DUMMYFUNCTION("""COMPUTED_VALUE"""),"LandPlane")</f>
        <v>LandPlane</v>
      </c>
      <c r="E1600" s="5" t="str">
        <f ca="1">IFERROR(__xludf.DUMMYFUNCTION("""COMPUTED_VALUE"""),"Piston")</f>
        <v>Piston</v>
      </c>
      <c r="F1600" s="5">
        <f ca="1">IFERROR(__xludf.DUMMYFUNCTION("""COMPUTED_VALUE"""),1)</f>
        <v>1</v>
      </c>
    </row>
    <row r="1601" spans="1:6" ht="15" customHeight="1" x14ac:dyDescent="0.2">
      <c r="A1601" s="5" t="str">
        <f ca="1">IFERROR(__xludf.DUMMYFUNCTION("""COMPUTED_VALUE"""),"MCOY")</f>
        <v>MCOY</v>
      </c>
      <c r="B1601" s="5" t="str">
        <f ca="1">IFERROR(__xludf.DUMMYFUNCTION("""COMPUTED_VALUE"""),"MONTANA")</f>
        <v>MONTANA</v>
      </c>
      <c r="C1601" s="5" t="str">
        <f ca="1">IFERROR(__xludf.DUMMYFUNCTION("""COMPUTED_VALUE"""),"Coyote")</f>
        <v>Coyote</v>
      </c>
      <c r="D1601" s="5" t="str">
        <f ca="1">IFERROR(__xludf.DUMMYFUNCTION("""COMPUTED_VALUE"""),"LandPlane")</f>
        <v>LandPlane</v>
      </c>
      <c r="E1601" s="5" t="str">
        <f ca="1">IFERROR(__xludf.DUMMYFUNCTION("""COMPUTED_VALUE"""),"Piston")</f>
        <v>Piston</v>
      </c>
      <c r="F1601" s="5">
        <f ca="1">IFERROR(__xludf.DUMMYFUNCTION("""COMPUTED_VALUE"""),1)</f>
        <v>1</v>
      </c>
    </row>
    <row r="1602" spans="1:6" ht="15" customHeight="1" x14ac:dyDescent="0.2">
      <c r="A1602" s="5" t="str">
        <f ca="1">IFERROR(__xludf.DUMMYFUNCTION("""COMPUTED_VALUE"""),"MCR1")</f>
        <v>MCR1</v>
      </c>
      <c r="B1602" s="5" t="str">
        <f ca="1">IFERROR(__xludf.DUMMYFUNCTION("""COMPUTED_VALUE"""),"DYN'AERO")</f>
        <v>DYN'AERO</v>
      </c>
      <c r="C1602" s="5" t="str">
        <f ca="1">IFERROR(__xludf.DUMMYFUNCTION("""COMPUTED_VALUE"""),"MCR-01")</f>
        <v>MCR-01</v>
      </c>
      <c r="D1602" s="5" t="str">
        <f ca="1">IFERROR(__xludf.DUMMYFUNCTION("""COMPUTED_VALUE"""),"LandPlane")</f>
        <v>LandPlane</v>
      </c>
      <c r="E1602" s="5" t="str">
        <f ca="1">IFERROR(__xludf.DUMMYFUNCTION("""COMPUTED_VALUE"""),"Piston")</f>
        <v>Piston</v>
      </c>
      <c r="F1602" s="5">
        <f ca="1">IFERROR(__xludf.DUMMYFUNCTION("""COMPUTED_VALUE"""),1)</f>
        <v>1</v>
      </c>
    </row>
    <row r="1603" spans="1:6" ht="15" customHeight="1" x14ac:dyDescent="0.2">
      <c r="A1603" s="5" t="str">
        <f ca="1">IFERROR(__xludf.DUMMYFUNCTION("""COMPUTED_VALUE"""),"MCR4")</f>
        <v>MCR4</v>
      </c>
      <c r="B1603" s="5" t="str">
        <f ca="1">IFERROR(__xludf.DUMMYFUNCTION("""COMPUTED_VALUE"""),"DYN'AERO")</f>
        <v>DYN'AERO</v>
      </c>
      <c r="C1603" s="5" t="str">
        <f ca="1">IFERROR(__xludf.DUMMYFUNCTION("""COMPUTED_VALUE"""),"MCR-4")</f>
        <v>MCR-4</v>
      </c>
      <c r="D1603" s="5" t="str">
        <f ca="1">IFERROR(__xludf.DUMMYFUNCTION("""COMPUTED_VALUE"""),"LandPlane")</f>
        <v>LandPlane</v>
      </c>
      <c r="E1603" s="5" t="str">
        <f ca="1">IFERROR(__xludf.DUMMYFUNCTION("""COMPUTED_VALUE"""),"Piston")</f>
        <v>Piston</v>
      </c>
      <c r="F1603" s="5">
        <f ca="1">IFERROR(__xludf.DUMMYFUNCTION("""COMPUTED_VALUE"""),1)</f>
        <v>1</v>
      </c>
    </row>
    <row r="1604" spans="1:6" ht="15" customHeight="1" x14ac:dyDescent="0.2">
      <c r="A1604" s="5" t="str">
        <f ca="1">IFERROR(__xludf.DUMMYFUNCTION("""COMPUTED_VALUE"""),"MCRR")</f>
        <v>MCRR</v>
      </c>
      <c r="B1604" s="5" t="str">
        <f ca="1">IFERROR(__xludf.DUMMYFUNCTION("""COMPUTED_VALUE"""),"DYN'AERO")</f>
        <v>DYN'AERO</v>
      </c>
      <c r="C1604" s="5" t="str">
        <f ca="1">IFERROR(__xludf.DUMMYFUNCTION("""COMPUTED_VALUE"""),"MCR-R180")</f>
        <v>MCR-R180</v>
      </c>
      <c r="D1604" s="5" t="str">
        <f ca="1">IFERROR(__xludf.DUMMYFUNCTION("""COMPUTED_VALUE"""),"LandPlane")</f>
        <v>LandPlane</v>
      </c>
      <c r="E1604" s="5" t="str">
        <f ca="1">IFERROR(__xludf.DUMMYFUNCTION("""COMPUTED_VALUE"""),"Piston")</f>
        <v>Piston</v>
      </c>
      <c r="F1604" s="5">
        <f ca="1">IFERROR(__xludf.DUMMYFUNCTION("""COMPUTED_VALUE"""),1)</f>
        <v>1</v>
      </c>
    </row>
    <row r="1605" spans="1:6" ht="15" customHeight="1" x14ac:dyDescent="0.2">
      <c r="A1605" s="5" t="str">
        <f ca="1">IFERROR(__xludf.DUMMYFUNCTION("""COMPUTED_VALUE"""),"MCUL")</f>
        <v>MCUL</v>
      </c>
      <c r="B1605" s="5" t="str">
        <f ca="1">IFERROR(__xludf.DUMMYFUNCTION("""COMPUTED_VALUE"""),"KIMBALL")</f>
        <v>KIMBALL</v>
      </c>
      <c r="C1605" s="5" t="str">
        <f ca="1">IFERROR(__xludf.DUMMYFUNCTION("""COMPUTED_VALUE"""),"McCullocoupe")</f>
        <v>McCullocoupe</v>
      </c>
      <c r="D1605" s="5" t="str">
        <f ca="1">IFERROR(__xludf.DUMMYFUNCTION("""COMPUTED_VALUE"""),"LandPlane")</f>
        <v>LandPlane</v>
      </c>
      <c r="E1605" s="5" t="str">
        <f ca="1">IFERROR(__xludf.DUMMYFUNCTION("""COMPUTED_VALUE"""),"Piston")</f>
        <v>Piston</v>
      </c>
      <c r="F1605" s="5">
        <f ca="1">IFERROR(__xludf.DUMMYFUNCTION("""COMPUTED_VALUE"""),1)</f>
        <v>1</v>
      </c>
    </row>
    <row r="1606" spans="1:6" ht="15" customHeight="1" x14ac:dyDescent="0.2">
      <c r="A1606" s="5" t="str">
        <f ca="1">IFERROR(__xludf.DUMMYFUNCTION("""COMPUTED_VALUE"""),"MD11")</f>
        <v>MD11</v>
      </c>
      <c r="B1606" s="5" t="str">
        <f ca="1">IFERROR(__xludf.DUMMYFUNCTION("""COMPUTED_VALUE"""),"MCDONNELL DOUGLAS")</f>
        <v>MCDONNELL DOUGLAS</v>
      </c>
      <c r="C1606" s="5" t="str">
        <f ca="1">IFERROR(__xludf.DUMMYFUNCTION("""COMPUTED_VALUE"""),"MD-11")</f>
        <v>MD-11</v>
      </c>
      <c r="D1606" s="5" t="str">
        <f ca="1">IFERROR(__xludf.DUMMYFUNCTION("""COMPUTED_VALUE"""),"LandPlane")</f>
        <v>LandPlane</v>
      </c>
      <c r="E1606" s="5" t="str">
        <f ca="1">IFERROR(__xludf.DUMMYFUNCTION("""COMPUTED_VALUE"""),"Jet")</f>
        <v>Jet</v>
      </c>
      <c r="F1606" s="5">
        <f ca="1">IFERROR(__xludf.DUMMYFUNCTION("""COMPUTED_VALUE"""),3)</f>
        <v>3</v>
      </c>
    </row>
    <row r="1607" spans="1:6" ht="15" customHeight="1" x14ac:dyDescent="0.2">
      <c r="A1607" s="5" t="str">
        <f ca="1">IFERROR(__xludf.DUMMYFUNCTION("""COMPUTED_VALUE"""),"MD3")</f>
        <v>MD3</v>
      </c>
      <c r="B1607" s="5" t="str">
        <f ca="1">IFERROR(__xludf.DUMMYFUNCTION("""COMPUTED_VALUE"""),"DATWYLER")</f>
        <v>DATWYLER</v>
      </c>
      <c r="C1607" s="5" t="str">
        <f ca="1">IFERROR(__xludf.DUMMYFUNCTION("""COMPUTED_VALUE"""),"MD-3 Swiss Trainer")</f>
        <v>MD-3 Swiss Trainer</v>
      </c>
      <c r="D1607" s="5" t="str">
        <f ca="1">IFERROR(__xludf.DUMMYFUNCTION("""COMPUTED_VALUE"""),"LandPlane")</f>
        <v>LandPlane</v>
      </c>
      <c r="E1607" s="5" t="str">
        <f ca="1">IFERROR(__xludf.DUMMYFUNCTION("""COMPUTED_VALUE"""),"Piston")</f>
        <v>Piston</v>
      </c>
      <c r="F1607" s="5">
        <f ca="1">IFERROR(__xludf.DUMMYFUNCTION("""COMPUTED_VALUE"""),1)</f>
        <v>1</v>
      </c>
    </row>
    <row r="1608" spans="1:6" ht="15" customHeight="1" x14ac:dyDescent="0.2">
      <c r="A1608" s="5" t="str">
        <f ca="1">IFERROR(__xludf.DUMMYFUNCTION("""COMPUTED_VALUE"""),"MD3R")</f>
        <v>MD3R</v>
      </c>
      <c r="B1608" s="5" t="str">
        <f ca="1">IFERROR(__xludf.DUMMYFUNCTION("""COMPUTED_VALUE"""),"FLYITALIA")</f>
        <v>FLYITALIA</v>
      </c>
      <c r="C1608" s="5" t="str">
        <f ca="1">IFERROR(__xludf.DUMMYFUNCTION("""COMPUTED_VALUE"""),"MD-3 Rider")</f>
        <v>MD-3 Rider</v>
      </c>
      <c r="D1608" s="5" t="str">
        <f ca="1">IFERROR(__xludf.DUMMYFUNCTION("""COMPUTED_VALUE"""),"LandPlane")</f>
        <v>LandPlane</v>
      </c>
      <c r="E1608" s="5" t="str">
        <f ca="1">IFERROR(__xludf.DUMMYFUNCTION("""COMPUTED_VALUE"""),"Piston")</f>
        <v>Piston</v>
      </c>
      <c r="F1608" s="5">
        <f ca="1">IFERROR(__xludf.DUMMYFUNCTION("""COMPUTED_VALUE"""),1)</f>
        <v>1</v>
      </c>
    </row>
    <row r="1609" spans="1:6" ht="15" customHeight="1" x14ac:dyDescent="0.2">
      <c r="A1609" s="5" t="str">
        <f ca="1">IFERROR(__xludf.DUMMYFUNCTION("""COMPUTED_VALUE"""),"MD52")</f>
        <v>MD52</v>
      </c>
      <c r="B1609" s="5" t="str">
        <f ca="1">IFERROR(__xludf.DUMMYFUNCTION("""COMPUTED_VALUE"""),"MCDONNELL DOUGLAS")</f>
        <v>MCDONNELL DOUGLAS</v>
      </c>
      <c r="C1609" s="5" t="str">
        <f ca="1">IFERROR(__xludf.DUMMYFUNCTION("""COMPUTED_VALUE"""),"MD-520N")</f>
        <v>MD-520N</v>
      </c>
      <c r="D1609" s="5" t="str">
        <f ca="1">IFERROR(__xludf.DUMMYFUNCTION("""COMPUTED_VALUE"""),"Helicopter")</f>
        <v>Helicopter</v>
      </c>
      <c r="E1609" s="5" t="str">
        <f ca="1">IFERROR(__xludf.DUMMYFUNCTION("""COMPUTED_VALUE"""),"Turboprop/Turboshaft")</f>
        <v>Turboprop/Turboshaft</v>
      </c>
      <c r="F1609" s="5">
        <f ca="1">IFERROR(__xludf.DUMMYFUNCTION("""COMPUTED_VALUE"""),1)</f>
        <v>1</v>
      </c>
    </row>
    <row r="1610" spans="1:6" ht="15" customHeight="1" x14ac:dyDescent="0.2">
      <c r="A1610" s="5" t="str">
        <f ca="1">IFERROR(__xludf.DUMMYFUNCTION("""COMPUTED_VALUE"""),"MD60")</f>
        <v>MD60</v>
      </c>
      <c r="B1610" s="5" t="str">
        <f ca="1">IFERROR(__xludf.DUMMYFUNCTION("""COMPUTED_VALUE"""),"MCDONNELL DOUGLAS")</f>
        <v>MCDONNELL DOUGLAS</v>
      </c>
      <c r="C1610" s="5" t="str">
        <f ca="1">IFERROR(__xludf.DUMMYFUNCTION("""COMPUTED_VALUE"""),"MD-600N")</f>
        <v>MD-600N</v>
      </c>
      <c r="D1610" s="5" t="str">
        <f ca="1">IFERROR(__xludf.DUMMYFUNCTION("""COMPUTED_VALUE"""),"Helicopter")</f>
        <v>Helicopter</v>
      </c>
      <c r="E1610" s="5" t="str">
        <f ca="1">IFERROR(__xludf.DUMMYFUNCTION("""COMPUTED_VALUE"""),"Turboprop/Turboshaft")</f>
        <v>Turboprop/Turboshaft</v>
      </c>
      <c r="F1610" s="5">
        <f ca="1">IFERROR(__xludf.DUMMYFUNCTION("""COMPUTED_VALUE"""),1)</f>
        <v>1</v>
      </c>
    </row>
    <row r="1611" spans="1:6" ht="15" customHeight="1" x14ac:dyDescent="0.2">
      <c r="A1611" s="5" t="str">
        <f ca="1">IFERROR(__xludf.DUMMYFUNCTION("""COMPUTED_VALUE"""),"MD81")</f>
        <v>MD81</v>
      </c>
      <c r="B1611" s="5" t="str">
        <f ca="1">IFERROR(__xludf.DUMMYFUNCTION("""COMPUTED_VALUE"""),"MCDONNELL DOUGLAS")</f>
        <v>MCDONNELL DOUGLAS</v>
      </c>
      <c r="C1611" s="5" t="str">
        <f ca="1">IFERROR(__xludf.DUMMYFUNCTION("""COMPUTED_VALUE"""),"MD-81")</f>
        <v>MD-81</v>
      </c>
      <c r="D1611" s="5" t="str">
        <f ca="1">IFERROR(__xludf.DUMMYFUNCTION("""COMPUTED_VALUE"""),"LandPlane")</f>
        <v>LandPlane</v>
      </c>
      <c r="E1611" s="5" t="str">
        <f ca="1">IFERROR(__xludf.DUMMYFUNCTION("""COMPUTED_VALUE"""),"Jet")</f>
        <v>Jet</v>
      </c>
      <c r="F1611" s="5">
        <f ca="1">IFERROR(__xludf.DUMMYFUNCTION("""COMPUTED_VALUE"""),2)</f>
        <v>2</v>
      </c>
    </row>
    <row r="1612" spans="1:6" ht="15" customHeight="1" x14ac:dyDescent="0.2">
      <c r="A1612" s="5" t="str">
        <f ca="1">IFERROR(__xludf.DUMMYFUNCTION("""COMPUTED_VALUE"""),"MD82")</f>
        <v>MD82</v>
      </c>
      <c r="B1612" s="5" t="str">
        <f ca="1">IFERROR(__xludf.DUMMYFUNCTION("""COMPUTED_VALUE"""),"MCDONNELL DOUGLAS")</f>
        <v>MCDONNELL DOUGLAS</v>
      </c>
      <c r="C1612" s="5" t="str">
        <f ca="1">IFERROR(__xludf.DUMMYFUNCTION("""COMPUTED_VALUE"""),"MD-82")</f>
        <v>MD-82</v>
      </c>
      <c r="D1612" s="5" t="str">
        <f ca="1">IFERROR(__xludf.DUMMYFUNCTION("""COMPUTED_VALUE"""),"LandPlane")</f>
        <v>LandPlane</v>
      </c>
      <c r="E1612" s="5" t="str">
        <f ca="1">IFERROR(__xludf.DUMMYFUNCTION("""COMPUTED_VALUE"""),"Jet")</f>
        <v>Jet</v>
      </c>
      <c r="F1612" s="5">
        <f ca="1">IFERROR(__xludf.DUMMYFUNCTION("""COMPUTED_VALUE"""),2)</f>
        <v>2</v>
      </c>
    </row>
    <row r="1613" spans="1:6" ht="15" customHeight="1" x14ac:dyDescent="0.2">
      <c r="A1613" s="5" t="str">
        <f ca="1">IFERROR(__xludf.DUMMYFUNCTION("""COMPUTED_VALUE"""),"MD83")</f>
        <v>MD83</v>
      </c>
      <c r="B1613" s="5" t="str">
        <f ca="1">IFERROR(__xludf.DUMMYFUNCTION("""COMPUTED_VALUE"""),"MCDONNELL DOUGLAS")</f>
        <v>MCDONNELL DOUGLAS</v>
      </c>
      <c r="C1613" s="5" t="str">
        <f ca="1">IFERROR(__xludf.DUMMYFUNCTION("""COMPUTED_VALUE"""),"MD-83")</f>
        <v>MD-83</v>
      </c>
      <c r="D1613" s="5" t="str">
        <f ca="1">IFERROR(__xludf.DUMMYFUNCTION("""COMPUTED_VALUE"""),"LandPlane")</f>
        <v>LandPlane</v>
      </c>
      <c r="E1613" s="5" t="str">
        <f ca="1">IFERROR(__xludf.DUMMYFUNCTION("""COMPUTED_VALUE"""),"Jet")</f>
        <v>Jet</v>
      </c>
      <c r="F1613" s="5">
        <f ca="1">IFERROR(__xludf.DUMMYFUNCTION("""COMPUTED_VALUE"""),2)</f>
        <v>2</v>
      </c>
    </row>
    <row r="1614" spans="1:6" ht="15" customHeight="1" x14ac:dyDescent="0.2">
      <c r="A1614" s="5" t="str">
        <f ca="1">IFERROR(__xludf.DUMMYFUNCTION("""COMPUTED_VALUE"""),"MD87")</f>
        <v>MD87</v>
      </c>
      <c r="B1614" s="5" t="str">
        <f ca="1">IFERROR(__xludf.DUMMYFUNCTION("""COMPUTED_VALUE"""),"MCDONNELL DOUGLAS")</f>
        <v>MCDONNELL DOUGLAS</v>
      </c>
      <c r="C1614" s="5" t="str">
        <f ca="1">IFERROR(__xludf.DUMMYFUNCTION("""COMPUTED_VALUE"""),"MD-87")</f>
        <v>MD-87</v>
      </c>
      <c r="D1614" s="5" t="str">
        <f ca="1">IFERROR(__xludf.DUMMYFUNCTION("""COMPUTED_VALUE"""),"LandPlane")</f>
        <v>LandPlane</v>
      </c>
      <c r="E1614" s="5" t="str">
        <f ca="1">IFERROR(__xludf.DUMMYFUNCTION("""COMPUTED_VALUE"""),"Jet")</f>
        <v>Jet</v>
      </c>
      <c r="F1614" s="5">
        <f ca="1">IFERROR(__xludf.DUMMYFUNCTION("""COMPUTED_VALUE"""),2)</f>
        <v>2</v>
      </c>
    </row>
    <row r="1615" spans="1:6" ht="15" customHeight="1" x14ac:dyDescent="0.2">
      <c r="A1615" s="5" t="str">
        <f ca="1">IFERROR(__xludf.DUMMYFUNCTION("""COMPUTED_VALUE"""),"MD88")</f>
        <v>MD88</v>
      </c>
      <c r="B1615" s="5" t="str">
        <f ca="1">IFERROR(__xludf.DUMMYFUNCTION("""COMPUTED_VALUE"""),"MCDONNELL DOUGLAS")</f>
        <v>MCDONNELL DOUGLAS</v>
      </c>
      <c r="C1615" s="5" t="str">
        <f ca="1">IFERROR(__xludf.DUMMYFUNCTION("""COMPUTED_VALUE"""),"MD-88")</f>
        <v>MD-88</v>
      </c>
      <c r="D1615" s="5" t="str">
        <f ca="1">IFERROR(__xludf.DUMMYFUNCTION("""COMPUTED_VALUE"""),"LandPlane")</f>
        <v>LandPlane</v>
      </c>
      <c r="E1615" s="5" t="str">
        <f ca="1">IFERROR(__xludf.DUMMYFUNCTION("""COMPUTED_VALUE"""),"Jet")</f>
        <v>Jet</v>
      </c>
      <c r="F1615" s="5">
        <f ca="1">IFERROR(__xludf.DUMMYFUNCTION("""COMPUTED_VALUE"""),2)</f>
        <v>2</v>
      </c>
    </row>
    <row r="1616" spans="1:6" ht="15" customHeight="1" x14ac:dyDescent="0.2">
      <c r="A1616" s="5" t="str">
        <f ca="1">IFERROR(__xludf.DUMMYFUNCTION("""COMPUTED_VALUE"""),"MD90")</f>
        <v>MD90</v>
      </c>
      <c r="B1616" s="5" t="str">
        <f ca="1">IFERROR(__xludf.DUMMYFUNCTION("""COMPUTED_VALUE"""),"MCDONNELL DOUGLAS")</f>
        <v>MCDONNELL DOUGLAS</v>
      </c>
      <c r="C1616" s="5" t="str">
        <f ca="1">IFERROR(__xludf.DUMMYFUNCTION("""COMPUTED_VALUE"""),"MD-90")</f>
        <v>MD-90</v>
      </c>
      <c r="D1616" s="5" t="str">
        <f ca="1">IFERROR(__xludf.DUMMYFUNCTION("""COMPUTED_VALUE"""),"LandPlane")</f>
        <v>LandPlane</v>
      </c>
      <c r="E1616" s="5" t="str">
        <f ca="1">IFERROR(__xludf.DUMMYFUNCTION("""COMPUTED_VALUE"""),"Jet")</f>
        <v>Jet</v>
      </c>
      <c r="F1616" s="5">
        <f ca="1">IFERROR(__xludf.DUMMYFUNCTION("""COMPUTED_VALUE"""),2)</f>
        <v>2</v>
      </c>
    </row>
    <row r="1617" spans="1:6" ht="15" customHeight="1" x14ac:dyDescent="0.2">
      <c r="A1617" s="5" t="str">
        <f ca="1">IFERROR(__xludf.DUMMYFUNCTION("""COMPUTED_VALUE"""),"ME08")</f>
        <v>ME08</v>
      </c>
      <c r="B1617" s="5" t="str">
        <f ca="1">IFERROR(__xludf.DUMMYFUNCTION("""COMPUTED_VALUE"""),"MESSERSCHMITT")</f>
        <v>MESSERSCHMITT</v>
      </c>
      <c r="C1617" s="5" t="str">
        <f ca="1">IFERROR(__xludf.DUMMYFUNCTION("""COMPUTED_VALUE"""),"Bf-108 Taifun")</f>
        <v>Bf-108 Taifun</v>
      </c>
      <c r="D1617" s="5" t="str">
        <f ca="1">IFERROR(__xludf.DUMMYFUNCTION("""COMPUTED_VALUE"""),"LandPlane")</f>
        <v>LandPlane</v>
      </c>
      <c r="E1617" s="5" t="str">
        <f ca="1">IFERROR(__xludf.DUMMYFUNCTION("""COMPUTED_VALUE"""),"Piston")</f>
        <v>Piston</v>
      </c>
      <c r="F1617" s="5">
        <f ca="1">IFERROR(__xludf.DUMMYFUNCTION("""COMPUTED_VALUE"""),1)</f>
        <v>1</v>
      </c>
    </row>
    <row r="1618" spans="1:6" ht="15" customHeight="1" x14ac:dyDescent="0.2">
      <c r="A1618" s="5" t="str">
        <f ca="1">IFERROR(__xludf.DUMMYFUNCTION("""COMPUTED_VALUE"""),"ME09")</f>
        <v>ME09</v>
      </c>
      <c r="B1618" s="5" t="str">
        <f ca="1">IFERROR(__xludf.DUMMYFUNCTION("""COMPUTED_VALUE"""),"MESSERSCHMITT")</f>
        <v>MESSERSCHMITT</v>
      </c>
      <c r="C1618" s="5" t="str">
        <f ca="1">IFERROR(__xludf.DUMMYFUNCTION("""COMPUTED_VALUE"""),"Bf-109")</f>
        <v>Bf-109</v>
      </c>
      <c r="D1618" s="5" t="str">
        <f ca="1">IFERROR(__xludf.DUMMYFUNCTION("""COMPUTED_VALUE"""),"LandPlane")</f>
        <v>LandPlane</v>
      </c>
      <c r="E1618" s="5" t="str">
        <f ca="1">IFERROR(__xludf.DUMMYFUNCTION("""COMPUTED_VALUE"""),"Piston")</f>
        <v>Piston</v>
      </c>
      <c r="F1618" s="5">
        <f ca="1">IFERROR(__xludf.DUMMYFUNCTION("""COMPUTED_VALUE"""),1)</f>
        <v>1</v>
      </c>
    </row>
    <row r="1619" spans="1:6" ht="15" customHeight="1" x14ac:dyDescent="0.2">
      <c r="A1619" s="5" t="str">
        <f ca="1">IFERROR(__xludf.DUMMYFUNCTION("""COMPUTED_VALUE"""),"ME62")</f>
        <v>ME62</v>
      </c>
      <c r="B1619" s="5" t="str">
        <f ca="1">IFERROR(__xludf.DUMMYFUNCTION("""COMPUTED_VALUE"""),"MESSERSCHMITT")</f>
        <v>MESSERSCHMITT</v>
      </c>
      <c r="C1619" s="5" t="str">
        <f ca="1">IFERROR(__xludf.DUMMYFUNCTION("""COMPUTED_VALUE"""),"Me-262 Replica")</f>
        <v>Me-262 Replica</v>
      </c>
      <c r="D1619" s="5" t="str">
        <f ca="1">IFERROR(__xludf.DUMMYFUNCTION("""COMPUTED_VALUE"""),"LandPlane")</f>
        <v>LandPlane</v>
      </c>
      <c r="E1619" s="5" t="str">
        <f ca="1">IFERROR(__xludf.DUMMYFUNCTION("""COMPUTED_VALUE"""),"Jet")</f>
        <v>Jet</v>
      </c>
      <c r="F1619" s="5">
        <f ca="1">IFERROR(__xludf.DUMMYFUNCTION("""COMPUTED_VALUE"""),2)</f>
        <v>2</v>
      </c>
    </row>
    <row r="1620" spans="1:6" ht="15" customHeight="1" x14ac:dyDescent="0.2">
      <c r="A1620" s="5" t="str">
        <f ca="1">IFERROR(__xludf.DUMMYFUNCTION("""COMPUTED_VALUE"""),"MEAD")</f>
        <v>MEAD</v>
      </c>
      <c r="B1620" s="5" t="str">
        <f ca="1">IFERROR(__xludf.DUMMYFUNCTION("""COMPUTED_VALUE"""),"MEAD")</f>
        <v>MEAD</v>
      </c>
      <c r="C1620" s="5" t="str">
        <f ca="1">IFERROR(__xludf.DUMMYFUNCTION("""COMPUTED_VALUE"""),"Adventure")</f>
        <v>Adventure</v>
      </c>
      <c r="D1620" s="5" t="str">
        <f ca="1">IFERROR(__xludf.DUMMYFUNCTION("""COMPUTED_VALUE"""),"LandPlane")</f>
        <v>LandPlane</v>
      </c>
      <c r="E1620" s="5" t="str">
        <f ca="1">IFERROR(__xludf.DUMMYFUNCTION("""COMPUTED_VALUE"""),"Piston")</f>
        <v>Piston</v>
      </c>
      <c r="F1620" s="5">
        <f ca="1">IFERROR(__xludf.DUMMYFUNCTION("""COMPUTED_VALUE"""),1)</f>
        <v>1</v>
      </c>
    </row>
    <row r="1621" spans="1:6" ht="15" customHeight="1" x14ac:dyDescent="0.2">
      <c r="A1621" s="5" t="str">
        <f ca="1">IFERROR(__xludf.DUMMYFUNCTION("""COMPUTED_VALUE"""),"MEL2")</f>
        <v>MEL2</v>
      </c>
      <c r="B1621" s="5" t="str">
        <f ca="1">IFERROR(__xludf.DUMMYFUNCTION("""COMPUTED_VALUE"""),"GARRISON")</f>
        <v>GARRISON</v>
      </c>
      <c r="C1621" s="5" t="str">
        <f ca="1">IFERROR(__xludf.DUMMYFUNCTION("""COMPUTED_VALUE"""),"Melmoth 2")</f>
        <v>Melmoth 2</v>
      </c>
      <c r="D1621" s="5" t="str">
        <f ca="1">IFERROR(__xludf.DUMMYFUNCTION("""COMPUTED_VALUE"""),"LandPlane")</f>
        <v>LandPlane</v>
      </c>
      <c r="E1621" s="5" t="str">
        <f ca="1">IFERROR(__xludf.DUMMYFUNCTION("""COMPUTED_VALUE"""),"Piston")</f>
        <v>Piston</v>
      </c>
      <c r="F1621" s="5">
        <f ca="1">IFERROR(__xludf.DUMMYFUNCTION("""COMPUTED_VALUE"""),1)</f>
        <v>1</v>
      </c>
    </row>
    <row r="1622" spans="1:6" ht="15" customHeight="1" x14ac:dyDescent="0.2">
      <c r="A1622" s="5" t="str">
        <f ca="1">IFERROR(__xludf.DUMMYFUNCTION("""COMPUTED_VALUE"""),"MERK")</f>
        <v>MERK</v>
      </c>
      <c r="B1622" s="5" t="str">
        <f ca="1">IFERROR(__xludf.DUMMYFUNCTION("""COMPUTED_VALUE"""),"AVIATON")</f>
        <v>AVIATON</v>
      </c>
      <c r="C1622" s="5" t="str">
        <f ca="1">IFERROR(__xludf.DUMMYFUNCTION("""COMPUTED_VALUE"""),"Merkury")</f>
        <v>Merkury</v>
      </c>
      <c r="D1622" s="5" t="str">
        <f ca="1">IFERROR(__xludf.DUMMYFUNCTION("""COMPUTED_VALUE"""),"LandPlane")</f>
        <v>LandPlane</v>
      </c>
      <c r="E1622" s="5" t="str">
        <f ca="1">IFERROR(__xludf.DUMMYFUNCTION("""COMPUTED_VALUE"""),"Piston")</f>
        <v>Piston</v>
      </c>
      <c r="F1622" s="5">
        <f ca="1">IFERROR(__xludf.DUMMYFUNCTION("""COMPUTED_VALUE"""),2)</f>
        <v>2</v>
      </c>
    </row>
    <row r="1623" spans="1:6" ht="15" customHeight="1" x14ac:dyDescent="0.2">
      <c r="A1623" s="5" t="str">
        <f ca="1">IFERROR(__xludf.DUMMYFUNCTION("""COMPUTED_VALUE"""),"MESS")</f>
        <v>MESS</v>
      </c>
      <c r="B1623" s="5" t="str">
        <f ca="1">IFERROR(__xludf.DUMMYFUNCTION("""COMPUTED_VALUE"""),"MILES")</f>
        <v>MILES</v>
      </c>
      <c r="C1623" s="5" t="str">
        <f ca="1">IFERROR(__xludf.DUMMYFUNCTION("""COMPUTED_VALUE"""),"M-38 Messenger")</f>
        <v>M-38 Messenger</v>
      </c>
      <c r="D1623" s="5" t="str">
        <f ca="1">IFERROR(__xludf.DUMMYFUNCTION("""COMPUTED_VALUE"""),"LandPlane")</f>
        <v>LandPlane</v>
      </c>
      <c r="E1623" s="5" t="str">
        <f ca="1">IFERROR(__xludf.DUMMYFUNCTION("""COMPUTED_VALUE"""),"Piston")</f>
        <v>Piston</v>
      </c>
      <c r="F1623" s="5">
        <f ca="1">IFERROR(__xludf.DUMMYFUNCTION("""COMPUTED_VALUE"""),1)</f>
        <v>1</v>
      </c>
    </row>
    <row r="1624" spans="1:6" ht="15" customHeight="1" x14ac:dyDescent="0.2">
      <c r="A1624" s="5" t="str">
        <f ca="1">IFERROR(__xludf.DUMMYFUNCTION("""COMPUTED_VALUE"""),"METR")</f>
        <v>METR</v>
      </c>
      <c r="B1624" s="5" t="str">
        <f ca="1">IFERROR(__xludf.DUMMYFUNCTION("""COMPUTED_VALUE"""),"GLOSTER")</f>
        <v>GLOSTER</v>
      </c>
      <c r="C1624" s="5" t="str">
        <f ca="1">IFERROR(__xludf.DUMMYFUNCTION("""COMPUTED_VALUE"""),"Meteor")</f>
        <v>Meteor</v>
      </c>
      <c r="D1624" s="5" t="str">
        <f ca="1">IFERROR(__xludf.DUMMYFUNCTION("""COMPUTED_VALUE"""),"LandPlane")</f>
        <v>LandPlane</v>
      </c>
      <c r="E1624" s="5" t="str">
        <f ca="1">IFERROR(__xludf.DUMMYFUNCTION("""COMPUTED_VALUE"""),"Jet")</f>
        <v>Jet</v>
      </c>
      <c r="F1624" s="5">
        <f ca="1">IFERROR(__xludf.DUMMYFUNCTION("""COMPUTED_VALUE"""),2)</f>
        <v>2</v>
      </c>
    </row>
    <row r="1625" spans="1:6" ht="15" customHeight="1" x14ac:dyDescent="0.2">
      <c r="A1625" s="5" t="str">
        <f ca="1">IFERROR(__xludf.DUMMYFUNCTION("""COMPUTED_VALUE"""),"MEXP")</f>
        <v>MEXP</v>
      </c>
      <c r="B1625" s="5" t="str">
        <f ca="1">IFERROR(__xludf.DUMMYFUNCTION("""COMPUTED_VALUE"""),"MERLIN")</f>
        <v>MERLIN</v>
      </c>
      <c r="C1625" s="5" t="str">
        <f ca="1">IFERROR(__xludf.DUMMYFUNCTION("""COMPUTED_VALUE"""),"Explorer")</f>
        <v>Explorer</v>
      </c>
      <c r="D1625" s="5" t="str">
        <f ca="1">IFERROR(__xludf.DUMMYFUNCTION("""COMPUTED_VALUE"""),"LandPlane")</f>
        <v>LandPlane</v>
      </c>
      <c r="E1625" s="5" t="str">
        <f ca="1">IFERROR(__xludf.DUMMYFUNCTION("""COMPUTED_VALUE"""),"Piston")</f>
        <v>Piston</v>
      </c>
      <c r="F1625" s="5">
        <f ca="1">IFERROR(__xludf.DUMMYFUNCTION("""COMPUTED_VALUE"""),1)</f>
        <v>1</v>
      </c>
    </row>
    <row r="1626" spans="1:6" ht="15" customHeight="1" x14ac:dyDescent="0.2">
      <c r="A1626" s="5" t="str">
        <f ca="1">IFERROR(__xludf.DUMMYFUNCTION("""COMPUTED_VALUE"""),"MF10")</f>
        <v>MF10</v>
      </c>
      <c r="B1626" s="5" t="str">
        <f ca="1">IFERROR(__xludf.DUMMYFUNCTION("""COMPUTED_VALUE"""),"MALMO")</f>
        <v>MALMO</v>
      </c>
      <c r="C1626" s="5" t="str">
        <f ca="1">IFERROR(__xludf.DUMMYFUNCTION("""COMPUTED_VALUE"""),"MFI-10 Vipan")</f>
        <v>MFI-10 Vipan</v>
      </c>
      <c r="D1626" s="5" t="str">
        <f ca="1">IFERROR(__xludf.DUMMYFUNCTION("""COMPUTED_VALUE"""),"LandPlane")</f>
        <v>LandPlane</v>
      </c>
      <c r="E1626" s="5" t="str">
        <f ca="1">IFERROR(__xludf.DUMMYFUNCTION("""COMPUTED_VALUE"""),"Piston")</f>
        <v>Piston</v>
      </c>
      <c r="F1626" s="5">
        <f ca="1">IFERROR(__xludf.DUMMYFUNCTION("""COMPUTED_VALUE"""),1)</f>
        <v>1</v>
      </c>
    </row>
    <row r="1627" spans="1:6" ht="15" customHeight="1" x14ac:dyDescent="0.2">
      <c r="A1627" s="5" t="str">
        <f ca="1">IFERROR(__xludf.DUMMYFUNCTION("""COMPUTED_VALUE"""),"MF17")</f>
        <v>MF17</v>
      </c>
      <c r="B1627" s="5" t="str">
        <f ca="1">IFERROR(__xludf.DUMMYFUNCTION("""COMPUTED_VALUE"""),"SAAB")</f>
        <v>SAAB</v>
      </c>
      <c r="C1627" s="5" t="str">
        <f ca="1">IFERROR(__xludf.DUMMYFUNCTION("""COMPUTED_VALUE"""),"MFI-17 Supporter")</f>
        <v>MFI-17 Supporter</v>
      </c>
      <c r="D1627" s="5" t="str">
        <f ca="1">IFERROR(__xludf.DUMMYFUNCTION("""COMPUTED_VALUE"""),"LandPlane")</f>
        <v>LandPlane</v>
      </c>
      <c r="E1627" s="5" t="str">
        <f ca="1">IFERROR(__xludf.DUMMYFUNCTION("""COMPUTED_VALUE"""),"Piston")</f>
        <v>Piston</v>
      </c>
      <c r="F1627" s="5">
        <f ca="1">IFERROR(__xludf.DUMMYFUNCTION("""COMPUTED_VALUE"""),1)</f>
        <v>1</v>
      </c>
    </row>
    <row r="1628" spans="1:6" ht="15" customHeight="1" x14ac:dyDescent="0.2">
      <c r="A1628" s="5" t="str">
        <f ca="1">IFERROR(__xludf.DUMMYFUNCTION("""COMPUTED_VALUE"""),"MG15")</f>
        <v>MG15</v>
      </c>
      <c r="B1628" s="5" t="str">
        <f ca="1">IFERROR(__xludf.DUMMYFUNCTION("""COMPUTED_VALUE"""),"MIKOYAN")</f>
        <v>MIKOYAN</v>
      </c>
      <c r="C1628" s="5" t="str">
        <f ca="1">IFERROR(__xludf.DUMMYFUNCTION("""COMPUTED_VALUE"""),"MiG-15")</f>
        <v>MiG-15</v>
      </c>
      <c r="D1628" s="5" t="str">
        <f ca="1">IFERROR(__xludf.DUMMYFUNCTION("""COMPUTED_VALUE"""),"LandPlane")</f>
        <v>LandPlane</v>
      </c>
      <c r="E1628" s="5" t="str">
        <f ca="1">IFERROR(__xludf.DUMMYFUNCTION("""COMPUTED_VALUE"""),"Jet")</f>
        <v>Jet</v>
      </c>
      <c r="F1628" s="5">
        <f ca="1">IFERROR(__xludf.DUMMYFUNCTION("""COMPUTED_VALUE"""),1)</f>
        <v>1</v>
      </c>
    </row>
    <row r="1629" spans="1:6" ht="15" customHeight="1" x14ac:dyDescent="0.2">
      <c r="A1629" s="5" t="str">
        <f ca="1">IFERROR(__xludf.DUMMYFUNCTION("""COMPUTED_VALUE"""),"MG17")</f>
        <v>MG17</v>
      </c>
      <c r="B1629" s="5" t="str">
        <f ca="1">IFERROR(__xludf.DUMMYFUNCTION("""COMPUTED_VALUE"""),"MIKOYAN")</f>
        <v>MIKOYAN</v>
      </c>
      <c r="C1629" s="5" t="str">
        <f ca="1">IFERROR(__xludf.DUMMYFUNCTION("""COMPUTED_VALUE"""),"MiG-17")</f>
        <v>MiG-17</v>
      </c>
      <c r="D1629" s="5" t="str">
        <f ca="1">IFERROR(__xludf.DUMMYFUNCTION("""COMPUTED_VALUE"""),"LandPlane")</f>
        <v>LandPlane</v>
      </c>
      <c r="E1629" s="5" t="str">
        <f ca="1">IFERROR(__xludf.DUMMYFUNCTION("""COMPUTED_VALUE"""),"Jet")</f>
        <v>Jet</v>
      </c>
      <c r="F1629" s="5">
        <f ca="1">IFERROR(__xludf.DUMMYFUNCTION("""COMPUTED_VALUE"""),1)</f>
        <v>1</v>
      </c>
    </row>
    <row r="1630" spans="1:6" ht="15" customHeight="1" x14ac:dyDescent="0.2">
      <c r="A1630" s="5" t="str">
        <f ca="1">IFERROR(__xludf.DUMMYFUNCTION("""COMPUTED_VALUE"""),"MG19")</f>
        <v>MG19</v>
      </c>
      <c r="B1630" s="5" t="str">
        <f ca="1">IFERROR(__xludf.DUMMYFUNCTION("""COMPUTED_VALUE"""),"MIKOYAN")</f>
        <v>MIKOYAN</v>
      </c>
      <c r="C1630" s="5" t="str">
        <f ca="1">IFERROR(__xludf.DUMMYFUNCTION("""COMPUTED_VALUE"""),"MiG-19")</f>
        <v>MiG-19</v>
      </c>
      <c r="D1630" s="5" t="str">
        <f ca="1">IFERROR(__xludf.DUMMYFUNCTION("""COMPUTED_VALUE"""),"LandPlane")</f>
        <v>LandPlane</v>
      </c>
      <c r="E1630" s="5" t="str">
        <f ca="1">IFERROR(__xludf.DUMMYFUNCTION("""COMPUTED_VALUE"""),"Jet")</f>
        <v>Jet</v>
      </c>
      <c r="F1630" s="5">
        <f ca="1">IFERROR(__xludf.DUMMYFUNCTION("""COMPUTED_VALUE"""),2)</f>
        <v>2</v>
      </c>
    </row>
    <row r="1631" spans="1:6" ht="15" customHeight="1" x14ac:dyDescent="0.2">
      <c r="A1631" s="5" t="str">
        <f ca="1">IFERROR(__xludf.DUMMYFUNCTION("""COMPUTED_VALUE"""),"MG21")</f>
        <v>MG21</v>
      </c>
      <c r="B1631" s="5" t="str">
        <f ca="1">IFERROR(__xludf.DUMMYFUNCTION("""COMPUTED_VALUE"""),"MIKOYAN")</f>
        <v>MIKOYAN</v>
      </c>
      <c r="C1631" s="5" t="str">
        <f ca="1">IFERROR(__xludf.DUMMYFUNCTION("""COMPUTED_VALUE"""),"MiG-21")</f>
        <v>MiG-21</v>
      </c>
      <c r="D1631" s="5" t="str">
        <f ca="1">IFERROR(__xludf.DUMMYFUNCTION("""COMPUTED_VALUE"""),"LandPlane")</f>
        <v>LandPlane</v>
      </c>
      <c r="E1631" s="5" t="str">
        <f ca="1">IFERROR(__xludf.DUMMYFUNCTION("""COMPUTED_VALUE"""),"Jet")</f>
        <v>Jet</v>
      </c>
      <c r="F1631" s="5">
        <f ca="1">IFERROR(__xludf.DUMMYFUNCTION("""COMPUTED_VALUE"""),1)</f>
        <v>1</v>
      </c>
    </row>
    <row r="1632" spans="1:6" ht="15" customHeight="1" x14ac:dyDescent="0.2">
      <c r="A1632" s="5" t="str">
        <f ca="1">IFERROR(__xludf.DUMMYFUNCTION("""COMPUTED_VALUE"""),"MG23")</f>
        <v>MG23</v>
      </c>
      <c r="B1632" s="5" t="str">
        <f ca="1">IFERROR(__xludf.DUMMYFUNCTION("""COMPUTED_VALUE"""),"MIKOYAN")</f>
        <v>MIKOYAN</v>
      </c>
      <c r="C1632" s="5" t="str">
        <f ca="1">IFERROR(__xludf.DUMMYFUNCTION("""COMPUTED_VALUE"""),"MiG-23")</f>
        <v>MiG-23</v>
      </c>
      <c r="D1632" s="5" t="str">
        <f ca="1">IFERROR(__xludf.DUMMYFUNCTION("""COMPUTED_VALUE"""),"LandPlane")</f>
        <v>LandPlane</v>
      </c>
      <c r="E1632" s="5" t="str">
        <f ca="1">IFERROR(__xludf.DUMMYFUNCTION("""COMPUTED_VALUE"""),"Jet")</f>
        <v>Jet</v>
      </c>
      <c r="F1632" s="5">
        <f ca="1">IFERROR(__xludf.DUMMYFUNCTION("""COMPUTED_VALUE"""),1)</f>
        <v>1</v>
      </c>
    </row>
    <row r="1633" spans="1:6" ht="15" customHeight="1" x14ac:dyDescent="0.2">
      <c r="A1633" s="5" t="str">
        <f ca="1">IFERROR(__xludf.DUMMYFUNCTION("""COMPUTED_VALUE"""),"MG29")</f>
        <v>MG29</v>
      </c>
      <c r="B1633" s="5" t="str">
        <f ca="1">IFERROR(__xludf.DUMMYFUNCTION("""COMPUTED_VALUE"""),"MIKOYAN")</f>
        <v>MIKOYAN</v>
      </c>
      <c r="C1633" s="5" t="str">
        <f ca="1">IFERROR(__xludf.DUMMYFUNCTION("""COMPUTED_VALUE"""),"MiG-29")</f>
        <v>MiG-29</v>
      </c>
      <c r="D1633" s="5" t="str">
        <f ca="1">IFERROR(__xludf.DUMMYFUNCTION("""COMPUTED_VALUE"""),"LandPlane")</f>
        <v>LandPlane</v>
      </c>
      <c r="E1633" s="5" t="str">
        <f ca="1">IFERROR(__xludf.DUMMYFUNCTION("""COMPUTED_VALUE"""),"Jet")</f>
        <v>Jet</v>
      </c>
      <c r="F1633" s="5">
        <f ca="1">IFERROR(__xludf.DUMMYFUNCTION("""COMPUTED_VALUE"""),2)</f>
        <v>2</v>
      </c>
    </row>
    <row r="1634" spans="1:6" ht="15" customHeight="1" x14ac:dyDescent="0.2">
      <c r="A1634" s="5" t="str">
        <f ca="1">IFERROR(__xludf.DUMMYFUNCTION("""COMPUTED_VALUE"""),"MG31")</f>
        <v>MG31</v>
      </c>
      <c r="B1634" s="5" t="str">
        <f ca="1">IFERROR(__xludf.DUMMYFUNCTION("""COMPUTED_VALUE"""),"MIKOYAN")</f>
        <v>MIKOYAN</v>
      </c>
      <c r="C1634" s="5" t="str">
        <f ca="1">IFERROR(__xludf.DUMMYFUNCTION("""COMPUTED_VALUE"""),"MiG-31")</f>
        <v>MiG-31</v>
      </c>
      <c r="D1634" s="5" t="str">
        <f ca="1">IFERROR(__xludf.DUMMYFUNCTION("""COMPUTED_VALUE"""),"LandPlane")</f>
        <v>LandPlane</v>
      </c>
      <c r="E1634" s="5" t="str">
        <f ca="1">IFERROR(__xludf.DUMMYFUNCTION("""COMPUTED_VALUE"""),"Jet")</f>
        <v>Jet</v>
      </c>
      <c r="F1634" s="5">
        <f ca="1">IFERROR(__xludf.DUMMYFUNCTION("""COMPUTED_VALUE"""),2)</f>
        <v>2</v>
      </c>
    </row>
    <row r="1635" spans="1:6" ht="15" customHeight="1" x14ac:dyDescent="0.2">
      <c r="A1635" s="5" t="str">
        <f ca="1">IFERROR(__xludf.DUMMYFUNCTION("""COMPUTED_VALUE"""),"MG44")</f>
        <v>MG44</v>
      </c>
      <c r="B1635" s="5" t="str">
        <f ca="1">IFERROR(__xludf.DUMMYFUNCTION("""COMPUTED_VALUE"""),"MIKOYAN")</f>
        <v>MIKOYAN</v>
      </c>
      <c r="C1635" s="5" t="str">
        <f ca="1">IFERROR(__xludf.DUMMYFUNCTION("""COMPUTED_VALUE"""),"MiG 1-44")</f>
        <v>MiG 1-44</v>
      </c>
      <c r="D1635" s="5" t="str">
        <f ca="1">IFERROR(__xludf.DUMMYFUNCTION("""COMPUTED_VALUE"""),"LandPlane")</f>
        <v>LandPlane</v>
      </c>
      <c r="E1635" s="5" t="str">
        <f ca="1">IFERROR(__xludf.DUMMYFUNCTION("""COMPUTED_VALUE"""),"Jet")</f>
        <v>Jet</v>
      </c>
      <c r="F1635" s="5">
        <f ca="1">IFERROR(__xludf.DUMMYFUNCTION("""COMPUTED_VALUE"""),2)</f>
        <v>2</v>
      </c>
    </row>
    <row r="1636" spans="1:6" ht="15" customHeight="1" x14ac:dyDescent="0.2">
      <c r="A1636" s="5" t="str">
        <f ca="1">IFERROR(__xludf.DUMMYFUNCTION("""COMPUTED_VALUE"""),"MGAT")</f>
        <v>MGAT</v>
      </c>
      <c r="B1636" s="5" t="str">
        <f ca="1">IFERROR(__xludf.DUMMYFUNCTION("""COMPUTED_VALUE"""),"MIKOYAN")</f>
        <v>MIKOYAN</v>
      </c>
      <c r="C1636" s="5" t="str">
        <f ca="1">IFERROR(__xludf.DUMMYFUNCTION("""COMPUTED_VALUE"""),"MiG-AT")</f>
        <v>MiG-AT</v>
      </c>
      <c r="D1636" s="5" t="str">
        <f ca="1">IFERROR(__xludf.DUMMYFUNCTION("""COMPUTED_VALUE"""),"LandPlane")</f>
        <v>LandPlane</v>
      </c>
      <c r="E1636" s="5" t="str">
        <f ca="1">IFERROR(__xludf.DUMMYFUNCTION("""COMPUTED_VALUE"""),"Jet")</f>
        <v>Jet</v>
      </c>
      <c r="F1636" s="5">
        <f ca="1">IFERROR(__xludf.DUMMYFUNCTION("""COMPUTED_VALUE"""),1)</f>
        <v>1</v>
      </c>
    </row>
    <row r="1637" spans="1:6" ht="15" customHeight="1" x14ac:dyDescent="0.2">
      <c r="A1637" s="5" t="str">
        <f ca="1">IFERROR(__xludf.DUMMYFUNCTION("""COMPUTED_VALUE"""),"MGIC")</f>
        <v>MGIC</v>
      </c>
      <c r="B1637" s="5" t="str">
        <f ca="1">IFERROR(__xludf.DUMMYFUNCTION("""COMPUTED_VALUE"""),"KAISER")</f>
        <v>KAISER</v>
      </c>
      <c r="C1637" s="5" t="str">
        <f ca="1">IFERROR(__xludf.DUMMYFUNCTION("""COMPUTED_VALUE"""),"Magic")</f>
        <v>Magic</v>
      </c>
      <c r="D1637" s="5" t="str">
        <f ca="1">IFERROR(__xludf.DUMMYFUNCTION("""COMPUTED_VALUE"""),"LandPlane")</f>
        <v>LandPlane</v>
      </c>
      <c r="E1637" s="5" t="str">
        <f ca="1">IFERROR(__xludf.DUMMYFUNCTION("""COMPUTED_VALUE"""),"Piston")</f>
        <v>Piston</v>
      </c>
      <c r="F1637" s="5">
        <f ca="1">IFERROR(__xludf.DUMMYFUNCTION("""COMPUTED_VALUE"""),1)</f>
        <v>1</v>
      </c>
    </row>
    <row r="1638" spans="1:6" ht="15" customHeight="1" x14ac:dyDescent="0.2">
      <c r="A1638" s="5" t="str">
        <f ca="1">IFERROR(__xludf.DUMMYFUNCTION("""COMPUTED_VALUE"""),"MGNM")</f>
        <v>MGNM</v>
      </c>
      <c r="B1638" s="5" t="str">
        <f ca="1">IFERROR(__xludf.DUMMYFUNCTION("""COMPUTED_VALUE"""),"AVIATION ENTERPRISES")</f>
        <v>AVIATION ENTERPRISES</v>
      </c>
      <c r="C1638" s="5" t="str">
        <f ca="1">IFERROR(__xludf.DUMMYFUNCTION("""COMPUTED_VALUE"""),"Magnum")</f>
        <v>Magnum</v>
      </c>
      <c r="D1638" s="5" t="str">
        <f ca="1">IFERROR(__xludf.DUMMYFUNCTION("""COMPUTED_VALUE"""),"LandPlane")</f>
        <v>LandPlane</v>
      </c>
      <c r="E1638" s="5" t="str">
        <f ca="1">IFERROR(__xludf.DUMMYFUNCTION("""COMPUTED_VALUE"""),"Piston")</f>
        <v>Piston</v>
      </c>
      <c r="F1638" s="5">
        <f ca="1">IFERROR(__xludf.DUMMYFUNCTION("""COMPUTED_VALUE"""),1)</f>
        <v>1</v>
      </c>
    </row>
    <row r="1639" spans="1:6" ht="15" customHeight="1" x14ac:dyDescent="0.2">
      <c r="A1639" s="5" t="str">
        <f ca="1">IFERROR(__xludf.DUMMYFUNCTION("""COMPUTED_VALUE"""),"MH20")</f>
        <v>MH20</v>
      </c>
      <c r="B1639" s="5" t="str">
        <f ca="1">IFERROR(__xludf.DUMMYFUNCTION("""COMPUTED_VALUE"""),"MITSUBISHI")</f>
        <v>MITSUBISHI</v>
      </c>
      <c r="C1639" s="5" t="str">
        <f ca="1">IFERROR(__xludf.DUMMYFUNCTION("""COMPUTED_VALUE"""),"MH-2000")</f>
        <v>MH-2000</v>
      </c>
      <c r="D1639" s="5" t="str">
        <f ca="1">IFERROR(__xludf.DUMMYFUNCTION("""COMPUTED_VALUE"""),"Helicopter")</f>
        <v>Helicopter</v>
      </c>
      <c r="E1639" s="5" t="str">
        <f ca="1">IFERROR(__xludf.DUMMYFUNCTION("""COMPUTED_VALUE"""),"Turboprop/Turboshaft")</f>
        <v>Turboprop/Turboshaft</v>
      </c>
      <c r="F1639" s="5">
        <f ca="1">IFERROR(__xludf.DUMMYFUNCTION("""COMPUTED_VALUE"""),2)</f>
        <v>2</v>
      </c>
    </row>
    <row r="1640" spans="1:6" ht="15" customHeight="1" x14ac:dyDescent="0.2">
      <c r="A1640" s="5" t="str">
        <f ca="1">IFERROR(__xludf.DUMMYFUNCTION("""COMPUTED_VALUE"""),"MH46")</f>
        <v>MH46</v>
      </c>
      <c r="B1640" s="5" t="str">
        <f ca="1">IFERROR(__xludf.DUMMYFUNCTION("""COMPUTED_VALUE"""),"AEROSETTE")</f>
        <v>AEROSETTE</v>
      </c>
      <c r="C1640" s="5" t="str">
        <f ca="1">IFERROR(__xludf.DUMMYFUNCTION("""COMPUTED_VALUE"""),"MH-46 Eclipse")</f>
        <v>MH-46 Eclipse</v>
      </c>
      <c r="D1640" s="5" t="str">
        <f ca="1">IFERROR(__xludf.DUMMYFUNCTION("""COMPUTED_VALUE"""),"LandPlane")</f>
        <v>LandPlane</v>
      </c>
      <c r="E1640" s="5" t="str">
        <f ca="1">IFERROR(__xludf.DUMMYFUNCTION("""COMPUTED_VALUE"""),"Piston")</f>
        <v>Piston</v>
      </c>
      <c r="F1640" s="5">
        <f ca="1">IFERROR(__xludf.DUMMYFUNCTION("""COMPUTED_VALUE"""),1)</f>
        <v>1</v>
      </c>
    </row>
    <row r="1641" spans="1:6" ht="15" customHeight="1" x14ac:dyDescent="0.2">
      <c r="A1641" s="5" t="str">
        <f ca="1">IFERROR(__xludf.DUMMYFUNCTION("""COMPUTED_VALUE"""),"MI10")</f>
        <v>MI10</v>
      </c>
      <c r="B1641" s="5" t="str">
        <f ca="1">IFERROR(__xludf.DUMMYFUNCTION("""COMPUTED_VALUE"""),"MIL")</f>
        <v>MIL</v>
      </c>
      <c r="C1641" s="5" t="str">
        <f ca="1">IFERROR(__xludf.DUMMYFUNCTION("""COMPUTED_VALUE"""),"Mi-10")</f>
        <v>Mi-10</v>
      </c>
      <c r="D1641" s="5" t="str">
        <f ca="1">IFERROR(__xludf.DUMMYFUNCTION("""COMPUTED_VALUE"""),"Helicopter")</f>
        <v>Helicopter</v>
      </c>
      <c r="E1641" s="5" t="str">
        <f ca="1">IFERROR(__xludf.DUMMYFUNCTION("""COMPUTED_VALUE"""),"Turboprop/Turboshaft")</f>
        <v>Turboprop/Turboshaft</v>
      </c>
      <c r="F1641" s="5">
        <f ca="1">IFERROR(__xludf.DUMMYFUNCTION("""COMPUTED_VALUE"""),2)</f>
        <v>2</v>
      </c>
    </row>
    <row r="1642" spans="1:6" ht="15" customHeight="1" x14ac:dyDescent="0.2">
      <c r="A1642" s="5" t="str">
        <f ca="1">IFERROR(__xludf.DUMMYFUNCTION("""COMPUTED_VALUE"""),"MI14")</f>
        <v>MI14</v>
      </c>
      <c r="B1642" s="5" t="str">
        <f ca="1">IFERROR(__xludf.DUMMYFUNCTION("""COMPUTED_VALUE"""),"MIL")</f>
        <v>MIL</v>
      </c>
      <c r="C1642" s="5" t="str">
        <f ca="1">IFERROR(__xludf.DUMMYFUNCTION("""COMPUTED_VALUE"""),"Mi-14")</f>
        <v>Mi-14</v>
      </c>
      <c r="D1642" s="5" t="str">
        <f ca="1">IFERROR(__xludf.DUMMYFUNCTION("""COMPUTED_VALUE"""),"Helicopter")</f>
        <v>Helicopter</v>
      </c>
      <c r="E1642" s="5" t="str">
        <f ca="1">IFERROR(__xludf.DUMMYFUNCTION("""COMPUTED_VALUE"""),"Turboprop/Turboshaft")</f>
        <v>Turboprop/Turboshaft</v>
      </c>
      <c r="F1642" s="5">
        <f ca="1">IFERROR(__xludf.DUMMYFUNCTION("""COMPUTED_VALUE"""),2)</f>
        <v>2</v>
      </c>
    </row>
    <row r="1643" spans="1:6" ht="15" customHeight="1" x14ac:dyDescent="0.2">
      <c r="A1643" s="5" t="str">
        <f ca="1">IFERROR(__xludf.DUMMYFUNCTION("""COMPUTED_VALUE"""),"MI2")</f>
        <v>MI2</v>
      </c>
      <c r="B1643" s="5" t="str">
        <f ca="1">IFERROR(__xludf.DUMMYFUNCTION("""COMPUTED_VALUE"""),"MIL")</f>
        <v>MIL</v>
      </c>
      <c r="C1643" s="5" t="str">
        <f ca="1">IFERROR(__xludf.DUMMYFUNCTION("""COMPUTED_VALUE"""),"Mi-2")</f>
        <v>Mi-2</v>
      </c>
      <c r="D1643" s="5" t="str">
        <f ca="1">IFERROR(__xludf.DUMMYFUNCTION("""COMPUTED_VALUE"""),"Helicopter")</f>
        <v>Helicopter</v>
      </c>
      <c r="E1643" s="5" t="str">
        <f ca="1">IFERROR(__xludf.DUMMYFUNCTION("""COMPUTED_VALUE"""),"Turboprop/Turboshaft")</f>
        <v>Turboprop/Turboshaft</v>
      </c>
      <c r="F1643" s="5">
        <f ca="1">IFERROR(__xludf.DUMMYFUNCTION("""COMPUTED_VALUE"""),2)</f>
        <v>2</v>
      </c>
    </row>
    <row r="1644" spans="1:6" ht="15" customHeight="1" x14ac:dyDescent="0.2">
      <c r="A1644" s="5" t="str">
        <f ca="1">IFERROR(__xludf.DUMMYFUNCTION("""COMPUTED_VALUE"""),"MI24")</f>
        <v>MI24</v>
      </c>
      <c r="B1644" s="5" t="str">
        <f ca="1">IFERROR(__xludf.DUMMYFUNCTION("""COMPUTED_VALUE"""),"MIL")</f>
        <v>MIL</v>
      </c>
      <c r="C1644" s="5" t="str">
        <f ca="1">IFERROR(__xludf.DUMMYFUNCTION("""COMPUTED_VALUE"""),"Mi-24")</f>
        <v>Mi-24</v>
      </c>
      <c r="D1644" s="5" t="str">
        <f ca="1">IFERROR(__xludf.DUMMYFUNCTION("""COMPUTED_VALUE"""),"Helicopter")</f>
        <v>Helicopter</v>
      </c>
      <c r="E1644" s="5" t="str">
        <f ca="1">IFERROR(__xludf.DUMMYFUNCTION("""COMPUTED_VALUE"""),"Turboprop/Turboshaft")</f>
        <v>Turboprop/Turboshaft</v>
      </c>
      <c r="F1644" s="5">
        <f ca="1">IFERROR(__xludf.DUMMYFUNCTION("""COMPUTED_VALUE"""),2)</f>
        <v>2</v>
      </c>
    </row>
    <row r="1645" spans="1:6" ht="15" customHeight="1" x14ac:dyDescent="0.2">
      <c r="A1645" s="5" t="str">
        <f ca="1">IFERROR(__xludf.DUMMYFUNCTION("""COMPUTED_VALUE"""),"MI28")</f>
        <v>MI28</v>
      </c>
      <c r="B1645" s="5" t="str">
        <f ca="1">IFERROR(__xludf.DUMMYFUNCTION("""COMPUTED_VALUE"""),"MIL")</f>
        <v>MIL</v>
      </c>
      <c r="C1645" s="5" t="str">
        <f ca="1">IFERROR(__xludf.DUMMYFUNCTION("""COMPUTED_VALUE"""),"Mi-28")</f>
        <v>Mi-28</v>
      </c>
      <c r="D1645" s="5" t="str">
        <f ca="1">IFERROR(__xludf.DUMMYFUNCTION("""COMPUTED_VALUE"""),"Helicopter")</f>
        <v>Helicopter</v>
      </c>
      <c r="E1645" s="5" t="str">
        <f ca="1">IFERROR(__xludf.DUMMYFUNCTION("""COMPUTED_VALUE"""),"Turboprop/Turboshaft")</f>
        <v>Turboprop/Turboshaft</v>
      </c>
      <c r="F1645" s="5">
        <f ca="1">IFERROR(__xludf.DUMMYFUNCTION("""COMPUTED_VALUE"""),2)</f>
        <v>2</v>
      </c>
    </row>
    <row r="1646" spans="1:6" ht="15" customHeight="1" x14ac:dyDescent="0.2">
      <c r="A1646" s="5" t="str">
        <f ca="1">IFERROR(__xludf.DUMMYFUNCTION("""COMPUTED_VALUE"""),"MI34")</f>
        <v>MI34</v>
      </c>
      <c r="B1646" s="5" t="str">
        <f ca="1">IFERROR(__xludf.DUMMYFUNCTION("""COMPUTED_VALUE"""),"MIL")</f>
        <v>MIL</v>
      </c>
      <c r="C1646" s="5" t="str">
        <f ca="1">IFERROR(__xludf.DUMMYFUNCTION("""COMPUTED_VALUE"""),"Mi-34")</f>
        <v>Mi-34</v>
      </c>
      <c r="D1646" s="5" t="str">
        <f ca="1">IFERROR(__xludf.DUMMYFUNCTION("""COMPUTED_VALUE"""),"Helicopter")</f>
        <v>Helicopter</v>
      </c>
      <c r="E1646" s="5" t="str">
        <f ca="1">IFERROR(__xludf.DUMMYFUNCTION("""COMPUTED_VALUE"""),"Piston")</f>
        <v>Piston</v>
      </c>
      <c r="F1646" s="5">
        <f ca="1">IFERROR(__xludf.DUMMYFUNCTION("""COMPUTED_VALUE"""),1)</f>
        <v>1</v>
      </c>
    </row>
    <row r="1647" spans="1:6" ht="15" customHeight="1" x14ac:dyDescent="0.2">
      <c r="A1647" s="5" t="str">
        <f ca="1">IFERROR(__xludf.DUMMYFUNCTION("""COMPUTED_VALUE"""),"MI38")</f>
        <v>MI38</v>
      </c>
      <c r="B1647" s="5" t="str">
        <f ca="1">IFERROR(__xludf.DUMMYFUNCTION("""COMPUTED_VALUE"""),"MIL")</f>
        <v>MIL</v>
      </c>
      <c r="C1647" s="5" t="str">
        <f ca="1">IFERROR(__xludf.DUMMYFUNCTION("""COMPUTED_VALUE"""),"Mi-38")</f>
        <v>Mi-38</v>
      </c>
      <c r="D1647" s="5" t="str">
        <f ca="1">IFERROR(__xludf.DUMMYFUNCTION("""COMPUTED_VALUE"""),"Helicopter")</f>
        <v>Helicopter</v>
      </c>
      <c r="E1647" s="5" t="str">
        <f ca="1">IFERROR(__xludf.DUMMYFUNCTION("""COMPUTED_VALUE"""),"Turboprop/Turboshaft")</f>
        <v>Turboprop/Turboshaft</v>
      </c>
      <c r="F1647" s="5">
        <f ca="1">IFERROR(__xludf.DUMMYFUNCTION("""COMPUTED_VALUE"""),2)</f>
        <v>2</v>
      </c>
    </row>
    <row r="1648" spans="1:6" ht="15" customHeight="1" x14ac:dyDescent="0.2">
      <c r="A1648" s="5" t="str">
        <f ca="1">IFERROR(__xludf.DUMMYFUNCTION("""COMPUTED_VALUE"""),"MI4")</f>
        <v>MI4</v>
      </c>
      <c r="B1648" s="5" t="str">
        <f ca="1">IFERROR(__xludf.DUMMYFUNCTION("""COMPUTED_VALUE"""),"MIL")</f>
        <v>MIL</v>
      </c>
      <c r="C1648" s="5" t="str">
        <f ca="1">IFERROR(__xludf.DUMMYFUNCTION("""COMPUTED_VALUE"""),"Mi-4")</f>
        <v>Mi-4</v>
      </c>
      <c r="D1648" s="5" t="str">
        <f ca="1">IFERROR(__xludf.DUMMYFUNCTION("""COMPUTED_VALUE"""),"Helicopter")</f>
        <v>Helicopter</v>
      </c>
      <c r="E1648" s="5" t="str">
        <f ca="1">IFERROR(__xludf.DUMMYFUNCTION("""COMPUTED_VALUE"""),"Piston")</f>
        <v>Piston</v>
      </c>
      <c r="F1648" s="5">
        <f ca="1">IFERROR(__xludf.DUMMYFUNCTION("""COMPUTED_VALUE"""),1)</f>
        <v>1</v>
      </c>
    </row>
    <row r="1649" spans="1:6" ht="15" customHeight="1" x14ac:dyDescent="0.2">
      <c r="A1649" s="5" t="str">
        <f ca="1">IFERROR(__xludf.DUMMYFUNCTION("""COMPUTED_VALUE"""),"MI6")</f>
        <v>MI6</v>
      </c>
      <c r="B1649" s="5" t="str">
        <f ca="1">IFERROR(__xludf.DUMMYFUNCTION("""COMPUTED_VALUE"""),"MIL")</f>
        <v>MIL</v>
      </c>
      <c r="C1649" s="5" t="str">
        <f ca="1">IFERROR(__xludf.DUMMYFUNCTION("""COMPUTED_VALUE"""),"Mi-6")</f>
        <v>Mi-6</v>
      </c>
      <c r="D1649" s="5" t="str">
        <f ca="1">IFERROR(__xludf.DUMMYFUNCTION("""COMPUTED_VALUE"""),"Helicopter")</f>
        <v>Helicopter</v>
      </c>
      <c r="E1649" s="5" t="str">
        <f ca="1">IFERROR(__xludf.DUMMYFUNCTION("""COMPUTED_VALUE"""),"Turboprop/Turboshaft")</f>
        <v>Turboprop/Turboshaft</v>
      </c>
      <c r="F1649" s="5">
        <f ca="1">IFERROR(__xludf.DUMMYFUNCTION("""COMPUTED_VALUE"""),2)</f>
        <v>2</v>
      </c>
    </row>
    <row r="1650" spans="1:6" ht="15" customHeight="1" x14ac:dyDescent="0.2">
      <c r="A1650" s="5" t="str">
        <f ca="1">IFERROR(__xludf.DUMMYFUNCTION("""COMPUTED_VALUE"""),"MI8")</f>
        <v>MI8</v>
      </c>
      <c r="B1650" s="5" t="str">
        <f ca="1">IFERROR(__xludf.DUMMYFUNCTION("""COMPUTED_VALUE"""),"MIL")</f>
        <v>MIL</v>
      </c>
      <c r="C1650" s="5" t="str">
        <f ca="1">IFERROR(__xludf.DUMMYFUNCTION("""COMPUTED_VALUE"""),"Mi-8")</f>
        <v>Mi-8</v>
      </c>
      <c r="D1650" s="5" t="str">
        <f ca="1">IFERROR(__xludf.DUMMYFUNCTION("""COMPUTED_VALUE"""),"Helicopter")</f>
        <v>Helicopter</v>
      </c>
      <c r="E1650" s="5" t="str">
        <f ca="1">IFERROR(__xludf.DUMMYFUNCTION("""COMPUTED_VALUE"""),"Turboprop/Turboshaft")</f>
        <v>Turboprop/Turboshaft</v>
      </c>
      <c r="F1650" s="5">
        <f ca="1">IFERROR(__xludf.DUMMYFUNCTION("""COMPUTED_VALUE"""),2)</f>
        <v>2</v>
      </c>
    </row>
    <row r="1651" spans="1:6" ht="15" customHeight="1" x14ac:dyDescent="0.2">
      <c r="A1651" s="5" t="str">
        <f ca="1">IFERROR(__xludf.DUMMYFUNCTION("""COMPUTED_VALUE"""),"MIDR")</f>
        <v>MIDR</v>
      </c>
      <c r="B1651" s="5" t="str">
        <f ca="1">IFERROR(__xludf.DUMMYFUNCTION("""COMPUTED_VALUE"""),"ACBA")</f>
        <v>ACBA</v>
      </c>
      <c r="C1651" s="5" t="str">
        <f ca="1">IFERROR(__xludf.DUMMYFUNCTION("""COMPUTED_VALUE"""),"Midour 2")</f>
        <v>Midour 2</v>
      </c>
      <c r="D1651" s="5" t="str">
        <f ca="1">IFERROR(__xludf.DUMMYFUNCTION("""COMPUTED_VALUE"""),"LandPlane")</f>
        <v>LandPlane</v>
      </c>
      <c r="E1651" s="5" t="str">
        <f ca="1">IFERROR(__xludf.DUMMYFUNCTION("""COMPUTED_VALUE"""),"Piston")</f>
        <v>Piston</v>
      </c>
      <c r="F1651" s="5">
        <f ca="1">IFERROR(__xludf.DUMMYFUNCTION("""COMPUTED_VALUE"""),1)</f>
        <v>1</v>
      </c>
    </row>
    <row r="1652" spans="1:6" ht="15" customHeight="1" x14ac:dyDescent="0.2">
      <c r="A1652" s="5" t="str">
        <f ca="1">IFERROR(__xludf.DUMMYFUNCTION("""COMPUTED_VALUE"""),"MIMP")</f>
        <v>MIMP</v>
      </c>
      <c r="B1652" s="5" t="str">
        <f ca="1">IFERROR(__xludf.DUMMYFUNCTION("""COMPUTED_VALUE"""),"AEROCAR")</f>
        <v>AEROCAR</v>
      </c>
      <c r="C1652" s="5" t="str">
        <f ca="1">IFERROR(__xludf.DUMMYFUNCTION("""COMPUTED_VALUE"""),"Mini-Imp")</f>
        <v>Mini-Imp</v>
      </c>
      <c r="D1652" s="5" t="str">
        <f ca="1">IFERROR(__xludf.DUMMYFUNCTION("""COMPUTED_VALUE"""),"LandPlane")</f>
        <v>LandPlane</v>
      </c>
      <c r="E1652" s="5" t="str">
        <f ca="1">IFERROR(__xludf.DUMMYFUNCTION("""COMPUTED_VALUE"""),"Piston")</f>
        <v>Piston</v>
      </c>
      <c r="F1652" s="5">
        <f ca="1">IFERROR(__xludf.DUMMYFUNCTION("""COMPUTED_VALUE"""),1)</f>
        <v>1</v>
      </c>
    </row>
    <row r="1653" spans="1:6" ht="15" customHeight="1" x14ac:dyDescent="0.2">
      <c r="A1653" s="5" t="str">
        <f ca="1">IFERROR(__xludf.DUMMYFUNCTION("""COMPUTED_VALUE"""),"MIMU")</f>
        <v>MIMU</v>
      </c>
      <c r="B1653" s="5" t="str">
        <f ca="1">IFERROR(__xludf.DUMMYFUNCTION("""COMPUTED_VALUE"""),"MUSTANG")</f>
        <v>MUSTANG</v>
      </c>
      <c r="C1653" s="5" t="str">
        <f ca="1">IFERROR(__xludf.DUMMYFUNCTION("""COMPUTED_VALUE"""),"MM-1 Midget Mustang")</f>
        <v>MM-1 Midget Mustang</v>
      </c>
      <c r="D1653" s="5" t="str">
        <f ca="1">IFERROR(__xludf.DUMMYFUNCTION("""COMPUTED_VALUE"""),"LandPlane")</f>
        <v>LandPlane</v>
      </c>
      <c r="E1653" s="5" t="str">
        <f ca="1">IFERROR(__xludf.DUMMYFUNCTION("""COMPUTED_VALUE"""),"Piston")</f>
        <v>Piston</v>
      </c>
      <c r="F1653" s="5">
        <f ca="1">IFERROR(__xludf.DUMMYFUNCTION("""COMPUTED_VALUE"""),1)</f>
        <v>1</v>
      </c>
    </row>
    <row r="1654" spans="1:6" ht="15" customHeight="1" x14ac:dyDescent="0.2">
      <c r="A1654" s="5" t="str">
        <f ca="1">IFERROR(__xludf.DUMMYFUNCTION("""COMPUTED_VALUE"""),"MIR2")</f>
        <v>MIR2</v>
      </c>
      <c r="B1654" s="5" t="str">
        <f ca="1">IFERROR(__xludf.DUMMYFUNCTION("""COMPUTED_VALUE"""),"DASSAULT")</f>
        <v>DASSAULT</v>
      </c>
      <c r="C1654" s="5" t="str">
        <f ca="1">IFERROR(__xludf.DUMMYFUNCTION("""COMPUTED_VALUE"""),"Mirage 2000")</f>
        <v>Mirage 2000</v>
      </c>
      <c r="D1654" s="5" t="str">
        <f ca="1">IFERROR(__xludf.DUMMYFUNCTION("""COMPUTED_VALUE"""),"LandPlane")</f>
        <v>LandPlane</v>
      </c>
      <c r="E1654" s="5" t="str">
        <f ca="1">IFERROR(__xludf.DUMMYFUNCTION("""COMPUTED_VALUE"""),"Jet")</f>
        <v>Jet</v>
      </c>
      <c r="F1654" s="5">
        <f ca="1">IFERROR(__xludf.DUMMYFUNCTION("""COMPUTED_VALUE"""),1)</f>
        <v>1</v>
      </c>
    </row>
    <row r="1655" spans="1:6" ht="15" customHeight="1" x14ac:dyDescent="0.2">
      <c r="A1655" s="5" t="str">
        <f ca="1">IFERROR(__xludf.DUMMYFUNCTION("""COMPUTED_VALUE"""),"MIRA")</f>
        <v>MIRA</v>
      </c>
      <c r="B1655" s="5" t="str">
        <f ca="1">IFERROR(__xludf.DUMMYFUNCTION("""COMPUTED_VALUE"""),"DASSAULT")</f>
        <v>DASSAULT</v>
      </c>
      <c r="C1655" s="5" t="str">
        <f ca="1">IFERROR(__xludf.DUMMYFUNCTION("""COMPUTED_VALUE"""),"Mirage 5")</f>
        <v>Mirage 5</v>
      </c>
      <c r="D1655" s="5" t="str">
        <f ca="1">IFERROR(__xludf.DUMMYFUNCTION("""COMPUTED_VALUE"""),"LandPlane")</f>
        <v>LandPlane</v>
      </c>
      <c r="E1655" s="5" t="str">
        <f ca="1">IFERROR(__xludf.DUMMYFUNCTION("""COMPUTED_VALUE"""),"Jet")</f>
        <v>Jet</v>
      </c>
      <c r="F1655" s="5">
        <f ca="1">IFERROR(__xludf.DUMMYFUNCTION("""COMPUTED_VALUE"""),1)</f>
        <v>1</v>
      </c>
    </row>
    <row r="1656" spans="1:6" ht="15" customHeight="1" x14ac:dyDescent="0.2">
      <c r="A1656" s="5" t="str">
        <f ca="1">IFERROR(__xludf.DUMMYFUNCTION("""COMPUTED_VALUE"""),"MITE")</f>
        <v>MITE</v>
      </c>
      <c r="B1656" s="5" t="str">
        <f ca="1">IFERROR(__xludf.DUMMYFUNCTION("""COMPUTED_VALUE"""),"MOONEY")</f>
        <v>MOONEY</v>
      </c>
      <c r="C1656" s="5" t="str">
        <f ca="1">IFERROR(__xludf.DUMMYFUNCTION("""COMPUTED_VALUE"""),"M-18 Mite")</f>
        <v>M-18 Mite</v>
      </c>
      <c r="D1656" s="5" t="str">
        <f ca="1">IFERROR(__xludf.DUMMYFUNCTION("""COMPUTED_VALUE"""),"LandPlane")</f>
        <v>LandPlane</v>
      </c>
      <c r="E1656" s="5" t="str">
        <f ca="1">IFERROR(__xludf.DUMMYFUNCTION("""COMPUTED_VALUE"""),"Piston")</f>
        <v>Piston</v>
      </c>
      <c r="F1656" s="5">
        <f ca="1">IFERROR(__xludf.DUMMYFUNCTION("""COMPUTED_VALUE"""),1)</f>
        <v>1</v>
      </c>
    </row>
    <row r="1657" spans="1:6" ht="15" customHeight="1" x14ac:dyDescent="0.2">
      <c r="A1657" s="5" t="str">
        <f ca="1">IFERROR(__xludf.DUMMYFUNCTION("""COMPUTED_VALUE"""),"MJ10")</f>
        <v>MJ10</v>
      </c>
      <c r="B1657" s="5" t="str">
        <f ca="1">IFERROR(__xludf.DUMMYFUNCTION("""COMPUTED_VALUE"""),"JURCA")</f>
        <v>JURCA</v>
      </c>
      <c r="C1657" s="5" t="str">
        <f ca="1">IFERROR(__xludf.DUMMYFUNCTION("""COMPUTED_VALUE"""),"MJ-10 Spit")</f>
        <v>MJ-10 Spit</v>
      </c>
      <c r="D1657" s="5" t="str">
        <f ca="1">IFERROR(__xludf.DUMMYFUNCTION("""COMPUTED_VALUE"""),"LandPlane")</f>
        <v>LandPlane</v>
      </c>
      <c r="E1657" s="5" t="str">
        <f ca="1">IFERROR(__xludf.DUMMYFUNCTION("""COMPUTED_VALUE"""),"Piston")</f>
        <v>Piston</v>
      </c>
      <c r="F1657" s="5">
        <f ca="1">IFERROR(__xludf.DUMMYFUNCTION("""COMPUTED_VALUE"""),1)</f>
        <v>1</v>
      </c>
    </row>
    <row r="1658" spans="1:6" ht="15" customHeight="1" x14ac:dyDescent="0.2">
      <c r="A1658" s="5" t="str">
        <f ca="1">IFERROR(__xludf.DUMMYFUNCTION("""COMPUTED_VALUE"""),"MJ12")</f>
        <v>MJ12</v>
      </c>
      <c r="B1658" s="5" t="str">
        <f ca="1">IFERROR(__xludf.DUMMYFUNCTION("""COMPUTED_VALUE"""),"JURCA")</f>
        <v>JURCA</v>
      </c>
      <c r="C1658" s="5" t="str">
        <f ca="1">IFERROR(__xludf.DUMMYFUNCTION("""COMPUTED_VALUE"""),"MJ-12 P-40")</f>
        <v>MJ-12 P-40</v>
      </c>
      <c r="D1658" s="5" t="str">
        <f ca="1">IFERROR(__xludf.DUMMYFUNCTION("""COMPUTED_VALUE"""),"LandPlane")</f>
        <v>LandPlane</v>
      </c>
      <c r="E1658" s="5" t="str">
        <f ca="1">IFERROR(__xludf.DUMMYFUNCTION("""COMPUTED_VALUE"""),"Piston")</f>
        <v>Piston</v>
      </c>
      <c r="F1658" s="5">
        <f ca="1">IFERROR(__xludf.DUMMYFUNCTION("""COMPUTED_VALUE"""),1)</f>
        <v>1</v>
      </c>
    </row>
    <row r="1659" spans="1:6" ht="15" customHeight="1" x14ac:dyDescent="0.2">
      <c r="A1659" s="5" t="str">
        <f ca="1">IFERROR(__xludf.DUMMYFUNCTION("""COMPUTED_VALUE"""),"MJ1H")</f>
        <v>MJ1H</v>
      </c>
      <c r="B1659" s="5" t="str">
        <f ca="1">IFERROR(__xludf.DUMMYFUNCTION("""COMPUTED_VALUE"""),"JURCA")</f>
        <v>JURCA</v>
      </c>
      <c r="C1659" s="5" t="str">
        <f ca="1">IFERROR(__xludf.DUMMYFUNCTION("""COMPUTED_VALUE"""),"MJ-100 Spitfire Replica")</f>
        <v>MJ-100 Spitfire Replica</v>
      </c>
      <c r="D1659" s="5" t="str">
        <f ca="1">IFERROR(__xludf.DUMMYFUNCTION("""COMPUTED_VALUE"""),"LandPlane")</f>
        <v>LandPlane</v>
      </c>
      <c r="E1659" s="5" t="str">
        <f ca="1">IFERROR(__xludf.DUMMYFUNCTION("""COMPUTED_VALUE"""),"Piston")</f>
        <v>Piston</v>
      </c>
      <c r="F1659" s="5">
        <f ca="1">IFERROR(__xludf.DUMMYFUNCTION("""COMPUTED_VALUE"""),1)</f>
        <v>1</v>
      </c>
    </row>
    <row r="1660" spans="1:6" ht="15" customHeight="1" x14ac:dyDescent="0.2">
      <c r="A1660" s="5" t="str">
        <f ca="1">IFERROR(__xludf.DUMMYFUNCTION("""COMPUTED_VALUE"""),"MJ2")</f>
        <v>MJ2</v>
      </c>
      <c r="B1660" s="5" t="str">
        <f ca="1">IFERROR(__xludf.DUMMYFUNCTION("""COMPUTED_VALUE"""),"JURCA")</f>
        <v>JURCA</v>
      </c>
      <c r="C1660" s="5" t="str">
        <f ca="1">IFERROR(__xludf.DUMMYFUNCTION("""COMPUTED_VALUE"""),"MJ-2 Tempête")</f>
        <v>MJ-2 Tempête</v>
      </c>
      <c r="D1660" s="5" t="str">
        <f ca="1">IFERROR(__xludf.DUMMYFUNCTION("""COMPUTED_VALUE"""),"LandPlane")</f>
        <v>LandPlane</v>
      </c>
      <c r="E1660" s="5" t="str">
        <f ca="1">IFERROR(__xludf.DUMMYFUNCTION("""COMPUTED_VALUE"""),"Piston")</f>
        <v>Piston</v>
      </c>
      <c r="F1660" s="5">
        <f ca="1">IFERROR(__xludf.DUMMYFUNCTION("""COMPUTED_VALUE"""),1)</f>
        <v>1</v>
      </c>
    </row>
    <row r="1661" spans="1:6" ht="15" customHeight="1" x14ac:dyDescent="0.2">
      <c r="A1661" s="5" t="str">
        <f ca="1">IFERROR(__xludf.DUMMYFUNCTION("""COMPUTED_VALUE"""),"MJ3")</f>
        <v>MJ3</v>
      </c>
      <c r="B1661" s="5" t="str">
        <f ca="1">IFERROR(__xludf.DUMMYFUNCTION("""COMPUTED_VALUE"""),"JURCA")</f>
        <v>JURCA</v>
      </c>
      <c r="C1661" s="5" t="str">
        <f ca="1">IFERROR(__xludf.DUMMYFUNCTION("""COMPUTED_VALUE"""),"MJ-3 Dart")</f>
        <v>MJ-3 Dart</v>
      </c>
      <c r="D1661" s="5" t="str">
        <f ca="1">IFERROR(__xludf.DUMMYFUNCTION("""COMPUTED_VALUE"""),"LandPlane")</f>
        <v>LandPlane</v>
      </c>
      <c r="E1661" s="5" t="str">
        <f ca="1">IFERROR(__xludf.DUMMYFUNCTION("""COMPUTED_VALUE"""),"Piston")</f>
        <v>Piston</v>
      </c>
      <c r="F1661" s="5">
        <f ca="1">IFERROR(__xludf.DUMMYFUNCTION("""COMPUTED_VALUE"""),1)</f>
        <v>1</v>
      </c>
    </row>
    <row r="1662" spans="1:6" ht="15" customHeight="1" x14ac:dyDescent="0.2">
      <c r="A1662" s="5" t="str">
        <f ca="1">IFERROR(__xludf.DUMMYFUNCTION("""COMPUTED_VALUE"""),"MJ4")</f>
        <v>MJ4</v>
      </c>
      <c r="B1662" s="5" t="str">
        <f ca="1">IFERROR(__xludf.DUMMYFUNCTION("""COMPUTED_VALUE"""),"JURCA")</f>
        <v>JURCA</v>
      </c>
      <c r="C1662" s="5" t="str">
        <f ca="1">IFERROR(__xludf.DUMMYFUNCTION("""COMPUTED_VALUE"""),"MJ-4 Shadow")</f>
        <v>MJ-4 Shadow</v>
      </c>
      <c r="D1662" s="5" t="str">
        <f ca="1">IFERROR(__xludf.DUMMYFUNCTION("""COMPUTED_VALUE"""),"LandPlane")</f>
        <v>LandPlane</v>
      </c>
      <c r="E1662" s="5" t="str">
        <f ca="1">IFERROR(__xludf.DUMMYFUNCTION("""COMPUTED_VALUE"""),"Piston")</f>
        <v>Piston</v>
      </c>
      <c r="F1662" s="5">
        <f ca="1">IFERROR(__xludf.DUMMYFUNCTION("""COMPUTED_VALUE"""),1)</f>
        <v>1</v>
      </c>
    </row>
    <row r="1663" spans="1:6" ht="15" customHeight="1" x14ac:dyDescent="0.2">
      <c r="A1663" s="5" t="str">
        <f ca="1">IFERROR(__xludf.DUMMYFUNCTION("""COMPUTED_VALUE"""),"MJ5")</f>
        <v>MJ5</v>
      </c>
      <c r="B1663" s="5" t="str">
        <f ca="1">IFERROR(__xludf.DUMMYFUNCTION("""COMPUTED_VALUE"""),"JURCA")</f>
        <v>JURCA</v>
      </c>
      <c r="C1663" s="5" t="str">
        <f ca="1">IFERROR(__xludf.DUMMYFUNCTION("""COMPUTED_VALUE"""),"MJ-5 Sirocco")</f>
        <v>MJ-5 Sirocco</v>
      </c>
      <c r="D1663" s="5" t="str">
        <f ca="1">IFERROR(__xludf.DUMMYFUNCTION("""COMPUTED_VALUE"""),"LandPlane")</f>
        <v>LandPlane</v>
      </c>
      <c r="E1663" s="5" t="str">
        <f ca="1">IFERROR(__xludf.DUMMYFUNCTION("""COMPUTED_VALUE"""),"Piston")</f>
        <v>Piston</v>
      </c>
      <c r="F1663" s="5">
        <f ca="1">IFERROR(__xludf.DUMMYFUNCTION("""COMPUTED_VALUE"""),1)</f>
        <v>1</v>
      </c>
    </row>
    <row r="1664" spans="1:6" ht="15" customHeight="1" x14ac:dyDescent="0.2">
      <c r="A1664" s="5" t="str">
        <f ca="1">IFERROR(__xludf.DUMMYFUNCTION("""COMPUTED_VALUE"""),"MJ53")</f>
        <v>MJ53</v>
      </c>
      <c r="B1664" s="5" t="str">
        <f ca="1">IFERROR(__xludf.DUMMYFUNCTION("""COMPUTED_VALUE"""),"JURCA")</f>
        <v>JURCA</v>
      </c>
      <c r="C1664" s="5" t="str">
        <f ca="1">IFERROR(__xludf.DUMMYFUNCTION("""COMPUTED_VALUE"""),"MJ-53 Autan")</f>
        <v>MJ-53 Autan</v>
      </c>
      <c r="D1664" s="5" t="str">
        <f ca="1">IFERROR(__xludf.DUMMYFUNCTION("""COMPUTED_VALUE"""),"LandPlane")</f>
        <v>LandPlane</v>
      </c>
      <c r="E1664" s="5" t="str">
        <f ca="1">IFERROR(__xludf.DUMMYFUNCTION("""COMPUTED_VALUE"""),"Piston")</f>
        <v>Piston</v>
      </c>
      <c r="F1664" s="5">
        <f ca="1">IFERROR(__xludf.DUMMYFUNCTION("""COMPUTED_VALUE"""),1)</f>
        <v>1</v>
      </c>
    </row>
    <row r="1665" spans="1:6" ht="15" customHeight="1" x14ac:dyDescent="0.2">
      <c r="A1665" s="5" t="str">
        <f ca="1">IFERROR(__xludf.DUMMYFUNCTION("""COMPUTED_VALUE"""),"MJ55")</f>
        <v>MJ55</v>
      </c>
      <c r="B1665" s="5" t="str">
        <f ca="1">IFERROR(__xludf.DUMMYFUNCTION("""COMPUTED_VALUE"""),"JURCA")</f>
        <v>JURCA</v>
      </c>
      <c r="C1665" s="5" t="str">
        <f ca="1">IFERROR(__xludf.DUMMYFUNCTION("""COMPUTED_VALUE"""),"MJ-55 Biso")</f>
        <v>MJ-55 Biso</v>
      </c>
      <c r="D1665" s="5" t="str">
        <f ca="1">IFERROR(__xludf.DUMMYFUNCTION("""COMPUTED_VALUE"""),"LandPlane")</f>
        <v>LandPlane</v>
      </c>
      <c r="E1665" s="5" t="str">
        <f ca="1">IFERROR(__xludf.DUMMYFUNCTION("""COMPUTED_VALUE"""),"Piston")</f>
        <v>Piston</v>
      </c>
      <c r="F1665" s="5">
        <f ca="1">IFERROR(__xludf.DUMMYFUNCTION("""COMPUTED_VALUE"""),1)</f>
        <v>1</v>
      </c>
    </row>
    <row r="1666" spans="1:6" ht="15" customHeight="1" x14ac:dyDescent="0.2">
      <c r="A1666" s="5" t="str">
        <f ca="1">IFERROR(__xludf.DUMMYFUNCTION("""COMPUTED_VALUE"""),"MJ7")</f>
        <v>MJ7</v>
      </c>
      <c r="B1666" s="5" t="str">
        <f ca="1">IFERROR(__xludf.DUMMYFUNCTION("""COMPUTED_VALUE"""),"JURCA")</f>
        <v>JURCA</v>
      </c>
      <c r="C1666" s="5" t="str">
        <f ca="1">IFERROR(__xludf.DUMMYFUNCTION("""COMPUTED_VALUE"""),"MJ-7 Gnatsum")</f>
        <v>MJ-7 Gnatsum</v>
      </c>
      <c r="D1666" s="5" t="str">
        <f ca="1">IFERROR(__xludf.DUMMYFUNCTION("""COMPUTED_VALUE"""),"LandPlane")</f>
        <v>LandPlane</v>
      </c>
      <c r="E1666" s="5" t="str">
        <f ca="1">IFERROR(__xludf.DUMMYFUNCTION("""COMPUTED_VALUE"""),"Piston")</f>
        <v>Piston</v>
      </c>
      <c r="F1666" s="5">
        <f ca="1">IFERROR(__xludf.DUMMYFUNCTION("""COMPUTED_VALUE"""),1)</f>
        <v>1</v>
      </c>
    </row>
    <row r="1667" spans="1:6" ht="15" customHeight="1" x14ac:dyDescent="0.2">
      <c r="A1667" s="5" t="str">
        <f ca="1">IFERROR(__xludf.DUMMYFUNCTION("""COMPUTED_VALUE"""),"MJ77")</f>
        <v>MJ77</v>
      </c>
      <c r="B1667" s="5" t="str">
        <f ca="1">IFERROR(__xludf.DUMMYFUNCTION("""COMPUTED_VALUE"""),"JURCA")</f>
        <v>JURCA</v>
      </c>
      <c r="C1667" s="5" t="str">
        <f ca="1">IFERROR(__xludf.DUMMYFUNCTION("""COMPUTED_VALUE"""),"MJ-77 Gnatsum")</f>
        <v>MJ-77 Gnatsum</v>
      </c>
      <c r="D1667" s="5" t="str">
        <f ca="1">IFERROR(__xludf.DUMMYFUNCTION("""COMPUTED_VALUE"""),"LandPlane")</f>
        <v>LandPlane</v>
      </c>
      <c r="E1667" s="5" t="str">
        <f ca="1">IFERROR(__xludf.DUMMYFUNCTION("""COMPUTED_VALUE"""),"Piston")</f>
        <v>Piston</v>
      </c>
      <c r="F1667" s="5">
        <f ca="1">IFERROR(__xludf.DUMMYFUNCTION("""COMPUTED_VALUE"""),1)</f>
        <v>1</v>
      </c>
    </row>
    <row r="1668" spans="1:6" ht="15" customHeight="1" x14ac:dyDescent="0.2">
      <c r="A1668" s="5" t="str">
        <f ca="1">IFERROR(__xludf.DUMMYFUNCTION("""COMPUTED_VALUE"""),"MJ8")</f>
        <v>MJ8</v>
      </c>
      <c r="B1668" s="5" t="str">
        <f ca="1">IFERROR(__xludf.DUMMYFUNCTION("""COMPUTED_VALUE"""),"JURCA")</f>
        <v>JURCA</v>
      </c>
      <c r="C1668" s="5" t="str">
        <f ca="1">IFERROR(__xludf.DUMMYFUNCTION("""COMPUTED_VALUE"""),"MJ-8 1-Nine-0")</f>
        <v>MJ-8 1-Nine-0</v>
      </c>
      <c r="D1668" s="5" t="str">
        <f ca="1">IFERROR(__xludf.DUMMYFUNCTION("""COMPUTED_VALUE"""),"LandPlane")</f>
        <v>LandPlane</v>
      </c>
      <c r="E1668" s="5" t="str">
        <f ca="1">IFERROR(__xludf.DUMMYFUNCTION("""COMPUTED_VALUE"""),"Piston")</f>
        <v>Piston</v>
      </c>
      <c r="F1668" s="5">
        <f ca="1">IFERROR(__xludf.DUMMYFUNCTION("""COMPUTED_VALUE"""),1)</f>
        <v>1</v>
      </c>
    </row>
    <row r="1669" spans="1:6" ht="15" customHeight="1" x14ac:dyDescent="0.2">
      <c r="A1669" s="5" t="str">
        <f ca="1">IFERROR(__xludf.DUMMYFUNCTION("""COMPUTED_VALUE"""),"MJ80")</f>
        <v>MJ80</v>
      </c>
      <c r="B1669" s="5" t="str">
        <f ca="1">IFERROR(__xludf.DUMMYFUNCTION("""COMPUTED_VALUE"""),"JURCA")</f>
        <v>JURCA</v>
      </c>
      <c r="C1669" s="5" t="str">
        <f ca="1">IFERROR(__xludf.DUMMYFUNCTION("""COMPUTED_VALUE"""),"MJ-80 Focke-Wulf Fw-190 Replica")</f>
        <v>MJ-80 Focke-Wulf Fw-190 Replica</v>
      </c>
      <c r="D1669" s="5" t="str">
        <f ca="1">IFERROR(__xludf.DUMMYFUNCTION("""COMPUTED_VALUE"""),"LandPlane")</f>
        <v>LandPlane</v>
      </c>
      <c r="E1669" s="5" t="str">
        <f ca="1">IFERROR(__xludf.DUMMYFUNCTION("""COMPUTED_VALUE"""),"Piston")</f>
        <v>Piston</v>
      </c>
      <c r="F1669" s="5">
        <f ca="1">IFERROR(__xludf.DUMMYFUNCTION("""COMPUTED_VALUE"""),1)</f>
        <v>1</v>
      </c>
    </row>
    <row r="1670" spans="1:6" ht="15" customHeight="1" x14ac:dyDescent="0.2">
      <c r="A1670" s="5" t="str">
        <f ca="1">IFERROR(__xludf.DUMMYFUNCTION("""COMPUTED_VALUE"""),"MJ9")</f>
        <v>MJ9</v>
      </c>
      <c r="B1670" s="5" t="str">
        <f ca="1">IFERROR(__xludf.DUMMYFUNCTION("""COMPUTED_VALUE"""),"JURCA")</f>
        <v>JURCA</v>
      </c>
      <c r="C1670" s="5" t="str">
        <f ca="1">IFERROR(__xludf.DUMMYFUNCTION("""COMPUTED_VALUE"""),"MJ-9")</f>
        <v>MJ-9</v>
      </c>
      <c r="D1670" s="5" t="str">
        <f ca="1">IFERROR(__xludf.DUMMYFUNCTION("""COMPUTED_VALUE"""),"LandPlane")</f>
        <v>LandPlane</v>
      </c>
      <c r="E1670" s="5" t="str">
        <f ca="1">IFERROR(__xludf.DUMMYFUNCTION("""COMPUTED_VALUE"""),"Piston")</f>
        <v>Piston</v>
      </c>
      <c r="F1670" s="5">
        <f ca="1">IFERROR(__xludf.DUMMYFUNCTION("""COMPUTED_VALUE"""),1)</f>
        <v>1</v>
      </c>
    </row>
    <row r="1671" spans="1:6" ht="15" customHeight="1" x14ac:dyDescent="0.2">
      <c r="A1671" s="5" t="str">
        <f ca="1">IFERROR(__xludf.DUMMYFUNCTION("""COMPUTED_VALUE"""),"MJ90")</f>
        <v>MJ90</v>
      </c>
      <c r="B1671" s="5" t="str">
        <f ca="1">IFERROR(__xludf.DUMMYFUNCTION("""COMPUTED_VALUE"""),"JURCA")</f>
        <v>JURCA</v>
      </c>
      <c r="C1671" s="5" t="str">
        <f ca="1">IFERROR(__xludf.DUMMYFUNCTION("""COMPUTED_VALUE"""),"MJ-90 Messerschmitt Bf-109 Replica")</f>
        <v>MJ-90 Messerschmitt Bf-109 Replica</v>
      </c>
      <c r="D1671" s="5" t="str">
        <f ca="1">IFERROR(__xludf.DUMMYFUNCTION("""COMPUTED_VALUE"""),"LandPlane")</f>
        <v>LandPlane</v>
      </c>
      <c r="E1671" s="5" t="str">
        <f ca="1">IFERROR(__xludf.DUMMYFUNCTION("""COMPUTED_VALUE"""),"Piston")</f>
        <v>Piston</v>
      </c>
      <c r="F1671" s="5">
        <f ca="1">IFERROR(__xludf.DUMMYFUNCTION("""COMPUTED_VALUE"""),1)</f>
        <v>1</v>
      </c>
    </row>
    <row r="1672" spans="1:6" ht="15" customHeight="1" x14ac:dyDescent="0.2">
      <c r="A1672" s="5" t="str">
        <f ca="1">IFERROR(__xludf.DUMMYFUNCTION("""COMPUTED_VALUE"""),"MLER")</f>
        <v>MLER</v>
      </c>
      <c r="B1672" s="5" t="str">
        <f ca="1">IFERROR(__xludf.DUMMYFUNCTION("""COMPUTED_VALUE"""),"ALANNE")</f>
        <v>ALANNE</v>
      </c>
      <c r="C1672" s="5" t="str">
        <f ca="1">IFERROR(__xludf.DUMMYFUNCTION("""COMPUTED_VALUE"""),"Moottori-Lerche")</f>
        <v>Moottori-Lerche</v>
      </c>
      <c r="D1672" s="5" t="str">
        <f ca="1">IFERROR(__xludf.DUMMYFUNCTION("""COMPUTED_VALUE"""),"LandPlane")</f>
        <v>LandPlane</v>
      </c>
      <c r="E1672" s="5" t="str">
        <f ca="1">IFERROR(__xludf.DUMMYFUNCTION("""COMPUTED_VALUE"""),"Piston")</f>
        <v>Piston</v>
      </c>
      <c r="F1672" s="5">
        <f ca="1">IFERROR(__xludf.DUMMYFUNCTION("""COMPUTED_VALUE"""),1)</f>
        <v>1</v>
      </c>
    </row>
    <row r="1673" spans="1:6" ht="15" customHeight="1" x14ac:dyDescent="0.2">
      <c r="A1673" s="5" t="str">
        <f ca="1">IFERROR(__xludf.DUMMYFUNCTION("""COMPUTED_VALUE"""),"MM14")</f>
        <v>MM14</v>
      </c>
      <c r="B1673" s="5" t="str">
        <f ca="1">IFERROR(__xludf.DUMMYFUNCTION("""COMPUTED_VALUE"""),"MAGNI")</f>
        <v>MAGNI</v>
      </c>
      <c r="C1673" s="5" t="str">
        <f ca="1">IFERROR(__xludf.DUMMYFUNCTION("""COMPUTED_VALUE"""),"M-14 Scout")</f>
        <v>M-14 Scout</v>
      </c>
      <c r="D1673" s="5" t="str">
        <f ca="1">IFERROR(__xludf.DUMMYFUNCTION("""COMPUTED_VALUE"""),"Gyrocopter")</f>
        <v>Gyrocopter</v>
      </c>
      <c r="E1673" s="5" t="str">
        <f ca="1">IFERROR(__xludf.DUMMYFUNCTION("""COMPUTED_VALUE"""),"Piston")</f>
        <v>Piston</v>
      </c>
      <c r="F1673" s="5">
        <f ca="1">IFERROR(__xludf.DUMMYFUNCTION("""COMPUTED_VALUE"""),1)</f>
        <v>1</v>
      </c>
    </row>
    <row r="1674" spans="1:6" ht="15" customHeight="1" x14ac:dyDescent="0.2">
      <c r="A1674" s="5" t="str">
        <f ca="1">IFERROR(__xludf.DUMMYFUNCTION("""COMPUTED_VALUE"""),"MM16")</f>
        <v>MM16</v>
      </c>
      <c r="B1674" s="5" t="str">
        <f ca="1">IFERROR(__xludf.DUMMYFUNCTION("""COMPUTED_VALUE"""),"MAGNI")</f>
        <v>MAGNI</v>
      </c>
      <c r="C1674" s="5" t="str">
        <f ca="1">IFERROR(__xludf.DUMMYFUNCTION("""COMPUTED_VALUE"""),"M-16 Tandem Trainer")</f>
        <v>M-16 Tandem Trainer</v>
      </c>
      <c r="D1674" s="5" t="str">
        <f ca="1">IFERROR(__xludf.DUMMYFUNCTION("""COMPUTED_VALUE"""),"Gyrocopter")</f>
        <v>Gyrocopter</v>
      </c>
      <c r="E1674" s="5" t="str">
        <f ca="1">IFERROR(__xludf.DUMMYFUNCTION("""COMPUTED_VALUE"""),"Piston")</f>
        <v>Piston</v>
      </c>
      <c r="F1674" s="5">
        <f ca="1">IFERROR(__xludf.DUMMYFUNCTION("""COMPUTED_VALUE"""),1)</f>
        <v>1</v>
      </c>
    </row>
    <row r="1675" spans="1:6" ht="15" customHeight="1" x14ac:dyDescent="0.2">
      <c r="A1675" s="5" t="str">
        <f ca="1">IFERROR(__xludf.DUMMYFUNCTION("""COMPUTED_VALUE"""),"MM19")</f>
        <v>MM19</v>
      </c>
      <c r="B1675" s="5" t="str">
        <f ca="1">IFERROR(__xludf.DUMMYFUNCTION("""COMPUTED_VALUE"""),"MAGNI")</f>
        <v>MAGNI</v>
      </c>
      <c r="C1675" s="5" t="str">
        <f ca="1">IFERROR(__xludf.DUMMYFUNCTION("""COMPUTED_VALUE"""),"M-19 Shark")</f>
        <v>M-19 Shark</v>
      </c>
      <c r="D1675" s="5" t="str">
        <f ca="1">IFERROR(__xludf.DUMMYFUNCTION("""COMPUTED_VALUE"""),"Gyrocopter")</f>
        <v>Gyrocopter</v>
      </c>
      <c r="E1675" s="5" t="str">
        <f ca="1">IFERROR(__xludf.DUMMYFUNCTION("""COMPUTED_VALUE"""),"Piston")</f>
        <v>Piston</v>
      </c>
      <c r="F1675" s="5">
        <f ca="1">IFERROR(__xludf.DUMMYFUNCTION("""COMPUTED_VALUE"""),1)</f>
        <v>1</v>
      </c>
    </row>
    <row r="1676" spans="1:6" ht="15" customHeight="1" x14ac:dyDescent="0.2">
      <c r="A1676" s="5" t="str">
        <f ca="1">IFERROR(__xludf.DUMMYFUNCTION("""COMPUTED_VALUE"""),"MM21")</f>
        <v>MM21</v>
      </c>
      <c r="B1676" s="5" t="str">
        <f ca="1">IFERROR(__xludf.DUMMYFUNCTION("""COMPUTED_VALUE"""),"MAGNI")</f>
        <v>MAGNI</v>
      </c>
      <c r="C1676" s="5" t="str">
        <f ca="1">IFERROR(__xludf.DUMMYFUNCTION("""COMPUTED_VALUE"""),"M-21")</f>
        <v>M-21</v>
      </c>
      <c r="D1676" s="5" t="str">
        <f ca="1">IFERROR(__xludf.DUMMYFUNCTION("""COMPUTED_VALUE"""),"Gyrocopter")</f>
        <v>Gyrocopter</v>
      </c>
      <c r="E1676" s="5" t="str">
        <f ca="1">IFERROR(__xludf.DUMMYFUNCTION("""COMPUTED_VALUE"""),"Piston")</f>
        <v>Piston</v>
      </c>
      <c r="F1676" s="5">
        <f ca="1">IFERROR(__xludf.DUMMYFUNCTION("""COMPUTED_VALUE"""),1)</f>
        <v>1</v>
      </c>
    </row>
    <row r="1677" spans="1:6" ht="15" customHeight="1" x14ac:dyDescent="0.2">
      <c r="A1677" s="5" t="str">
        <f ca="1">IFERROR(__xludf.DUMMYFUNCTION("""COMPUTED_VALUE"""),"MM22")</f>
        <v>MM22</v>
      </c>
      <c r="B1677" s="5" t="str">
        <f ca="1">IFERROR(__xludf.DUMMYFUNCTION("""COMPUTED_VALUE"""),"MAGNI")</f>
        <v>MAGNI</v>
      </c>
      <c r="C1677" s="5" t="str">
        <f ca="1">IFERROR(__xludf.DUMMYFUNCTION("""COMPUTED_VALUE"""),"M-22 Voyager")</f>
        <v>M-22 Voyager</v>
      </c>
      <c r="D1677" s="5" t="str">
        <f ca="1">IFERROR(__xludf.DUMMYFUNCTION("""COMPUTED_VALUE"""),"Gyrocopter")</f>
        <v>Gyrocopter</v>
      </c>
      <c r="E1677" s="5" t="str">
        <f ca="1">IFERROR(__xludf.DUMMYFUNCTION("""COMPUTED_VALUE"""),"Piston")</f>
        <v>Piston</v>
      </c>
      <c r="F1677" s="5">
        <f ca="1">IFERROR(__xludf.DUMMYFUNCTION("""COMPUTED_VALUE"""),1)</f>
        <v>1</v>
      </c>
    </row>
    <row r="1678" spans="1:6" ht="15" customHeight="1" x14ac:dyDescent="0.2">
      <c r="A1678" s="5" t="str">
        <f ca="1">IFERROR(__xludf.DUMMYFUNCTION("""COMPUTED_VALUE"""),"MM24")</f>
        <v>MM24</v>
      </c>
      <c r="B1678" s="5" t="str">
        <f ca="1">IFERROR(__xludf.DUMMYFUNCTION("""COMPUTED_VALUE"""),"MAGNI")</f>
        <v>MAGNI</v>
      </c>
      <c r="C1678" s="5" t="str">
        <f ca="1">IFERROR(__xludf.DUMMYFUNCTION("""COMPUTED_VALUE"""),"M-24 Orion")</f>
        <v>M-24 Orion</v>
      </c>
      <c r="D1678" s="5" t="str">
        <f ca="1">IFERROR(__xludf.DUMMYFUNCTION("""COMPUTED_VALUE"""),"Gyrocopter")</f>
        <v>Gyrocopter</v>
      </c>
      <c r="E1678" s="5" t="str">
        <f ca="1">IFERROR(__xludf.DUMMYFUNCTION("""COMPUTED_VALUE"""),"Piston")</f>
        <v>Piston</v>
      </c>
      <c r="F1678" s="5">
        <f ca="1">IFERROR(__xludf.DUMMYFUNCTION("""COMPUTED_VALUE"""),1)</f>
        <v>1</v>
      </c>
    </row>
    <row r="1679" spans="1:6" ht="15" customHeight="1" x14ac:dyDescent="0.2">
      <c r="A1679" s="5" t="str">
        <f ca="1">IFERROR(__xludf.DUMMYFUNCTION("""COMPUTED_VALUE"""),"MMAC")</f>
        <v>MMAC</v>
      </c>
      <c r="B1679" s="5" t="str">
        <f ca="1">IFERROR(__xludf.DUMMYFUNCTION("""COMPUTED_VALUE"""),"MCCARLEY")</f>
        <v>MCCARLEY</v>
      </c>
      <c r="C1679" s="5" t="str">
        <f ca="1">IFERROR(__xludf.DUMMYFUNCTION("""COMPUTED_VALUE"""),"Mini-Mac")</f>
        <v>Mini-Mac</v>
      </c>
      <c r="D1679" s="5" t="str">
        <f ca="1">IFERROR(__xludf.DUMMYFUNCTION("""COMPUTED_VALUE"""),"LandPlane")</f>
        <v>LandPlane</v>
      </c>
      <c r="E1679" s="5" t="str">
        <f ca="1">IFERROR(__xludf.DUMMYFUNCTION("""COMPUTED_VALUE"""),"Piston")</f>
        <v>Piston</v>
      </c>
      <c r="F1679" s="5">
        <f ca="1">IFERROR(__xludf.DUMMYFUNCTION("""COMPUTED_VALUE"""),1)</f>
        <v>1</v>
      </c>
    </row>
    <row r="1680" spans="1:6" ht="15" customHeight="1" x14ac:dyDescent="0.2">
      <c r="A1680" s="5" t="str">
        <f ca="1">IFERROR(__xludf.DUMMYFUNCTION("""COMPUTED_VALUE"""),"MMAX")</f>
        <v>MMAX</v>
      </c>
      <c r="B1680" s="5" t="str">
        <f ca="1">IFERROR(__xludf.DUMMYFUNCTION("""COMPUTED_VALUE"""),"MAD MAX AERO")</f>
        <v>MAD MAX AERO</v>
      </c>
      <c r="C1680" s="5" t="str">
        <f ca="1">IFERROR(__xludf.DUMMYFUNCTION("""COMPUTED_VALUE"""),"Mad Max")</f>
        <v>Mad Max</v>
      </c>
      <c r="D1680" s="5" t="str">
        <f ca="1">IFERROR(__xludf.DUMMYFUNCTION("""COMPUTED_VALUE"""),"Gyrocopter")</f>
        <v>Gyrocopter</v>
      </c>
      <c r="E1680" s="5" t="str">
        <f ca="1">IFERROR(__xludf.DUMMYFUNCTION("""COMPUTED_VALUE"""),"Piston")</f>
        <v>Piston</v>
      </c>
      <c r="F1680" s="5">
        <f ca="1">IFERROR(__xludf.DUMMYFUNCTION("""COMPUTED_VALUE"""),1)</f>
        <v>1</v>
      </c>
    </row>
    <row r="1681" spans="1:6" ht="15" customHeight="1" x14ac:dyDescent="0.2">
      <c r="A1681" s="5" t="str">
        <f ca="1">IFERROR(__xludf.DUMMYFUNCTION("""COMPUTED_VALUE"""),"MMUT")</f>
        <v>MMUT</v>
      </c>
      <c r="B1681" s="5" t="str">
        <f ca="1">IFERROR(__xludf.DUMMYFUNCTION("""COMPUTED_VALUE"""),"MARA WING")</f>
        <v>MARA WING</v>
      </c>
      <c r="C1681" s="5" t="str">
        <f ca="1">IFERROR(__xludf.DUMMYFUNCTION("""COMPUTED_VALUE"""),"L-1 Malamut")</f>
        <v>L-1 Malamut</v>
      </c>
      <c r="D1681" s="5" t="str">
        <f ca="1">IFERROR(__xludf.DUMMYFUNCTION("""COMPUTED_VALUE"""),"LandPlane")</f>
        <v>LandPlane</v>
      </c>
      <c r="E1681" s="5" t="str">
        <f ca="1">IFERROR(__xludf.DUMMYFUNCTION("""COMPUTED_VALUE"""),"Piston")</f>
        <v>Piston</v>
      </c>
      <c r="F1681" s="5">
        <f ca="1">IFERROR(__xludf.DUMMYFUNCTION("""COMPUTED_VALUE"""),1)</f>
        <v>1</v>
      </c>
    </row>
    <row r="1682" spans="1:6" ht="15" customHeight="1" x14ac:dyDescent="0.2">
      <c r="A1682" s="5" t="str">
        <f ca="1">IFERROR(__xludf.DUMMYFUNCTION("""COMPUTED_VALUE"""),"MNEX")</f>
        <v>MNEX</v>
      </c>
      <c r="B1682" s="5" t="str">
        <f ca="1">IFERROR(__xludf.DUMMYFUNCTION("""COMPUTED_VALUE"""),"NORMAN")</f>
        <v>NORMAN</v>
      </c>
      <c r="C1682" s="5" t="str">
        <f ca="1">IFERROR(__xludf.DUMMYFUNCTION("""COMPUTED_VALUE"""),"Nordic 8 Mini Explorer")</f>
        <v>Nordic 8 Mini Explorer</v>
      </c>
      <c r="D1682" s="5" t="str">
        <f ca="1">IFERROR(__xludf.DUMMYFUNCTION("""COMPUTED_VALUE"""),"LandPlane")</f>
        <v>LandPlane</v>
      </c>
      <c r="E1682" s="5" t="str">
        <f ca="1">IFERROR(__xludf.DUMMYFUNCTION("""COMPUTED_VALUE"""),"Piston")</f>
        <v>Piston</v>
      </c>
      <c r="F1682" s="5">
        <f ca="1">IFERROR(__xludf.DUMMYFUNCTION("""COMPUTED_VALUE"""),1)</f>
        <v>1</v>
      </c>
    </row>
    <row r="1683" spans="1:6" ht="15" customHeight="1" x14ac:dyDescent="0.2">
      <c r="A1683" s="5" t="str">
        <f ca="1">IFERROR(__xludf.DUMMYFUNCTION("""COMPUTED_VALUE"""),"MOCU")</f>
        <v>MOCU</v>
      </c>
      <c r="B1683" s="5" t="str">
        <f ca="1">IFERROR(__xludf.DUMMYFUNCTION("""COMPUTED_VALUE"""),"CULP")</f>
        <v>CULP</v>
      </c>
      <c r="C1683" s="5" t="str">
        <f ca="1">IFERROR(__xludf.DUMMYFUNCTION("""COMPUTED_VALUE"""),"MonoCulp")</f>
        <v>MonoCulp</v>
      </c>
      <c r="D1683" s="5" t="str">
        <f ca="1">IFERROR(__xludf.DUMMYFUNCTION("""COMPUTED_VALUE"""),"LandPlane")</f>
        <v>LandPlane</v>
      </c>
      <c r="E1683" s="5" t="str">
        <f ca="1">IFERROR(__xludf.DUMMYFUNCTION("""COMPUTED_VALUE"""),"Piston")</f>
        <v>Piston</v>
      </c>
      <c r="F1683" s="5">
        <f ca="1">IFERROR(__xludf.DUMMYFUNCTION("""COMPUTED_VALUE"""),1)</f>
        <v>1</v>
      </c>
    </row>
    <row r="1684" spans="1:6" ht="15" customHeight="1" x14ac:dyDescent="0.2">
      <c r="A1684" s="5" t="str">
        <f ca="1">IFERROR(__xludf.DUMMYFUNCTION("""COMPUTED_VALUE"""),"MOGO")</f>
        <v>MOGO</v>
      </c>
      <c r="B1684" s="5" t="str">
        <f ca="1">IFERROR(__xludf.DUMMYFUNCTION("""COMPUTED_VALUE"""),"KINETIC")</f>
        <v>KINETIC</v>
      </c>
      <c r="C1684" s="5" t="str">
        <f ca="1">IFERROR(__xludf.DUMMYFUNCTION("""COMPUTED_VALUE"""),"Mountain Goat")</f>
        <v>Mountain Goat</v>
      </c>
      <c r="D1684" s="5" t="str">
        <f ca="1">IFERROR(__xludf.DUMMYFUNCTION("""COMPUTED_VALUE"""),"LandPlane")</f>
        <v>LandPlane</v>
      </c>
      <c r="E1684" s="5" t="str">
        <f ca="1">IFERROR(__xludf.DUMMYFUNCTION("""COMPUTED_VALUE"""),"Piston")</f>
        <v>Piston</v>
      </c>
      <c r="F1684" s="5">
        <f ca="1">IFERROR(__xludf.DUMMYFUNCTION("""COMPUTED_VALUE"""),1)</f>
        <v>1</v>
      </c>
    </row>
    <row r="1685" spans="1:6" ht="15" customHeight="1" x14ac:dyDescent="0.2">
      <c r="A1685" s="5" t="str">
        <f ca="1">IFERROR(__xludf.DUMMYFUNCTION("""COMPUTED_VALUE"""),"MOL1")</f>
        <v>MOL1</v>
      </c>
      <c r="B1685" s="5" t="str">
        <f ca="1">IFERROR(__xludf.DUMMYFUNCTION("""COMPUTED_VALUE"""),"MOLNIYA")</f>
        <v>MOLNIYA</v>
      </c>
      <c r="C1685" s="5" t="str">
        <f ca="1">IFERROR(__xludf.DUMMYFUNCTION("""COMPUTED_VALUE"""),"1")</f>
        <v>1</v>
      </c>
      <c r="D1685" s="5" t="str">
        <f ca="1">IFERROR(__xludf.DUMMYFUNCTION("""COMPUTED_VALUE"""),"LandPlane")</f>
        <v>LandPlane</v>
      </c>
      <c r="E1685" s="5" t="str">
        <f ca="1">IFERROR(__xludf.DUMMYFUNCTION("""COMPUTED_VALUE"""),"Piston")</f>
        <v>Piston</v>
      </c>
      <c r="F1685" s="5">
        <f ca="1">IFERROR(__xludf.DUMMYFUNCTION("""COMPUTED_VALUE"""),1)</f>
        <v>1</v>
      </c>
    </row>
    <row r="1686" spans="1:6" ht="15" customHeight="1" x14ac:dyDescent="0.2">
      <c r="A1686" s="5" t="str">
        <f ca="1">IFERROR(__xludf.DUMMYFUNCTION("""COMPUTED_VALUE"""),"MONA")</f>
        <v>MONA</v>
      </c>
      <c r="B1686" s="5" t="str">
        <f ca="1">IFERROR(__xludf.DUMMYFUNCTION("""COMPUTED_VALUE"""),"MILES")</f>
        <v>MILES</v>
      </c>
      <c r="C1686" s="5" t="str">
        <f ca="1">IFERROR(__xludf.DUMMYFUNCTION("""COMPUTED_VALUE"""),"M-17 Monarch")</f>
        <v>M-17 Monarch</v>
      </c>
      <c r="D1686" s="5" t="str">
        <f ca="1">IFERROR(__xludf.DUMMYFUNCTION("""COMPUTED_VALUE"""),"LandPlane")</f>
        <v>LandPlane</v>
      </c>
      <c r="E1686" s="5" t="str">
        <f ca="1">IFERROR(__xludf.DUMMYFUNCTION("""COMPUTED_VALUE"""),"Piston")</f>
        <v>Piston</v>
      </c>
      <c r="F1686" s="5">
        <f ca="1">IFERROR(__xludf.DUMMYFUNCTION("""COMPUTED_VALUE"""),1)</f>
        <v>1</v>
      </c>
    </row>
    <row r="1687" spans="1:6" ht="15" customHeight="1" x14ac:dyDescent="0.2">
      <c r="A1687" s="5" t="str">
        <f ca="1">IFERROR(__xludf.DUMMYFUNCTION("""COMPUTED_VALUE"""),"MONI")</f>
        <v>MONI</v>
      </c>
      <c r="B1687" s="5" t="str">
        <f ca="1">IFERROR(__xludf.DUMMYFUNCTION("""COMPUTED_VALUE"""),"MONNETT")</f>
        <v>MONNETT</v>
      </c>
      <c r="C1687" s="5" t="str">
        <f ca="1">IFERROR(__xludf.DUMMYFUNCTION("""COMPUTED_VALUE"""),"Moni")</f>
        <v>Moni</v>
      </c>
      <c r="D1687" s="5" t="str">
        <f ca="1">IFERROR(__xludf.DUMMYFUNCTION("""COMPUTED_VALUE"""),"LandPlane")</f>
        <v>LandPlane</v>
      </c>
      <c r="E1687" s="5" t="str">
        <f ca="1">IFERROR(__xludf.DUMMYFUNCTION("""COMPUTED_VALUE"""),"Piston")</f>
        <v>Piston</v>
      </c>
      <c r="F1687" s="5">
        <f ca="1">IFERROR(__xludf.DUMMYFUNCTION("""COMPUTED_VALUE"""),1)</f>
        <v>1</v>
      </c>
    </row>
    <row r="1688" spans="1:6" ht="15" customHeight="1" x14ac:dyDescent="0.2">
      <c r="A1688" s="5" t="str">
        <f ca="1">IFERROR(__xludf.DUMMYFUNCTION("""COMPUTED_VALUE"""),"MOR2")</f>
        <v>MOR2</v>
      </c>
      <c r="B1688" s="5" t="str">
        <f ca="1">IFERROR(__xludf.DUMMYFUNCTION("""COMPUTED_VALUE"""),"VARGA")</f>
        <v>VARGA</v>
      </c>
      <c r="C1688" s="5" t="str">
        <f ca="1">IFERROR(__xludf.DUMMYFUNCTION("""COMPUTED_VALUE"""),"2150 Kachina")</f>
        <v>2150 Kachina</v>
      </c>
      <c r="D1688" s="5" t="str">
        <f ca="1">IFERROR(__xludf.DUMMYFUNCTION("""COMPUTED_VALUE"""),"LandPlane")</f>
        <v>LandPlane</v>
      </c>
      <c r="E1688" s="5" t="str">
        <f ca="1">IFERROR(__xludf.DUMMYFUNCTION("""COMPUTED_VALUE"""),"Piston")</f>
        <v>Piston</v>
      </c>
      <c r="F1688" s="5">
        <f ca="1">IFERROR(__xludf.DUMMYFUNCTION("""COMPUTED_VALUE"""),1)</f>
        <v>1</v>
      </c>
    </row>
    <row r="1689" spans="1:6" ht="15" customHeight="1" x14ac:dyDescent="0.2">
      <c r="A1689" s="5" t="str">
        <f ca="1">IFERROR(__xludf.DUMMYFUNCTION("""COMPUTED_VALUE"""),"MOSP")</f>
        <v>MOSP</v>
      </c>
      <c r="B1689" s="5" t="str">
        <f ca="1">IFERROR(__xludf.DUMMYFUNCTION("""COMPUTED_VALUE"""),"MONG")</f>
        <v>MONG</v>
      </c>
      <c r="C1689" s="5" t="str">
        <f ca="1">IFERROR(__xludf.DUMMYFUNCTION("""COMPUTED_VALUE"""),"Sport")</f>
        <v>Sport</v>
      </c>
      <c r="D1689" s="5" t="str">
        <f ca="1">IFERROR(__xludf.DUMMYFUNCTION("""COMPUTED_VALUE"""),"LandPlane")</f>
        <v>LandPlane</v>
      </c>
      <c r="E1689" s="5" t="str">
        <f ca="1">IFERROR(__xludf.DUMMYFUNCTION("""COMPUTED_VALUE"""),"Piston")</f>
        <v>Piston</v>
      </c>
      <c r="F1689" s="5">
        <f ca="1">IFERROR(__xludf.DUMMYFUNCTION("""COMPUTED_VALUE"""),1)</f>
        <v>1</v>
      </c>
    </row>
    <row r="1690" spans="1:6" ht="15" customHeight="1" x14ac:dyDescent="0.2">
      <c r="A1690" s="5" t="str">
        <f ca="1">IFERROR(__xludf.DUMMYFUNCTION("""COMPUTED_VALUE"""),"MOSQ")</f>
        <v>MOSQ</v>
      </c>
      <c r="B1690" s="5" t="str">
        <f ca="1">IFERROR(__xludf.DUMMYFUNCTION("""COMPUTED_VALUE"""),"DE HAVILLAND")</f>
        <v>DE HAVILLAND</v>
      </c>
      <c r="C1690" s="5" t="str">
        <f ca="1">IFERROR(__xludf.DUMMYFUNCTION("""COMPUTED_VALUE"""),"DH-98 Mosquito")</f>
        <v>DH-98 Mosquito</v>
      </c>
      <c r="D1690" s="5" t="str">
        <f ca="1">IFERROR(__xludf.DUMMYFUNCTION("""COMPUTED_VALUE"""),"LandPlane")</f>
        <v>LandPlane</v>
      </c>
      <c r="E1690" s="5" t="str">
        <f ca="1">IFERROR(__xludf.DUMMYFUNCTION("""COMPUTED_VALUE"""),"Piston")</f>
        <v>Piston</v>
      </c>
      <c r="F1690" s="5">
        <f ca="1">IFERROR(__xludf.DUMMYFUNCTION("""COMPUTED_VALUE"""),2)</f>
        <v>2</v>
      </c>
    </row>
    <row r="1691" spans="1:6" ht="15" customHeight="1" x14ac:dyDescent="0.2">
      <c r="A1691" s="5" t="str">
        <f ca="1">IFERROR(__xludf.DUMMYFUNCTION("""COMPUTED_VALUE"""),"MOTO")</f>
        <v>MOTO</v>
      </c>
      <c r="B1691" s="5" t="str">
        <f ca="1">IFERROR(__xludf.DUMMYFUNCTION("""COMPUTED_VALUE"""),"HUMBERT")</f>
        <v>HUMBERT</v>
      </c>
      <c r="C1691" s="5" t="str">
        <f ca="1">IFERROR(__xludf.DUMMYFUNCTION("""COMPUTED_VALUE"""),"Moto Du Ciel")</f>
        <v>Moto Du Ciel</v>
      </c>
      <c r="D1691" s="5" t="str">
        <f ca="1">IFERROR(__xludf.DUMMYFUNCTION("""COMPUTED_VALUE"""),"LandPlane")</f>
        <v>LandPlane</v>
      </c>
      <c r="E1691" s="5" t="str">
        <f ca="1">IFERROR(__xludf.DUMMYFUNCTION("""COMPUTED_VALUE"""),"Piston")</f>
        <v>Piston</v>
      </c>
      <c r="F1691" s="5">
        <f ca="1">IFERROR(__xludf.DUMMYFUNCTION("""COMPUTED_VALUE"""),1)</f>
        <v>1</v>
      </c>
    </row>
    <row r="1692" spans="1:6" ht="15" customHeight="1" x14ac:dyDescent="0.2">
      <c r="A1692" s="5" t="str">
        <f ca="1">IFERROR(__xludf.DUMMYFUNCTION("""COMPUTED_VALUE"""),"MP02")</f>
        <v>MP02</v>
      </c>
      <c r="B1692" s="5" t="str">
        <f ca="1">IFERROR(__xludf.DUMMYFUNCTION("""COMPUTED_VALUE"""),"AERO-KROS")</f>
        <v>AERO-KROS</v>
      </c>
      <c r="C1692" s="5" t="str">
        <f ca="1">IFERROR(__xludf.DUMMYFUNCTION("""COMPUTED_VALUE"""),"MP-02 Czajka")</f>
        <v>MP-02 Czajka</v>
      </c>
      <c r="D1692" s="5" t="str">
        <f ca="1">IFERROR(__xludf.DUMMYFUNCTION("""COMPUTED_VALUE"""),"LandPlane")</f>
        <v>LandPlane</v>
      </c>
      <c r="E1692" s="5" t="str">
        <f ca="1">IFERROR(__xludf.DUMMYFUNCTION("""COMPUTED_VALUE"""),"Piston")</f>
        <v>Piston</v>
      </c>
      <c r="F1692" s="5">
        <f ca="1">IFERROR(__xludf.DUMMYFUNCTION("""COMPUTED_VALUE"""),1)</f>
        <v>1</v>
      </c>
    </row>
    <row r="1693" spans="1:6" ht="15" customHeight="1" x14ac:dyDescent="0.2">
      <c r="A1693" s="5" t="str">
        <f ca="1">IFERROR(__xludf.DUMMYFUNCTION("""COMPUTED_VALUE"""),"MP20")</f>
        <v>MP20</v>
      </c>
      <c r="B1693" s="5" t="str">
        <f ca="1">IFERROR(__xludf.DUMMYFUNCTION("""COMPUTED_VALUE"""),"PLAN")</f>
        <v>PLAN</v>
      </c>
      <c r="C1693" s="5" t="str">
        <f ca="1">IFERROR(__xludf.DUMMYFUNCTION("""COMPUTED_VALUE"""),"MP-205 Busard")</f>
        <v>MP-205 Busard</v>
      </c>
      <c r="D1693" s="5" t="str">
        <f ca="1">IFERROR(__xludf.DUMMYFUNCTION("""COMPUTED_VALUE"""),"LandPlane")</f>
        <v>LandPlane</v>
      </c>
      <c r="E1693" s="5" t="str">
        <f ca="1">IFERROR(__xludf.DUMMYFUNCTION("""COMPUTED_VALUE"""),"Piston")</f>
        <v>Piston</v>
      </c>
      <c r="F1693" s="5">
        <f ca="1">IFERROR(__xludf.DUMMYFUNCTION("""COMPUTED_VALUE"""),1)</f>
        <v>1</v>
      </c>
    </row>
    <row r="1694" spans="1:6" ht="15" customHeight="1" x14ac:dyDescent="0.2">
      <c r="A1694" s="5" t="str">
        <f ca="1">IFERROR(__xludf.DUMMYFUNCTION("""COMPUTED_VALUE"""),"MR25")</f>
        <v>MR25</v>
      </c>
      <c r="B1694" s="5" t="str">
        <f ca="1">IFERROR(__xludf.DUMMYFUNCTION("""COMPUTED_VALUE"""),"MURPHY")</f>
        <v>MURPHY</v>
      </c>
      <c r="C1694" s="5" t="str">
        <f ca="1">IFERROR(__xludf.DUMMYFUNCTION("""COMPUTED_VALUE"""),"SR-2500 Super Rebel")</f>
        <v>SR-2500 Super Rebel</v>
      </c>
      <c r="D1694" s="5" t="str">
        <f ca="1">IFERROR(__xludf.DUMMYFUNCTION("""COMPUTED_VALUE"""),"LandPlane")</f>
        <v>LandPlane</v>
      </c>
      <c r="E1694" s="5" t="str">
        <f ca="1">IFERROR(__xludf.DUMMYFUNCTION("""COMPUTED_VALUE"""),"Piston")</f>
        <v>Piston</v>
      </c>
      <c r="F1694" s="5">
        <f ca="1">IFERROR(__xludf.DUMMYFUNCTION("""COMPUTED_VALUE"""),1)</f>
        <v>1</v>
      </c>
    </row>
    <row r="1695" spans="1:6" ht="15" customHeight="1" x14ac:dyDescent="0.2">
      <c r="A1695" s="5" t="str">
        <f ca="1">IFERROR(__xludf.DUMMYFUNCTION("""COMPUTED_VALUE"""),"MR35")</f>
        <v>MR35</v>
      </c>
      <c r="B1695" s="5" t="str">
        <f ca="1">IFERROR(__xludf.DUMMYFUNCTION("""COMPUTED_VALUE"""),"MURPHY")</f>
        <v>MURPHY</v>
      </c>
      <c r="C1695" s="5" t="str">
        <f ca="1">IFERROR(__xludf.DUMMYFUNCTION("""COMPUTED_VALUE"""),"SR-3500 Moose")</f>
        <v>SR-3500 Moose</v>
      </c>
      <c r="D1695" s="5" t="str">
        <f ca="1">IFERROR(__xludf.DUMMYFUNCTION("""COMPUTED_VALUE"""),"LandPlane")</f>
        <v>LandPlane</v>
      </c>
      <c r="E1695" s="5" t="str">
        <f ca="1">IFERROR(__xludf.DUMMYFUNCTION("""COMPUTED_VALUE"""),"Piston")</f>
        <v>Piston</v>
      </c>
      <c r="F1695" s="5">
        <f ca="1">IFERROR(__xludf.DUMMYFUNCTION("""COMPUTED_VALUE"""),1)</f>
        <v>1</v>
      </c>
    </row>
    <row r="1696" spans="1:6" ht="15" customHeight="1" x14ac:dyDescent="0.2">
      <c r="A1696" s="5" t="str">
        <f ca="1">IFERROR(__xludf.DUMMYFUNCTION("""COMPUTED_VALUE"""),"MR3T")</f>
        <v>MR3T</v>
      </c>
      <c r="B1696" s="5" t="str">
        <f ca="1">IFERROR(__xludf.DUMMYFUNCTION("""COMPUTED_VALUE"""),"MURPHY")</f>
        <v>MURPHY</v>
      </c>
      <c r="C1696" s="5" t="str">
        <f ca="1">IFERROR(__xludf.DUMMYFUNCTION("""COMPUTED_VALUE"""),"SR-3500 T-Moose")</f>
        <v>SR-3500 T-Moose</v>
      </c>
      <c r="D1696" s="5" t="str">
        <f ca="1">IFERROR(__xludf.DUMMYFUNCTION("""COMPUTED_VALUE"""),"LandPlane")</f>
        <v>LandPlane</v>
      </c>
      <c r="E1696" s="5" t="str">
        <f ca="1">IFERROR(__xludf.DUMMYFUNCTION("""COMPUTED_VALUE"""),"Turboprop/Turboshaft")</f>
        <v>Turboprop/Turboshaft</v>
      </c>
      <c r="F1696" s="5">
        <f ca="1">IFERROR(__xludf.DUMMYFUNCTION("""COMPUTED_VALUE"""),1)</f>
        <v>1</v>
      </c>
    </row>
    <row r="1697" spans="1:6" ht="15" customHeight="1" x14ac:dyDescent="0.2">
      <c r="A1697" s="5" t="str">
        <f ca="1">IFERROR(__xludf.DUMMYFUNCTION("""COMPUTED_VALUE"""),"MRAI")</f>
        <v>MRAI</v>
      </c>
      <c r="B1697" s="5" t="str">
        <f ca="1">IFERROR(__xludf.DUMMYFUNCTION("""COMPUTED_VALUE"""),"MONNETT")</f>
        <v>MONNETT</v>
      </c>
      <c r="C1697" s="5" t="str">
        <f ca="1">IFERROR(__xludf.DUMMYFUNCTION("""COMPUTED_VALUE"""),"Monerai P")</f>
        <v>Monerai P</v>
      </c>
      <c r="D1697" s="5" t="str">
        <f ca="1">IFERROR(__xludf.DUMMYFUNCTION("""COMPUTED_VALUE"""),"LandPlane")</f>
        <v>LandPlane</v>
      </c>
      <c r="E1697" s="5" t="str">
        <f ca="1">IFERROR(__xludf.DUMMYFUNCTION("""COMPUTED_VALUE"""),"Piston")</f>
        <v>Piston</v>
      </c>
      <c r="F1697" s="5">
        <f ca="1">IFERROR(__xludf.DUMMYFUNCTION("""COMPUTED_VALUE"""),1)</f>
        <v>1</v>
      </c>
    </row>
    <row r="1698" spans="1:6" ht="15" customHeight="1" x14ac:dyDescent="0.2">
      <c r="A1698" s="5" t="str">
        <f ca="1">IFERROR(__xludf.DUMMYFUNCTION("""COMPUTED_VALUE"""),"MRAM")</f>
        <v>MRAM</v>
      </c>
      <c r="B1698" s="5" t="str">
        <f ca="1">IFERROR(__xludf.DUMMYFUNCTION("""COMPUTED_VALUE"""),"HARMON (1)")</f>
        <v>HARMON (1)</v>
      </c>
      <c r="C1698" s="5" t="str">
        <f ca="1">IFERROR(__xludf.DUMMYFUNCTION("""COMPUTED_VALUE"""),"1-2 Mister America")</f>
        <v>1-2 Mister America</v>
      </c>
      <c r="D1698" s="5" t="str">
        <f ca="1">IFERROR(__xludf.DUMMYFUNCTION("""COMPUTED_VALUE"""),"LandPlane")</f>
        <v>LandPlane</v>
      </c>
      <c r="E1698" s="5" t="str">
        <f ca="1">IFERROR(__xludf.DUMMYFUNCTION("""COMPUTED_VALUE"""),"Piston")</f>
        <v>Piston</v>
      </c>
      <c r="F1698" s="5">
        <f ca="1">IFERROR(__xludf.DUMMYFUNCTION("""COMPUTED_VALUE"""),1)</f>
        <v>1</v>
      </c>
    </row>
    <row r="1699" spans="1:6" ht="15" customHeight="1" x14ac:dyDescent="0.2">
      <c r="A1699" s="5" t="str">
        <f ca="1">IFERROR(__xludf.DUMMYFUNCTION("""COMPUTED_VALUE"""),"MRF1")</f>
        <v>MRF1</v>
      </c>
      <c r="B1699" s="5" t="str">
        <f ca="1">IFERROR(__xludf.DUMMYFUNCTION("""COMPUTED_VALUE"""),"DASSAULT")</f>
        <v>DASSAULT</v>
      </c>
      <c r="C1699" s="5" t="str">
        <f ca="1">IFERROR(__xludf.DUMMYFUNCTION("""COMPUTED_VALUE"""),"Mirage F1")</f>
        <v>Mirage F1</v>
      </c>
      <c r="D1699" s="5" t="str">
        <f ca="1">IFERROR(__xludf.DUMMYFUNCTION("""COMPUTED_VALUE"""),"LandPlane")</f>
        <v>LandPlane</v>
      </c>
      <c r="E1699" s="5" t="str">
        <f ca="1">IFERROR(__xludf.DUMMYFUNCTION("""COMPUTED_VALUE"""),"Jet")</f>
        <v>Jet</v>
      </c>
      <c r="F1699" s="5">
        <f ca="1">IFERROR(__xludf.DUMMYFUNCTION("""COMPUTED_VALUE"""),1)</f>
        <v>1</v>
      </c>
    </row>
    <row r="1700" spans="1:6" ht="15" customHeight="1" x14ac:dyDescent="0.2">
      <c r="A1700" s="5" t="str">
        <f ca="1">IFERROR(__xludf.DUMMYFUNCTION("""COMPUTED_VALUE"""),"MRJ7")</f>
        <v>MRJ7</v>
      </c>
      <c r="B1700" s="5" t="str">
        <f ca="1">IFERROR(__xludf.DUMMYFUNCTION("""COMPUTED_VALUE"""),"MITSUBISHI")</f>
        <v>MITSUBISHI</v>
      </c>
      <c r="C1700" s="5" t="str">
        <f ca="1">IFERROR(__xludf.DUMMYFUNCTION("""COMPUTED_VALUE"""),"MRJ-70")</f>
        <v>MRJ-70</v>
      </c>
      <c r="D1700" s="5" t="str">
        <f ca="1">IFERROR(__xludf.DUMMYFUNCTION("""COMPUTED_VALUE"""),"LandPlane")</f>
        <v>LandPlane</v>
      </c>
      <c r="E1700" s="5" t="str">
        <f ca="1">IFERROR(__xludf.DUMMYFUNCTION("""COMPUTED_VALUE"""),"Jet")</f>
        <v>Jet</v>
      </c>
      <c r="F1700" s="5">
        <f ca="1">IFERROR(__xludf.DUMMYFUNCTION("""COMPUTED_VALUE"""),2)</f>
        <v>2</v>
      </c>
    </row>
    <row r="1701" spans="1:6" ht="15" customHeight="1" x14ac:dyDescent="0.2">
      <c r="A1701" s="5" t="str">
        <f ca="1">IFERROR(__xludf.DUMMYFUNCTION("""COMPUTED_VALUE"""),"MRJ9")</f>
        <v>MRJ9</v>
      </c>
      <c r="B1701" s="5" t="str">
        <f ca="1">IFERROR(__xludf.DUMMYFUNCTION("""COMPUTED_VALUE"""),"MITSUBISHI")</f>
        <v>MITSUBISHI</v>
      </c>
      <c r="C1701" s="5" t="str">
        <f ca="1">IFERROR(__xludf.DUMMYFUNCTION("""COMPUTED_VALUE"""),"MRJ-90")</f>
        <v>MRJ-90</v>
      </c>
      <c r="D1701" s="5" t="str">
        <f ca="1">IFERROR(__xludf.DUMMYFUNCTION("""COMPUTED_VALUE"""),"LandPlane")</f>
        <v>LandPlane</v>
      </c>
      <c r="E1701" s="5" t="str">
        <f ca="1">IFERROR(__xludf.DUMMYFUNCTION("""COMPUTED_VALUE"""),"Jet")</f>
        <v>Jet</v>
      </c>
      <c r="F1701" s="5">
        <f ca="1">IFERROR(__xludf.DUMMYFUNCTION("""COMPUTED_VALUE"""),2)</f>
        <v>2</v>
      </c>
    </row>
    <row r="1702" spans="1:6" ht="15" customHeight="1" x14ac:dyDescent="0.2">
      <c r="A1702" s="5" t="str">
        <f ca="1">IFERROR(__xludf.DUMMYFUNCTION("""COMPUTED_VALUE"""),"MRMD")</f>
        <v>MRMD</v>
      </c>
      <c r="B1702" s="5" t="str">
        <f ca="1">IFERROR(__xludf.DUMMYFUNCTION("""COMPUTED_VALUE"""),"CZAW")</f>
        <v>CZAW</v>
      </c>
      <c r="C1702" s="5" t="str">
        <f ca="1">IFERROR(__xludf.DUMMYFUNCTION("""COMPUTED_VALUE"""),"Mermaid")</f>
        <v>Mermaid</v>
      </c>
      <c r="D1702" s="5" t="str">
        <f ca="1">IFERROR(__xludf.DUMMYFUNCTION("""COMPUTED_VALUE"""),"Amphibian")</f>
        <v>Amphibian</v>
      </c>
      <c r="E1702" s="5" t="str">
        <f ca="1">IFERROR(__xludf.DUMMYFUNCTION("""COMPUTED_VALUE"""),"Piston")</f>
        <v>Piston</v>
      </c>
      <c r="F1702" s="5">
        <f ca="1">IFERROR(__xludf.DUMMYFUNCTION("""COMPUTED_VALUE"""),1)</f>
        <v>1</v>
      </c>
    </row>
    <row r="1703" spans="1:6" ht="15" customHeight="1" x14ac:dyDescent="0.2">
      <c r="A1703" s="5" t="str">
        <f ca="1">IFERROR(__xludf.DUMMYFUNCTION("""COMPUTED_VALUE"""),"MRTN")</f>
        <v>MRTN</v>
      </c>
      <c r="B1703" s="5" t="str">
        <f ca="1">IFERROR(__xludf.DUMMYFUNCTION("""COMPUTED_VALUE"""),"MIRAGE")</f>
        <v>MIRAGE</v>
      </c>
      <c r="C1703" s="5" t="str">
        <f ca="1">IFERROR(__xludf.DUMMYFUNCTION("""COMPUTED_VALUE"""),"Marathon")</f>
        <v>Marathon</v>
      </c>
      <c r="D1703" s="5" t="str">
        <f ca="1">IFERROR(__xludf.DUMMYFUNCTION("""COMPUTED_VALUE"""),"LandPlane")</f>
        <v>LandPlane</v>
      </c>
      <c r="E1703" s="5" t="str">
        <f ca="1">IFERROR(__xludf.DUMMYFUNCTION("""COMPUTED_VALUE"""),"Piston")</f>
        <v>Piston</v>
      </c>
      <c r="F1703" s="5">
        <f ca="1">IFERROR(__xludf.DUMMYFUNCTION("""COMPUTED_VALUE"""),1)</f>
        <v>1</v>
      </c>
    </row>
    <row r="1704" spans="1:6" ht="15" customHeight="1" x14ac:dyDescent="0.2">
      <c r="A1704" s="5" t="str">
        <f ca="1">IFERROR(__xludf.DUMMYFUNCTION("""COMPUTED_VALUE"""),"MS1")</f>
        <v>MS1</v>
      </c>
      <c r="B1704" s="5" t="str">
        <f ca="1">IFERROR(__xludf.DUMMYFUNCTION("""COMPUTED_VALUE"""),"MYSKY")</f>
        <v>MYSKY</v>
      </c>
      <c r="C1704" s="5" t="str">
        <f ca="1">IFERROR(__xludf.DUMMYFUNCTION("""COMPUTED_VALUE"""),"MS-1")</f>
        <v>MS-1</v>
      </c>
      <c r="D1704" s="5" t="str">
        <f ca="1">IFERROR(__xludf.DUMMYFUNCTION("""COMPUTED_VALUE"""),"LandPlane")</f>
        <v>LandPlane</v>
      </c>
      <c r="E1704" s="5" t="str">
        <f ca="1">IFERROR(__xludf.DUMMYFUNCTION("""COMPUTED_VALUE"""),"Piston")</f>
        <v>Piston</v>
      </c>
      <c r="F1704" s="5">
        <f ca="1">IFERROR(__xludf.DUMMYFUNCTION("""COMPUTED_VALUE"""),1)</f>
        <v>1</v>
      </c>
    </row>
    <row r="1705" spans="1:6" ht="15" customHeight="1" x14ac:dyDescent="0.2">
      <c r="A1705" s="5" t="str">
        <f ca="1">IFERROR(__xludf.DUMMYFUNCTION("""COMPUTED_VALUE"""),"MS18")</f>
        <v>MS18</v>
      </c>
      <c r="B1705" s="5" t="str">
        <f ca="1">IFERROR(__xludf.DUMMYFUNCTION("""COMPUTED_VALUE"""),"SOCATA")</f>
        <v>SOCATA</v>
      </c>
      <c r="C1705" s="5" t="str">
        <f ca="1">IFERROR(__xludf.DUMMYFUNCTION("""COMPUTED_VALUE"""),"MS-200FG Morane")</f>
        <v>MS-200FG Morane</v>
      </c>
      <c r="D1705" s="5" t="str">
        <f ca="1">IFERROR(__xludf.DUMMYFUNCTION("""COMPUTED_VALUE"""),"LandPlane")</f>
        <v>LandPlane</v>
      </c>
      <c r="E1705" s="5" t="str">
        <f ca="1">IFERROR(__xludf.DUMMYFUNCTION("""COMPUTED_VALUE"""),"Piston")</f>
        <v>Piston</v>
      </c>
      <c r="F1705" s="5">
        <f ca="1">IFERROR(__xludf.DUMMYFUNCTION("""COMPUTED_VALUE"""),1)</f>
        <v>1</v>
      </c>
    </row>
    <row r="1706" spans="1:6" ht="15" customHeight="1" x14ac:dyDescent="0.2">
      <c r="A1706" s="5" t="str">
        <f ca="1">IFERROR(__xludf.DUMMYFUNCTION("""COMPUTED_VALUE"""),"MS23")</f>
        <v>MS23</v>
      </c>
      <c r="B1706" s="5" t="str">
        <f ca="1">IFERROR(__xludf.DUMMYFUNCTION("""COMPUTED_VALUE"""),"MORANE-SAULNIER")</f>
        <v>MORANE-SAULNIER</v>
      </c>
      <c r="C1706" s="5" t="str">
        <f ca="1">IFERROR(__xludf.DUMMYFUNCTION("""COMPUTED_VALUE"""),"MS-230")</f>
        <v>MS-230</v>
      </c>
      <c r="D1706" s="5" t="str">
        <f ca="1">IFERROR(__xludf.DUMMYFUNCTION("""COMPUTED_VALUE"""),"LandPlane")</f>
        <v>LandPlane</v>
      </c>
      <c r="E1706" s="5" t="str">
        <f ca="1">IFERROR(__xludf.DUMMYFUNCTION("""COMPUTED_VALUE"""),"Piston")</f>
        <v>Piston</v>
      </c>
      <c r="F1706" s="5">
        <f ca="1">IFERROR(__xludf.DUMMYFUNCTION("""COMPUTED_VALUE"""),1)</f>
        <v>1</v>
      </c>
    </row>
    <row r="1707" spans="1:6" ht="15" customHeight="1" x14ac:dyDescent="0.2">
      <c r="A1707" s="5" t="str">
        <f ca="1">IFERROR(__xludf.DUMMYFUNCTION("""COMPUTED_VALUE"""),"MS25")</f>
        <v>MS25</v>
      </c>
      <c r="B1707" s="5" t="str">
        <f ca="1">IFERROR(__xludf.DUMMYFUNCTION("""COMPUTED_VALUE"""),"SOCATA")</f>
        <v>SOCATA</v>
      </c>
      <c r="C1707" s="5" t="str">
        <f ca="1">IFERROR(__xludf.DUMMYFUNCTION("""COMPUTED_VALUE"""),"MS-200RG Morane")</f>
        <v>MS-200RG Morane</v>
      </c>
      <c r="D1707" s="5" t="str">
        <f ca="1">IFERROR(__xludf.DUMMYFUNCTION("""COMPUTED_VALUE"""),"LandPlane")</f>
        <v>LandPlane</v>
      </c>
      <c r="E1707" s="5" t="str">
        <f ca="1">IFERROR(__xludf.DUMMYFUNCTION("""COMPUTED_VALUE"""),"Piston")</f>
        <v>Piston</v>
      </c>
      <c r="F1707" s="5">
        <f ca="1">IFERROR(__xludf.DUMMYFUNCTION("""COMPUTED_VALUE"""),1)</f>
        <v>1</v>
      </c>
    </row>
    <row r="1708" spans="1:6" ht="15" customHeight="1" x14ac:dyDescent="0.2">
      <c r="A1708" s="5" t="str">
        <f ca="1">IFERROR(__xludf.DUMMYFUNCTION("""COMPUTED_VALUE"""),"MS30")</f>
        <v>MS30</v>
      </c>
      <c r="B1708" s="5" t="str">
        <f ca="1">IFERROR(__xludf.DUMMYFUNCTION("""COMPUTED_VALUE"""),"SOCATA")</f>
        <v>SOCATA</v>
      </c>
      <c r="C1708" s="5" t="str">
        <f ca="1">IFERROR(__xludf.DUMMYFUNCTION("""COMPUTED_VALUE"""),"MS-300 Epsilon 2")</f>
        <v>MS-300 Epsilon 2</v>
      </c>
      <c r="D1708" s="5" t="str">
        <f ca="1">IFERROR(__xludf.DUMMYFUNCTION("""COMPUTED_VALUE"""),"LandPlane")</f>
        <v>LandPlane</v>
      </c>
      <c r="E1708" s="5" t="str">
        <f ca="1">IFERROR(__xludf.DUMMYFUNCTION("""COMPUTED_VALUE"""),"Piston")</f>
        <v>Piston</v>
      </c>
      <c r="F1708" s="5">
        <f ca="1">IFERROR(__xludf.DUMMYFUNCTION("""COMPUTED_VALUE"""),1)</f>
        <v>1</v>
      </c>
    </row>
    <row r="1709" spans="1:6" ht="15" customHeight="1" x14ac:dyDescent="0.2">
      <c r="A1709" s="5" t="str">
        <f ca="1">IFERROR(__xludf.DUMMYFUNCTION("""COMPUTED_VALUE"""),"MS31")</f>
        <v>MS31</v>
      </c>
      <c r="B1709" s="5" t="str">
        <f ca="1">IFERROR(__xludf.DUMMYFUNCTION("""COMPUTED_VALUE"""),"MORANE-SAULNIER")</f>
        <v>MORANE-SAULNIER</v>
      </c>
      <c r="C1709" s="5" t="str">
        <f ca="1">IFERROR(__xludf.DUMMYFUNCTION("""COMPUTED_VALUE"""),"MS-315")</f>
        <v>MS-315</v>
      </c>
      <c r="D1709" s="5" t="str">
        <f ca="1">IFERROR(__xludf.DUMMYFUNCTION("""COMPUTED_VALUE"""),"LandPlane")</f>
        <v>LandPlane</v>
      </c>
      <c r="E1709" s="5" t="str">
        <f ca="1">IFERROR(__xludf.DUMMYFUNCTION("""COMPUTED_VALUE"""),"Piston")</f>
        <v>Piston</v>
      </c>
      <c r="F1709" s="5">
        <f ca="1">IFERROR(__xludf.DUMMYFUNCTION("""COMPUTED_VALUE"""),1)</f>
        <v>1</v>
      </c>
    </row>
    <row r="1710" spans="1:6" ht="15" customHeight="1" x14ac:dyDescent="0.2">
      <c r="A1710" s="5" t="str">
        <f ca="1">IFERROR(__xludf.DUMMYFUNCTION("""COMPUTED_VALUE"""),"MS73")</f>
        <v>MS73</v>
      </c>
      <c r="B1710" s="5" t="str">
        <f ca="1">IFERROR(__xludf.DUMMYFUNCTION("""COMPUTED_VALUE"""),"MORANE-SAULNIER")</f>
        <v>MORANE-SAULNIER</v>
      </c>
      <c r="C1710" s="5" t="str">
        <f ca="1">IFERROR(__xludf.DUMMYFUNCTION("""COMPUTED_VALUE"""),"MS-733 Alcyon")</f>
        <v>MS-733 Alcyon</v>
      </c>
      <c r="D1710" s="5" t="str">
        <f ca="1">IFERROR(__xludf.DUMMYFUNCTION("""COMPUTED_VALUE"""),"LandPlane")</f>
        <v>LandPlane</v>
      </c>
      <c r="E1710" s="5" t="str">
        <f ca="1">IFERROR(__xludf.DUMMYFUNCTION("""COMPUTED_VALUE"""),"Piston")</f>
        <v>Piston</v>
      </c>
      <c r="F1710" s="5">
        <f ca="1">IFERROR(__xludf.DUMMYFUNCTION("""COMPUTED_VALUE"""),1)</f>
        <v>1</v>
      </c>
    </row>
    <row r="1711" spans="1:6" ht="15" customHeight="1" x14ac:dyDescent="0.2">
      <c r="A1711" s="5" t="str">
        <f ca="1">IFERROR(__xludf.DUMMYFUNCTION("""COMPUTED_VALUE"""),"MS76")</f>
        <v>MS76</v>
      </c>
      <c r="B1711" s="5" t="str">
        <f ca="1">IFERROR(__xludf.DUMMYFUNCTION("""COMPUTED_VALUE"""),"MORANE-SAULNIER")</f>
        <v>MORANE-SAULNIER</v>
      </c>
      <c r="C1711" s="5" t="str">
        <f ca="1">IFERROR(__xludf.DUMMYFUNCTION("""COMPUTED_VALUE"""),"MS-760 Paris")</f>
        <v>MS-760 Paris</v>
      </c>
      <c r="D1711" s="5" t="str">
        <f ca="1">IFERROR(__xludf.DUMMYFUNCTION("""COMPUTED_VALUE"""),"LandPlane")</f>
        <v>LandPlane</v>
      </c>
      <c r="E1711" s="5" t="str">
        <f ca="1">IFERROR(__xludf.DUMMYFUNCTION("""COMPUTED_VALUE"""),"Jet")</f>
        <v>Jet</v>
      </c>
      <c r="F1711" s="5">
        <f ca="1">IFERROR(__xludf.DUMMYFUNCTION("""COMPUTED_VALUE"""),2)</f>
        <v>2</v>
      </c>
    </row>
    <row r="1712" spans="1:6" ht="15" customHeight="1" x14ac:dyDescent="0.2">
      <c r="A1712" s="5" t="str">
        <f ca="1">IFERROR(__xludf.DUMMYFUNCTION("""COMPUTED_VALUE"""),"MSAI")</f>
        <v>MSAI</v>
      </c>
      <c r="B1712" s="5" t="str">
        <f ca="1">IFERROR(__xludf.DUMMYFUNCTION("""COMPUTED_VALUE"""),"MORANE-SAULNIER")</f>
        <v>MORANE-SAULNIER</v>
      </c>
      <c r="C1712" s="5" t="str">
        <f ca="1">IFERROR(__xludf.DUMMYFUNCTION("""COMPUTED_VALUE"""),"AI")</f>
        <v>AI</v>
      </c>
      <c r="D1712" s="5" t="str">
        <f ca="1">IFERROR(__xludf.DUMMYFUNCTION("""COMPUTED_VALUE"""),"LandPlane")</f>
        <v>LandPlane</v>
      </c>
      <c r="E1712" s="5" t="str">
        <f ca="1">IFERROR(__xludf.DUMMYFUNCTION("""COMPUTED_VALUE"""),"Piston")</f>
        <v>Piston</v>
      </c>
      <c r="F1712" s="5">
        <f ca="1">IFERROR(__xludf.DUMMYFUNCTION("""COMPUTED_VALUE"""),1)</f>
        <v>1</v>
      </c>
    </row>
    <row r="1713" spans="1:6" ht="15" customHeight="1" x14ac:dyDescent="0.2">
      <c r="A1713" s="5" t="str">
        <f ca="1">IFERROR(__xludf.DUMMYFUNCTION("""COMPUTED_VALUE"""),"MSAI")</f>
        <v>MSAI</v>
      </c>
      <c r="B1713" s="5" t="str">
        <f ca="1">IFERROR(__xludf.DUMMYFUNCTION("""COMPUTED_VALUE"""),"MORANE-SAULNIER")</f>
        <v>MORANE-SAULNIER</v>
      </c>
      <c r="C1713" s="5" t="str">
        <f ca="1">IFERROR(__xludf.DUMMYFUNCTION("""COMPUTED_VALUE"""),"MoS-27")</f>
        <v>MoS-27</v>
      </c>
      <c r="D1713" s="5" t="str">
        <f ca="1">IFERROR(__xludf.DUMMYFUNCTION("""COMPUTED_VALUE"""),"LandPlane")</f>
        <v>LandPlane</v>
      </c>
      <c r="E1713" s="5" t="str">
        <f ca="1">IFERROR(__xludf.DUMMYFUNCTION("""COMPUTED_VALUE"""),"Piston")</f>
        <v>Piston</v>
      </c>
      <c r="F1713" s="5">
        <f ca="1">IFERROR(__xludf.DUMMYFUNCTION("""COMPUTED_VALUE"""),1)</f>
        <v>1</v>
      </c>
    </row>
    <row r="1714" spans="1:6" ht="15" customHeight="1" x14ac:dyDescent="0.2">
      <c r="A1714" s="5" t="str">
        <f ca="1">IFERROR(__xludf.DUMMYFUNCTION("""COMPUTED_VALUE"""),"MSQ2")</f>
        <v>MSQ2</v>
      </c>
      <c r="B1714" s="5" t="str">
        <f ca="1">IFERROR(__xludf.DUMMYFUNCTION("""COMPUTED_VALUE"""),"BACKCOUNTRY")</f>
        <v>BACKCOUNTRY</v>
      </c>
      <c r="C1714" s="5" t="str">
        <f ca="1">IFERROR(__xludf.DUMMYFUNCTION("""COMPUTED_VALUE"""),"Mackey SQ-2")</f>
        <v>Mackey SQ-2</v>
      </c>
      <c r="D1714" s="5" t="str">
        <f ca="1">IFERROR(__xludf.DUMMYFUNCTION("""COMPUTED_VALUE"""),"LandPlane")</f>
        <v>LandPlane</v>
      </c>
      <c r="E1714" s="5" t="str">
        <f ca="1">IFERROR(__xludf.DUMMYFUNCTION("""COMPUTED_VALUE"""),"Piston")</f>
        <v>Piston</v>
      </c>
      <c r="F1714" s="5">
        <f ca="1">IFERROR(__xludf.DUMMYFUNCTION("""COMPUTED_VALUE"""),1)</f>
        <v>1</v>
      </c>
    </row>
    <row r="1715" spans="1:6" ht="15" customHeight="1" x14ac:dyDescent="0.2">
      <c r="A1715" s="5" t="str">
        <f ca="1">IFERROR(__xludf.DUMMYFUNCTION("""COMPUTED_VALUE"""),"MT")</f>
        <v>MT</v>
      </c>
      <c r="B1715" s="5" t="str">
        <f ca="1">IFERROR(__xludf.DUMMYFUNCTION("""COMPUTED_VALUE"""),"ROTORSPORT")</f>
        <v>ROTORSPORT</v>
      </c>
      <c r="C1715" s="5" t="str">
        <f ca="1">IFERROR(__xludf.DUMMYFUNCTION("""COMPUTED_VALUE"""),"MT-03")</f>
        <v>MT-03</v>
      </c>
      <c r="D1715" s="5" t="str">
        <f ca="1">IFERROR(__xludf.DUMMYFUNCTION("""COMPUTED_VALUE"""),"Gyrocopter")</f>
        <v>Gyrocopter</v>
      </c>
      <c r="E1715" s="5" t="str">
        <f ca="1">IFERROR(__xludf.DUMMYFUNCTION("""COMPUTED_VALUE"""),"Piston")</f>
        <v>Piston</v>
      </c>
      <c r="F1715" s="5">
        <f ca="1">IFERROR(__xludf.DUMMYFUNCTION("""COMPUTED_VALUE"""),1)</f>
        <v>1</v>
      </c>
    </row>
    <row r="1716" spans="1:6" ht="15" customHeight="1" x14ac:dyDescent="0.2">
      <c r="A1716" s="5" t="str">
        <f ca="1">IFERROR(__xludf.DUMMYFUNCTION("""COMPUTED_VALUE"""),"MU2")</f>
        <v>MU2</v>
      </c>
      <c r="B1716" s="5" t="str">
        <f ca="1">IFERROR(__xludf.DUMMYFUNCTION("""COMPUTED_VALUE"""),"MITSUBISHI")</f>
        <v>MITSUBISHI</v>
      </c>
      <c r="C1716" s="5" t="str">
        <f ca="1">IFERROR(__xludf.DUMMYFUNCTION("""COMPUTED_VALUE"""),"MU-2")</f>
        <v>MU-2</v>
      </c>
      <c r="D1716" s="5" t="str">
        <f ca="1">IFERROR(__xludf.DUMMYFUNCTION("""COMPUTED_VALUE"""),"LandPlane")</f>
        <v>LandPlane</v>
      </c>
      <c r="E1716" s="5" t="str">
        <f ca="1">IFERROR(__xludf.DUMMYFUNCTION("""COMPUTED_VALUE"""),"Turboprop/Turboshaft")</f>
        <v>Turboprop/Turboshaft</v>
      </c>
      <c r="F1716" s="5">
        <f ca="1">IFERROR(__xludf.DUMMYFUNCTION("""COMPUTED_VALUE"""),2)</f>
        <v>2</v>
      </c>
    </row>
    <row r="1717" spans="1:6" ht="15" customHeight="1" x14ac:dyDescent="0.2">
      <c r="A1717" s="5" t="str">
        <f ca="1">IFERROR(__xludf.DUMMYFUNCTION("""COMPUTED_VALUE"""),"MU23")</f>
        <v>MU23</v>
      </c>
      <c r="B1717" s="5" t="str">
        <f ca="1">IFERROR(__xludf.DUMMYFUNCTION("""COMPUTED_VALUE"""),"AKAFLIEG MUNCHEN")</f>
        <v>AKAFLIEG MUNCHEN</v>
      </c>
      <c r="C1717" s="5" t="str">
        <f ca="1">IFERROR(__xludf.DUMMYFUNCTION("""COMPUTED_VALUE"""),"Mü-23 Saurier")</f>
        <v>Mü-23 Saurier</v>
      </c>
      <c r="D1717" s="5" t="str">
        <f ca="1">IFERROR(__xludf.DUMMYFUNCTION("""COMPUTED_VALUE"""),"LandPlane")</f>
        <v>LandPlane</v>
      </c>
      <c r="E1717" s="5" t="str">
        <f ca="1">IFERROR(__xludf.DUMMYFUNCTION("""COMPUTED_VALUE"""),"Piston")</f>
        <v>Piston</v>
      </c>
      <c r="F1717" s="5">
        <f ca="1">IFERROR(__xludf.DUMMYFUNCTION("""COMPUTED_VALUE"""),1)</f>
        <v>1</v>
      </c>
    </row>
    <row r="1718" spans="1:6" ht="15" customHeight="1" x14ac:dyDescent="0.2">
      <c r="A1718" s="5" t="str">
        <f ca="1">IFERROR(__xludf.DUMMYFUNCTION("""COMPUTED_VALUE"""),"MU30")</f>
        <v>MU30</v>
      </c>
      <c r="B1718" s="5" t="str">
        <f ca="1">IFERROR(__xludf.DUMMYFUNCTION("""COMPUTED_VALUE"""),"MITSUBISHI")</f>
        <v>MITSUBISHI</v>
      </c>
      <c r="C1718" s="5" t="str">
        <f ca="1">IFERROR(__xludf.DUMMYFUNCTION("""COMPUTED_VALUE"""),"MU-300 Diamond")</f>
        <v>MU-300 Diamond</v>
      </c>
      <c r="D1718" s="5" t="str">
        <f ca="1">IFERROR(__xludf.DUMMYFUNCTION("""COMPUTED_VALUE"""),"LandPlane")</f>
        <v>LandPlane</v>
      </c>
      <c r="E1718" s="5" t="str">
        <f ca="1">IFERROR(__xludf.DUMMYFUNCTION("""COMPUTED_VALUE"""),"Jet")</f>
        <v>Jet</v>
      </c>
      <c r="F1718" s="5">
        <f ca="1">IFERROR(__xludf.DUMMYFUNCTION("""COMPUTED_VALUE"""),2)</f>
        <v>2</v>
      </c>
    </row>
    <row r="1719" spans="1:6" ht="15" customHeight="1" x14ac:dyDescent="0.2">
      <c r="A1719" s="5" t="str">
        <f ca="1">IFERROR(__xludf.DUMMYFUNCTION("""COMPUTED_VALUE"""),"MUS2")</f>
        <v>MUS2</v>
      </c>
      <c r="B1719" s="5" t="str">
        <f ca="1">IFERROR(__xludf.DUMMYFUNCTION("""COMPUTED_VALUE"""),"BUSHBY")</f>
        <v>BUSHBY</v>
      </c>
      <c r="C1719" s="5" t="str">
        <f ca="1">IFERROR(__xludf.DUMMYFUNCTION("""COMPUTED_VALUE"""),"M-2 Mustang 2")</f>
        <v>M-2 Mustang 2</v>
      </c>
      <c r="D1719" s="5" t="str">
        <f ca="1">IFERROR(__xludf.DUMMYFUNCTION("""COMPUTED_VALUE"""),"LandPlane")</f>
        <v>LandPlane</v>
      </c>
      <c r="E1719" s="5" t="str">
        <f ca="1">IFERROR(__xludf.DUMMYFUNCTION("""COMPUTED_VALUE"""),"Piston")</f>
        <v>Piston</v>
      </c>
      <c r="F1719" s="5">
        <f ca="1">IFERROR(__xludf.DUMMYFUNCTION("""COMPUTED_VALUE"""),1)</f>
        <v>1</v>
      </c>
    </row>
    <row r="1720" spans="1:6" ht="15" customHeight="1" x14ac:dyDescent="0.2">
      <c r="A1720" s="5" t="str">
        <f ca="1">IFERROR(__xludf.DUMMYFUNCTION("""COMPUTED_VALUE"""),"MUS2")</f>
        <v>MUS2</v>
      </c>
      <c r="B1720" s="5" t="str">
        <f ca="1">IFERROR(__xludf.DUMMYFUNCTION("""COMPUTED_VALUE"""),"MUSTANG")</f>
        <v>MUSTANG</v>
      </c>
      <c r="C1720" s="5" t="str">
        <f ca="1">IFERROR(__xludf.DUMMYFUNCTION("""COMPUTED_VALUE"""),"M-2 Mustang 2")</f>
        <v>M-2 Mustang 2</v>
      </c>
      <c r="D1720" s="5" t="str">
        <f ca="1">IFERROR(__xludf.DUMMYFUNCTION("""COMPUTED_VALUE"""),"LandPlane")</f>
        <v>LandPlane</v>
      </c>
      <c r="E1720" s="5" t="str">
        <f ca="1">IFERROR(__xludf.DUMMYFUNCTION("""COMPUTED_VALUE"""),"Piston")</f>
        <v>Piston</v>
      </c>
      <c r="F1720" s="5">
        <f ca="1">IFERROR(__xludf.DUMMYFUNCTION("""COMPUTED_VALUE"""),1)</f>
        <v>1</v>
      </c>
    </row>
    <row r="1721" spans="1:6" ht="15" customHeight="1" x14ac:dyDescent="0.2">
      <c r="A1721" s="5" t="str">
        <f ca="1">IFERROR(__xludf.DUMMYFUNCTION("""COMPUTED_VALUE"""),"MVN1")</f>
        <v>MVN1</v>
      </c>
      <c r="B1721" s="5" t="str">
        <f ca="1">IFERROR(__xludf.DUMMYFUNCTION("""COMPUTED_VALUE"""),"MVEN")</f>
        <v>MVEN</v>
      </c>
      <c r="C1721" s="5" t="str">
        <f ca="1">IFERROR(__xludf.DUMMYFUNCTION("""COMPUTED_VALUE"""),"1 Fermer")</f>
        <v>1 Fermer</v>
      </c>
      <c r="D1721" s="5" t="str">
        <f ca="1">IFERROR(__xludf.DUMMYFUNCTION("""COMPUTED_VALUE"""),"LandPlane")</f>
        <v>LandPlane</v>
      </c>
      <c r="E1721" s="5" t="str">
        <f ca="1">IFERROR(__xludf.DUMMYFUNCTION("""COMPUTED_VALUE"""),"Piston")</f>
        <v>Piston</v>
      </c>
      <c r="F1721" s="5">
        <f ca="1">IFERROR(__xludf.DUMMYFUNCTION("""COMPUTED_VALUE"""),1)</f>
        <v>1</v>
      </c>
    </row>
    <row r="1722" spans="1:6" ht="15" customHeight="1" x14ac:dyDescent="0.2">
      <c r="A1722" s="5" t="str">
        <f ca="1">IFERROR(__xludf.DUMMYFUNCTION("""COMPUTED_VALUE"""),"MVRK")</f>
        <v>MVRK</v>
      </c>
      <c r="B1722" s="5" t="str">
        <f ca="1">IFERROR(__xludf.DUMMYFUNCTION("""COMPUTED_VALUE"""),"PHOENIX (2)")</f>
        <v>PHOENIX (2)</v>
      </c>
      <c r="C1722" s="5" t="str">
        <f ca="1">IFERROR(__xludf.DUMMYFUNCTION("""COMPUTED_VALUE"""),"Maverick")</f>
        <v>Maverick</v>
      </c>
      <c r="D1722" s="5" t="str">
        <f ca="1">IFERROR(__xludf.DUMMYFUNCTION("""COMPUTED_VALUE"""),"LandPlane")</f>
        <v>LandPlane</v>
      </c>
      <c r="E1722" s="5" t="str">
        <f ca="1">IFERROR(__xludf.DUMMYFUNCTION("""COMPUTED_VALUE"""),"Piston")</f>
        <v>Piston</v>
      </c>
      <c r="F1722" s="5">
        <f ca="1">IFERROR(__xludf.DUMMYFUNCTION("""COMPUTED_VALUE"""),1)</f>
        <v>1</v>
      </c>
    </row>
    <row r="1723" spans="1:6" ht="15" customHeight="1" x14ac:dyDescent="0.2">
      <c r="A1723" s="5" t="str">
        <f ca="1">IFERROR(__xludf.DUMMYFUNCTION("""COMPUTED_VALUE"""),"MX10")</f>
        <v>MX10</v>
      </c>
      <c r="B1723" s="5" t="str">
        <f ca="1">IFERROR(__xludf.DUMMYFUNCTION("""COMPUTED_VALUE"""),"AEROTEC (2)")</f>
        <v>AEROTEC (2)</v>
      </c>
      <c r="C1723" s="5" t="str">
        <f ca="1">IFERROR(__xludf.DUMMYFUNCTION("""COMPUTED_VALUE"""),"MXP-100 Aventura")</f>
        <v>MXP-100 Aventura</v>
      </c>
      <c r="D1723" s="5" t="str">
        <f ca="1">IFERROR(__xludf.DUMMYFUNCTION("""COMPUTED_VALUE"""),"LandPlane")</f>
        <v>LandPlane</v>
      </c>
      <c r="E1723" s="5" t="str">
        <f ca="1">IFERROR(__xludf.DUMMYFUNCTION("""COMPUTED_VALUE"""),"Piston")</f>
        <v>Piston</v>
      </c>
      <c r="F1723" s="5">
        <f ca="1">IFERROR(__xludf.DUMMYFUNCTION("""COMPUTED_VALUE"""),1)</f>
        <v>1</v>
      </c>
    </row>
    <row r="1724" spans="1:6" ht="15" customHeight="1" x14ac:dyDescent="0.2">
      <c r="A1724" s="5" t="str">
        <f ca="1">IFERROR(__xludf.DUMMYFUNCTION("""COMPUTED_VALUE"""),"MX1T")</f>
        <v>MX1T</v>
      </c>
      <c r="B1724" s="5" t="str">
        <f ca="1">IFERROR(__xludf.DUMMYFUNCTION("""COMPUTED_VALUE"""),"AEROANDINA")</f>
        <v>AEROANDINA</v>
      </c>
      <c r="C1724" s="5" t="str">
        <f ca="1">IFERROR(__xludf.DUMMYFUNCTION("""COMPUTED_VALUE"""),"MXP-1000 Tayrona")</f>
        <v>MXP-1000 Tayrona</v>
      </c>
      <c r="D1724" s="5" t="str">
        <f ca="1">IFERROR(__xludf.DUMMYFUNCTION("""COMPUTED_VALUE"""),"LandPlane")</f>
        <v>LandPlane</v>
      </c>
      <c r="E1724" s="5" t="str">
        <f ca="1">IFERROR(__xludf.DUMMYFUNCTION("""COMPUTED_VALUE"""),"Piston")</f>
        <v>Piston</v>
      </c>
      <c r="F1724" s="5">
        <f ca="1">IFERROR(__xludf.DUMMYFUNCTION("""COMPUTED_VALUE"""),1)</f>
        <v>1</v>
      </c>
    </row>
    <row r="1725" spans="1:6" ht="15" customHeight="1" x14ac:dyDescent="0.2">
      <c r="A1725" s="5" t="str">
        <f ca="1">IFERROR(__xludf.DUMMYFUNCTION("""COMPUTED_VALUE"""),"MX2")</f>
        <v>MX2</v>
      </c>
      <c r="B1725" s="5" t="str">
        <f ca="1">IFERROR(__xludf.DUMMYFUNCTION("""COMPUTED_VALUE"""),"MXR")</f>
        <v>MXR</v>
      </c>
      <c r="C1725" s="5" t="str">
        <f ca="1">IFERROR(__xludf.DUMMYFUNCTION("""COMPUTED_VALUE"""),"MX-2")</f>
        <v>MX-2</v>
      </c>
      <c r="D1725" s="5" t="str">
        <f ca="1">IFERROR(__xludf.DUMMYFUNCTION("""COMPUTED_VALUE"""),"LandPlane")</f>
        <v>LandPlane</v>
      </c>
      <c r="E1725" s="5" t="str">
        <f ca="1">IFERROR(__xludf.DUMMYFUNCTION("""COMPUTED_VALUE"""),"Piston")</f>
        <v>Piston</v>
      </c>
      <c r="F1725" s="5">
        <f ca="1">IFERROR(__xludf.DUMMYFUNCTION("""COMPUTED_VALUE"""),1)</f>
        <v>1</v>
      </c>
    </row>
    <row r="1726" spans="1:6" ht="15" customHeight="1" x14ac:dyDescent="0.2">
      <c r="A1726" s="5" t="str">
        <f ca="1">IFERROR(__xludf.DUMMYFUNCTION("""COMPUTED_VALUE"""),"MX58")</f>
        <v>MX58</v>
      </c>
      <c r="B1726" s="5" t="str">
        <f ca="1">IFERROR(__xludf.DUMMYFUNCTION("""COMPUTED_VALUE"""),"AEROANDINA")</f>
        <v>AEROANDINA</v>
      </c>
      <c r="C1726" s="5" t="str">
        <f ca="1">IFERROR(__xludf.DUMMYFUNCTION("""COMPUTED_VALUE"""),"MXP-158 Embera")</f>
        <v>MXP-158 Embera</v>
      </c>
      <c r="D1726" s="5" t="str">
        <f ca="1">IFERROR(__xludf.DUMMYFUNCTION("""COMPUTED_VALUE"""),"LandPlane")</f>
        <v>LandPlane</v>
      </c>
      <c r="E1726" s="5" t="str">
        <f ca="1">IFERROR(__xludf.DUMMYFUNCTION("""COMPUTED_VALUE"""),"Piston")</f>
        <v>Piston</v>
      </c>
      <c r="F1726" s="5">
        <f ca="1">IFERROR(__xludf.DUMMYFUNCTION("""COMPUTED_VALUE"""),1)</f>
        <v>1</v>
      </c>
    </row>
    <row r="1727" spans="1:6" ht="15" customHeight="1" x14ac:dyDescent="0.2">
      <c r="A1727" s="5" t="str">
        <f ca="1">IFERROR(__xludf.DUMMYFUNCTION("""COMPUTED_VALUE"""),"MX65")</f>
        <v>MX65</v>
      </c>
      <c r="B1727" s="5" t="str">
        <f ca="1">IFERROR(__xludf.DUMMYFUNCTION("""COMPUTED_VALUE"""),"AEROTEC (2)")</f>
        <v>AEROTEC (2)</v>
      </c>
      <c r="C1727" s="5" t="str">
        <f ca="1">IFERROR(__xludf.DUMMYFUNCTION("""COMPUTED_VALUE"""),"MXP-650 Amigo")</f>
        <v>MXP-650 Amigo</v>
      </c>
      <c r="D1727" s="5" t="str">
        <f ca="1">IFERROR(__xludf.DUMMYFUNCTION("""COMPUTED_VALUE"""),"LandPlane")</f>
        <v>LandPlane</v>
      </c>
      <c r="E1727" s="5" t="str">
        <f ca="1">IFERROR(__xludf.DUMMYFUNCTION("""COMPUTED_VALUE"""),"Piston")</f>
        <v>Piston</v>
      </c>
      <c r="F1727" s="5">
        <f ca="1">IFERROR(__xludf.DUMMYFUNCTION("""COMPUTED_VALUE"""),1)</f>
        <v>1</v>
      </c>
    </row>
    <row r="1728" spans="1:6" ht="15" customHeight="1" x14ac:dyDescent="0.2">
      <c r="A1728" s="5" t="str">
        <f ca="1">IFERROR(__xludf.DUMMYFUNCTION("""COMPUTED_VALUE"""),"MX80")</f>
        <v>MX80</v>
      </c>
      <c r="B1728" s="5" t="str">
        <f ca="1">IFERROR(__xludf.DUMMYFUNCTION("""COMPUTED_VALUE"""),"AEROTEC (2)")</f>
        <v>AEROTEC (2)</v>
      </c>
      <c r="C1728" s="5" t="str">
        <f ca="1">IFERROR(__xludf.DUMMYFUNCTION("""COMPUTED_VALUE"""),"MXP-800 Fantasy")</f>
        <v>MXP-800 Fantasy</v>
      </c>
      <c r="D1728" s="5" t="str">
        <f ca="1">IFERROR(__xludf.DUMMYFUNCTION("""COMPUTED_VALUE"""),"LandPlane")</f>
        <v>LandPlane</v>
      </c>
      <c r="E1728" s="5" t="str">
        <f ca="1">IFERROR(__xludf.DUMMYFUNCTION("""COMPUTED_VALUE"""),"Piston")</f>
        <v>Piston</v>
      </c>
      <c r="F1728" s="5">
        <f ca="1">IFERROR(__xludf.DUMMYFUNCTION("""COMPUTED_VALUE"""),1)</f>
        <v>1</v>
      </c>
    </row>
    <row r="1729" spans="1:6" ht="15" customHeight="1" x14ac:dyDescent="0.2">
      <c r="A1729" s="5" t="str">
        <f ca="1">IFERROR(__xludf.DUMMYFUNCTION("""COMPUTED_VALUE"""),"MXS")</f>
        <v>MXS</v>
      </c>
      <c r="B1729" s="5" t="str">
        <f ca="1">IFERROR(__xludf.DUMMYFUNCTION("""COMPUTED_VALUE"""),"MXR")</f>
        <v>MXR</v>
      </c>
      <c r="C1729" s="5" t="str">
        <f ca="1">IFERROR(__xludf.DUMMYFUNCTION("""COMPUTED_VALUE"""),"MXS")</f>
        <v>MXS</v>
      </c>
      <c r="D1729" s="5" t="str">
        <f ca="1">IFERROR(__xludf.DUMMYFUNCTION("""COMPUTED_VALUE"""),"LandPlane")</f>
        <v>LandPlane</v>
      </c>
      <c r="E1729" s="5" t="str">
        <f ca="1">IFERROR(__xludf.DUMMYFUNCTION("""COMPUTED_VALUE"""),"Piston")</f>
        <v>Piston</v>
      </c>
      <c r="F1729" s="5">
        <f ca="1">IFERROR(__xludf.DUMMYFUNCTION("""COMPUTED_VALUE"""),1)</f>
        <v>1</v>
      </c>
    </row>
    <row r="1730" spans="1:6" ht="15" customHeight="1" x14ac:dyDescent="0.2">
      <c r="A1730" s="5" t="str">
        <f ca="1">IFERROR(__xludf.DUMMYFUNCTION("""COMPUTED_VALUE"""),"MY12")</f>
        <v>MY12</v>
      </c>
      <c r="B1730" s="5" t="str">
        <f ca="1">IFERROR(__xludf.DUMMYFUNCTION("""COMPUTED_VALUE"""),"MYLIUS")</f>
        <v>MYLIUS</v>
      </c>
      <c r="C1730" s="5" t="str">
        <f ca="1">IFERROR(__xludf.DUMMYFUNCTION("""COMPUTED_VALUE"""),"MY-102 Tornado")</f>
        <v>MY-102 Tornado</v>
      </c>
      <c r="D1730" s="5" t="str">
        <f ca="1">IFERROR(__xludf.DUMMYFUNCTION("""COMPUTED_VALUE"""),"LandPlane")</f>
        <v>LandPlane</v>
      </c>
      <c r="E1730" s="5" t="str">
        <f ca="1">IFERROR(__xludf.DUMMYFUNCTION("""COMPUTED_VALUE"""),"Piston")</f>
        <v>Piston</v>
      </c>
      <c r="F1730" s="5">
        <f ca="1">IFERROR(__xludf.DUMMYFUNCTION("""COMPUTED_VALUE"""),1)</f>
        <v>1</v>
      </c>
    </row>
    <row r="1731" spans="1:6" ht="15" customHeight="1" x14ac:dyDescent="0.2">
      <c r="A1731" s="5" t="str">
        <f ca="1">IFERROR(__xludf.DUMMYFUNCTION("""COMPUTED_VALUE"""),"MY13")</f>
        <v>MY13</v>
      </c>
      <c r="B1731" s="5" t="str">
        <f ca="1">IFERROR(__xludf.DUMMYFUNCTION("""COMPUTED_VALUE"""),"MYLIUS")</f>
        <v>MYLIUS</v>
      </c>
      <c r="C1731" s="5" t="str">
        <f ca="1">IFERROR(__xludf.DUMMYFUNCTION("""COMPUTED_VALUE"""),"MY-103 Mistral")</f>
        <v>MY-103 Mistral</v>
      </c>
      <c r="D1731" s="5" t="str">
        <f ca="1">IFERROR(__xludf.DUMMYFUNCTION("""COMPUTED_VALUE"""),"LandPlane")</f>
        <v>LandPlane</v>
      </c>
      <c r="E1731" s="5" t="str">
        <f ca="1">IFERROR(__xludf.DUMMYFUNCTION("""COMPUTED_VALUE"""),"Piston")</f>
        <v>Piston</v>
      </c>
      <c r="F1731" s="5">
        <f ca="1">IFERROR(__xludf.DUMMYFUNCTION("""COMPUTED_VALUE"""),1)</f>
        <v>1</v>
      </c>
    </row>
    <row r="1732" spans="1:6" ht="15" customHeight="1" x14ac:dyDescent="0.2">
      <c r="A1732" s="5" t="str">
        <f ca="1">IFERROR(__xludf.DUMMYFUNCTION("""COMPUTED_VALUE"""),"MYA4")</f>
        <v>MYA4</v>
      </c>
      <c r="B1732" s="5" t="str">
        <f ca="1">IFERROR(__xludf.DUMMYFUNCTION("""COMPUTED_VALUE"""),"MYASISHCHEV")</f>
        <v>MYASISHCHEV</v>
      </c>
      <c r="C1732" s="5" t="str">
        <f ca="1">IFERROR(__xludf.DUMMYFUNCTION("""COMPUTED_VALUE"""),"M-4")</f>
        <v>M-4</v>
      </c>
      <c r="D1732" s="5" t="str">
        <f ca="1">IFERROR(__xludf.DUMMYFUNCTION("""COMPUTED_VALUE"""),"LandPlane")</f>
        <v>LandPlane</v>
      </c>
      <c r="E1732" s="5" t="str">
        <f ca="1">IFERROR(__xludf.DUMMYFUNCTION("""COMPUTED_VALUE"""),"Jet")</f>
        <v>Jet</v>
      </c>
      <c r="F1732" s="5">
        <f ca="1">IFERROR(__xludf.DUMMYFUNCTION("""COMPUTED_VALUE"""),4)</f>
        <v>4</v>
      </c>
    </row>
    <row r="1733" spans="1:6" ht="15" customHeight="1" x14ac:dyDescent="0.2">
      <c r="A1733" s="5" t="str">
        <f ca="1">IFERROR(__xludf.DUMMYFUNCTION("""COMPUTED_VALUE"""),"MYS4")</f>
        <v>MYS4</v>
      </c>
      <c r="B1733" s="5" t="str">
        <f ca="1">IFERROR(__xludf.DUMMYFUNCTION("""COMPUTED_VALUE"""),"DASSAULT")</f>
        <v>DASSAULT</v>
      </c>
      <c r="C1733" s="5" t="str">
        <f ca="1">IFERROR(__xludf.DUMMYFUNCTION("""COMPUTED_VALUE"""),"MD-454A Mystère 4A")</f>
        <v>MD-454A Mystère 4A</v>
      </c>
      <c r="D1733" s="5" t="str">
        <f ca="1">IFERROR(__xludf.DUMMYFUNCTION("""COMPUTED_VALUE"""),"LandPlane")</f>
        <v>LandPlane</v>
      </c>
      <c r="E1733" s="5" t="str">
        <f ca="1">IFERROR(__xludf.DUMMYFUNCTION("""COMPUTED_VALUE"""),"Jet")</f>
        <v>Jet</v>
      </c>
      <c r="F1733" s="5">
        <f ca="1">IFERROR(__xludf.DUMMYFUNCTION("""COMPUTED_VALUE"""),1)</f>
        <v>1</v>
      </c>
    </row>
    <row r="1734" spans="1:6" ht="15" customHeight="1" x14ac:dyDescent="0.2">
      <c r="A1734" s="5" t="str">
        <f ca="1">IFERROR(__xludf.DUMMYFUNCTION("""COMPUTED_VALUE"""),"N110")</f>
        <v>N110</v>
      </c>
      <c r="B1734" s="5" t="str">
        <f ca="1">IFERROR(__xludf.DUMMYFUNCTION("""COMPUTED_VALUE"""),"NORD")</f>
        <v>NORD</v>
      </c>
      <c r="C1734" s="5" t="str">
        <f ca="1">IFERROR(__xludf.DUMMYFUNCTION("""COMPUTED_VALUE"""),"1100 Noralpha")</f>
        <v>1100 Noralpha</v>
      </c>
      <c r="D1734" s="5" t="str">
        <f ca="1">IFERROR(__xludf.DUMMYFUNCTION("""COMPUTED_VALUE"""),"LandPlane")</f>
        <v>LandPlane</v>
      </c>
      <c r="E1734" s="5" t="str">
        <f ca="1">IFERROR(__xludf.DUMMYFUNCTION("""COMPUTED_VALUE"""),"Piston")</f>
        <v>Piston</v>
      </c>
      <c r="F1734" s="5">
        <f ca="1">IFERROR(__xludf.DUMMYFUNCTION("""COMPUTED_VALUE"""),1)</f>
        <v>1</v>
      </c>
    </row>
    <row r="1735" spans="1:6" ht="15" customHeight="1" x14ac:dyDescent="0.2">
      <c r="A1735" s="5" t="str">
        <f ca="1">IFERROR(__xludf.DUMMYFUNCTION("""COMPUTED_VALUE"""),"N120")</f>
        <v>N120</v>
      </c>
      <c r="B1735" s="5" t="str">
        <f ca="1">IFERROR(__xludf.DUMMYFUNCTION("""COMPUTED_VALUE"""),"NORD")</f>
        <v>NORD</v>
      </c>
      <c r="C1735" s="5" t="str">
        <f ca="1">IFERROR(__xludf.DUMMYFUNCTION("""COMPUTED_VALUE"""),"1200 Norecrin")</f>
        <v>1200 Norecrin</v>
      </c>
      <c r="D1735" s="5" t="str">
        <f ca="1">IFERROR(__xludf.DUMMYFUNCTION("""COMPUTED_VALUE"""),"LandPlane")</f>
        <v>LandPlane</v>
      </c>
      <c r="E1735" s="5" t="str">
        <f ca="1">IFERROR(__xludf.DUMMYFUNCTION("""COMPUTED_VALUE"""),"Piston")</f>
        <v>Piston</v>
      </c>
      <c r="F1735" s="5">
        <f ca="1">IFERROR(__xludf.DUMMYFUNCTION("""COMPUTED_VALUE"""),1)</f>
        <v>1</v>
      </c>
    </row>
    <row r="1736" spans="1:6" ht="15" customHeight="1" x14ac:dyDescent="0.2">
      <c r="A1736" s="5" t="str">
        <f ca="1">IFERROR(__xludf.DUMMYFUNCTION("""COMPUTED_VALUE"""),"N250")</f>
        <v>N250</v>
      </c>
      <c r="B1736" s="5" t="str">
        <f ca="1">IFERROR(__xludf.DUMMYFUNCTION("""COMPUTED_VALUE"""),"NUSANTARA")</f>
        <v>NUSANTARA</v>
      </c>
      <c r="C1736" s="5" t="str">
        <f ca="1">IFERROR(__xludf.DUMMYFUNCTION("""COMPUTED_VALUE"""),"N-250")</f>
        <v>N-250</v>
      </c>
      <c r="D1736" s="5" t="str">
        <f ca="1">IFERROR(__xludf.DUMMYFUNCTION("""COMPUTED_VALUE"""),"LandPlane")</f>
        <v>LandPlane</v>
      </c>
      <c r="E1736" s="5" t="str">
        <f ca="1">IFERROR(__xludf.DUMMYFUNCTION("""COMPUTED_VALUE"""),"Turboprop/Turboshaft")</f>
        <v>Turboprop/Turboshaft</v>
      </c>
      <c r="F1736" s="5">
        <f ca="1">IFERROR(__xludf.DUMMYFUNCTION("""COMPUTED_VALUE"""),2)</f>
        <v>2</v>
      </c>
    </row>
    <row r="1737" spans="1:6" ht="15" customHeight="1" x14ac:dyDescent="0.2">
      <c r="A1737" s="5" t="str">
        <f ca="1">IFERROR(__xludf.DUMMYFUNCTION("""COMPUTED_VALUE"""),"N260")</f>
        <v>N260</v>
      </c>
      <c r="B1737" s="5" t="str">
        <f ca="1">IFERROR(__xludf.DUMMYFUNCTION("""COMPUTED_VALUE"""),"MAX HOLSTE")</f>
        <v>MAX HOLSTE</v>
      </c>
      <c r="C1737" s="5" t="str">
        <f ca="1">IFERROR(__xludf.DUMMYFUNCTION("""COMPUTED_VALUE"""),"MH-260 Super Broussard")</f>
        <v>MH-260 Super Broussard</v>
      </c>
      <c r="D1737" s="5" t="str">
        <f ca="1">IFERROR(__xludf.DUMMYFUNCTION("""COMPUTED_VALUE"""),"LandPlane")</f>
        <v>LandPlane</v>
      </c>
      <c r="E1737" s="5" t="str">
        <f ca="1">IFERROR(__xludf.DUMMYFUNCTION("""COMPUTED_VALUE"""),"Turboprop/Turboshaft")</f>
        <v>Turboprop/Turboshaft</v>
      </c>
      <c r="F1737" s="5">
        <f ca="1">IFERROR(__xludf.DUMMYFUNCTION("""COMPUTED_VALUE"""),2)</f>
        <v>2</v>
      </c>
    </row>
    <row r="1738" spans="1:6" ht="15" customHeight="1" x14ac:dyDescent="0.2">
      <c r="A1738" s="5" t="str">
        <f ca="1">IFERROR(__xludf.DUMMYFUNCTION("""COMPUTED_VALUE"""),"N260")</f>
        <v>N260</v>
      </c>
      <c r="B1738" s="5" t="str">
        <f ca="1">IFERROR(__xludf.DUMMYFUNCTION("""COMPUTED_VALUE"""),"NORD")</f>
        <v>NORD</v>
      </c>
      <c r="C1738" s="5" t="str">
        <f ca="1">IFERROR(__xludf.DUMMYFUNCTION("""COMPUTED_VALUE"""),"260 Super Broussard")</f>
        <v>260 Super Broussard</v>
      </c>
      <c r="D1738" s="5" t="str">
        <f ca="1">IFERROR(__xludf.DUMMYFUNCTION("""COMPUTED_VALUE"""),"LandPlane")</f>
        <v>LandPlane</v>
      </c>
      <c r="E1738" s="5" t="str">
        <f ca="1">IFERROR(__xludf.DUMMYFUNCTION("""COMPUTED_VALUE"""),"Turboprop/Turboshaft")</f>
        <v>Turboprop/Turboshaft</v>
      </c>
      <c r="F1738" s="5">
        <f ca="1">IFERROR(__xludf.DUMMYFUNCTION("""COMPUTED_VALUE"""),2)</f>
        <v>2</v>
      </c>
    </row>
    <row r="1739" spans="1:6" ht="15" customHeight="1" x14ac:dyDescent="0.2">
      <c r="A1739" s="5" t="str">
        <f ca="1">IFERROR(__xludf.DUMMYFUNCTION("""COMPUTED_VALUE"""),"N262")</f>
        <v>N262</v>
      </c>
      <c r="B1739" s="5" t="str">
        <f ca="1">IFERROR(__xludf.DUMMYFUNCTION("""COMPUTED_VALUE"""),"AEROSPATIALE")</f>
        <v>AEROSPATIALE</v>
      </c>
      <c r="C1739" s="5" t="str">
        <f ca="1">IFERROR(__xludf.DUMMYFUNCTION("""COMPUTED_VALUE"""),"N-262")</f>
        <v>N-262</v>
      </c>
      <c r="D1739" s="5" t="str">
        <f ca="1">IFERROR(__xludf.DUMMYFUNCTION("""COMPUTED_VALUE"""),"LandPlane")</f>
        <v>LandPlane</v>
      </c>
      <c r="E1739" s="5" t="str">
        <f ca="1">IFERROR(__xludf.DUMMYFUNCTION("""COMPUTED_VALUE"""),"Turboprop/Turboshaft")</f>
        <v>Turboprop/Turboshaft</v>
      </c>
      <c r="F1739" s="5">
        <f ca="1">IFERROR(__xludf.DUMMYFUNCTION("""COMPUTED_VALUE"""),2)</f>
        <v>2</v>
      </c>
    </row>
    <row r="1740" spans="1:6" ht="15" customHeight="1" x14ac:dyDescent="0.2">
      <c r="A1740" s="5" t="str">
        <f ca="1">IFERROR(__xludf.DUMMYFUNCTION("""COMPUTED_VALUE"""),"N3")</f>
        <v>N3</v>
      </c>
      <c r="B1740" s="5" t="str">
        <f ca="1">IFERROR(__xludf.DUMMYFUNCTION("""COMPUTED_VALUE"""),"NOSTALGAIR")</f>
        <v>NOSTALGAIR</v>
      </c>
      <c r="C1740" s="5" t="str">
        <f ca="1">IFERROR(__xludf.DUMMYFUNCTION("""COMPUTED_VALUE"""),"N-3 Citabriette")</f>
        <v>N-3 Citabriette</v>
      </c>
      <c r="D1740" s="5" t="str">
        <f ca="1">IFERROR(__xludf.DUMMYFUNCTION("""COMPUTED_VALUE"""),"LandPlane")</f>
        <v>LandPlane</v>
      </c>
      <c r="E1740" s="5" t="str">
        <f ca="1">IFERROR(__xludf.DUMMYFUNCTION("""COMPUTED_VALUE"""),"Piston")</f>
        <v>Piston</v>
      </c>
      <c r="F1740" s="5">
        <f ca="1">IFERROR(__xludf.DUMMYFUNCTION("""COMPUTED_VALUE"""),1)</f>
        <v>1</v>
      </c>
    </row>
    <row r="1741" spans="1:6" ht="15" customHeight="1" x14ac:dyDescent="0.2">
      <c r="A1741" s="5" t="str">
        <f ca="1">IFERROR(__xludf.DUMMYFUNCTION("""COMPUTED_VALUE"""),"N320")</f>
        <v>N320</v>
      </c>
      <c r="B1741" s="5" t="str">
        <f ca="1">IFERROR(__xludf.DUMMYFUNCTION("""COMPUTED_VALUE"""),"NORD")</f>
        <v>NORD</v>
      </c>
      <c r="C1741" s="5" t="str">
        <f ca="1">IFERROR(__xludf.DUMMYFUNCTION("""COMPUTED_VALUE"""),"3202")</f>
        <v>3202</v>
      </c>
      <c r="D1741" s="5" t="str">
        <f ca="1">IFERROR(__xludf.DUMMYFUNCTION("""COMPUTED_VALUE"""),"LandPlane")</f>
        <v>LandPlane</v>
      </c>
      <c r="E1741" s="5" t="str">
        <f ca="1">IFERROR(__xludf.DUMMYFUNCTION("""COMPUTED_VALUE"""),"Piston")</f>
        <v>Piston</v>
      </c>
      <c r="F1741" s="5">
        <f ca="1">IFERROR(__xludf.DUMMYFUNCTION("""COMPUTED_VALUE"""),1)</f>
        <v>1</v>
      </c>
    </row>
    <row r="1742" spans="1:6" ht="15" customHeight="1" x14ac:dyDescent="0.2">
      <c r="A1742" s="5" t="str">
        <f ca="1">IFERROR(__xludf.DUMMYFUNCTION("""COMPUTED_VALUE"""),"N340")</f>
        <v>N340</v>
      </c>
      <c r="B1742" s="5" t="str">
        <f ca="1">IFERROR(__xludf.DUMMYFUNCTION("""COMPUTED_VALUE"""),"NORD")</f>
        <v>NORD</v>
      </c>
      <c r="C1742" s="5" t="str">
        <f ca="1">IFERROR(__xludf.DUMMYFUNCTION("""COMPUTED_VALUE"""),"3400")</f>
        <v>3400</v>
      </c>
      <c r="D1742" s="5" t="str">
        <f ca="1">IFERROR(__xludf.DUMMYFUNCTION("""COMPUTED_VALUE"""),"LandPlane")</f>
        <v>LandPlane</v>
      </c>
      <c r="E1742" s="5" t="str">
        <f ca="1">IFERROR(__xludf.DUMMYFUNCTION("""COMPUTED_VALUE"""),"Piston")</f>
        <v>Piston</v>
      </c>
      <c r="F1742" s="5">
        <f ca="1">IFERROR(__xludf.DUMMYFUNCTION("""COMPUTED_VALUE"""),1)</f>
        <v>1</v>
      </c>
    </row>
    <row r="1743" spans="1:6" ht="15" customHeight="1" x14ac:dyDescent="0.2">
      <c r="A1743" s="5" t="str">
        <f ca="1">IFERROR(__xludf.DUMMYFUNCTION("""COMPUTED_VALUE"""),"N3N")</f>
        <v>N3N</v>
      </c>
      <c r="B1743" s="5" t="str">
        <f ca="1">IFERROR(__xludf.DUMMYFUNCTION("""COMPUTED_VALUE"""),"NAVAL AIRCRAFT FACTORY")</f>
        <v>NAVAL AIRCRAFT FACTORY</v>
      </c>
      <c r="C1743" s="5" t="str">
        <f ca="1">IFERROR(__xludf.DUMMYFUNCTION("""COMPUTED_VALUE"""),"N3N")</f>
        <v>N3N</v>
      </c>
      <c r="D1743" s="5" t="str">
        <f ca="1">IFERROR(__xludf.DUMMYFUNCTION("""COMPUTED_VALUE"""),"LandPlane")</f>
        <v>LandPlane</v>
      </c>
      <c r="E1743" s="5" t="str">
        <f ca="1">IFERROR(__xludf.DUMMYFUNCTION("""COMPUTED_VALUE"""),"Piston")</f>
        <v>Piston</v>
      </c>
      <c r="F1743" s="5">
        <f ca="1">IFERROR(__xludf.DUMMYFUNCTION("""COMPUTED_VALUE"""),1)</f>
        <v>1</v>
      </c>
    </row>
    <row r="1744" spans="1:6" ht="15" customHeight="1" x14ac:dyDescent="0.2">
      <c r="A1744" s="5" t="str">
        <f ca="1">IFERROR(__xludf.DUMMYFUNCTION("""COMPUTED_VALUE"""),"N5")</f>
        <v>N5</v>
      </c>
      <c r="B1744" s="5" t="str">
        <f ca="1">IFERROR(__xludf.DUMMYFUNCTION("""COMPUTED_VALUE"""),"HONGDU")</f>
        <v>HONGDU</v>
      </c>
      <c r="C1744" s="5" t="str">
        <f ca="1">IFERROR(__xludf.DUMMYFUNCTION("""COMPUTED_VALUE"""),"N-5")</f>
        <v>N-5</v>
      </c>
      <c r="D1744" s="5" t="str">
        <f ca="1">IFERROR(__xludf.DUMMYFUNCTION("""COMPUTED_VALUE"""),"LandPlane")</f>
        <v>LandPlane</v>
      </c>
      <c r="E1744" s="5" t="str">
        <f ca="1">IFERROR(__xludf.DUMMYFUNCTION("""COMPUTED_VALUE"""),"Piston")</f>
        <v>Piston</v>
      </c>
      <c r="F1744" s="5">
        <f ca="1">IFERROR(__xludf.DUMMYFUNCTION("""COMPUTED_VALUE"""),1)</f>
        <v>1</v>
      </c>
    </row>
    <row r="1745" spans="1:6" ht="15" customHeight="1" x14ac:dyDescent="0.2">
      <c r="A1745" s="5" t="str">
        <f ca="1">IFERROR(__xludf.DUMMYFUNCTION("""COMPUTED_VALUE"""),"NA40")</f>
        <v>NA40</v>
      </c>
      <c r="B1745" s="5" t="str">
        <f ca="1">IFERROR(__xludf.DUMMYFUNCTION("""COMPUTED_VALUE"""),"UNIS")</f>
        <v>UNIS</v>
      </c>
      <c r="C1745" s="5" t="str">
        <f ca="1">IFERROR(__xludf.DUMMYFUNCTION("""COMPUTED_VALUE"""),"NA-40 Bongo")</f>
        <v>NA-40 Bongo</v>
      </c>
      <c r="D1745" s="5" t="str">
        <f ca="1">IFERROR(__xludf.DUMMYFUNCTION("""COMPUTED_VALUE"""),"Helicopter")</f>
        <v>Helicopter</v>
      </c>
      <c r="E1745" s="5" t="str">
        <f ca="1">IFERROR(__xludf.DUMMYFUNCTION("""COMPUTED_VALUE"""),"Turboprop/Turboshaft")</f>
        <v>Turboprop/Turboshaft</v>
      </c>
      <c r="F1745" s="5">
        <f ca="1">IFERROR(__xludf.DUMMYFUNCTION("""COMPUTED_VALUE"""),2)</f>
        <v>2</v>
      </c>
    </row>
    <row r="1746" spans="1:6" s="9" customFormat="1" ht="15" customHeight="1" x14ac:dyDescent="0.2">
      <c r="A1746" s="8" t="str">
        <f ca="1">IFERROR(__xludf.DUMMYFUNCTION("""COMPUTED_VALUE"""),"NAL2")</f>
        <v>NAL2</v>
      </c>
      <c r="B1746" s="8" t="str">
        <f ca="1">IFERROR(__xludf.DUMMYFUNCTION("""COMPUTED_VALUE"""),"NAL")</f>
        <v>NAL</v>
      </c>
      <c r="C1746" s="8" t="str">
        <f ca="1">IFERROR(__xludf.DUMMYFUNCTION("""COMPUTED_VALUE"""),"NALLA-2 Hansa")</f>
        <v>NALLA-2 Hansa</v>
      </c>
      <c r="D1746" s="8" t="str">
        <f ca="1">IFERROR(__xludf.DUMMYFUNCTION("""COMPUTED_VALUE"""),"LandPlane")</f>
        <v>LandPlane</v>
      </c>
      <c r="E1746" s="8" t="str">
        <f ca="1">IFERROR(__xludf.DUMMYFUNCTION("""COMPUTED_VALUE"""),"Piston")</f>
        <v>Piston</v>
      </c>
      <c r="F1746" s="8">
        <f ca="1">IFERROR(__xludf.DUMMYFUNCTION("""COMPUTED_VALUE"""),1)</f>
        <v>1</v>
      </c>
    </row>
    <row r="1747" spans="1:6" ht="15" customHeight="1" x14ac:dyDescent="0.2">
      <c r="A1747" s="5" t="str">
        <f ca="1">IFERROR(__xludf.DUMMYFUNCTION("""COMPUTED_VALUE"""),"NAVI")</f>
        <v>NAVI</v>
      </c>
      <c r="B1747" s="5" t="str">
        <f ca="1">IFERROR(__xludf.DUMMYFUNCTION("""COMPUTED_VALUE"""),"RYAN")</f>
        <v>RYAN</v>
      </c>
      <c r="C1747" s="5" t="str">
        <f ca="1">IFERROR(__xludf.DUMMYFUNCTION("""COMPUTED_VALUE"""),"Navion")</f>
        <v>Navion</v>
      </c>
      <c r="D1747" s="5" t="str">
        <f ca="1">IFERROR(__xludf.DUMMYFUNCTION("""COMPUTED_VALUE"""),"LandPlane")</f>
        <v>LandPlane</v>
      </c>
      <c r="E1747" s="5" t="str">
        <f ca="1">IFERROR(__xludf.DUMMYFUNCTION("""COMPUTED_VALUE"""),"Piston")</f>
        <v>Piston</v>
      </c>
      <c r="F1747" s="5">
        <f ca="1">IFERROR(__xludf.DUMMYFUNCTION("""COMPUTED_VALUE"""),1)</f>
        <v>1</v>
      </c>
    </row>
    <row r="1748" spans="1:6" ht="15" customHeight="1" x14ac:dyDescent="0.2">
      <c r="A1748" s="5" t="str">
        <f ca="1">IFERROR(__xludf.DUMMYFUNCTION("""COMPUTED_VALUE"""),"NC85")</f>
        <v>NC85</v>
      </c>
      <c r="B1748" s="5" t="str">
        <f ca="1">IFERROR(__xludf.DUMMYFUNCTION("""COMPUTED_VALUE"""),"NORD")</f>
        <v>NORD</v>
      </c>
      <c r="C1748" s="5" t="str">
        <f ca="1">IFERROR(__xludf.DUMMYFUNCTION("""COMPUTED_VALUE"""),"NC-854")</f>
        <v>NC-854</v>
      </c>
      <c r="D1748" s="5" t="str">
        <f ca="1">IFERROR(__xludf.DUMMYFUNCTION("""COMPUTED_VALUE"""),"LandPlane")</f>
        <v>LandPlane</v>
      </c>
      <c r="E1748" s="5" t="str">
        <f ca="1">IFERROR(__xludf.DUMMYFUNCTION("""COMPUTED_VALUE"""),"Piston")</f>
        <v>Piston</v>
      </c>
      <c r="F1748" s="5">
        <f ca="1">IFERROR(__xludf.DUMMYFUNCTION("""COMPUTED_VALUE"""),1)</f>
        <v>1</v>
      </c>
    </row>
    <row r="1749" spans="1:6" ht="15" customHeight="1" x14ac:dyDescent="0.2">
      <c r="A1749" s="5" t="str">
        <f ca="1">IFERROR(__xludf.DUMMYFUNCTION("""COMPUTED_VALUE"""),"ND1T")</f>
        <v>ND1T</v>
      </c>
      <c r="B1749" s="5" t="str">
        <f ca="1">IFERROR(__xludf.DUMMYFUNCTION("""COMPUTED_VALUE"""),"NDN")</f>
        <v>NDN</v>
      </c>
      <c r="C1749" s="5" t="str">
        <f ca="1">IFERROR(__xludf.DUMMYFUNCTION("""COMPUTED_VALUE"""),"NDN-1T Turbo Firecracker")</f>
        <v>NDN-1T Turbo Firecracker</v>
      </c>
      <c r="D1749" s="5" t="str">
        <f ca="1">IFERROR(__xludf.DUMMYFUNCTION("""COMPUTED_VALUE"""),"LandPlane")</f>
        <v>LandPlane</v>
      </c>
      <c r="E1749" s="5" t="str">
        <f ca="1">IFERROR(__xludf.DUMMYFUNCTION("""COMPUTED_VALUE"""),"Turboprop/Turboshaft")</f>
        <v>Turboprop/Turboshaft</v>
      </c>
      <c r="F1749" s="5">
        <f ca="1">IFERROR(__xludf.DUMMYFUNCTION("""COMPUTED_VALUE"""),1)</f>
        <v>1</v>
      </c>
    </row>
    <row r="1750" spans="1:6" ht="15" customHeight="1" x14ac:dyDescent="0.2">
      <c r="A1750" s="5" t="str">
        <f ca="1">IFERROR(__xludf.DUMMYFUNCTION("""COMPUTED_VALUE"""),"NDAC")</f>
        <v>NDAC</v>
      </c>
      <c r="B1750" s="5" t="str">
        <f ca="1">IFERROR(__xludf.DUMMYFUNCTION("""COMPUTED_VALUE"""),"NORMAND DUBE")</f>
        <v>NORMAND DUBE</v>
      </c>
      <c r="C1750" s="5" t="str">
        <f ca="1">IFERROR(__xludf.DUMMYFUNCTION("""COMPUTED_VALUE"""),"Aerocruiser")</f>
        <v>Aerocruiser</v>
      </c>
      <c r="D1750" s="5" t="str">
        <f ca="1">IFERROR(__xludf.DUMMYFUNCTION("""COMPUTED_VALUE"""),"LandPlane")</f>
        <v>LandPlane</v>
      </c>
      <c r="E1750" s="5" t="str">
        <f ca="1">IFERROR(__xludf.DUMMYFUNCTION("""COMPUTED_VALUE"""),"Piston")</f>
        <v>Piston</v>
      </c>
      <c r="F1750" s="5">
        <f ca="1">IFERROR(__xludf.DUMMYFUNCTION("""COMPUTED_VALUE"""),1)</f>
        <v>1</v>
      </c>
    </row>
    <row r="1751" spans="1:6" ht="15" customHeight="1" x14ac:dyDescent="0.2">
      <c r="A1751" s="5" t="str">
        <f ca="1">IFERROR(__xludf.DUMMYFUNCTION("""COMPUTED_VALUE"""),"NDAT")</f>
        <v>NDAT</v>
      </c>
      <c r="B1751" s="5" t="str">
        <f ca="1">IFERROR(__xludf.DUMMYFUNCTION("""COMPUTED_VALUE"""),"NORMAND DUBE")</f>
        <v>NORMAND DUBE</v>
      </c>
      <c r="C1751" s="5" t="str">
        <f ca="1">IFERROR(__xludf.DUMMYFUNCTION("""COMPUTED_VALUE"""),"Aerocruiser Turbo 450")</f>
        <v>Aerocruiser Turbo 450</v>
      </c>
      <c r="D1751" s="5" t="str">
        <f ca="1">IFERROR(__xludf.DUMMYFUNCTION("""COMPUTED_VALUE"""),"LandPlane")</f>
        <v>LandPlane</v>
      </c>
      <c r="E1751" s="5" t="str">
        <f ca="1">IFERROR(__xludf.DUMMYFUNCTION("""COMPUTED_VALUE"""),"Piston")</f>
        <v>Piston</v>
      </c>
      <c r="F1751" s="5">
        <f ca="1">IFERROR(__xludf.DUMMYFUNCTION("""COMPUTED_VALUE"""),1)</f>
        <v>1</v>
      </c>
    </row>
    <row r="1752" spans="1:6" ht="15" customHeight="1" x14ac:dyDescent="0.2">
      <c r="A1752" s="5" t="str">
        <f ca="1">IFERROR(__xludf.DUMMYFUNCTION("""COMPUTED_VALUE"""),"NDIC")</f>
        <v>NDIC</v>
      </c>
      <c r="B1752" s="5" t="str">
        <f ca="1">IFERROR(__xludf.DUMMYFUNCTION("""COMPUTED_VALUE"""),"NORMAN")</f>
        <v>NORMAN</v>
      </c>
      <c r="C1752" s="5" t="str">
        <f ca="1">IFERROR(__xludf.DUMMYFUNCTION("""COMPUTED_VALUE"""),"Nordic 2")</f>
        <v>Nordic 2</v>
      </c>
      <c r="D1752" s="5" t="str">
        <f ca="1">IFERROR(__xludf.DUMMYFUNCTION("""COMPUTED_VALUE"""),"LandPlane")</f>
        <v>LandPlane</v>
      </c>
      <c r="E1752" s="5" t="str">
        <f ca="1">IFERROR(__xludf.DUMMYFUNCTION("""COMPUTED_VALUE"""),"Piston")</f>
        <v>Piston</v>
      </c>
      <c r="F1752" s="5">
        <f ca="1">IFERROR(__xludf.DUMMYFUNCTION("""COMPUTED_VALUE"""),1)</f>
        <v>1</v>
      </c>
    </row>
    <row r="1753" spans="1:6" ht="15" customHeight="1" x14ac:dyDescent="0.2">
      <c r="A1753" s="5" t="str">
        <f ca="1">IFERROR(__xludf.DUMMYFUNCTION("""COMPUTED_VALUE"""),"NG4")</f>
        <v>NG4</v>
      </c>
      <c r="B1753" s="5" t="str">
        <f ca="1">IFERROR(__xludf.DUMMYFUNCTION("""COMPUTED_VALUE"""),"BRM AERO")</f>
        <v>BRM AERO</v>
      </c>
      <c r="C1753" s="5" t="str">
        <f ca="1">IFERROR(__xludf.DUMMYFUNCTION("""COMPUTED_VALUE"""),"NG-4")</f>
        <v>NG-4</v>
      </c>
      <c r="D1753" s="5" t="str">
        <f ca="1">IFERROR(__xludf.DUMMYFUNCTION("""COMPUTED_VALUE"""),"LandPlane")</f>
        <v>LandPlane</v>
      </c>
      <c r="E1753" s="5" t="str">
        <f ca="1">IFERROR(__xludf.DUMMYFUNCTION("""COMPUTED_VALUE"""),"Piston")</f>
        <v>Piston</v>
      </c>
      <c r="F1753" s="5">
        <f ca="1">IFERROR(__xludf.DUMMYFUNCTION("""COMPUTED_VALUE"""),1)</f>
        <v>1</v>
      </c>
    </row>
    <row r="1754" spans="1:6" ht="15" customHeight="1" x14ac:dyDescent="0.2">
      <c r="A1754" s="5" t="str">
        <f ca="1">IFERROR(__xludf.DUMMYFUNCTION("""COMPUTED_VALUE"""),"NG5")</f>
        <v>NG5</v>
      </c>
      <c r="B1754" s="5" t="str">
        <f ca="1">IFERROR(__xludf.DUMMYFUNCTION("""COMPUTED_VALUE"""),"BRM AERO")</f>
        <v>BRM AERO</v>
      </c>
      <c r="C1754" s="5" t="str">
        <f ca="1">IFERROR(__xludf.DUMMYFUNCTION("""COMPUTED_VALUE"""),"Bristell NG-5")</f>
        <v>Bristell NG-5</v>
      </c>
      <c r="D1754" s="5" t="str">
        <f ca="1">IFERROR(__xludf.DUMMYFUNCTION("""COMPUTED_VALUE"""),"LandPlane")</f>
        <v>LandPlane</v>
      </c>
      <c r="E1754" s="5" t="str">
        <f ca="1">IFERROR(__xludf.DUMMYFUNCTION("""COMPUTED_VALUE"""),"Piston")</f>
        <v>Piston</v>
      </c>
      <c r="F1754" s="5">
        <f ca="1">IFERROR(__xludf.DUMMYFUNCTION("""COMPUTED_VALUE"""),1)</f>
        <v>1</v>
      </c>
    </row>
    <row r="1755" spans="1:6" ht="15" customHeight="1" x14ac:dyDescent="0.2">
      <c r="A1755" s="5" t="str">
        <f ca="1">IFERROR(__xludf.DUMMYFUNCTION("""COMPUTED_VALUE"""),"NH90")</f>
        <v>NH90</v>
      </c>
      <c r="B1755" s="5" t="str">
        <f ca="1">IFERROR(__xludf.DUMMYFUNCTION("""COMPUTED_VALUE"""),"NHI")</f>
        <v>NHI</v>
      </c>
      <c r="C1755" s="5" t="str">
        <f ca="1">IFERROR(__xludf.DUMMYFUNCTION("""COMPUTED_VALUE"""),"NH-90")</f>
        <v>NH-90</v>
      </c>
      <c r="D1755" s="5" t="str">
        <f ca="1">IFERROR(__xludf.DUMMYFUNCTION("""COMPUTED_VALUE"""),"Helicopter")</f>
        <v>Helicopter</v>
      </c>
      <c r="E1755" s="5" t="str">
        <f ca="1">IFERROR(__xludf.DUMMYFUNCTION("""COMPUTED_VALUE"""),"Turboprop/Turboshaft")</f>
        <v>Turboprop/Turboshaft</v>
      </c>
      <c r="F1755" s="5">
        <f ca="1">IFERROR(__xludf.DUMMYFUNCTION("""COMPUTED_VALUE"""),2)</f>
        <v>2</v>
      </c>
    </row>
    <row r="1756" spans="1:6" ht="15" customHeight="1" x14ac:dyDescent="0.2">
      <c r="A1756" s="5" t="str">
        <f ca="1">IFERROR(__xludf.DUMMYFUNCTION("""COMPUTED_VALUE"""),"NHCO")</f>
        <v>NHCO</v>
      </c>
      <c r="B1756" s="5" t="str">
        <f ca="1">IFERROR(__xludf.DUMMYFUNCTION("""COMPUTED_VALUE"""),"NEW HORIZONS")</f>
        <v>NEW HORIZONS</v>
      </c>
      <c r="C1756" s="5" t="str">
        <f ca="1">IFERROR(__xludf.DUMMYFUNCTION("""COMPUTED_VALUE"""),"01 Colibri")</f>
        <v>01 Colibri</v>
      </c>
      <c r="D1756" s="5" t="str">
        <f ca="1">IFERROR(__xludf.DUMMYFUNCTION("""COMPUTED_VALUE"""),"LandPlane")</f>
        <v>LandPlane</v>
      </c>
      <c r="E1756" s="5" t="str">
        <f ca="1">IFERROR(__xludf.DUMMYFUNCTION("""COMPUTED_VALUE"""),"Piston")</f>
        <v>Piston</v>
      </c>
      <c r="F1756" s="5">
        <f ca="1">IFERROR(__xludf.DUMMYFUNCTION("""COMPUTED_VALUE"""),1)</f>
        <v>1</v>
      </c>
    </row>
    <row r="1757" spans="1:6" ht="15" customHeight="1" x14ac:dyDescent="0.2">
      <c r="A1757" s="5" t="str">
        <f ca="1">IFERROR(__xludf.DUMMYFUNCTION("""COMPUTED_VALUE"""),"NI28")</f>
        <v>NI28</v>
      </c>
      <c r="B1757" s="5" t="str">
        <f ca="1">IFERROR(__xludf.DUMMYFUNCTION("""COMPUTED_VALUE"""),"NIEUPORT")</f>
        <v>NIEUPORT</v>
      </c>
      <c r="C1757" s="5" t="str">
        <f ca="1">IFERROR(__xludf.DUMMYFUNCTION("""COMPUTED_VALUE"""),"28 Replica")</f>
        <v>28 Replica</v>
      </c>
      <c r="D1757" s="5" t="str">
        <f ca="1">IFERROR(__xludf.DUMMYFUNCTION("""COMPUTED_VALUE"""),"LandPlane")</f>
        <v>LandPlane</v>
      </c>
      <c r="E1757" s="5" t="str">
        <f ca="1">IFERROR(__xludf.DUMMYFUNCTION("""COMPUTED_VALUE"""),"Piston")</f>
        <v>Piston</v>
      </c>
      <c r="F1757" s="5">
        <f ca="1">IFERROR(__xludf.DUMMYFUNCTION("""COMPUTED_VALUE"""),1)</f>
        <v>1</v>
      </c>
    </row>
    <row r="1758" spans="1:6" ht="15" customHeight="1" x14ac:dyDescent="0.2">
      <c r="A1758" s="5" t="str">
        <f ca="1">IFERROR(__xludf.DUMMYFUNCTION("""COMPUTED_VALUE"""),"NIBB")</f>
        <v>NIBB</v>
      </c>
      <c r="B1758" s="5" t="str">
        <f ca="1">IFERROR(__xludf.DUMMYFUNCTION("""COMPUTED_VALUE"""),"AVIAMILANO")</f>
        <v>AVIAMILANO</v>
      </c>
      <c r="C1758" s="5" t="str">
        <f ca="1">IFERROR(__xludf.DUMMYFUNCTION("""COMPUTED_VALUE"""),"F-14 Nibbio")</f>
        <v>F-14 Nibbio</v>
      </c>
      <c r="D1758" s="5" t="str">
        <f ca="1">IFERROR(__xludf.DUMMYFUNCTION("""COMPUTED_VALUE"""),"LandPlane")</f>
        <v>LandPlane</v>
      </c>
      <c r="E1758" s="5" t="str">
        <f ca="1">IFERROR(__xludf.DUMMYFUNCTION("""COMPUTED_VALUE"""),"Piston")</f>
        <v>Piston</v>
      </c>
      <c r="F1758" s="5">
        <f ca="1">IFERROR(__xludf.DUMMYFUNCTION("""COMPUTED_VALUE"""),1)</f>
        <v>1</v>
      </c>
    </row>
    <row r="1759" spans="1:6" ht="15" customHeight="1" x14ac:dyDescent="0.2">
      <c r="A1759" s="5" t="str">
        <f ca="1">IFERROR(__xludf.DUMMYFUNCTION("""COMPUTED_VALUE"""),"NIMB")</f>
        <v>NIMB</v>
      </c>
      <c r="B1759" s="5" t="str">
        <f ca="1">IFERROR(__xludf.DUMMYFUNCTION("""COMPUTED_VALUE"""),"SCHEMPP-HIRTH")</f>
        <v>SCHEMPP-HIRTH</v>
      </c>
      <c r="C1759" s="5" t="str">
        <f ca="1">IFERROR(__xludf.DUMMYFUNCTION("""COMPUTED_VALUE"""),"Nimbus 4T")</f>
        <v>Nimbus 4T</v>
      </c>
      <c r="D1759" s="5" t="str">
        <f ca="1">IFERROR(__xludf.DUMMYFUNCTION("""COMPUTED_VALUE"""),"LandPlane")</f>
        <v>LandPlane</v>
      </c>
      <c r="E1759" s="5" t="str">
        <f ca="1">IFERROR(__xludf.DUMMYFUNCTION("""COMPUTED_VALUE"""),"Piston")</f>
        <v>Piston</v>
      </c>
      <c r="F1759" s="5">
        <f ca="1">IFERROR(__xludf.DUMMYFUNCTION("""COMPUTED_VALUE"""),1)</f>
        <v>1</v>
      </c>
    </row>
    <row r="1760" spans="1:6" ht="15" customHeight="1" x14ac:dyDescent="0.2">
      <c r="A1760" s="5" t="str">
        <f ca="1">IFERROR(__xludf.DUMMYFUNCTION("""COMPUTED_VALUE"""),"NIPR")</f>
        <v>NIPR</v>
      </c>
      <c r="B1760" s="5" t="str">
        <f ca="1">IFERROR(__xludf.DUMMYFUNCTION("""COMPUTED_VALUE"""),"TIPSY")</f>
        <v>TIPSY</v>
      </c>
      <c r="C1760" s="5" t="str">
        <f ca="1">IFERROR(__xludf.DUMMYFUNCTION("""COMPUTED_VALUE"""),"T-66 Nipper")</f>
        <v>T-66 Nipper</v>
      </c>
      <c r="D1760" s="5" t="str">
        <f ca="1">IFERROR(__xludf.DUMMYFUNCTION("""COMPUTED_VALUE"""),"LandPlane")</f>
        <v>LandPlane</v>
      </c>
      <c r="E1760" s="5" t="str">
        <f ca="1">IFERROR(__xludf.DUMMYFUNCTION("""COMPUTED_VALUE"""),"Piston")</f>
        <v>Piston</v>
      </c>
      <c r="F1760" s="5">
        <f ca="1">IFERROR(__xludf.DUMMYFUNCTION("""COMPUTED_VALUE"""),1)</f>
        <v>1</v>
      </c>
    </row>
    <row r="1761" spans="1:6" ht="15" customHeight="1" x14ac:dyDescent="0.2">
      <c r="A1761" s="5" t="str">
        <f ca="1">IFERROR(__xludf.DUMMYFUNCTION("""COMPUTED_VALUE"""),"NM5")</f>
        <v>NM5</v>
      </c>
      <c r="B1761" s="5" t="str">
        <f ca="1">IFERROR(__xludf.DUMMYFUNCTION("""COMPUTED_VALUE"""),"NAL")</f>
        <v>NAL</v>
      </c>
      <c r="C1761" s="5" t="str">
        <f ca="1">IFERROR(__xludf.DUMMYFUNCTION("""COMPUTED_VALUE"""),"NM-5")</f>
        <v>NM-5</v>
      </c>
      <c r="D1761" s="5" t="str">
        <f ca="1">IFERROR(__xludf.DUMMYFUNCTION("""COMPUTED_VALUE"""),"LandPlane")</f>
        <v>LandPlane</v>
      </c>
      <c r="E1761" s="5" t="str">
        <f ca="1">IFERROR(__xludf.DUMMYFUNCTION("""COMPUTED_VALUE"""),"Piston")</f>
        <v>Piston</v>
      </c>
      <c r="F1761" s="5">
        <f ca="1">IFERROR(__xludf.DUMMYFUNCTION("""COMPUTED_VALUE"""),1)</f>
        <v>1</v>
      </c>
    </row>
    <row r="1762" spans="1:6" ht="15" customHeight="1" x14ac:dyDescent="0.2">
      <c r="A1762" s="5" t="str">
        <f ca="1">IFERROR(__xludf.DUMMYFUNCTION("""COMPUTED_VALUE"""),"NMCU")</f>
        <v>NMCU</v>
      </c>
      <c r="B1762" s="5" t="str">
        <f ca="1">IFERROR(__xludf.DUMMYFUNCTION("""COMPUTED_VALUE"""),"ENAER")</f>
        <v>ENAER</v>
      </c>
      <c r="C1762" s="5" t="str">
        <f ca="1">IFERROR(__xludf.DUMMYFUNCTION("""COMPUTED_VALUE"""),"ECH-02 Namcu")</f>
        <v>ECH-02 Namcu</v>
      </c>
      <c r="D1762" s="5" t="str">
        <f ca="1">IFERROR(__xludf.DUMMYFUNCTION("""COMPUTED_VALUE"""),"LandPlane")</f>
        <v>LandPlane</v>
      </c>
      <c r="E1762" s="5" t="str">
        <f ca="1">IFERROR(__xludf.DUMMYFUNCTION("""COMPUTED_VALUE"""),"Piston")</f>
        <v>Piston</v>
      </c>
      <c r="F1762" s="5">
        <f ca="1">IFERROR(__xludf.DUMMYFUNCTION("""COMPUTED_VALUE"""),1)</f>
        <v>1</v>
      </c>
    </row>
    <row r="1763" spans="1:6" ht="15" customHeight="1" x14ac:dyDescent="0.2">
      <c r="A1763" s="5" t="str">
        <f ca="1">IFERROR(__xludf.DUMMYFUNCTION("""COMPUTED_VALUE"""),"NMCU")</f>
        <v>NMCU</v>
      </c>
      <c r="B1763" s="5" t="str">
        <f ca="1">IFERROR(__xludf.DUMMYFUNCTION("""COMPUTED_VALUE"""),"EURO-ENAER")</f>
        <v>EURO-ENAER</v>
      </c>
      <c r="C1763" s="5" t="str">
        <f ca="1">IFERROR(__xludf.DUMMYFUNCTION("""COMPUTED_VALUE"""),"EE-10 Eaglet")</f>
        <v>EE-10 Eaglet</v>
      </c>
      <c r="D1763" s="5" t="str">
        <f ca="1">IFERROR(__xludf.DUMMYFUNCTION("""COMPUTED_VALUE"""),"LandPlane")</f>
        <v>LandPlane</v>
      </c>
      <c r="E1763" s="5" t="str">
        <f ca="1">IFERROR(__xludf.DUMMYFUNCTION("""COMPUTED_VALUE"""),"Piston")</f>
        <v>Piston</v>
      </c>
      <c r="F1763" s="5">
        <f ca="1">IFERROR(__xludf.DUMMYFUNCTION("""COMPUTED_VALUE"""),1)</f>
        <v>1</v>
      </c>
    </row>
    <row r="1764" spans="1:6" ht="15" customHeight="1" x14ac:dyDescent="0.2">
      <c r="A1764" s="5" t="str">
        <f ca="1">IFERROR(__xludf.DUMMYFUNCTION("""COMPUTED_VALUE"""),"NNJA")</f>
        <v>NNJA</v>
      </c>
      <c r="B1764" s="5" t="str">
        <f ca="1">IFERROR(__xludf.DUMMYFUNCTION("""COMPUTED_VALUE"""),"BEST OFF")</f>
        <v>BEST OFF</v>
      </c>
      <c r="C1764" s="5" t="str">
        <f ca="1">IFERROR(__xludf.DUMMYFUNCTION("""COMPUTED_VALUE"""),"Nynja")</f>
        <v>Nynja</v>
      </c>
      <c r="D1764" s="5" t="str">
        <f ca="1">IFERROR(__xludf.DUMMYFUNCTION("""COMPUTED_VALUE"""),"LandPlane")</f>
        <v>LandPlane</v>
      </c>
      <c r="E1764" s="5" t="str">
        <f ca="1">IFERROR(__xludf.DUMMYFUNCTION("""COMPUTED_VALUE"""),"Piston")</f>
        <v>Piston</v>
      </c>
      <c r="F1764" s="5">
        <f ca="1">IFERROR(__xludf.DUMMYFUNCTION("""COMPUTED_VALUE"""),1)</f>
        <v>1</v>
      </c>
    </row>
    <row r="1765" spans="1:6" ht="15" customHeight="1" x14ac:dyDescent="0.2">
      <c r="A1765" s="5" t="str">
        <f ca="1">IFERROR(__xludf.DUMMYFUNCTION("""COMPUTED_VALUE"""),"NOMA")</f>
        <v>NOMA</v>
      </c>
      <c r="B1765" s="5" t="str">
        <f ca="1">IFERROR(__xludf.DUMMYFUNCTION("""COMPUTED_VALUE"""),"GAF")</f>
        <v>GAF</v>
      </c>
      <c r="C1765" s="5" t="str">
        <f ca="1">IFERROR(__xludf.DUMMYFUNCTION("""COMPUTED_VALUE"""),"N-2 Nomad")</f>
        <v>N-2 Nomad</v>
      </c>
      <c r="D1765" s="5" t="str">
        <f ca="1">IFERROR(__xludf.DUMMYFUNCTION("""COMPUTED_VALUE"""),"LandPlane")</f>
        <v>LandPlane</v>
      </c>
      <c r="E1765" s="5" t="str">
        <f ca="1">IFERROR(__xludf.DUMMYFUNCTION("""COMPUTED_VALUE"""),"Turboprop/Turboshaft")</f>
        <v>Turboprop/Turboshaft</v>
      </c>
      <c r="F1765" s="5">
        <f ca="1">IFERROR(__xludf.DUMMYFUNCTION("""COMPUTED_VALUE"""),2)</f>
        <v>2</v>
      </c>
    </row>
    <row r="1766" spans="1:6" ht="15" customHeight="1" x14ac:dyDescent="0.2">
      <c r="A1766" s="5" t="str">
        <f ca="1">IFERROR(__xludf.DUMMYFUNCTION("""COMPUTED_VALUE"""),"NORA")</f>
        <v>NORA</v>
      </c>
      <c r="B1766" s="5" t="str">
        <f ca="1">IFERROR(__xludf.DUMMYFUNCTION("""COMPUTED_VALUE"""),"NORD")</f>
        <v>NORD</v>
      </c>
      <c r="C1766" s="5" t="str">
        <f ca="1">IFERROR(__xludf.DUMMYFUNCTION("""COMPUTED_VALUE"""),"2501 Noratlas")</f>
        <v>2501 Noratlas</v>
      </c>
      <c r="D1766" s="5" t="str">
        <f ca="1">IFERROR(__xludf.DUMMYFUNCTION("""COMPUTED_VALUE"""),"LandPlane")</f>
        <v>LandPlane</v>
      </c>
      <c r="E1766" s="5" t="str">
        <f ca="1">IFERROR(__xludf.DUMMYFUNCTION("""COMPUTED_VALUE"""),"Piston")</f>
        <v>Piston</v>
      </c>
      <c r="F1766" s="5">
        <f ca="1">IFERROR(__xludf.DUMMYFUNCTION("""COMPUTED_VALUE"""),2)</f>
        <v>2</v>
      </c>
    </row>
    <row r="1767" spans="1:6" ht="15" customHeight="1" x14ac:dyDescent="0.2">
      <c r="A1767" s="5" t="str">
        <f ca="1">IFERROR(__xludf.DUMMYFUNCTION("""COMPUTED_VALUE"""),"NORS")</f>
        <v>NORS</v>
      </c>
      <c r="B1767" s="5" t="str">
        <f ca="1">IFERROR(__xludf.DUMMYFUNCTION("""COMPUTED_VALUE"""),"NOORDUYN")</f>
        <v>NOORDUYN</v>
      </c>
      <c r="C1767" s="5" t="str">
        <f ca="1">IFERROR(__xludf.DUMMYFUNCTION("""COMPUTED_VALUE"""),"C-64 Norseman")</f>
        <v>C-64 Norseman</v>
      </c>
      <c r="D1767" s="5" t="str">
        <f ca="1">IFERROR(__xludf.DUMMYFUNCTION("""COMPUTED_VALUE"""),"LandPlane")</f>
        <v>LandPlane</v>
      </c>
      <c r="E1767" s="5" t="str">
        <f ca="1">IFERROR(__xludf.DUMMYFUNCTION("""COMPUTED_VALUE"""),"Piston")</f>
        <v>Piston</v>
      </c>
      <c r="F1767" s="5">
        <f ca="1">IFERROR(__xludf.DUMMYFUNCTION("""COMPUTED_VALUE"""),1)</f>
        <v>1</v>
      </c>
    </row>
    <row r="1768" spans="1:6" ht="15" customHeight="1" x14ac:dyDescent="0.2">
      <c r="A1768" s="5" t="str">
        <f ca="1">IFERROR(__xludf.DUMMYFUNCTION("""COMPUTED_VALUE"""),"NPOR")</f>
        <v>NPOR</v>
      </c>
      <c r="B1768" s="5" t="str">
        <f ca="1">IFERROR(__xludf.DUMMYFUNCTION("""COMPUTED_VALUE"""),"REDFERN")</f>
        <v>REDFERN</v>
      </c>
      <c r="C1768" s="5" t="str">
        <f ca="1">IFERROR(__xludf.DUMMYFUNCTION("""COMPUTED_VALUE"""),"Nieuport 17")</f>
        <v>Nieuport 17</v>
      </c>
      <c r="D1768" s="5" t="str">
        <f ca="1">IFERROR(__xludf.DUMMYFUNCTION("""COMPUTED_VALUE"""),"LandPlane")</f>
        <v>LandPlane</v>
      </c>
      <c r="E1768" s="5" t="str">
        <f ca="1">IFERROR(__xludf.DUMMYFUNCTION("""COMPUTED_VALUE"""),"Piston")</f>
        <v>Piston</v>
      </c>
      <c r="F1768" s="5">
        <f ca="1">IFERROR(__xludf.DUMMYFUNCTION("""COMPUTED_VALUE"""),1)</f>
        <v>1</v>
      </c>
    </row>
    <row r="1769" spans="1:6" ht="15" customHeight="1" x14ac:dyDescent="0.2">
      <c r="A1769" s="5" t="str">
        <f ca="1">IFERROR(__xludf.DUMMYFUNCTION("""COMPUTED_VALUE"""),"NSTR")</f>
        <v>NSTR</v>
      </c>
      <c r="B1769" s="5" t="str">
        <f ca="1">IFERROR(__xludf.DUMMYFUNCTION("""COMPUTED_VALUE"""),"CUSTOM FLIGHT")</f>
        <v>CUSTOM FLIGHT</v>
      </c>
      <c r="C1769" s="5" t="str">
        <f ca="1">IFERROR(__xludf.DUMMYFUNCTION("""COMPUTED_VALUE"""),"North Star")</f>
        <v>North Star</v>
      </c>
      <c r="D1769" s="5" t="str">
        <f ca="1">IFERROR(__xludf.DUMMYFUNCTION("""COMPUTED_VALUE"""),"LandPlane")</f>
        <v>LandPlane</v>
      </c>
      <c r="E1769" s="5" t="str">
        <f ca="1">IFERROR(__xludf.DUMMYFUNCTION("""COMPUTED_VALUE"""),"Piston")</f>
        <v>Piston</v>
      </c>
      <c r="F1769" s="5">
        <f ca="1">IFERROR(__xludf.DUMMYFUNCTION("""COMPUTED_VALUE"""),1)</f>
        <v>1</v>
      </c>
    </row>
    <row r="1770" spans="1:6" ht="15" customHeight="1" x14ac:dyDescent="0.2">
      <c r="A1770" s="5" t="str">
        <f ca="1">IFERROR(__xludf.DUMMYFUNCTION("""COMPUTED_VALUE"""),"NT10")</f>
        <v>NT10</v>
      </c>
      <c r="B1770" s="5" t="str">
        <f ca="1">IFERROR(__xludf.DUMMYFUNCTION("""COMPUTED_VALUE"""),"NUWACO")</f>
        <v>NUWACO</v>
      </c>
      <c r="C1770" s="5" t="str">
        <f ca="1">IFERROR(__xludf.DUMMYFUNCTION("""COMPUTED_VALUE"""),"T-10")</f>
        <v>T-10</v>
      </c>
      <c r="D1770" s="5" t="str">
        <f ca="1">IFERROR(__xludf.DUMMYFUNCTION("""COMPUTED_VALUE"""),"LandPlane")</f>
        <v>LandPlane</v>
      </c>
      <c r="E1770" s="5" t="str">
        <f ca="1">IFERROR(__xludf.DUMMYFUNCTION("""COMPUTED_VALUE"""),"Piston")</f>
        <v>Piston</v>
      </c>
      <c r="F1770" s="5">
        <f ca="1">IFERROR(__xludf.DUMMYFUNCTION("""COMPUTED_VALUE"""),1)</f>
        <v>1</v>
      </c>
    </row>
    <row r="1771" spans="1:6" ht="15" customHeight="1" x14ac:dyDescent="0.2">
      <c r="A1771" s="5" t="str">
        <f ca="1">IFERROR(__xludf.DUMMYFUNCTION("""COMPUTED_VALUE"""),"NXT")</f>
        <v>NXT</v>
      </c>
      <c r="B1771" s="5" t="str">
        <f ca="1">IFERROR(__xludf.DUMMYFUNCTION("""COMPUTED_VALUE"""),"NEMESIS")</f>
        <v>NEMESIS</v>
      </c>
      <c r="C1771" s="5" t="str">
        <f ca="1">IFERROR(__xludf.DUMMYFUNCTION("""COMPUTED_VALUE"""),"NXT")</f>
        <v>NXT</v>
      </c>
      <c r="D1771" s="5" t="str">
        <f ca="1">IFERROR(__xludf.DUMMYFUNCTION("""COMPUTED_VALUE"""),"LandPlane")</f>
        <v>LandPlane</v>
      </c>
      <c r="E1771" s="5" t="str">
        <f ca="1">IFERROR(__xludf.DUMMYFUNCTION("""COMPUTED_VALUE"""),"Piston")</f>
        <v>Piston</v>
      </c>
      <c r="F1771" s="5">
        <f ca="1">IFERROR(__xludf.DUMMYFUNCTION("""COMPUTED_VALUE"""),1)</f>
        <v>1</v>
      </c>
    </row>
    <row r="1772" spans="1:6" ht="15" customHeight="1" x14ac:dyDescent="0.2">
      <c r="A1772" s="5" t="str">
        <f ca="1">IFERROR(__xludf.DUMMYFUNCTION("""COMPUTED_VALUE"""),"NXTE")</f>
        <v>NXTE</v>
      </c>
      <c r="B1772" s="5" t="str">
        <f ca="1">IFERROR(__xludf.DUMMYFUNCTION("""COMPUTED_VALUE"""),"ELECTROFLIGHT")</f>
        <v>ELECTROFLIGHT</v>
      </c>
      <c r="C1772" s="5" t="str">
        <f ca="1">IFERROR(__xludf.DUMMYFUNCTION("""COMPUTED_VALUE"""),"NXTE")</f>
        <v>NXTE</v>
      </c>
      <c r="D1772" s="5" t="str">
        <f ca="1">IFERROR(__xludf.DUMMYFUNCTION("""COMPUTED_VALUE"""),"LandPlane")</f>
        <v>LandPlane</v>
      </c>
      <c r="E1772" s="5" t="str">
        <f ca="1">IFERROR(__xludf.DUMMYFUNCTION("""COMPUTED_VALUE"""),"Electric")</f>
        <v>Electric</v>
      </c>
      <c r="F1772" s="5">
        <f ca="1">IFERROR(__xludf.DUMMYFUNCTION("""COMPUTED_VALUE"""),1)</f>
        <v>1</v>
      </c>
    </row>
    <row r="1773" spans="1:6" ht="15" customHeight="1" x14ac:dyDescent="0.2">
      <c r="A1773" s="5" t="str">
        <f ca="1">IFERROR(__xludf.DUMMYFUNCTION("""COMPUTED_VALUE"""),"O1")</f>
        <v>O1</v>
      </c>
      <c r="B1773" s="5" t="str">
        <f ca="1">IFERROR(__xludf.DUMMYFUNCTION("""COMPUTED_VALUE"""),"CESSNA")</f>
        <v>CESSNA</v>
      </c>
      <c r="C1773" s="5" t="str">
        <f ca="1">IFERROR(__xludf.DUMMYFUNCTION("""COMPUTED_VALUE"""),"O-1 Bird Dog")</f>
        <v>O-1 Bird Dog</v>
      </c>
      <c r="D1773" s="5" t="str">
        <f ca="1">IFERROR(__xludf.DUMMYFUNCTION("""COMPUTED_VALUE"""),"LandPlane")</f>
        <v>LandPlane</v>
      </c>
      <c r="E1773" s="5" t="str">
        <f ca="1">IFERROR(__xludf.DUMMYFUNCTION("""COMPUTED_VALUE"""),"Piston")</f>
        <v>Piston</v>
      </c>
      <c r="F1773" s="5">
        <f ca="1">IFERROR(__xludf.DUMMYFUNCTION("""COMPUTED_VALUE"""),1)</f>
        <v>1</v>
      </c>
    </row>
    <row r="1774" spans="1:6" ht="15" customHeight="1" x14ac:dyDescent="0.2">
      <c r="A1774" s="5" t="str">
        <f ca="1">IFERROR(__xludf.DUMMYFUNCTION("""COMPUTED_VALUE"""),"O3")</f>
        <v>O3</v>
      </c>
      <c r="B1774" s="5" t="str">
        <f ca="1">IFERROR(__xludf.DUMMYFUNCTION("""COMPUTED_VALUE"""),"LOCKHEED")</f>
        <v>LOCKHEED</v>
      </c>
      <c r="C1774" s="5" t="str">
        <f ca="1">IFERROR(__xludf.DUMMYFUNCTION("""COMPUTED_VALUE"""),"YO-3")</f>
        <v>YO-3</v>
      </c>
      <c r="D1774" s="5" t="str">
        <f ca="1">IFERROR(__xludf.DUMMYFUNCTION("""COMPUTED_VALUE"""),"LandPlane")</f>
        <v>LandPlane</v>
      </c>
      <c r="E1774" s="5" t="str">
        <f ca="1">IFERROR(__xludf.DUMMYFUNCTION("""COMPUTED_VALUE"""),"Piston")</f>
        <v>Piston</v>
      </c>
      <c r="F1774" s="5">
        <f ca="1">IFERROR(__xludf.DUMMYFUNCTION("""COMPUTED_VALUE"""),1)</f>
        <v>1</v>
      </c>
    </row>
    <row r="1775" spans="1:6" ht="15" customHeight="1" x14ac:dyDescent="0.2">
      <c r="A1775" s="5" t="str">
        <f ca="1">IFERROR(__xludf.DUMMYFUNCTION("""COMPUTED_VALUE"""),"OH1")</f>
        <v>OH1</v>
      </c>
      <c r="B1775" s="5" t="str">
        <f ca="1">IFERROR(__xludf.DUMMYFUNCTION("""COMPUTED_VALUE"""),"KAWASAKI")</f>
        <v>KAWASAKI</v>
      </c>
      <c r="C1775" s="5" t="str">
        <f ca="1">IFERROR(__xludf.DUMMYFUNCTION("""COMPUTED_VALUE"""),"OH-1")</f>
        <v>OH-1</v>
      </c>
      <c r="D1775" s="5" t="str">
        <f ca="1">IFERROR(__xludf.DUMMYFUNCTION("""COMPUTED_VALUE"""),"Helicopter")</f>
        <v>Helicopter</v>
      </c>
      <c r="E1775" s="5" t="str">
        <f ca="1">IFERROR(__xludf.DUMMYFUNCTION("""COMPUTED_VALUE"""),"Turboprop/Turboshaft")</f>
        <v>Turboprop/Turboshaft</v>
      </c>
      <c r="F1775" s="5">
        <f ca="1">IFERROR(__xludf.DUMMYFUNCTION("""COMPUTED_VALUE"""),2)</f>
        <v>2</v>
      </c>
    </row>
    <row r="1776" spans="1:6" ht="15" customHeight="1" x14ac:dyDescent="0.2">
      <c r="A1776" s="5" t="str">
        <f ca="1">IFERROR(__xludf.DUMMYFUNCTION("""COMPUTED_VALUE"""),"OKHO")</f>
        <v>OKHO</v>
      </c>
      <c r="B1776" s="5" t="str">
        <f ca="1">IFERROR(__xludf.DUMMYFUNCTION("""COMPUTED_VALUE"""),"AERO-ASTRA")</f>
        <v>AERO-ASTRA</v>
      </c>
      <c r="C1776" s="5" t="str">
        <f ca="1">IFERROR(__xludf.DUMMYFUNCTION("""COMPUTED_VALUE"""),"Okhotnik")</f>
        <v>Okhotnik</v>
      </c>
      <c r="D1776" s="5" t="str">
        <f ca="1">IFERROR(__xludf.DUMMYFUNCTION("""COMPUTED_VALUE"""),"Gyrocopter")</f>
        <v>Gyrocopter</v>
      </c>
      <c r="E1776" s="5" t="str">
        <f ca="1">IFERROR(__xludf.DUMMYFUNCTION("""COMPUTED_VALUE"""),"Piston")</f>
        <v>Piston</v>
      </c>
      <c r="F1776" s="5">
        <f ca="1">IFERROR(__xludf.DUMMYFUNCTION("""COMPUTED_VALUE"""),1)</f>
        <v>1</v>
      </c>
    </row>
    <row r="1777" spans="1:6" ht="15" customHeight="1" x14ac:dyDescent="0.2">
      <c r="A1777" s="5" t="str">
        <f ca="1">IFERROR(__xludf.DUMMYFUNCTION("""COMPUTED_VALUE"""),"OM1")</f>
        <v>OM1</v>
      </c>
      <c r="B1777" s="5" t="str">
        <f ca="1">IFERROR(__xludf.DUMMYFUNCTION("""COMPUTED_VALUE"""),"MORRISEY")</f>
        <v>MORRISEY</v>
      </c>
      <c r="C1777" s="5" t="str">
        <f ca="1">IFERROR(__xludf.DUMMYFUNCTION("""COMPUTED_VALUE"""),"OM-1 Bravo")</f>
        <v>OM-1 Bravo</v>
      </c>
      <c r="D1777" s="5" t="str">
        <f ca="1">IFERROR(__xludf.DUMMYFUNCTION("""COMPUTED_VALUE"""),"LandPlane")</f>
        <v>LandPlane</v>
      </c>
      <c r="E1777" s="5" t="str">
        <f ca="1">IFERROR(__xludf.DUMMYFUNCTION("""COMPUTED_VALUE"""),"Piston")</f>
        <v>Piston</v>
      </c>
      <c r="F1777" s="5">
        <f ca="1">IFERROR(__xludf.DUMMYFUNCTION("""COMPUTED_VALUE"""),1)</f>
        <v>1</v>
      </c>
    </row>
    <row r="1778" spans="1:6" ht="15" customHeight="1" x14ac:dyDescent="0.2">
      <c r="A1778" s="5" t="str">
        <f ca="1">IFERROR(__xludf.DUMMYFUNCTION("""COMPUTED_VALUE"""),"OMAG")</f>
        <v>OMAG</v>
      </c>
      <c r="B1778" s="5" t="str">
        <f ca="1">IFERROR(__xludf.DUMMYFUNCTION("""COMPUTED_VALUE"""),"O'NEILL")</f>
        <v>O'NEILL</v>
      </c>
      <c r="C1778" s="5" t="str">
        <f ca="1">IFERROR(__xludf.DUMMYFUNCTION("""COMPUTED_VALUE"""),"Magnum")</f>
        <v>Magnum</v>
      </c>
      <c r="D1778" s="5" t="str">
        <f ca="1">IFERROR(__xludf.DUMMYFUNCTION("""COMPUTED_VALUE"""),"LandPlane")</f>
        <v>LandPlane</v>
      </c>
      <c r="E1778" s="5" t="str">
        <f ca="1">IFERROR(__xludf.DUMMYFUNCTION("""COMPUTED_VALUE"""),"Piston")</f>
        <v>Piston</v>
      </c>
      <c r="F1778" s="5">
        <f ca="1">IFERROR(__xludf.DUMMYFUNCTION("""COMPUTED_VALUE"""),1)</f>
        <v>1</v>
      </c>
    </row>
    <row r="1779" spans="1:6" ht="15" customHeight="1" x14ac:dyDescent="0.2">
      <c r="A1779" s="5" t="str">
        <f ca="1">IFERROR(__xludf.DUMMYFUNCTION("""COMPUTED_VALUE"""),"OMGA")</f>
        <v>OMGA</v>
      </c>
      <c r="B1779" s="5" t="str">
        <f ca="1">IFERROR(__xludf.DUMMYFUNCTION("""COMPUTED_VALUE"""),"ISAE")</f>
        <v>ISAE</v>
      </c>
      <c r="C1779" s="5" t="str">
        <f ca="1">IFERROR(__xludf.DUMMYFUNCTION("""COMPUTED_VALUE"""),"Omega 2")</f>
        <v>Omega 2</v>
      </c>
      <c r="D1779" s="5" t="str">
        <f ca="1">IFERROR(__xludf.DUMMYFUNCTION("""COMPUTED_VALUE"""),"LandPlane")</f>
        <v>LandPlane</v>
      </c>
      <c r="E1779" s="5" t="str">
        <f ca="1">IFERROR(__xludf.DUMMYFUNCTION("""COMPUTED_VALUE"""),"Piston")</f>
        <v>Piston</v>
      </c>
      <c r="F1779" s="5">
        <f ca="1">IFERROR(__xludf.DUMMYFUNCTION("""COMPUTED_VALUE"""),1)</f>
        <v>1</v>
      </c>
    </row>
    <row r="1780" spans="1:6" ht="15" customHeight="1" x14ac:dyDescent="0.2">
      <c r="A1780" s="5" t="str">
        <f ca="1">IFERROR(__xludf.DUMMYFUNCTION("""COMPUTED_VALUE"""),"OMLA")</f>
        <v>OMLA</v>
      </c>
      <c r="B1780" s="5" t="str">
        <f ca="1">IFERROR(__xludf.DUMMYFUNCTION("""COMPUTED_VALUE"""),"OMAC")</f>
        <v>OMAC</v>
      </c>
      <c r="C1780" s="5" t="str">
        <f ca="1">IFERROR(__xludf.DUMMYFUNCTION("""COMPUTED_VALUE"""),"Laser 300")</f>
        <v>Laser 300</v>
      </c>
      <c r="D1780" s="5" t="str">
        <f ca="1">IFERROR(__xludf.DUMMYFUNCTION("""COMPUTED_VALUE"""),"LandPlane")</f>
        <v>LandPlane</v>
      </c>
      <c r="E1780" s="5" t="str">
        <f ca="1">IFERROR(__xludf.DUMMYFUNCTION("""COMPUTED_VALUE"""),"Turboprop/Turboshaft")</f>
        <v>Turboprop/Turboshaft</v>
      </c>
      <c r="F1780" s="5">
        <f ca="1">IFERROR(__xludf.DUMMYFUNCTION("""COMPUTED_VALUE"""),1)</f>
        <v>1</v>
      </c>
    </row>
    <row r="1781" spans="1:6" ht="15" customHeight="1" x14ac:dyDescent="0.2">
      <c r="A1781" s="5" t="str">
        <f ca="1">IFERROR(__xludf.DUMMYFUNCTION("""COMPUTED_VALUE"""),"ONE")</f>
        <v>ONE</v>
      </c>
      <c r="B1781" s="5" t="str">
        <f ca="1">IFERROR(__xludf.DUMMYFUNCTION("""COMPUTED_VALUE"""),"GOGETAIR")</f>
        <v>GOGETAIR</v>
      </c>
      <c r="C1781" s="5" t="str">
        <f ca="1">IFERROR(__xludf.DUMMYFUNCTION("""COMPUTED_VALUE"""),"G-600")</f>
        <v>G-600</v>
      </c>
      <c r="D1781" s="5" t="str">
        <f ca="1">IFERROR(__xludf.DUMMYFUNCTION("""COMPUTED_VALUE"""),"LandPlane")</f>
        <v>LandPlane</v>
      </c>
      <c r="E1781" s="5" t="str">
        <f ca="1">IFERROR(__xludf.DUMMYFUNCTION("""COMPUTED_VALUE"""),"Piston")</f>
        <v>Piston</v>
      </c>
      <c r="F1781" s="5">
        <f ca="1">IFERROR(__xludf.DUMMYFUNCTION("""COMPUTED_VALUE"""),1)</f>
        <v>1</v>
      </c>
    </row>
    <row r="1782" spans="1:6" ht="15" customHeight="1" x14ac:dyDescent="0.2">
      <c r="A1782" s="5" t="str">
        <f ca="1">IFERROR(__xludf.DUMMYFUNCTION("""COMPUTED_VALUE"""),"ONEX")</f>
        <v>ONEX</v>
      </c>
      <c r="B1782" s="5" t="str">
        <f ca="1">IFERROR(__xludf.DUMMYFUNCTION("""COMPUTED_VALUE"""),"SONEX")</f>
        <v>SONEX</v>
      </c>
      <c r="C1782" s="5" t="str">
        <f ca="1">IFERROR(__xludf.DUMMYFUNCTION("""COMPUTED_VALUE"""),"Onex")</f>
        <v>Onex</v>
      </c>
      <c r="D1782" s="5" t="str">
        <f ca="1">IFERROR(__xludf.DUMMYFUNCTION("""COMPUTED_VALUE"""),"LandPlane")</f>
        <v>LandPlane</v>
      </c>
      <c r="E1782" s="5" t="str">
        <f ca="1">IFERROR(__xludf.DUMMYFUNCTION("""COMPUTED_VALUE"""),"Piston")</f>
        <v>Piston</v>
      </c>
      <c r="F1782" s="5">
        <f ca="1">IFERROR(__xludf.DUMMYFUNCTION("""COMPUTED_VALUE"""),1)</f>
        <v>1</v>
      </c>
    </row>
    <row r="1783" spans="1:6" ht="15" customHeight="1" x14ac:dyDescent="0.2">
      <c r="A1783" s="5" t="str">
        <f ca="1">IFERROR(__xludf.DUMMYFUNCTION("""COMPUTED_VALUE"""),"OPCA")</f>
        <v>OPCA</v>
      </c>
      <c r="B1783" s="5" t="str">
        <f ca="1">IFERROR(__xludf.DUMMYFUNCTION("""COMPUTED_VALUE"""),"EDGLEY")</f>
        <v>EDGLEY</v>
      </c>
      <c r="C1783" s="5" t="str">
        <f ca="1">IFERROR(__xludf.DUMMYFUNCTION("""COMPUTED_VALUE"""),"EA-7 Optica")</f>
        <v>EA-7 Optica</v>
      </c>
      <c r="D1783" s="5" t="str">
        <f ca="1">IFERROR(__xludf.DUMMYFUNCTION("""COMPUTED_VALUE"""),"LandPlane")</f>
        <v>LandPlane</v>
      </c>
      <c r="E1783" s="5" t="str">
        <f ca="1">IFERROR(__xludf.DUMMYFUNCTION("""COMPUTED_VALUE"""),"Piston")</f>
        <v>Piston</v>
      </c>
      <c r="F1783" s="5">
        <f ca="1">IFERROR(__xludf.DUMMYFUNCTION("""COMPUTED_VALUE"""),1)</f>
        <v>1</v>
      </c>
    </row>
    <row r="1784" spans="1:6" ht="15" customHeight="1" x14ac:dyDescent="0.2">
      <c r="A1784" s="5" t="str">
        <f ca="1">IFERROR(__xludf.DUMMYFUNCTION("""COMPUTED_VALUE"""),"OR10")</f>
        <v>OR10</v>
      </c>
      <c r="B1784" s="5" t="str">
        <f ca="1">IFERROR(__xludf.DUMMYFUNCTION("""COMPUTED_VALUE"""),"ORION")</f>
        <v>ORION</v>
      </c>
      <c r="C1784" s="5" t="str">
        <f ca="1">IFERROR(__xludf.DUMMYFUNCTION("""COMPUTED_VALUE"""),"10")</f>
        <v>10</v>
      </c>
      <c r="D1784" s="5" t="str">
        <f ca="1">IFERROR(__xludf.DUMMYFUNCTION("""COMPUTED_VALUE"""),"Amphibian")</f>
        <v>Amphibian</v>
      </c>
      <c r="E1784" s="5" t="str">
        <f ca="1">IFERROR(__xludf.DUMMYFUNCTION("""COMPUTED_VALUE"""),"Piston")</f>
        <v>Piston</v>
      </c>
      <c r="F1784" s="5">
        <f ca="1">IFERROR(__xludf.DUMMYFUNCTION("""COMPUTED_VALUE"""),1)</f>
        <v>1</v>
      </c>
    </row>
    <row r="1785" spans="1:6" ht="15" customHeight="1" x14ac:dyDescent="0.2">
      <c r="A1785" s="5" t="str">
        <f ca="1">IFERROR(__xludf.DUMMYFUNCTION("""COMPUTED_VALUE"""),"OR12")</f>
        <v>OR12</v>
      </c>
      <c r="B1785" s="5" t="str">
        <f ca="1">IFERROR(__xludf.DUMMYFUNCTION("""COMPUTED_VALUE"""),"ORION")</f>
        <v>ORION</v>
      </c>
      <c r="C1785" s="5" t="str">
        <f ca="1">IFERROR(__xludf.DUMMYFUNCTION("""COMPUTED_VALUE"""),"SK-12")</f>
        <v>SK-12</v>
      </c>
      <c r="D1785" s="5" t="str">
        <f ca="1">IFERROR(__xludf.DUMMYFUNCTION("""COMPUTED_VALUE"""),"Amphibian")</f>
        <v>Amphibian</v>
      </c>
      <c r="E1785" s="5" t="str">
        <f ca="1">IFERROR(__xludf.DUMMYFUNCTION("""COMPUTED_VALUE"""),"Piston")</f>
        <v>Piston</v>
      </c>
      <c r="F1785" s="5">
        <f ca="1">IFERROR(__xludf.DUMMYFUNCTION("""COMPUTED_VALUE"""),2)</f>
        <v>2</v>
      </c>
    </row>
    <row r="1786" spans="1:6" ht="15" customHeight="1" x14ac:dyDescent="0.2">
      <c r="A1786" s="5" t="str">
        <f ca="1">IFERROR(__xludf.DUMMYFUNCTION("""COMPUTED_VALUE"""),"OSCR")</f>
        <v>OSCR</v>
      </c>
      <c r="B1786" s="5" t="str">
        <f ca="1">IFERROR(__xludf.DUMMYFUNCTION("""COMPUTED_VALUE"""),"AFIC")</f>
        <v>AFIC</v>
      </c>
      <c r="C1786" s="5" t="str">
        <f ca="1">IFERROR(__xludf.DUMMYFUNCTION("""COMPUTED_VALUE"""),"RSA-200 Falcon")</f>
        <v>RSA-200 Falcon</v>
      </c>
      <c r="D1786" s="5" t="str">
        <f ca="1">IFERROR(__xludf.DUMMYFUNCTION("""COMPUTED_VALUE"""),"LandPlane")</f>
        <v>LandPlane</v>
      </c>
      <c r="E1786" s="5" t="str">
        <f ca="1">IFERROR(__xludf.DUMMYFUNCTION("""COMPUTED_VALUE"""),"Piston")</f>
        <v>Piston</v>
      </c>
      <c r="F1786" s="5">
        <f ca="1">IFERROR(__xludf.DUMMYFUNCTION("""COMPUTED_VALUE"""),1)</f>
        <v>1</v>
      </c>
    </row>
    <row r="1787" spans="1:6" ht="15" customHeight="1" x14ac:dyDescent="0.2">
      <c r="A1787" s="5" t="str">
        <f ca="1">IFERROR(__xludf.DUMMYFUNCTION("""COMPUTED_VALUE"""),"OSCR")</f>
        <v>OSCR</v>
      </c>
      <c r="B1787" s="5" t="str">
        <f ca="1">IFERROR(__xludf.DUMMYFUNCTION("""COMPUTED_VALUE"""),"PARTENAVIA")</f>
        <v>PARTENAVIA</v>
      </c>
      <c r="C1787" s="5" t="str">
        <f ca="1">IFERROR(__xludf.DUMMYFUNCTION("""COMPUTED_VALUE"""),"P-64 Oscar")</f>
        <v>P-64 Oscar</v>
      </c>
      <c r="D1787" s="5" t="str">
        <f ca="1">IFERROR(__xludf.DUMMYFUNCTION("""COMPUTED_VALUE"""),"LandPlane")</f>
        <v>LandPlane</v>
      </c>
      <c r="E1787" s="5" t="str">
        <f ca="1">IFERROR(__xludf.DUMMYFUNCTION("""COMPUTED_VALUE"""),"Piston")</f>
        <v>Piston</v>
      </c>
      <c r="F1787" s="5">
        <f ca="1">IFERROR(__xludf.DUMMYFUNCTION("""COMPUTED_VALUE"""),1)</f>
        <v>1</v>
      </c>
    </row>
    <row r="1788" spans="1:6" ht="15" customHeight="1" x14ac:dyDescent="0.2">
      <c r="A1788" s="5" t="str">
        <f ca="1">IFERROR(__xludf.DUMMYFUNCTION("""COMPUTED_VALUE"""),"OUDE")</f>
        <v>OUDE</v>
      </c>
      <c r="B1788" s="5" t="str">
        <f ca="1">IFERROR(__xludf.DUMMYFUNCTION("""COMPUTED_VALUE"""),"OLYMPIC ULTRALIGHTS")</f>
        <v>OLYMPIC ULTRALIGHTS</v>
      </c>
      <c r="C1788" s="5" t="str">
        <f ca="1">IFERROR(__xludf.DUMMYFUNCTION("""COMPUTED_VALUE"""),"Desert Eagle 2")</f>
        <v>Desert Eagle 2</v>
      </c>
      <c r="D1788" s="5" t="str">
        <f ca="1">IFERROR(__xludf.DUMMYFUNCTION("""COMPUTED_VALUE"""),"LandPlane")</f>
        <v>LandPlane</v>
      </c>
      <c r="E1788" s="5" t="str">
        <f ca="1">IFERROR(__xludf.DUMMYFUNCTION("""COMPUTED_VALUE"""),"Piston")</f>
        <v>Piston</v>
      </c>
      <c r="F1788" s="5">
        <f ca="1">IFERROR(__xludf.DUMMYFUNCTION("""COMPUTED_VALUE"""),1)</f>
        <v>1</v>
      </c>
    </row>
    <row r="1789" spans="1:6" ht="15" customHeight="1" x14ac:dyDescent="0.2">
      <c r="A1789" s="5" t="str">
        <f ca="1">IFERROR(__xludf.DUMMYFUNCTION("""COMPUTED_VALUE"""),"OVOD")</f>
        <v>OVOD</v>
      </c>
      <c r="B1789" s="5" t="str">
        <f ca="1">IFERROR(__xludf.DUMMYFUNCTION("""COMPUTED_VALUE"""),"VITEK")</f>
        <v>VITEK</v>
      </c>
      <c r="C1789" s="5" t="str">
        <f ca="1">IFERROR(__xludf.DUMMYFUNCTION("""COMPUTED_VALUE"""),"Ovod")</f>
        <v>Ovod</v>
      </c>
      <c r="D1789" s="5" t="str">
        <f ca="1">IFERROR(__xludf.DUMMYFUNCTION("""COMPUTED_VALUE"""),"LandPlane")</f>
        <v>LandPlane</v>
      </c>
      <c r="E1789" s="5" t="str">
        <f ca="1">IFERROR(__xludf.DUMMYFUNCTION("""COMPUTED_VALUE"""),"Piston")</f>
        <v>Piston</v>
      </c>
      <c r="F1789" s="5">
        <f ca="1">IFERROR(__xludf.DUMMYFUNCTION("""COMPUTED_VALUE"""),1)</f>
        <v>1</v>
      </c>
    </row>
    <row r="1790" spans="1:6" ht="15" customHeight="1" x14ac:dyDescent="0.2">
      <c r="A1790" s="5" t="str">
        <f ca="1">IFERROR(__xludf.DUMMYFUNCTION("""COMPUTED_VALUE"""),"OZZI")</f>
        <v>OZZI</v>
      </c>
      <c r="B1790" s="5" t="str">
        <f ca="1">IFERROR(__xludf.DUMMYFUNCTION("""COMPUTED_VALUE"""),"BUCHANAN")</f>
        <v>BUCHANAN</v>
      </c>
      <c r="C1790" s="5" t="str">
        <f ca="1">IFERROR(__xludf.DUMMYFUNCTION("""COMPUTED_VALUE"""),"BAC-204 Ozzie Mozzie")</f>
        <v>BAC-204 Ozzie Mozzie</v>
      </c>
      <c r="D1790" s="5" t="str">
        <f ca="1">IFERROR(__xludf.DUMMYFUNCTION("""COMPUTED_VALUE"""),"LandPlane")</f>
        <v>LandPlane</v>
      </c>
      <c r="E1790" s="5" t="str">
        <f ca="1">IFERROR(__xludf.DUMMYFUNCTION("""COMPUTED_VALUE"""),"Piston")</f>
        <v>Piston</v>
      </c>
      <c r="F1790" s="5">
        <f ca="1">IFERROR(__xludf.DUMMYFUNCTION("""COMPUTED_VALUE"""),1)</f>
        <v>1</v>
      </c>
    </row>
    <row r="1791" spans="1:6" ht="15" customHeight="1" x14ac:dyDescent="0.2">
      <c r="A1791" s="5" t="str">
        <f ca="1">IFERROR(__xludf.DUMMYFUNCTION("""COMPUTED_VALUE"""),"P06T")</f>
        <v>P06T</v>
      </c>
      <c r="B1791" s="5" t="str">
        <f ca="1">IFERROR(__xludf.DUMMYFUNCTION("""COMPUTED_VALUE"""),"TECNAM")</f>
        <v>TECNAM</v>
      </c>
      <c r="C1791" s="5" t="str">
        <f ca="1">IFERROR(__xludf.DUMMYFUNCTION("""COMPUTED_VALUE"""),"P-2006T")</f>
        <v>P-2006T</v>
      </c>
      <c r="D1791" s="5" t="str">
        <f ca="1">IFERROR(__xludf.DUMMYFUNCTION("""COMPUTED_VALUE"""),"LandPlane")</f>
        <v>LandPlane</v>
      </c>
      <c r="E1791" s="5" t="str">
        <f ca="1">IFERROR(__xludf.DUMMYFUNCTION("""COMPUTED_VALUE"""),"Piston")</f>
        <v>Piston</v>
      </c>
      <c r="F1791" s="5">
        <f ca="1">IFERROR(__xludf.DUMMYFUNCTION("""COMPUTED_VALUE"""),2)</f>
        <v>2</v>
      </c>
    </row>
    <row r="1792" spans="1:6" ht="15" customHeight="1" x14ac:dyDescent="0.2">
      <c r="A1792" s="5" t="str">
        <f ca="1">IFERROR(__xludf.DUMMYFUNCTION("""COMPUTED_VALUE"""),"P1")</f>
        <v>P1</v>
      </c>
      <c r="B1792" s="5" t="str">
        <f ca="1">IFERROR(__xludf.DUMMYFUNCTION("""COMPUTED_VALUE"""),"KAWASAKI")</f>
        <v>KAWASAKI</v>
      </c>
      <c r="C1792" s="5" t="str">
        <f ca="1">IFERROR(__xludf.DUMMYFUNCTION("""COMPUTED_VALUE"""),"P-1")</f>
        <v>P-1</v>
      </c>
      <c r="D1792" s="5" t="str">
        <f ca="1">IFERROR(__xludf.DUMMYFUNCTION("""COMPUTED_VALUE"""),"LandPlane")</f>
        <v>LandPlane</v>
      </c>
      <c r="E1792" s="5" t="str">
        <f ca="1">IFERROR(__xludf.DUMMYFUNCTION("""COMPUTED_VALUE"""),"Jet")</f>
        <v>Jet</v>
      </c>
      <c r="F1792" s="5">
        <f ca="1">IFERROR(__xludf.DUMMYFUNCTION("""COMPUTED_VALUE"""),4)</f>
        <v>4</v>
      </c>
    </row>
    <row r="1793" spans="1:6" ht="15" customHeight="1" x14ac:dyDescent="0.2">
      <c r="A1793" s="5" t="str">
        <f ca="1">IFERROR(__xludf.DUMMYFUNCTION("""COMPUTED_VALUE"""),"P100")</f>
        <v>P100</v>
      </c>
      <c r="B1793" s="5" t="str">
        <f ca="1">IFERROR(__xludf.DUMMYFUNCTION("""COMPUTED_VALUE"""),"POTTIER")</f>
        <v>POTTIER</v>
      </c>
      <c r="C1793" s="5" t="str">
        <f ca="1">IFERROR(__xludf.DUMMYFUNCTION("""COMPUTED_VALUE"""),"P-100")</f>
        <v>P-100</v>
      </c>
      <c r="D1793" s="5" t="str">
        <f ca="1">IFERROR(__xludf.DUMMYFUNCTION("""COMPUTED_VALUE"""),"LandPlane")</f>
        <v>LandPlane</v>
      </c>
      <c r="E1793" s="5" t="str">
        <f ca="1">IFERROR(__xludf.DUMMYFUNCTION("""COMPUTED_VALUE"""),"Piston")</f>
        <v>Piston</v>
      </c>
      <c r="F1793" s="5">
        <f ca="1">IFERROR(__xludf.DUMMYFUNCTION("""COMPUTED_VALUE"""),1)</f>
        <v>1</v>
      </c>
    </row>
    <row r="1794" spans="1:6" ht="15" customHeight="1" x14ac:dyDescent="0.2">
      <c r="A1794" s="5" t="str">
        <f ca="1">IFERROR(__xludf.DUMMYFUNCTION("""COMPUTED_VALUE"""),"P130")</f>
        <v>P130</v>
      </c>
      <c r="B1794" s="5" t="str">
        <f ca="1">IFERROR(__xludf.DUMMYFUNCTION("""COMPUTED_VALUE"""),"POTTIER")</f>
        <v>POTTIER</v>
      </c>
      <c r="C1794" s="5" t="str">
        <f ca="1">IFERROR(__xludf.DUMMYFUNCTION("""COMPUTED_VALUE"""),"P-130 Bleu Citron")</f>
        <v>P-130 Bleu Citron</v>
      </c>
      <c r="D1794" s="5" t="str">
        <f ca="1">IFERROR(__xludf.DUMMYFUNCTION("""COMPUTED_VALUE"""),"LandPlane")</f>
        <v>LandPlane</v>
      </c>
      <c r="E1794" s="5" t="str">
        <f ca="1">IFERROR(__xludf.DUMMYFUNCTION("""COMPUTED_VALUE"""),"Piston")</f>
        <v>Piston</v>
      </c>
      <c r="F1794" s="5">
        <f ca="1">IFERROR(__xludf.DUMMYFUNCTION("""COMPUTED_VALUE"""),1)</f>
        <v>1</v>
      </c>
    </row>
    <row r="1795" spans="1:6" ht="15" customHeight="1" x14ac:dyDescent="0.2">
      <c r="A1795" s="5" t="str">
        <f ca="1">IFERROR(__xludf.DUMMYFUNCTION("""COMPUTED_VALUE"""),"P136")</f>
        <v>P136</v>
      </c>
      <c r="B1795" s="5" t="str">
        <f ca="1">IFERROR(__xludf.DUMMYFUNCTION("""COMPUTED_VALUE"""),"PIAGGIO")</f>
        <v>PIAGGIO</v>
      </c>
      <c r="C1795" s="5" t="str">
        <f ca="1">IFERROR(__xludf.DUMMYFUNCTION("""COMPUTED_VALUE"""),"P-136")</f>
        <v>P-136</v>
      </c>
      <c r="D1795" s="5" t="str">
        <f ca="1">IFERROR(__xludf.DUMMYFUNCTION("""COMPUTED_VALUE"""),"Amphibian")</f>
        <v>Amphibian</v>
      </c>
      <c r="E1795" s="5" t="str">
        <f ca="1">IFERROR(__xludf.DUMMYFUNCTION("""COMPUTED_VALUE"""),"Piston")</f>
        <v>Piston</v>
      </c>
      <c r="F1795" s="5">
        <f ca="1">IFERROR(__xludf.DUMMYFUNCTION("""COMPUTED_VALUE"""),2)</f>
        <v>2</v>
      </c>
    </row>
    <row r="1796" spans="1:6" ht="15" customHeight="1" x14ac:dyDescent="0.2">
      <c r="A1796" s="5" t="str">
        <f ca="1">IFERROR(__xludf.DUMMYFUNCTION("""COMPUTED_VALUE"""),"P148")</f>
        <v>P148</v>
      </c>
      <c r="B1796" s="5" t="str">
        <f ca="1">IFERROR(__xludf.DUMMYFUNCTION("""COMPUTED_VALUE"""),"PIAGGIO")</f>
        <v>PIAGGIO</v>
      </c>
      <c r="C1796" s="5" t="str">
        <f ca="1">IFERROR(__xludf.DUMMYFUNCTION("""COMPUTED_VALUE"""),"P-148")</f>
        <v>P-148</v>
      </c>
      <c r="D1796" s="5" t="str">
        <f ca="1">IFERROR(__xludf.DUMMYFUNCTION("""COMPUTED_VALUE"""),"LandPlane")</f>
        <v>LandPlane</v>
      </c>
      <c r="E1796" s="5" t="str">
        <f ca="1">IFERROR(__xludf.DUMMYFUNCTION("""COMPUTED_VALUE"""),"Piston")</f>
        <v>Piston</v>
      </c>
      <c r="F1796" s="5">
        <f ca="1">IFERROR(__xludf.DUMMYFUNCTION("""COMPUTED_VALUE"""),1)</f>
        <v>1</v>
      </c>
    </row>
    <row r="1797" spans="1:6" ht="15" customHeight="1" x14ac:dyDescent="0.2">
      <c r="A1797" s="5" t="str">
        <f ca="1">IFERROR(__xludf.DUMMYFUNCTION("""COMPUTED_VALUE"""),"P149")</f>
        <v>P149</v>
      </c>
      <c r="B1797" s="5" t="str">
        <f ca="1">IFERROR(__xludf.DUMMYFUNCTION("""COMPUTED_VALUE"""),"PIAGGIO")</f>
        <v>PIAGGIO</v>
      </c>
      <c r="C1797" s="5" t="str">
        <f ca="1">IFERROR(__xludf.DUMMYFUNCTION("""COMPUTED_VALUE"""),"P-149")</f>
        <v>P-149</v>
      </c>
      <c r="D1797" s="5" t="str">
        <f ca="1">IFERROR(__xludf.DUMMYFUNCTION("""COMPUTED_VALUE"""),"LandPlane")</f>
        <v>LandPlane</v>
      </c>
      <c r="E1797" s="5" t="str">
        <f ca="1">IFERROR(__xludf.DUMMYFUNCTION("""COMPUTED_VALUE"""),"Piston")</f>
        <v>Piston</v>
      </c>
      <c r="F1797" s="5">
        <f ca="1">IFERROR(__xludf.DUMMYFUNCTION("""COMPUTED_VALUE"""),1)</f>
        <v>1</v>
      </c>
    </row>
    <row r="1798" spans="1:6" ht="15" customHeight="1" x14ac:dyDescent="0.2">
      <c r="A1798" s="5" t="str">
        <f ca="1">IFERROR(__xludf.DUMMYFUNCTION("""COMPUTED_VALUE"""),"P180")</f>
        <v>P180</v>
      </c>
      <c r="B1798" s="5" t="str">
        <f ca="1">IFERROR(__xludf.DUMMYFUNCTION("""COMPUTED_VALUE"""),"PIAGGIO")</f>
        <v>PIAGGIO</v>
      </c>
      <c r="C1798" s="5" t="str">
        <f ca="1">IFERROR(__xludf.DUMMYFUNCTION("""COMPUTED_VALUE"""),"P-180 Avanti")</f>
        <v>P-180 Avanti</v>
      </c>
      <c r="D1798" s="5" t="str">
        <f ca="1">IFERROR(__xludf.DUMMYFUNCTION("""COMPUTED_VALUE"""),"LandPlane")</f>
        <v>LandPlane</v>
      </c>
      <c r="E1798" s="5" t="str">
        <f ca="1">IFERROR(__xludf.DUMMYFUNCTION("""COMPUTED_VALUE"""),"Turboprop/Turboshaft")</f>
        <v>Turboprop/Turboshaft</v>
      </c>
      <c r="F1798" s="5">
        <f ca="1">IFERROR(__xludf.DUMMYFUNCTION("""COMPUTED_VALUE"""),2)</f>
        <v>2</v>
      </c>
    </row>
    <row r="1799" spans="1:6" ht="15" customHeight="1" x14ac:dyDescent="0.2">
      <c r="A1799" s="5" t="str">
        <f ca="1">IFERROR(__xludf.DUMMYFUNCTION("""COMPUTED_VALUE"""),"P18T")</f>
        <v>P18T</v>
      </c>
      <c r="B1799" s="5" t="str">
        <f ca="1">IFERROR(__xludf.DUMMYFUNCTION("""COMPUTED_VALUE"""),"SMITH AVIATION")</f>
        <v>SMITH AVIATION</v>
      </c>
      <c r="C1799" s="5" t="str">
        <f ca="1">IFERROR(__xludf.DUMMYFUNCTION("""COMPUTED_VALUE"""),"PA-18T Super Cub")</f>
        <v>PA-18T Super Cub</v>
      </c>
      <c r="D1799" s="5" t="str">
        <f ca="1">IFERROR(__xludf.DUMMYFUNCTION("""COMPUTED_VALUE"""),"LandPlane")</f>
        <v>LandPlane</v>
      </c>
      <c r="E1799" s="5" t="str">
        <f ca="1">IFERROR(__xludf.DUMMYFUNCTION("""COMPUTED_VALUE"""),"Turboprop/Turboshaft")</f>
        <v>Turboprop/Turboshaft</v>
      </c>
      <c r="F1799" s="5">
        <f ca="1">IFERROR(__xludf.DUMMYFUNCTION("""COMPUTED_VALUE"""),1)</f>
        <v>1</v>
      </c>
    </row>
    <row r="1800" spans="1:6" ht="15" customHeight="1" x14ac:dyDescent="0.2">
      <c r="A1800" s="5" t="str">
        <f ca="1">IFERROR(__xludf.DUMMYFUNCTION("""COMPUTED_VALUE"""),"P19")</f>
        <v>P19</v>
      </c>
      <c r="B1800" s="5" t="str">
        <f ca="1">IFERROR(__xludf.DUMMYFUNCTION("""COMPUTED_VALUE"""),"AVIAMILANO")</f>
        <v>AVIAMILANO</v>
      </c>
      <c r="C1800" s="5" t="str">
        <f ca="1">IFERROR(__xludf.DUMMYFUNCTION("""COMPUTED_VALUE"""),"P-19 Scricciolo")</f>
        <v>P-19 Scricciolo</v>
      </c>
      <c r="D1800" s="5" t="str">
        <f ca="1">IFERROR(__xludf.DUMMYFUNCTION("""COMPUTED_VALUE"""),"LandPlane")</f>
        <v>LandPlane</v>
      </c>
      <c r="E1800" s="5" t="str">
        <f ca="1">IFERROR(__xludf.DUMMYFUNCTION("""COMPUTED_VALUE"""),"Piston")</f>
        <v>Piston</v>
      </c>
      <c r="F1800" s="5">
        <f ca="1">IFERROR(__xludf.DUMMYFUNCTION("""COMPUTED_VALUE"""),1)</f>
        <v>1</v>
      </c>
    </row>
    <row r="1801" spans="1:6" ht="15" customHeight="1" x14ac:dyDescent="0.2">
      <c r="A1801" s="5" t="str">
        <f ca="1">IFERROR(__xludf.DUMMYFUNCTION("""COMPUTED_VALUE"""),"P1HH")</f>
        <v>P1HH</v>
      </c>
      <c r="B1801" s="5" t="str">
        <f ca="1">IFERROR(__xludf.DUMMYFUNCTION("""COMPUTED_VALUE"""),"PIAGGIO")</f>
        <v>PIAGGIO</v>
      </c>
      <c r="C1801" s="5" t="str">
        <f ca="1">IFERROR(__xludf.DUMMYFUNCTION("""COMPUTED_VALUE"""),"P-1HH Hammerhead")</f>
        <v>P-1HH Hammerhead</v>
      </c>
      <c r="D1801" s="5" t="str">
        <f ca="1">IFERROR(__xludf.DUMMYFUNCTION("""COMPUTED_VALUE"""),"LandPlane")</f>
        <v>LandPlane</v>
      </c>
      <c r="E1801" s="5" t="str">
        <f ca="1">IFERROR(__xludf.DUMMYFUNCTION("""COMPUTED_VALUE"""),"Turboprop/Turboshaft")</f>
        <v>Turboprop/Turboshaft</v>
      </c>
      <c r="F1801" s="5">
        <f ca="1">IFERROR(__xludf.DUMMYFUNCTION("""COMPUTED_VALUE"""),2)</f>
        <v>2</v>
      </c>
    </row>
    <row r="1802" spans="1:6" ht="15" customHeight="1" x14ac:dyDescent="0.2">
      <c r="A1802" s="5" t="str">
        <f ca="1">IFERROR(__xludf.DUMMYFUNCTION("""COMPUTED_VALUE"""),"P2")</f>
        <v>P2</v>
      </c>
      <c r="B1802" s="5" t="str">
        <f ca="1">IFERROR(__xludf.DUMMYFUNCTION("""COMPUTED_VALUE"""),"LOCKHEED")</f>
        <v>LOCKHEED</v>
      </c>
      <c r="C1802" s="5" t="str">
        <f ca="1">IFERROR(__xludf.DUMMYFUNCTION("""COMPUTED_VALUE"""),"P-2 Neptune")</f>
        <v>P-2 Neptune</v>
      </c>
      <c r="D1802" s="5" t="str">
        <f ca="1">IFERROR(__xludf.DUMMYFUNCTION("""COMPUTED_VALUE"""),"LandPlane")</f>
        <v>LandPlane</v>
      </c>
      <c r="E1802" s="5" t="str">
        <f ca="1">IFERROR(__xludf.DUMMYFUNCTION("""COMPUTED_VALUE"""),"Piston")</f>
        <v>Piston</v>
      </c>
      <c r="F1802" s="5">
        <f ca="1">IFERROR(__xludf.DUMMYFUNCTION("""COMPUTED_VALUE"""),2)</f>
        <v>2</v>
      </c>
    </row>
    <row r="1803" spans="1:6" ht="15" customHeight="1" x14ac:dyDescent="0.2">
      <c r="A1803" s="5" t="str">
        <f ca="1">IFERROR(__xludf.DUMMYFUNCTION("""COMPUTED_VALUE"""),"P208")</f>
        <v>P208</v>
      </c>
      <c r="B1803" s="5" t="str">
        <f ca="1">IFERROR(__xludf.DUMMYFUNCTION("""COMPUTED_VALUE"""),"TECNAM")</f>
        <v>TECNAM</v>
      </c>
      <c r="C1803" s="5" t="str">
        <f ca="1">IFERROR(__xludf.DUMMYFUNCTION("""COMPUTED_VALUE"""),"P-2008")</f>
        <v>P-2008</v>
      </c>
      <c r="D1803" s="5" t="str">
        <f ca="1">IFERROR(__xludf.DUMMYFUNCTION("""COMPUTED_VALUE"""),"LandPlane")</f>
        <v>LandPlane</v>
      </c>
      <c r="E1803" s="5" t="str">
        <f ca="1">IFERROR(__xludf.DUMMYFUNCTION("""COMPUTED_VALUE"""),"Piston")</f>
        <v>Piston</v>
      </c>
      <c r="F1803" s="5">
        <f ca="1">IFERROR(__xludf.DUMMYFUNCTION("""COMPUTED_VALUE"""),1)</f>
        <v>1</v>
      </c>
    </row>
    <row r="1804" spans="1:6" ht="15" customHeight="1" x14ac:dyDescent="0.2">
      <c r="A1804" s="5" t="str">
        <f ca="1">IFERROR(__xludf.DUMMYFUNCTION("""COMPUTED_VALUE"""),"P210")</f>
        <v>P210</v>
      </c>
      <c r="B1804" s="5" t="str">
        <f ca="1">IFERROR(__xludf.DUMMYFUNCTION("""COMPUTED_VALUE"""),"CESSNA")</f>
        <v>CESSNA</v>
      </c>
      <c r="C1804" s="5" t="str">
        <f ca="1">IFERROR(__xludf.DUMMYFUNCTION("""COMPUTED_VALUE"""),"P210 Pressurized Centurion")</f>
        <v>P210 Pressurized Centurion</v>
      </c>
      <c r="D1804" s="5" t="str">
        <f ca="1">IFERROR(__xludf.DUMMYFUNCTION("""COMPUTED_VALUE"""),"LandPlane")</f>
        <v>LandPlane</v>
      </c>
      <c r="E1804" s="5" t="str">
        <f ca="1">IFERROR(__xludf.DUMMYFUNCTION("""COMPUTED_VALUE"""),"Piston")</f>
        <v>Piston</v>
      </c>
      <c r="F1804" s="5">
        <f ca="1">IFERROR(__xludf.DUMMYFUNCTION("""COMPUTED_VALUE"""),1)</f>
        <v>1</v>
      </c>
    </row>
    <row r="1805" spans="1:6" ht="15" customHeight="1" x14ac:dyDescent="0.2">
      <c r="A1805" s="5" t="str">
        <f ca="1">IFERROR(__xludf.DUMMYFUNCTION("""COMPUTED_VALUE"""),"P212")</f>
        <v>P212</v>
      </c>
      <c r="B1805" s="5" t="str">
        <f ca="1">IFERROR(__xludf.DUMMYFUNCTION("""COMPUTED_VALUE"""),"TECNAM")</f>
        <v>TECNAM</v>
      </c>
      <c r="C1805" s="5" t="str">
        <f ca="1">IFERROR(__xludf.DUMMYFUNCTION("""COMPUTED_VALUE"""),"P-2012 Traveller")</f>
        <v>P-2012 Traveller</v>
      </c>
      <c r="D1805" s="5" t="str">
        <f ca="1">IFERROR(__xludf.DUMMYFUNCTION("""COMPUTED_VALUE"""),"LandPlane")</f>
        <v>LandPlane</v>
      </c>
      <c r="E1805" s="5" t="str">
        <f ca="1">IFERROR(__xludf.DUMMYFUNCTION("""COMPUTED_VALUE"""),"Piston")</f>
        <v>Piston</v>
      </c>
      <c r="F1805" s="5">
        <f ca="1">IFERROR(__xludf.DUMMYFUNCTION("""COMPUTED_VALUE"""),2)</f>
        <v>2</v>
      </c>
    </row>
    <row r="1806" spans="1:6" ht="15" customHeight="1" x14ac:dyDescent="0.2">
      <c r="A1806" s="5" t="str">
        <f ca="1">IFERROR(__xludf.DUMMYFUNCTION("""COMPUTED_VALUE"""),"P220")</f>
        <v>P220</v>
      </c>
      <c r="B1806" s="5" t="str">
        <f ca="1">IFERROR(__xludf.DUMMYFUNCTION("""COMPUTED_VALUE"""),"POTTIER")</f>
        <v>POTTIER</v>
      </c>
      <c r="C1806" s="5" t="str">
        <f ca="1">IFERROR(__xludf.DUMMYFUNCTION("""COMPUTED_VALUE"""),"P-220 Koala")</f>
        <v>P-220 Koala</v>
      </c>
      <c r="D1806" s="5" t="str">
        <f ca="1">IFERROR(__xludf.DUMMYFUNCTION("""COMPUTED_VALUE"""),"LandPlane")</f>
        <v>LandPlane</v>
      </c>
      <c r="E1806" s="5" t="str">
        <f ca="1">IFERROR(__xludf.DUMMYFUNCTION("""COMPUTED_VALUE"""),"Piston")</f>
        <v>Piston</v>
      </c>
      <c r="F1806" s="5">
        <f ca="1">IFERROR(__xludf.DUMMYFUNCTION("""COMPUTED_VALUE"""),1)</f>
        <v>1</v>
      </c>
    </row>
    <row r="1807" spans="1:6" ht="15" customHeight="1" x14ac:dyDescent="0.2">
      <c r="A1807" s="5" t="str">
        <f ca="1">IFERROR(__xludf.DUMMYFUNCTION("""COMPUTED_VALUE"""),"P230")</f>
        <v>P230</v>
      </c>
      <c r="B1807" s="5" t="str">
        <f ca="1">IFERROR(__xludf.DUMMYFUNCTION("""COMPUTED_VALUE"""),"POTTIER")</f>
        <v>POTTIER</v>
      </c>
      <c r="C1807" s="5" t="str">
        <f ca="1">IFERROR(__xludf.DUMMYFUNCTION("""COMPUTED_VALUE"""),"P-230 Panda")</f>
        <v>P-230 Panda</v>
      </c>
      <c r="D1807" s="5" t="str">
        <f ca="1">IFERROR(__xludf.DUMMYFUNCTION("""COMPUTED_VALUE"""),"LandPlane")</f>
        <v>LandPlane</v>
      </c>
      <c r="E1807" s="5" t="str">
        <f ca="1">IFERROR(__xludf.DUMMYFUNCTION("""COMPUTED_VALUE"""),"Piston")</f>
        <v>Piston</v>
      </c>
      <c r="F1807" s="5">
        <f ca="1">IFERROR(__xludf.DUMMYFUNCTION("""COMPUTED_VALUE"""),1)</f>
        <v>1</v>
      </c>
    </row>
    <row r="1808" spans="1:6" ht="15" customHeight="1" x14ac:dyDescent="0.2">
      <c r="A1808" s="5" t="str">
        <f ca="1">IFERROR(__xludf.DUMMYFUNCTION("""COMPUTED_VALUE"""),"P27")</f>
        <v>P27</v>
      </c>
      <c r="B1808" s="5" t="str">
        <f ca="1">IFERROR(__xludf.DUMMYFUNCTION("""COMPUTED_VALUE"""),"GRYF")</f>
        <v>GRYF</v>
      </c>
      <c r="C1808" s="5" t="str">
        <f ca="1">IFERROR(__xludf.DUMMYFUNCTION("""COMPUTED_VALUE"""),"P-27 Skyster")</f>
        <v>P-27 Skyster</v>
      </c>
      <c r="D1808" s="5" t="str">
        <f ca="1">IFERROR(__xludf.DUMMYFUNCTION("""COMPUTED_VALUE"""),"LandPlane")</f>
        <v>LandPlane</v>
      </c>
      <c r="E1808" s="5" t="str">
        <f ca="1">IFERROR(__xludf.DUMMYFUNCTION("""COMPUTED_VALUE"""),"Piston")</f>
        <v>Piston</v>
      </c>
      <c r="F1808" s="5">
        <f ca="1">IFERROR(__xludf.DUMMYFUNCTION("""COMPUTED_VALUE"""),1)</f>
        <v>1</v>
      </c>
    </row>
    <row r="1809" spans="1:6" ht="15" customHeight="1" x14ac:dyDescent="0.2">
      <c r="A1809" s="5" t="str">
        <f ca="1">IFERROR(__xludf.DUMMYFUNCTION("""COMPUTED_VALUE"""),"P270")</f>
        <v>P270</v>
      </c>
      <c r="B1809" s="5" t="str">
        <f ca="1">IFERROR(__xludf.DUMMYFUNCTION("""COMPUTED_VALUE"""),"POTTIER")</f>
        <v>POTTIER</v>
      </c>
      <c r="C1809" s="5" t="str">
        <f ca="1">IFERROR(__xludf.DUMMYFUNCTION("""COMPUTED_VALUE"""),"P-270 Amster")</f>
        <v>P-270 Amster</v>
      </c>
      <c r="D1809" s="5" t="str">
        <f ca="1">IFERROR(__xludf.DUMMYFUNCTION("""COMPUTED_VALUE"""),"LandPlane")</f>
        <v>LandPlane</v>
      </c>
      <c r="E1809" s="5" t="str">
        <f ca="1">IFERROR(__xludf.DUMMYFUNCTION("""COMPUTED_VALUE"""),"Piston")</f>
        <v>Piston</v>
      </c>
      <c r="F1809" s="5">
        <f ca="1">IFERROR(__xludf.DUMMYFUNCTION("""COMPUTED_VALUE"""),1)</f>
        <v>1</v>
      </c>
    </row>
    <row r="1810" spans="1:6" ht="15" customHeight="1" x14ac:dyDescent="0.2">
      <c r="A1810" s="5" t="str">
        <f ca="1">IFERROR(__xludf.DUMMYFUNCTION("""COMPUTED_VALUE"""),"P28A")</f>
        <v>P28A</v>
      </c>
      <c r="B1810" s="5" t="str">
        <f ca="1">IFERROR(__xludf.DUMMYFUNCTION("""COMPUTED_VALUE"""),"PIPER")</f>
        <v>PIPER</v>
      </c>
      <c r="C1810" s="5" t="str">
        <f ca="1">IFERROR(__xludf.DUMMYFUNCTION("""COMPUTED_VALUE"""),"Cherokee (PA-28-140/150/160/180)")</f>
        <v>Cherokee (PA-28-140/150/160/180)</v>
      </c>
      <c r="D1810" s="5" t="str">
        <f ca="1">IFERROR(__xludf.DUMMYFUNCTION("""COMPUTED_VALUE"""),"LandPlane")</f>
        <v>LandPlane</v>
      </c>
      <c r="E1810" s="5" t="str">
        <f ca="1">IFERROR(__xludf.DUMMYFUNCTION("""COMPUTED_VALUE"""),"Piston")</f>
        <v>Piston</v>
      </c>
      <c r="F1810" s="5">
        <f ca="1">IFERROR(__xludf.DUMMYFUNCTION("""COMPUTED_VALUE"""),1)</f>
        <v>1</v>
      </c>
    </row>
    <row r="1811" spans="1:6" ht="15" customHeight="1" x14ac:dyDescent="0.2">
      <c r="A1811" s="5" t="str">
        <f ca="1">IFERROR(__xludf.DUMMYFUNCTION("""COMPUTED_VALUE"""),"P28B")</f>
        <v>P28B</v>
      </c>
      <c r="B1811" s="5" t="str">
        <f ca="1">IFERROR(__xludf.DUMMYFUNCTION("""COMPUTED_VALUE"""),"PIPER")</f>
        <v>PIPER</v>
      </c>
      <c r="C1811" s="5" t="str">
        <f ca="1">IFERROR(__xludf.DUMMYFUNCTION("""COMPUTED_VALUE"""),"Cherokee (PA-28-235)")</f>
        <v>Cherokee (PA-28-235)</v>
      </c>
      <c r="D1811" s="5" t="str">
        <f ca="1">IFERROR(__xludf.DUMMYFUNCTION("""COMPUTED_VALUE"""),"LandPlane")</f>
        <v>LandPlane</v>
      </c>
      <c r="E1811" s="5" t="str">
        <f ca="1">IFERROR(__xludf.DUMMYFUNCTION("""COMPUTED_VALUE"""),"Piston")</f>
        <v>Piston</v>
      </c>
      <c r="F1811" s="5">
        <f ca="1">IFERROR(__xludf.DUMMYFUNCTION("""COMPUTED_VALUE"""),1)</f>
        <v>1</v>
      </c>
    </row>
    <row r="1812" spans="1:6" ht="15" customHeight="1" x14ac:dyDescent="0.2">
      <c r="A1812" s="5" t="str">
        <f ca="1">IFERROR(__xludf.DUMMYFUNCTION("""COMPUTED_VALUE"""),"P28R")</f>
        <v>P28R</v>
      </c>
      <c r="B1812" s="5" t="str">
        <f ca="1">IFERROR(__xludf.DUMMYFUNCTION("""COMPUTED_VALUE"""),"PIPER")</f>
        <v>PIPER</v>
      </c>
      <c r="C1812" s="5" t="str">
        <f ca="1">IFERROR(__xludf.DUMMYFUNCTION("""COMPUTED_VALUE"""),"PA-28R-180 Cherokee Arrow")</f>
        <v>PA-28R-180 Cherokee Arrow</v>
      </c>
      <c r="D1812" s="5" t="str">
        <f ca="1">IFERROR(__xludf.DUMMYFUNCTION("""COMPUTED_VALUE"""),"LandPlane")</f>
        <v>LandPlane</v>
      </c>
      <c r="E1812" s="5" t="str">
        <f ca="1">IFERROR(__xludf.DUMMYFUNCTION("""COMPUTED_VALUE"""),"Piston")</f>
        <v>Piston</v>
      </c>
      <c r="F1812" s="5">
        <f ca="1">IFERROR(__xludf.DUMMYFUNCTION("""COMPUTED_VALUE"""),1)</f>
        <v>1</v>
      </c>
    </row>
    <row r="1813" spans="1:6" ht="15" customHeight="1" x14ac:dyDescent="0.2">
      <c r="A1813" s="5" t="str">
        <f ca="1">IFERROR(__xludf.DUMMYFUNCTION("""COMPUTED_VALUE"""),"P28S")</f>
        <v>P28S</v>
      </c>
      <c r="B1813" s="5" t="str">
        <f ca="1">IFERROR(__xludf.DUMMYFUNCTION("""COMPUTED_VALUE"""),"PIPER")</f>
        <v>PIPER</v>
      </c>
      <c r="C1813" s="5" t="str">
        <f ca="1">IFERROR(__xludf.DUMMYFUNCTION("""COMPUTED_VALUE"""),"PA-28R-201T Turbo Arrow")</f>
        <v>PA-28R-201T Turbo Arrow</v>
      </c>
      <c r="D1813" s="5" t="str">
        <f ca="1">IFERROR(__xludf.DUMMYFUNCTION("""COMPUTED_VALUE"""),"LandPlane")</f>
        <v>LandPlane</v>
      </c>
      <c r="E1813" s="5" t="str">
        <f ca="1">IFERROR(__xludf.DUMMYFUNCTION("""COMPUTED_VALUE"""),"Piston")</f>
        <v>Piston</v>
      </c>
      <c r="F1813" s="5">
        <f ca="1">IFERROR(__xludf.DUMMYFUNCTION("""COMPUTED_VALUE"""),1)</f>
        <v>1</v>
      </c>
    </row>
    <row r="1814" spans="1:6" ht="15" customHeight="1" x14ac:dyDescent="0.2">
      <c r="A1814" s="5" t="str">
        <f ca="1">IFERROR(__xludf.DUMMYFUNCTION("""COMPUTED_VALUE"""),"P28T")</f>
        <v>P28T</v>
      </c>
      <c r="B1814" s="5" t="str">
        <f ca="1">IFERROR(__xludf.DUMMYFUNCTION("""COMPUTED_VALUE"""),"PIPER")</f>
        <v>PIPER</v>
      </c>
      <c r="C1814" s="5" t="str">
        <f ca="1">IFERROR(__xludf.DUMMYFUNCTION("""COMPUTED_VALUE"""),"PA-28RT-201 Arrow 4")</f>
        <v>PA-28RT-201 Arrow 4</v>
      </c>
      <c r="D1814" s="5" t="str">
        <f ca="1">IFERROR(__xludf.DUMMYFUNCTION("""COMPUTED_VALUE"""),"LandPlane")</f>
        <v>LandPlane</v>
      </c>
      <c r="E1814" s="5" t="str">
        <f ca="1">IFERROR(__xludf.DUMMYFUNCTION("""COMPUTED_VALUE"""),"Piston")</f>
        <v>Piston</v>
      </c>
      <c r="F1814" s="5">
        <f ca="1">IFERROR(__xludf.DUMMYFUNCTION("""COMPUTED_VALUE"""),1)</f>
        <v>1</v>
      </c>
    </row>
    <row r="1815" spans="1:6" ht="15" customHeight="1" x14ac:dyDescent="0.2">
      <c r="A1815" s="5" t="str">
        <f ca="1">IFERROR(__xludf.DUMMYFUNCTION("""COMPUTED_VALUE"""),"P28U")</f>
        <v>P28U</v>
      </c>
      <c r="B1815" s="5" t="str">
        <f ca="1">IFERROR(__xludf.DUMMYFUNCTION("""COMPUTED_VALUE"""),"PIPER")</f>
        <v>PIPER</v>
      </c>
      <c r="C1815" s="5" t="str">
        <f ca="1">IFERROR(__xludf.DUMMYFUNCTION("""COMPUTED_VALUE"""),"PA-28RT-201T Turbo Arrow 4")</f>
        <v>PA-28RT-201T Turbo Arrow 4</v>
      </c>
      <c r="D1815" s="5" t="str">
        <f ca="1">IFERROR(__xludf.DUMMYFUNCTION("""COMPUTED_VALUE"""),"LandPlane")</f>
        <v>LandPlane</v>
      </c>
      <c r="E1815" s="5" t="str">
        <f ca="1">IFERROR(__xludf.DUMMYFUNCTION("""COMPUTED_VALUE"""),"Piston")</f>
        <v>Piston</v>
      </c>
      <c r="F1815" s="5">
        <f ca="1">IFERROR(__xludf.DUMMYFUNCTION("""COMPUTED_VALUE"""),1)</f>
        <v>1</v>
      </c>
    </row>
    <row r="1816" spans="1:6" ht="15" customHeight="1" x14ac:dyDescent="0.2">
      <c r="A1816" s="5" t="str">
        <f ca="1">IFERROR(__xludf.DUMMYFUNCTION("""COMPUTED_VALUE"""),"P3")</f>
        <v>P3</v>
      </c>
      <c r="B1816" s="5" t="str">
        <f ca="1">IFERROR(__xludf.DUMMYFUNCTION("""COMPUTED_VALUE"""),"LOCKHEED")</f>
        <v>LOCKHEED</v>
      </c>
      <c r="C1816" s="5" t="str">
        <f ca="1">IFERROR(__xludf.DUMMYFUNCTION("""COMPUTED_VALUE"""),"P-3 Orion")</f>
        <v>P-3 Orion</v>
      </c>
      <c r="D1816" s="5" t="str">
        <f ca="1">IFERROR(__xludf.DUMMYFUNCTION("""COMPUTED_VALUE"""),"LandPlane")</f>
        <v>LandPlane</v>
      </c>
      <c r="E1816" s="5" t="str">
        <f ca="1">IFERROR(__xludf.DUMMYFUNCTION("""COMPUTED_VALUE"""),"Turboprop/Turboshaft")</f>
        <v>Turboprop/Turboshaft</v>
      </c>
      <c r="F1816" s="5">
        <f ca="1">IFERROR(__xludf.DUMMYFUNCTION("""COMPUTED_VALUE"""),4)</f>
        <v>4</v>
      </c>
    </row>
    <row r="1817" spans="1:6" ht="15" customHeight="1" x14ac:dyDescent="0.2">
      <c r="A1817" s="5" t="str">
        <f ca="1">IFERROR(__xludf.DUMMYFUNCTION("""COMPUTED_VALUE"""),"P32R")</f>
        <v>P32R</v>
      </c>
      <c r="B1817" s="5" t="str">
        <f ca="1">IFERROR(__xludf.DUMMYFUNCTION("""COMPUTED_VALUE"""),"PIPER")</f>
        <v>PIPER</v>
      </c>
      <c r="C1817" s="5" t="str">
        <f ca="1">IFERROR(__xludf.DUMMYFUNCTION("""COMPUTED_VALUE"""),"PA-32R-300 Lance")</f>
        <v>PA-32R-300 Lance</v>
      </c>
      <c r="D1817" s="5" t="str">
        <f ca="1">IFERROR(__xludf.DUMMYFUNCTION("""COMPUTED_VALUE"""),"LandPlane")</f>
        <v>LandPlane</v>
      </c>
      <c r="E1817" s="5" t="str">
        <f ca="1">IFERROR(__xludf.DUMMYFUNCTION("""COMPUTED_VALUE"""),"Piston")</f>
        <v>Piston</v>
      </c>
      <c r="F1817" s="5">
        <f ca="1">IFERROR(__xludf.DUMMYFUNCTION("""COMPUTED_VALUE"""),1)</f>
        <v>1</v>
      </c>
    </row>
    <row r="1818" spans="1:6" ht="15" customHeight="1" x14ac:dyDescent="0.2">
      <c r="A1818" s="5" t="str">
        <f ca="1">IFERROR(__xludf.DUMMYFUNCTION("""COMPUTED_VALUE"""),"P32T")</f>
        <v>P32T</v>
      </c>
      <c r="B1818" s="5" t="str">
        <f ca="1">IFERROR(__xludf.DUMMYFUNCTION("""COMPUTED_VALUE"""),"PIPER")</f>
        <v>PIPER</v>
      </c>
      <c r="C1818" s="5" t="str">
        <f ca="1">IFERROR(__xludf.DUMMYFUNCTION("""COMPUTED_VALUE"""),"PA-32RT-300 Lance 2")</f>
        <v>PA-32RT-300 Lance 2</v>
      </c>
      <c r="D1818" s="5" t="str">
        <f ca="1">IFERROR(__xludf.DUMMYFUNCTION("""COMPUTED_VALUE"""),"LandPlane")</f>
        <v>LandPlane</v>
      </c>
      <c r="E1818" s="5" t="str">
        <f ca="1">IFERROR(__xludf.DUMMYFUNCTION("""COMPUTED_VALUE"""),"Piston")</f>
        <v>Piston</v>
      </c>
      <c r="F1818" s="5">
        <f ca="1">IFERROR(__xludf.DUMMYFUNCTION("""COMPUTED_VALUE"""),1)</f>
        <v>1</v>
      </c>
    </row>
    <row r="1819" spans="1:6" ht="15" customHeight="1" x14ac:dyDescent="0.2">
      <c r="A1819" s="5" t="str">
        <f ca="1">IFERROR(__xludf.DUMMYFUNCTION("""COMPUTED_VALUE"""),"P337")</f>
        <v>P337</v>
      </c>
      <c r="B1819" s="5" t="str">
        <f ca="1">IFERROR(__xludf.DUMMYFUNCTION("""COMPUTED_VALUE"""),"CESSNA")</f>
        <v>CESSNA</v>
      </c>
      <c r="C1819" s="5" t="str">
        <f ca="1">IFERROR(__xludf.DUMMYFUNCTION("""COMPUTED_VALUE"""),"P337 Pressurized Skymaster")</f>
        <v>P337 Pressurized Skymaster</v>
      </c>
      <c r="D1819" s="5" t="str">
        <f ca="1">IFERROR(__xludf.DUMMYFUNCTION("""COMPUTED_VALUE"""),"LandPlane")</f>
        <v>LandPlane</v>
      </c>
      <c r="E1819" s="5" t="str">
        <f ca="1">IFERROR(__xludf.DUMMYFUNCTION("""COMPUTED_VALUE"""),"Piston")</f>
        <v>Piston</v>
      </c>
      <c r="F1819" s="5">
        <f ca="1">IFERROR(__xludf.DUMMYFUNCTION("""COMPUTED_VALUE"""),2)</f>
        <v>2</v>
      </c>
    </row>
    <row r="1820" spans="1:6" ht="15" customHeight="1" x14ac:dyDescent="0.2">
      <c r="A1820" s="5" t="str">
        <f ca="1">IFERROR(__xludf.DUMMYFUNCTION("""COMPUTED_VALUE"""),"P38")</f>
        <v>P38</v>
      </c>
      <c r="B1820" s="5" t="str">
        <f ca="1">IFERROR(__xludf.DUMMYFUNCTION("""COMPUTED_VALUE"""),"LOCKHEED")</f>
        <v>LOCKHEED</v>
      </c>
      <c r="C1820" s="5" t="str">
        <f ca="1">IFERROR(__xludf.DUMMYFUNCTION("""COMPUTED_VALUE"""),"P-38 Lightning")</f>
        <v>P-38 Lightning</v>
      </c>
      <c r="D1820" s="5" t="str">
        <f ca="1">IFERROR(__xludf.DUMMYFUNCTION("""COMPUTED_VALUE"""),"LandPlane")</f>
        <v>LandPlane</v>
      </c>
      <c r="E1820" s="5" t="str">
        <f ca="1">IFERROR(__xludf.DUMMYFUNCTION("""COMPUTED_VALUE"""),"Piston")</f>
        <v>Piston</v>
      </c>
      <c r="F1820" s="5">
        <f ca="1">IFERROR(__xludf.DUMMYFUNCTION("""COMPUTED_VALUE"""),2)</f>
        <v>2</v>
      </c>
    </row>
    <row r="1821" spans="1:6" ht="15" customHeight="1" x14ac:dyDescent="0.2">
      <c r="A1821" s="5" t="str">
        <f ca="1">IFERROR(__xludf.DUMMYFUNCTION("""COMPUTED_VALUE"""),"P39")</f>
        <v>P39</v>
      </c>
      <c r="B1821" s="5" t="str">
        <f ca="1">IFERROR(__xludf.DUMMYFUNCTION("""COMPUTED_VALUE"""),"BELL")</f>
        <v>BELL</v>
      </c>
      <c r="C1821" s="5" t="str">
        <f ca="1">IFERROR(__xludf.DUMMYFUNCTION("""COMPUTED_VALUE"""),"P-39 Airacobra")</f>
        <v>P-39 Airacobra</v>
      </c>
      <c r="D1821" s="5" t="str">
        <f ca="1">IFERROR(__xludf.DUMMYFUNCTION("""COMPUTED_VALUE"""),"LandPlane")</f>
        <v>LandPlane</v>
      </c>
      <c r="E1821" s="5" t="str">
        <f ca="1">IFERROR(__xludf.DUMMYFUNCTION("""COMPUTED_VALUE"""),"Piston")</f>
        <v>Piston</v>
      </c>
      <c r="F1821" s="5">
        <f ca="1">IFERROR(__xludf.DUMMYFUNCTION("""COMPUTED_VALUE"""),1)</f>
        <v>1</v>
      </c>
    </row>
    <row r="1822" spans="1:6" ht="15" customHeight="1" x14ac:dyDescent="0.2">
      <c r="A1822" s="5" t="str">
        <f ca="1">IFERROR(__xludf.DUMMYFUNCTION("""COMPUTED_VALUE"""),"P40")</f>
        <v>P40</v>
      </c>
      <c r="B1822" s="5" t="str">
        <f ca="1">IFERROR(__xludf.DUMMYFUNCTION("""COMPUTED_VALUE"""),"CURTISS")</f>
        <v>CURTISS</v>
      </c>
      <c r="C1822" s="5" t="str">
        <f ca="1">IFERROR(__xludf.DUMMYFUNCTION("""COMPUTED_VALUE"""),"P-40 Kittyhawk")</f>
        <v>P-40 Kittyhawk</v>
      </c>
      <c r="D1822" s="5" t="str">
        <f ca="1">IFERROR(__xludf.DUMMYFUNCTION("""COMPUTED_VALUE"""),"LandPlane")</f>
        <v>LandPlane</v>
      </c>
      <c r="E1822" s="5" t="str">
        <f ca="1">IFERROR(__xludf.DUMMYFUNCTION("""COMPUTED_VALUE"""),"Piston")</f>
        <v>Piston</v>
      </c>
      <c r="F1822" s="5">
        <f ca="1">IFERROR(__xludf.DUMMYFUNCTION("""COMPUTED_VALUE"""),1)</f>
        <v>1</v>
      </c>
    </row>
    <row r="1823" spans="1:6" ht="15" customHeight="1" x14ac:dyDescent="0.2">
      <c r="A1823" s="5" t="str">
        <f ca="1">IFERROR(__xludf.DUMMYFUNCTION("""COMPUTED_VALUE"""),"P46T")</f>
        <v>P46T</v>
      </c>
      <c r="B1823" s="5" t="str">
        <f ca="1">IFERROR(__xludf.DUMMYFUNCTION("""COMPUTED_VALUE"""),"PIPER")</f>
        <v>PIPER</v>
      </c>
      <c r="C1823" s="5" t="str">
        <f ca="1">IFERROR(__xludf.DUMMYFUNCTION("""COMPUTED_VALUE"""),"PA-46-500TP Malibu Meridian")</f>
        <v>PA-46-500TP Malibu Meridian</v>
      </c>
      <c r="D1823" s="5" t="str">
        <f ca="1">IFERROR(__xludf.DUMMYFUNCTION("""COMPUTED_VALUE"""),"LandPlane")</f>
        <v>LandPlane</v>
      </c>
      <c r="E1823" s="5" t="str">
        <f ca="1">IFERROR(__xludf.DUMMYFUNCTION("""COMPUTED_VALUE"""),"Turboprop/Turboshaft")</f>
        <v>Turboprop/Turboshaft</v>
      </c>
      <c r="F1823" s="5">
        <f ca="1">IFERROR(__xludf.DUMMYFUNCTION("""COMPUTED_VALUE"""),1)</f>
        <v>1</v>
      </c>
    </row>
    <row r="1824" spans="1:6" ht="15" customHeight="1" x14ac:dyDescent="0.2">
      <c r="A1824" s="5" t="str">
        <f ca="1">IFERROR(__xludf.DUMMYFUNCTION("""COMPUTED_VALUE"""),"P47")</f>
        <v>P47</v>
      </c>
      <c r="B1824" s="5" t="str">
        <f ca="1">IFERROR(__xludf.DUMMYFUNCTION("""COMPUTED_VALUE"""),"REPUBLIC")</f>
        <v>REPUBLIC</v>
      </c>
      <c r="C1824" s="5" t="str">
        <f ca="1">IFERROR(__xludf.DUMMYFUNCTION("""COMPUTED_VALUE"""),"P-47 Thunderbolt")</f>
        <v>P-47 Thunderbolt</v>
      </c>
      <c r="D1824" s="5" t="str">
        <f ca="1">IFERROR(__xludf.DUMMYFUNCTION("""COMPUTED_VALUE"""),"LandPlane")</f>
        <v>LandPlane</v>
      </c>
      <c r="E1824" s="5" t="str">
        <f ca="1">IFERROR(__xludf.DUMMYFUNCTION("""COMPUTED_VALUE"""),"Piston")</f>
        <v>Piston</v>
      </c>
      <c r="F1824" s="5">
        <f ca="1">IFERROR(__xludf.DUMMYFUNCTION("""COMPUTED_VALUE"""),1)</f>
        <v>1</v>
      </c>
    </row>
    <row r="1825" spans="1:6" ht="15" customHeight="1" x14ac:dyDescent="0.2">
      <c r="A1825" s="5" t="str">
        <f ca="1">IFERROR(__xludf.DUMMYFUNCTION("""COMPUTED_VALUE"""),"P4Y")</f>
        <v>P4Y</v>
      </c>
      <c r="B1825" s="5" t="str">
        <f ca="1">IFERROR(__xludf.DUMMYFUNCTION("""COMPUTED_VALUE"""),"CONVAIR")</f>
        <v>CONVAIR</v>
      </c>
      <c r="C1825" s="5" t="str">
        <f ca="1">IFERROR(__xludf.DUMMYFUNCTION("""COMPUTED_VALUE"""),"P4Y Privateer")</f>
        <v>P4Y Privateer</v>
      </c>
      <c r="D1825" s="5" t="str">
        <f ca="1">IFERROR(__xludf.DUMMYFUNCTION("""COMPUTED_VALUE"""),"LandPlane")</f>
        <v>LandPlane</v>
      </c>
      <c r="E1825" s="5" t="str">
        <f ca="1">IFERROR(__xludf.DUMMYFUNCTION("""COMPUTED_VALUE"""),"Piston")</f>
        <v>Piston</v>
      </c>
      <c r="F1825" s="5">
        <f ca="1">IFERROR(__xludf.DUMMYFUNCTION("""COMPUTED_VALUE"""),4)</f>
        <v>4</v>
      </c>
    </row>
    <row r="1826" spans="1:6" ht="15" customHeight="1" x14ac:dyDescent="0.2">
      <c r="A1826" s="5" t="str">
        <f ca="1">IFERROR(__xludf.DUMMYFUNCTION("""COMPUTED_VALUE"""),"P50")</f>
        <v>P50</v>
      </c>
      <c r="B1826" s="5" t="str">
        <f ca="1">IFERROR(__xludf.DUMMYFUNCTION("""COMPUTED_VALUE"""),"POTTIER")</f>
        <v>POTTIER</v>
      </c>
      <c r="C1826" s="5" t="str">
        <f ca="1">IFERROR(__xludf.DUMMYFUNCTION("""COMPUTED_VALUE"""),"P-50 Bouvreuil")</f>
        <v>P-50 Bouvreuil</v>
      </c>
      <c r="D1826" s="5" t="str">
        <f ca="1">IFERROR(__xludf.DUMMYFUNCTION("""COMPUTED_VALUE"""),"LandPlane")</f>
        <v>LandPlane</v>
      </c>
      <c r="E1826" s="5" t="str">
        <f ca="1">IFERROR(__xludf.DUMMYFUNCTION("""COMPUTED_VALUE"""),"Piston")</f>
        <v>Piston</v>
      </c>
      <c r="F1826" s="5">
        <f ca="1">IFERROR(__xludf.DUMMYFUNCTION("""COMPUTED_VALUE"""),1)</f>
        <v>1</v>
      </c>
    </row>
    <row r="1827" spans="1:6" ht="15" customHeight="1" x14ac:dyDescent="0.2">
      <c r="A1827" s="5" t="str">
        <f ca="1">IFERROR(__xludf.DUMMYFUNCTION("""COMPUTED_VALUE"""),"P51")</f>
        <v>P51</v>
      </c>
      <c r="B1827" s="5" t="str">
        <f ca="1">IFERROR(__xludf.DUMMYFUNCTION("""COMPUTED_VALUE"""),"NORTH AMERICAN")</f>
        <v>NORTH AMERICAN</v>
      </c>
      <c r="C1827" s="5" t="str">
        <f ca="1">IFERROR(__xludf.DUMMYFUNCTION("""COMPUTED_VALUE"""),"P-51 Mustang")</f>
        <v>P-51 Mustang</v>
      </c>
      <c r="D1827" s="5" t="str">
        <f ca="1">IFERROR(__xludf.DUMMYFUNCTION("""COMPUTED_VALUE"""),"LandPlane")</f>
        <v>LandPlane</v>
      </c>
      <c r="E1827" s="5" t="str">
        <f ca="1">IFERROR(__xludf.DUMMYFUNCTION("""COMPUTED_VALUE"""),"Piston")</f>
        <v>Piston</v>
      </c>
      <c r="F1827" s="5">
        <f ca="1">IFERROR(__xludf.DUMMYFUNCTION("""COMPUTED_VALUE"""),1)</f>
        <v>1</v>
      </c>
    </row>
    <row r="1828" spans="1:6" ht="15" customHeight="1" x14ac:dyDescent="0.2">
      <c r="A1828" s="5" t="str">
        <f ca="1">IFERROR(__xludf.DUMMYFUNCTION("""COMPUTED_VALUE"""),"P57")</f>
        <v>P57</v>
      </c>
      <c r="B1828" s="5" t="str">
        <f ca="1">IFERROR(__xludf.DUMMYFUNCTION("""COMPUTED_VALUE"""),"PARTENAVIA")</f>
        <v>PARTENAVIA</v>
      </c>
      <c r="C1828" s="5" t="str">
        <f ca="1">IFERROR(__xludf.DUMMYFUNCTION("""COMPUTED_VALUE"""),"P-57 Fachiro 2")</f>
        <v>P-57 Fachiro 2</v>
      </c>
      <c r="D1828" s="5" t="str">
        <f ca="1">IFERROR(__xludf.DUMMYFUNCTION("""COMPUTED_VALUE"""),"LandPlane")</f>
        <v>LandPlane</v>
      </c>
      <c r="E1828" s="5" t="str">
        <f ca="1">IFERROR(__xludf.DUMMYFUNCTION("""COMPUTED_VALUE"""),"Piston")</f>
        <v>Piston</v>
      </c>
      <c r="F1828" s="5">
        <f ca="1">IFERROR(__xludf.DUMMYFUNCTION("""COMPUTED_VALUE"""),1)</f>
        <v>1</v>
      </c>
    </row>
    <row r="1829" spans="1:6" ht="15" customHeight="1" x14ac:dyDescent="0.2">
      <c r="A1829" s="5" t="str">
        <f ca="1">IFERROR(__xludf.DUMMYFUNCTION("""COMPUTED_VALUE"""),"P60")</f>
        <v>P60</v>
      </c>
      <c r="B1829" s="5" t="str">
        <f ca="1">IFERROR(__xludf.DUMMYFUNCTION("""COMPUTED_VALUE"""),"POTTIER")</f>
        <v>POTTIER</v>
      </c>
      <c r="C1829" s="5" t="str">
        <f ca="1">IFERROR(__xludf.DUMMYFUNCTION("""COMPUTED_VALUE"""),"P-60 Minacro")</f>
        <v>P-60 Minacro</v>
      </c>
      <c r="D1829" s="5" t="str">
        <f ca="1">IFERROR(__xludf.DUMMYFUNCTION("""COMPUTED_VALUE"""),"LandPlane")</f>
        <v>LandPlane</v>
      </c>
      <c r="E1829" s="5" t="str">
        <f ca="1">IFERROR(__xludf.DUMMYFUNCTION("""COMPUTED_VALUE"""),"Piston")</f>
        <v>Piston</v>
      </c>
      <c r="F1829" s="5">
        <f ca="1">IFERROR(__xludf.DUMMYFUNCTION("""COMPUTED_VALUE"""),1)</f>
        <v>1</v>
      </c>
    </row>
    <row r="1830" spans="1:6" ht="15" customHeight="1" x14ac:dyDescent="0.2">
      <c r="A1830" s="5" t="str">
        <f ca="1">IFERROR(__xludf.DUMMYFUNCTION("""COMPUTED_VALUE"""),"P61")</f>
        <v>P61</v>
      </c>
      <c r="B1830" s="5" t="str">
        <f ca="1">IFERROR(__xludf.DUMMYFUNCTION("""COMPUTED_VALUE"""),"NORTHROP")</f>
        <v>NORTHROP</v>
      </c>
      <c r="C1830" s="5" t="str">
        <f ca="1">IFERROR(__xludf.DUMMYFUNCTION("""COMPUTED_VALUE"""),"P-61 Black Widow")</f>
        <v>P-61 Black Widow</v>
      </c>
      <c r="D1830" s="5" t="str">
        <f ca="1">IFERROR(__xludf.DUMMYFUNCTION("""COMPUTED_VALUE"""),"LandPlane")</f>
        <v>LandPlane</v>
      </c>
      <c r="E1830" s="5" t="str">
        <f ca="1">IFERROR(__xludf.DUMMYFUNCTION("""COMPUTED_VALUE"""),"Piston")</f>
        <v>Piston</v>
      </c>
      <c r="F1830" s="5">
        <f ca="1">IFERROR(__xludf.DUMMYFUNCTION("""COMPUTED_VALUE"""),2)</f>
        <v>2</v>
      </c>
    </row>
    <row r="1831" spans="1:6" ht="15" customHeight="1" x14ac:dyDescent="0.2">
      <c r="A1831" s="5" t="str">
        <f ca="1">IFERROR(__xludf.DUMMYFUNCTION("""COMPUTED_VALUE"""),"P63")</f>
        <v>P63</v>
      </c>
      <c r="B1831" s="5" t="str">
        <f ca="1">IFERROR(__xludf.DUMMYFUNCTION("""COMPUTED_VALUE"""),"BELL")</f>
        <v>BELL</v>
      </c>
      <c r="C1831" s="5" t="str">
        <f ca="1">IFERROR(__xludf.DUMMYFUNCTION("""COMPUTED_VALUE"""),"P-63 Kingcobra")</f>
        <v>P-63 Kingcobra</v>
      </c>
      <c r="D1831" s="5" t="str">
        <f ca="1">IFERROR(__xludf.DUMMYFUNCTION("""COMPUTED_VALUE"""),"LandPlane")</f>
        <v>LandPlane</v>
      </c>
      <c r="E1831" s="5" t="str">
        <f ca="1">IFERROR(__xludf.DUMMYFUNCTION("""COMPUTED_VALUE"""),"Piston")</f>
        <v>Piston</v>
      </c>
      <c r="F1831" s="5">
        <f ca="1">IFERROR(__xludf.DUMMYFUNCTION("""COMPUTED_VALUE"""),1)</f>
        <v>1</v>
      </c>
    </row>
    <row r="1832" spans="1:6" ht="15" customHeight="1" x14ac:dyDescent="0.2">
      <c r="A1832" s="5" t="str">
        <f ca="1">IFERROR(__xludf.DUMMYFUNCTION("""COMPUTED_VALUE"""),"P66P")</f>
        <v>P66P</v>
      </c>
      <c r="B1832" s="5" t="str">
        <f ca="1">IFERROR(__xludf.DUMMYFUNCTION("""COMPUTED_VALUE"""),"PIAGGIO")</f>
        <v>PIAGGIO</v>
      </c>
      <c r="C1832" s="5" t="str">
        <f ca="1">IFERROR(__xludf.DUMMYFUNCTION("""COMPUTED_VALUE"""),"P-166A")</f>
        <v>P-166A</v>
      </c>
      <c r="D1832" s="5" t="str">
        <f ca="1">IFERROR(__xludf.DUMMYFUNCTION("""COMPUTED_VALUE"""),"LandPlane")</f>
        <v>LandPlane</v>
      </c>
      <c r="E1832" s="5" t="str">
        <f ca="1">IFERROR(__xludf.DUMMYFUNCTION("""COMPUTED_VALUE"""),"Piston")</f>
        <v>Piston</v>
      </c>
      <c r="F1832" s="5">
        <f ca="1">IFERROR(__xludf.DUMMYFUNCTION("""COMPUTED_VALUE"""),2)</f>
        <v>2</v>
      </c>
    </row>
    <row r="1833" spans="1:6" ht="15" customHeight="1" x14ac:dyDescent="0.2">
      <c r="A1833" s="5" t="str">
        <f ca="1">IFERROR(__xludf.DUMMYFUNCTION("""COMPUTED_VALUE"""),"P66T")</f>
        <v>P66T</v>
      </c>
      <c r="B1833" s="5" t="str">
        <f ca="1">IFERROR(__xludf.DUMMYFUNCTION("""COMPUTED_VALUE"""),"PIAGGIO")</f>
        <v>PIAGGIO</v>
      </c>
      <c r="C1833" s="5" t="str">
        <f ca="1">IFERROR(__xludf.DUMMYFUNCTION("""COMPUTED_VALUE"""),"P-166DL3")</f>
        <v>P-166DL3</v>
      </c>
      <c r="D1833" s="5" t="str">
        <f ca="1">IFERROR(__xludf.DUMMYFUNCTION("""COMPUTED_VALUE"""),"LandPlane")</f>
        <v>LandPlane</v>
      </c>
      <c r="E1833" s="5" t="str">
        <f ca="1">IFERROR(__xludf.DUMMYFUNCTION("""COMPUTED_VALUE"""),"Turboprop/Turboshaft")</f>
        <v>Turboprop/Turboshaft</v>
      </c>
      <c r="F1833" s="5">
        <f ca="1">IFERROR(__xludf.DUMMYFUNCTION("""COMPUTED_VALUE"""),2)</f>
        <v>2</v>
      </c>
    </row>
    <row r="1834" spans="1:6" ht="15" customHeight="1" x14ac:dyDescent="0.2">
      <c r="A1834" s="5" t="str">
        <f ca="1">IFERROR(__xludf.DUMMYFUNCTION("""COMPUTED_VALUE"""),"P68")</f>
        <v>P68</v>
      </c>
      <c r="B1834" s="5" t="str">
        <f ca="1">IFERROR(__xludf.DUMMYFUNCTION("""COMPUTED_VALUE"""),"PARTENAVIA")</f>
        <v>PARTENAVIA</v>
      </c>
      <c r="C1834" s="5" t="str">
        <f ca="1">IFERROR(__xludf.DUMMYFUNCTION("""COMPUTED_VALUE"""),"P-68 Victor")</f>
        <v>P-68 Victor</v>
      </c>
      <c r="D1834" s="5" t="str">
        <f ca="1">IFERROR(__xludf.DUMMYFUNCTION("""COMPUTED_VALUE"""),"LandPlane")</f>
        <v>LandPlane</v>
      </c>
      <c r="E1834" s="5" t="str">
        <f ca="1">IFERROR(__xludf.DUMMYFUNCTION("""COMPUTED_VALUE"""),"Piston")</f>
        <v>Piston</v>
      </c>
      <c r="F1834" s="5">
        <f ca="1">IFERROR(__xludf.DUMMYFUNCTION("""COMPUTED_VALUE"""),2)</f>
        <v>2</v>
      </c>
    </row>
    <row r="1835" spans="1:6" ht="15" customHeight="1" x14ac:dyDescent="0.2">
      <c r="A1835" s="5" t="str">
        <f ca="1">IFERROR(__xludf.DUMMYFUNCTION("""COMPUTED_VALUE"""),"P68T")</f>
        <v>P68T</v>
      </c>
      <c r="B1835" s="5" t="str">
        <f ca="1">IFERROR(__xludf.DUMMYFUNCTION("""COMPUTED_VALUE"""),"PARTENAVIA")</f>
        <v>PARTENAVIA</v>
      </c>
      <c r="C1835" s="5" t="str">
        <f ca="1">IFERROR(__xludf.DUMMYFUNCTION("""COMPUTED_VALUE"""),"AP-68TP-300 Spartacus")</f>
        <v>AP-68TP-300 Spartacus</v>
      </c>
      <c r="D1835" s="5" t="str">
        <f ca="1">IFERROR(__xludf.DUMMYFUNCTION("""COMPUTED_VALUE"""),"LandPlane")</f>
        <v>LandPlane</v>
      </c>
      <c r="E1835" s="5" t="str">
        <f ca="1">IFERROR(__xludf.DUMMYFUNCTION("""COMPUTED_VALUE"""),"Turboprop/Turboshaft")</f>
        <v>Turboprop/Turboshaft</v>
      </c>
      <c r="F1835" s="5">
        <f ca="1">IFERROR(__xludf.DUMMYFUNCTION("""COMPUTED_VALUE"""),2)</f>
        <v>2</v>
      </c>
    </row>
    <row r="1836" spans="1:6" ht="15" customHeight="1" x14ac:dyDescent="0.2">
      <c r="A1836" s="5" t="str">
        <f ca="1">IFERROR(__xludf.DUMMYFUNCTION("""COMPUTED_VALUE"""),"P70")</f>
        <v>P70</v>
      </c>
      <c r="B1836" s="5" t="str">
        <f ca="1">IFERROR(__xludf.DUMMYFUNCTION("""COMPUTED_VALUE"""),"POTTIER")</f>
        <v>POTTIER</v>
      </c>
      <c r="C1836" s="5" t="str">
        <f ca="1">IFERROR(__xludf.DUMMYFUNCTION("""COMPUTED_VALUE"""),"P-70")</f>
        <v>P-70</v>
      </c>
      <c r="D1836" s="5" t="str">
        <f ca="1">IFERROR(__xludf.DUMMYFUNCTION("""COMPUTED_VALUE"""),"LandPlane")</f>
        <v>LandPlane</v>
      </c>
      <c r="E1836" s="5" t="str">
        <f ca="1">IFERROR(__xludf.DUMMYFUNCTION("""COMPUTED_VALUE"""),"Piston")</f>
        <v>Piston</v>
      </c>
      <c r="F1836" s="5">
        <f ca="1">IFERROR(__xludf.DUMMYFUNCTION("""COMPUTED_VALUE"""),1)</f>
        <v>1</v>
      </c>
    </row>
    <row r="1837" spans="1:6" ht="15" customHeight="1" x14ac:dyDescent="0.2">
      <c r="A1837" s="5" t="str">
        <f ca="1">IFERROR(__xludf.DUMMYFUNCTION("""COMPUTED_VALUE"""),"P750")</f>
        <v>P750</v>
      </c>
      <c r="B1837" s="5" t="str">
        <f ca="1">IFERROR(__xludf.DUMMYFUNCTION("""COMPUTED_VALUE"""),"PACIFIC AEROSPACE")</f>
        <v>PACIFIC AEROSPACE</v>
      </c>
      <c r="C1837" s="5" t="str">
        <f ca="1">IFERROR(__xludf.DUMMYFUNCTION("""COMPUTED_VALUE"""),"P-750 XStol")</f>
        <v>P-750 XStol</v>
      </c>
      <c r="D1837" s="5" t="str">
        <f ca="1">IFERROR(__xludf.DUMMYFUNCTION("""COMPUTED_VALUE"""),"LandPlane")</f>
        <v>LandPlane</v>
      </c>
      <c r="E1837" s="5" t="str">
        <f ca="1">IFERROR(__xludf.DUMMYFUNCTION("""COMPUTED_VALUE"""),"Turboprop/Turboshaft")</f>
        <v>Turboprop/Turboshaft</v>
      </c>
      <c r="F1837" s="5">
        <f ca="1">IFERROR(__xludf.DUMMYFUNCTION("""COMPUTED_VALUE"""),1)</f>
        <v>1</v>
      </c>
    </row>
    <row r="1838" spans="1:6" ht="15" customHeight="1" x14ac:dyDescent="0.2">
      <c r="A1838" s="5" t="str">
        <f ca="1">IFERROR(__xludf.DUMMYFUNCTION("""COMPUTED_VALUE"""),"P8")</f>
        <v>P8</v>
      </c>
      <c r="B1838" s="5" t="str">
        <f ca="1">IFERROR(__xludf.DUMMYFUNCTION("""COMPUTED_VALUE"""),"BOEING")</f>
        <v>BOEING</v>
      </c>
      <c r="C1838" s="5" t="str">
        <f ca="1">IFERROR(__xludf.DUMMYFUNCTION("""COMPUTED_VALUE"""),"P-8 Poseidon")</f>
        <v>P-8 Poseidon</v>
      </c>
      <c r="D1838" s="5" t="str">
        <f ca="1">IFERROR(__xludf.DUMMYFUNCTION("""COMPUTED_VALUE"""),"LandPlane")</f>
        <v>LandPlane</v>
      </c>
      <c r="E1838" s="5" t="str">
        <f ca="1">IFERROR(__xludf.DUMMYFUNCTION("""COMPUTED_VALUE"""),"Jet")</f>
        <v>Jet</v>
      </c>
      <c r="F1838" s="5">
        <f ca="1">IFERROR(__xludf.DUMMYFUNCTION("""COMPUTED_VALUE"""),2)</f>
        <v>2</v>
      </c>
    </row>
    <row r="1839" spans="1:6" ht="15" customHeight="1" x14ac:dyDescent="0.2">
      <c r="A1839" s="5" t="str">
        <f ca="1">IFERROR(__xludf.DUMMYFUNCTION("""COMPUTED_VALUE"""),"P80")</f>
        <v>P80</v>
      </c>
      <c r="B1839" s="5" t="str">
        <f ca="1">IFERROR(__xludf.DUMMYFUNCTION("""COMPUTED_VALUE"""),"POTTIER")</f>
        <v>POTTIER</v>
      </c>
      <c r="C1839" s="5" t="str">
        <f ca="1">IFERROR(__xludf.DUMMYFUNCTION("""COMPUTED_VALUE"""),"P-80")</f>
        <v>P-80</v>
      </c>
      <c r="D1839" s="5" t="str">
        <f ca="1">IFERROR(__xludf.DUMMYFUNCTION("""COMPUTED_VALUE"""),"LandPlane")</f>
        <v>LandPlane</v>
      </c>
      <c r="E1839" s="5" t="str">
        <f ca="1">IFERROR(__xludf.DUMMYFUNCTION("""COMPUTED_VALUE"""),"Piston")</f>
        <v>Piston</v>
      </c>
      <c r="F1839" s="5">
        <f ca="1">IFERROR(__xludf.DUMMYFUNCTION("""COMPUTED_VALUE"""),1)</f>
        <v>1</v>
      </c>
    </row>
    <row r="1840" spans="1:6" ht="15" customHeight="1" x14ac:dyDescent="0.2">
      <c r="A1840" s="5" t="str">
        <f ca="1">IFERROR(__xludf.DUMMYFUNCTION("""COMPUTED_VALUE"""),"P82")</f>
        <v>P82</v>
      </c>
      <c r="B1840" s="5" t="str">
        <f ca="1">IFERROR(__xludf.DUMMYFUNCTION("""COMPUTED_VALUE"""),"NORTH AMERICAN")</f>
        <v>NORTH AMERICAN</v>
      </c>
      <c r="C1840" s="5" t="str">
        <f ca="1">IFERROR(__xludf.DUMMYFUNCTION("""COMPUTED_VALUE"""),"P-82 Twin Mustang")</f>
        <v>P-82 Twin Mustang</v>
      </c>
      <c r="D1840" s="5" t="str">
        <f ca="1">IFERROR(__xludf.DUMMYFUNCTION("""COMPUTED_VALUE"""),"LandPlane")</f>
        <v>LandPlane</v>
      </c>
      <c r="E1840" s="5" t="str">
        <f ca="1">IFERROR(__xludf.DUMMYFUNCTION("""COMPUTED_VALUE"""),"Piston")</f>
        <v>Piston</v>
      </c>
      <c r="F1840" s="5">
        <f ca="1">IFERROR(__xludf.DUMMYFUNCTION("""COMPUTED_VALUE"""),2)</f>
        <v>2</v>
      </c>
    </row>
    <row r="1841" spans="1:6" ht="15" customHeight="1" x14ac:dyDescent="0.2">
      <c r="A1841" s="5" t="str">
        <f ca="1">IFERROR(__xludf.DUMMYFUNCTION("""COMPUTED_VALUE"""),"PA11")</f>
        <v>PA11</v>
      </c>
      <c r="B1841" s="5" t="str">
        <f ca="1">IFERROR(__xludf.DUMMYFUNCTION("""COMPUTED_VALUE"""),"PIPER")</f>
        <v>PIPER</v>
      </c>
      <c r="C1841" s="5" t="str">
        <f ca="1">IFERROR(__xludf.DUMMYFUNCTION("""COMPUTED_VALUE"""),"PA-11 Cub Special")</f>
        <v>PA-11 Cub Special</v>
      </c>
      <c r="D1841" s="5" t="str">
        <f ca="1">IFERROR(__xludf.DUMMYFUNCTION("""COMPUTED_VALUE"""),"LandPlane")</f>
        <v>LandPlane</v>
      </c>
      <c r="E1841" s="5" t="str">
        <f ca="1">IFERROR(__xludf.DUMMYFUNCTION("""COMPUTED_VALUE"""),"Piston")</f>
        <v>Piston</v>
      </c>
      <c r="F1841" s="5">
        <f ca="1">IFERROR(__xludf.DUMMYFUNCTION("""COMPUTED_VALUE"""),1)</f>
        <v>1</v>
      </c>
    </row>
    <row r="1842" spans="1:6" ht="15" customHeight="1" x14ac:dyDescent="0.2">
      <c r="A1842" s="5" t="str">
        <f ca="1">IFERROR(__xludf.DUMMYFUNCTION("""COMPUTED_VALUE"""),"PA12")</f>
        <v>PA12</v>
      </c>
      <c r="B1842" s="5" t="str">
        <f ca="1">IFERROR(__xludf.DUMMYFUNCTION("""COMPUTED_VALUE"""),"PIPER")</f>
        <v>PIPER</v>
      </c>
      <c r="C1842" s="5" t="str">
        <f ca="1">IFERROR(__xludf.DUMMYFUNCTION("""COMPUTED_VALUE"""),"PA-12 Super Cruiser")</f>
        <v>PA-12 Super Cruiser</v>
      </c>
      <c r="D1842" s="5" t="str">
        <f ca="1">IFERROR(__xludf.DUMMYFUNCTION("""COMPUTED_VALUE"""),"LandPlane")</f>
        <v>LandPlane</v>
      </c>
      <c r="E1842" s="5" t="str">
        <f ca="1">IFERROR(__xludf.DUMMYFUNCTION("""COMPUTED_VALUE"""),"Piston")</f>
        <v>Piston</v>
      </c>
      <c r="F1842" s="5">
        <f ca="1">IFERROR(__xludf.DUMMYFUNCTION("""COMPUTED_VALUE"""),1)</f>
        <v>1</v>
      </c>
    </row>
    <row r="1843" spans="1:6" ht="15" customHeight="1" x14ac:dyDescent="0.2">
      <c r="A1843" s="5" t="str">
        <f ca="1">IFERROR(__xludf.DUMMYFUNCTION("""COMPUTED_VALUE"""),"PA14")</f>
        <v>PA14</v>
      </c>
      <c r="B1843" s="5" t="str">
        <f ca="1">IFERROR(__xludf.DUMMYFUNCTION("""COMPUTED_VALUE"""),"PIPER")</f>
        <v>PIPER</v>
      </c>
      <c r="C1843" s="5" t="str">
        <f ca="1">IFERROR(__xludf.DUMMYFUNCTION("""COMPUTED_VALUE"""),"PA-14 Family Cruiser")</f>
        <v>PA-14 Family Cruiser</v>
      </c>
      <c r="D1843" s="5" t="str">
        <f ca="1">IFERROR(__xludf.DUMMYFUNCTION("""COMPUTED_VALUE"""),"LandPlane")</f>
        <v>LandPlane</v>
      </c>
      <c r="E1843" s="5" t="str">
        <f ca="1">IFERROR(__xludf.DUMMYFUNCTION("""COMPUTED_VALUE"""),"Piston")</f>
        <v>Piston</v>
      </c>
      <c r="F1843" s="5">
        <f ca="1">IFERROR(__xludf.DUMMYFUNCTION("""COMPUTED_VALUE"""),1)</f>
        <v>1</v>
      </c>
    </row>
    <row r="1844" spans="1:6" ht="15" customHeight="1" x14ac:dyDescent="0.2">
      <c r="A1844" s="5" t="str">
        <f ca="1">IFERROR(__xludf.DUMMYFUNCTION("""COMPUTED_VALUE"""),"PA15")</f>
        <v>PA15</v>
      </c>
      <c r="B1844" s="5" t="str">
        <f ca="1">IFERROR(__xludf.DUMMYFUNCTION("""COMPUTED_VALUE"""),"PIPER")</f>
        <v>PIPER</v>
      </c>
      <c r="C1844" s="5" t="str">
        <f ca="1">IFERROR(__xludf.DUMMYFUNCTION("""COMPUTED_VALUE"""),"PA-15 Vagabond")</f>
        <v>PA-15 Vagabond</v>
      </c>
      <c r="D1844" s="5" t="str">
        <f ca="1">IFERROR(__xludf.DUMMYFUNCTION("""COMPUTED_VALUE"""),"LandPlane")</f>
        <v>LandPlane</v>
      </c>
      <c r="E1844" s="5" t="str">
        <f ca="1">IFERROR(__xludf.DUMMYFUNCTION("""COMPUTED_VALUE"""),"Piston")</f>
        <v>Piston</v>
      </c>
      <c r="F1844" s="5">
        <f ca="1">IFERROR(__xludf.DUMMYFUNCTION("""COMPUTED_VALUE"""),1)</f>
        <v>1</v>
      </c>
    </row>
    <row r="1845" spans="1:6" ht="15" customHeight="1" x14ac:dyDescent="0.2">
      <c r="A1845" s="5" t="str">
        <f ca="1">IFERROR(__xludf.DUMMYFUNCTION("""COMPUTED_VALUE"""),"PA16")</f>
        <v>PA16</v>
      </c>
      <c r="B1845" s="5" t="str">
        <f ca="1">IFERROR(__xludf.DUMMYFUNCTION("""COMPUTED_VALUE"""),"PIPER")</f>
        <v>PIPER</v>
      </c>
      <c r="C1845" s="5" t="str">
        <f ca="1">IFERROR(__xludf.DUMMYFUNCTION("""COMPUTED_VALUE"""),"PA-16 Clipper")</f>
        <v>PA-16 Clipper</v>
      </c>
      <c r="D1845" s="5" t="str">
        <f ca="1">IFERROR(__xludf.DUMMYFUNCTION("""COMPUTED_VALUE"""),"LandPlane")</f>
        <v>LandPlane</v>
      </c>
      <c r="E1845" s="5" t="str">
        <f ca="1">IFERROR(__xludf.DUMMYFUNCTION("""COMPUTED_VALUE"""),"Piston")</f>
        <v>Piston</v>
      </c>
      <c r="F1845" s="5">
        <f ca="1">IFERROR(__xludf.DUMMYFUNCTION("""COMPUTED_VALUE"""),1)</f>
        <v>1</v>
      </c>
    </row>
    <row r="1846" spans="1:6" ht="15" customHeight="1" x14ac:dyDescent="0.2">
      <c r="A1846" s="5" t="str">
        <f ca="1">IFERROR(__xludf.DUMMYFUNCTION("""COMPUTED_VALUE"""),"PA17")</f>
        <v>PA17</v>
      </c>
      <c r="B1846" s="5" t="str">
        <f ca="1">IFERROR(__xludf.DUMMYFUNCTION("""COMPUTED_VALUE"""),"PIPER")</f>
        <v>PIPER</v>
      </c>
      <c r="C1846" s="5" t="str">
        <f ca="1">IFERROR(__xludf.DUMMYFUNCTION("""COMPUTED_VALUE"""),"PA-17 Vagabond")</f>
        <v>PA-17 Vagabond</v>
      </c>
      <c r="D1846" s="5" t="str">
        <f ca="1">IFERROR(__xludf.DUMMYFUNCTION("""COMPUTED_VALUE"""),"LandPlane")</f>
        <v>LandPlane</v>
      </c>
      <c r="E1846" s="5" t="str">
        <f ca="1">IFERROR(__xludf.DUMMYFUNCTION("""COMPUTED_VALUE"""),"Piston")</f>
        <v>Piston</v>
      </c>
      <c r="F1846" s="5">
        <f ca="1">IFERROR(__xludf.DUMMYFUNCTION("""COMPUTED_VALUE"""),1)</f>
        <v>1</v>
      </c>
    </row>
    <row r="1847" spans="1:6" ht="15" customHeight="1" x14ac:dyDescent="0.2">
      <c r="A1847" s="5" t="str">
        <f ca="1">IFERROR(__xludf.DUMMYFUNCTION("""COMPUTED_VALUE"""),"PA18")</f>
        <v>PA18</v>
      </c>
      <c r="B1847" s="5" t="str">
        <f ca="1">IFERROR(__xludf.DUMMYFUNCTION("""COMPUTED_VALUE"""),"PIPER")</f>
        <v>PIPER</v>
      </c>
      <c r="C1847" s="5" t="str">
        <f ca="1">IFERROR(__xludf.DUMMYFUNCTION("""COMPUTED_VALUE"""),"PA-18 Super Cub")</f>
        <v>PA-18 Super Cub</v>
      </c>
      <c r="D1847" s="5" t="str">
        <f ca="1">IFERROR(__xludf.DUMMYFUNCTION("""COMPUTED_VALUE"""),"LandPlane")</f>
        <v>LandPlane</v>
      </c>
      <c r="E1847" s="5" t="str">
        <f ca="1">IFERROR(__xludf.DUMMYFUNCTION("""COMPUTED_VALUE"""),"Piston")</f>
        <v>Piston</v>
      </c>
      <c r="F1847" s="5">
        <f ca="1">IFERROR(__xludf.DUMMYFUNCTION("""COMPUTED_VALUE"""),1)</f>
        <v>1</v>
      </c>
    </row>
    <row r="1848" spans="1:6" ht="15" customHeight="1" x14ac:dyDescent="0.2">
      <c r="A1848" s="5" t="str">
        <f ca="1">IFERROR(__xludf.DUMMYFUNCTION("""COMPUTED_VALUE"""),"PA20")</f>
        <v>PA20</v>
      </c>
      <c r="B1848" s="5" t="str">
        <f ca="1">IFERROR(__xludf.DUMMYFUNCTION("""COMPUTED_VALUE"""),"PIPER")</f>
        <v>PIPER</v>
      </c>
      <c r="C1848" s="5" t="str">
        <f ca="1">IFERROR(__xludf.DUMMYFUNCTION("""COMPUTED_VALUE"""),"PA-20 Pacer")</f>
        <v>PA-20 Pacer</v>
      </c>
      <c r="D1848" s="5" t="str">
        <f ca="1">IFERROR(__xludf.DUMMYFUNCTION("""COMPUTED_VALUE"""),"LandPlane")</f>
        <v>LandPlane</v>
      </c>
      <c r="E1848" s="5" t="str">
        <f ca="1">IFERROR(__xludf.DUMMYFUNCTION("""COMPUTED_VALUE"""),"Piston")</f>
        <v>Piston</v>
      </c>
      <c r="F1848" s="5">
        <f ca="1">IFERROR(__xludf.DUMMYFUNCTION("""COMPUTED_VALUE"""),1)</f>
        <v>1</v>
      </c>
    </row>
    <row r="1849" spans="1:6" ht="15" customHeight="1" x14ac:dyDescent="0.2">
      <c r="A1849" s="5" t="str">
        <f ca="1">IFERROR(__xludf.DUMMYFUNCTION("""COMPUTED_VALUE"""),"PA22")</f>
        <v>PA22</v>
      </c>
      <c r="B1849" s="5" t="str">
        <f ca="1">IFERROR(__xludf.DUMMYFUNCTION("""COMPUTED_VALUE"""),"PIPER")</f>
        <v>PIPER</v>
      </c>
      <c r="C1849" s="5" t="str">
        <f ca="1">IFERROR(__xludf.DUMMYFUNCTION("""COMPUTED_VALUE"""),"PA-22 Tri-Pacer")</f>
        <v>PA-22 Tri-Pacer</v>
      </c>
      <c r="D1849" s="5" t="str">
        <f ca="1">IFERROR(__xludf.DUMMYFUNCTION("""COMPUTED_VALUE"""),"LandPlane")</f>
        <v>LandPlane</v>
      </c>
      <c r="E1849" s="5" t="str">
        <f ca="1">IFERROR(__xludf.DUMMYFUNCTION("""COMPUTED_VALUE"""),"Piston")</f>
        <v>Piston</v>
      </c>
      <c r="F1849" s="5">
        <f ca="1">IFERROR(__xludf.DUMMYFUNCTION("""COMPUTED_VALUE"""),1)</f>
        <v>1</v>
      </c>
    </row>
    <row r="1850" spans="1:6" ht="15" customHeight="1" x14ac:dyDescent="0.2">
      <c r="A1850" s="5" t="str">
        <f ca="1">IFERROR(__xludf.DUMMYFUNCTION("""COMPUTED_VALUE"""),"PA23")</f>
        <v>PA23</v>
      </c>
      <c r="B1850" s="5" t="str">
        <f ca="1">IFERROR(__xludf.DUMMYFUNCTION("""COMPUTED_VALUE"""),"PIPER")</f>
        <v>PIPER</v>
      </c>
      <c r="C1850" s="5" t="str">
        <f ca="1">IFERROR(__xludf.DUMMYFUNCTION("""COMPUTED_VALUE"""),"PA-23-150 Apache")</f>
        <v>PA-23-150 Apache</v>
      </c>
      <c r="D1850" s="5" t="str">
        <f ca="1">IFERROR(__xludf.DUMMYFUNCTION("""COMPUTED_VALUE"""),"LandPlane")</f>
        <v>LandPlane</v>
      </c>
      <c r="E1850" s="5" t="str">
        <f ca="1">IFERROR(__xludf.DUMMYFUNCTION("""COMPUTED_VALUE"""),"Piston")</f>
        <v>Piston</v>
      </c>
      <c r="F1850" s="5">
        <f ca="1">IFERROR(__xludf.DUMMYFUNCTION("""COMPUTED_VALUE"""),2)</f>
        <v>2</v>
      </c>
    </row>
    <row r="1851" spans="1:6" ht="15" customHeight="1" x14ac:dyDescent="0.2">
      <c r="A1851" s="5" t="str">
        <f ca="1">IFERROR(__xludf.DUMMYFUNCTION("""COMPUTED_VALUE"""),"PA24")</f>
        <v>PA24</v>
      </c>
      <c r="B1851" s="5" t="str">
        <f ca="1">IFERROR(__xludf.DUMMYFUNCTION("""COMPUTED_VALUE"""),"PIPER")</f>
        <v>PIPER</v>
      </c>
      <c r="C1851" s="5" t="str">
        <f ca="1">IFERROR(__xludf.DUMMYFUNCTION("""COMPUTED_VALUE"""),"PA-24 Comanche")</f>
        <v>PA-24 Comanche</v>
      </c>
      <c r="D1851" s="5" t="str">
        <f ca="1">IFERROR(__xludf.DUMMYFUNCTION("""COMPUTED_VALUE"""),"LandPlane")</f>
        <v>LandPlane</v>
      </c>
      <c r="E1851" s="5" t="str">
        <f ca="1">IFERROR(__xludf.DUMMYFUNCTION("""COMPUTED_VALUE"""),"Piston")</f>
        <v>Piston</v>
      </c>
      <c r="F1851" s="5">
        <f ca="1">IFERROR(__xludf.DUMMYFUNCTION("""COMPUTED_VALUE"""),1)</f>
        <v>1</v>
      </c>
    </row>
    <row r="1852" spans="1:6" ht="15" customHeight="1" x14ac:dyDescent="0.2">
      <c r="A1852" s="5" t="str">
        <f ca="1">IFERROR(__xludf.DUMMYFUNCTION("""COMPUTED_VALUE"""),"PA25")</f>
        <v>PA25</v>
      </c>
      <c r="B1852" s="5" t="str">
        <f ca="1">IFERROR(__xludf.DUMMYFUNCTION("""COMPUTED_VALUE"""),"PIPER")</f>
        <v>PIPER</v>
      </c>
      <c r="C1852" s="5" t="str">
        <f ca="1">IFERROR(__xludf.DUMMYFUNCTION("""COMPUTED_VALUE"""),"PA-25 Pawnee")</f>
        <v>PA-25 Pawnee</v>
      </c>
      <c r="D1852" s="5" t="str">
        <f ca="1">IFERROR(__xludf.DUMMYFUNCTION("""COMPUTED_VALUE"""),"LandPlane")</f>
        <v>LandPlane</v>
      </c>
      <c r="E1852" s="5" t="str">
        <f ca="1">IFERROR(__xludf.DUMMYFUNCTION("""COMPUTED_VALUE"""),"Piston")</f>
        <v>Piston</v>
      </c>
      <c r="F1852" s="5">
        <f ca="1">IFERROR(__xludf.DUMMYFUNCTION("""COMPUTED_VALUE"""),1)</f>
        <v>1</v>
      </c>
    </row>
    <row r="1853" spans="1:6" ht="15" customHeight="1" x14ac:dyDescent="0.2">
      <c r="A1853" s="5" t="str">
        <f ca="1">IFERROR(__xludf.DUMMYFUNCTION("""COMPUTED_VALUE"""),"PA27")</f>
        <v>PA27</v>
      </c>
      <c r="B1853" s="5" t="str">
        <f ca="1">IFERROR(__xludf.DUMMYFUNCTION("""COMPUTED_VALUE"""),"PIPER")</f>
        <v>PIPER</v>
      </c>
      <c r="C1853" s="5" t="str">
        <f ca="1">IFERROR(__xludf.DUMMYFUNCTION("""COMPUTED_VALUE"""),"PA-23-235 Aztec")</f>
        <v>PA-23-235 Aztec</v>
      </c>
      <c r="D1853" s="5" t="str">
        <f ca="1">IFERROR(__xludf.DUMMYFUNCTION("""COMPUTED_VALUE"""),"LandPlane")</f>
        <v>LandPlane</v>
      </c>
      <c r="E1853" s="5" t="str">
        <f ca="1">IFERROR(__xludf.DUMMYFUNCTION("""COMPUTED_VALUE"""),"Piston")</f>
        <v>Piston</v>
      </c>
      <c r="F1853" s="5">
        <f ca="1">IFERROR(__xludf.DUMMYFUNCTION("""COMPUTED_VALUE"""),2)</f>
        <v>2</v>
      </c>
    </row>
    <row r="1854" spans="1:6" ht="15" customHeight="1" x14ac:dyDescent="0.2">
      <c r="A1854" s="5" t="str">
        <f ca="1">IFERROR(__xludf.DUMMYFUNCTION("""COMPUTED_VALUE"""),"PA30")</f>
        <v>PA30</v>
      </c>
      <c r="B1854" s="5" t="str">
        <f ca="1">IFERROR(__xludf.DUMMYFUNCTION("""COMPUTED_VALUE"""),"PIPER")</f>
        <v>PIPER</v>
      </c>
      <c r="C1854" s="5" t="str">
        <f ca="1">IFERROR(__xludf.DUMMYFUNCTION("""COMPUTED_VALUE"""),"PA-30 Twin Comanche")</f>
        <v>PA-30 Twin Comanche</v>
      </c>
      <c r="D1854" s="5" t="str">
        <f ca="1">IFERROR(__xludf.DUMMYFUNCTION("""COMPUTED_VALUE"""),"LandPlane")</f>
        <v>LandPlane</v>
      </c>
      <c r="E1854" s="5" t="str">
        <f ca="1">IFERROR(__xludf.DUMMYFUNCTION("""COMPUTED_VALUE"""),"Piston")</f>
        <v>Piston</v>
      </c>
      <c r="F1854" s="5">
        <f ca="1">IFERROR(__xludf.DUMMYFUNCTION("""COMPUTED_VALUE"""),2)</f>
        <v>2</v>
      </c>
    </row>
    <row r="1855" spans="1:6" ht="15" customHeight="1" x14ac:dyDescent="0.2">
      <c r="A1855" s="5" t="str">
        <f ca="1">IFERROR(__xludf.DUMMYFUNCTION("""COMPUTED_VALUE"""),"PA31")</f>
        <v>PA31</v>
      </c>
      <c r="B1855" s="5" t="str">
        <f ca="1">IFERROR(__xludf.DUMMYFUNCTION("""COMPUTED_VALUE"""),"PIPER")</f>
        <v>PIPER</v>
      </c>
      <c r="C1855" s="5" t="str">
        <f ca="1">IFERROR(__xludf.DUMMYFUNCTION("""COMPUTED_VALUE"""),"PA-31-300 Navajo")</f>
        <v>PA-31-300 Navajo</v>
      </c>
      <c r="D1855" s="5" t="str">
        <f ca="1">IFERROR(__xludf.DUMMYFUNCTION("""COMPUTED_VALUE"""),"LandPlane")</f>
        <v>LandPlane</v>
      </c>
      <c r="E1855" s="5" t="str">
        <f ca="1">IFERROR(__xludf.DUMMYFUNCTION("""COMPUTED_VALUE"""),"Piston")</f>
        <v>Piston</v>
      </c>
      <c r="F1855" s="5">
        <f ca="1">IFERROR(__xludf.DUMMYFUNCTION("""COMPUTED_VALUE"""),2)</f>
        <v>2</v>
      </c>
    </row>
    <row r="1856" spans="1:6" ht="15" customHeight="1" x14ac:dyDescent="0.2">
      <c r="A1856" s="5" t="str">
        <f ca="1">IFERROR(__xludf.DUMMYFUNCTION("""COMPUTED_VALUE"""),"PA32")</f>
        <v>PA32</v>
      </c>
      <c r="B1856" s="5" t="str">
        <f ca="1">IFERROR(__xludf.DUMMYFUNCTION("""COMPUTED_VALUE"""),"PIPER")</f>
        <v>PIPER</v>
      </c>
      <c r="C1856" s="5" t="str">
        <f ca="1">IFERROR(__xludf.DUMMYFUNCTION("""COMPUTED_VALUE"""),"PA-32 Saratoga")</f>
        <v>PA-32 Saratoga</v>
      </c>
      <c r="D1856" s="5" t="str">
        <f ca="1">IFERROR(__xludf.DUMMYFUNCTION("""COMPUTED_VALUE"""),"LandPlane")</f>
        <v>LandPlane</v>
      </c>
      <c r="E1856" s="5" t="str">
        <f ca="1">IFERROR(__xludf.DUMMYFUNCTION("""COMPUTED_VALUE"""),"Piston")</f>
        <v>Piston</v>
      </c>
      <c r="F1856" s="5">
        <f ca="1">IFERROR(__xludf.DUMMYFUNCTION("""COMPUTED_VALUE"""),1)</f>
        <v>1</v>
      </c>
    </row>
    <row r="1857" spans="1:6" ht="15" customHeight="1" x14ac:dyDescent="0.2">
      <c r="A1857" s="5" t="str">
        <f ca="1">IFERROR(__xludf.DUMMYFUNCTION("""COMPUTED_VALUE"""),"PA34")</f>
        <v>PA34</v>
      </c>
      <c r="B1857" s="5" t="str">
        <f ca="1">IFERROR(__xludf.DUMMYFUNCTION("""COMPUTED_VALUE"""),"PIPER")</f>
        <v>PIPER</v>
      </c>
      <c r="C1857" s="5" t="str">
        <f ca="1">IFERROR(__xludf.DUMMYFUNCTION("""COMPUTED_VALUE"""),"PA-34 Seneca")</f>
        <v>PA-34 Seneca</v>
      </c>
      <c r="D1857" s="5" t="str">
        <f ca="1">IFERROR(__xludf.DUMMYFUNCTION("""COMPUTED_VALUE"""),"LandPlane")</f>
        <v>LandPlane</v>
      </c>
      <c r="E1857" s="5" t="str">
        <f ca="1">IFERROR(__xludf.DUMMYFUNCTION("""COMPUTED_VALUE"""),"Piston")</f>
        <v>Piston</v>
      </c>
      <c r="F1857" s="5">
        <f ca="1">IFERROR(__xludf.DUMMYFUNCTION("""COMPUTED_VALUE"""),2)</f>
        <v>2</v>
      </c>
    </row>
    <row r="1858" spans="1:6" ht="15" customHeight="1" x14ac:dyDescent="0.2">
      <c r="A1858" s="5" t="str">
        <f ca="1">IFERROR(__xludf.DUMMYFUNCTION("""COMPUTED_VALUE"""),"PA36")</f>
        <v>PA36</v>
      </c>
      <c r="B1858" s="5" t="str">
        <f ca="1">IFERROR(__xludf.DUMMYFUNCTION("""COMPUTED_VALUE"""),"PIPER")</f>
        <v>PIPER</v>
      </c>
      <c r="C1858" s="5" t="str">
        <f ca="1">IFERROR(__xludf.DUMMYFUNCTION("""COMPUTED_VALUE"""),"PA-36 Pawnee Brave")</f>
        <v>PA-36 Pawnee Brave</v>
      </c>
      <c r="D1858" s="5" t="str">
        <f ca="1">IFERROR(__xludf.DUMMYFUNCTION("""COMPUTED_VALUE"""),"LandPlane")</f>
        <v>LandPlane</v>
      </c>
      <c r="E1858" s="5" t="str">
        <f ca="1">IFERROR(__xludf.DUMMYFUNCTION("""COMPUTED_VALUE"""),"Piston")</f>
        <v>Piston</v>
      </c>
      <c r="F1858" s="5">
        <f ca="1">IFERROR(__xludf.DUMMYFUNCTION("""COMPUTED_VALUE"""),1)</f>
        <v>1</v>
      </c>
    </row>
    <row r="1859" spans="1:6" ht="15" customHeight="1" x14ac:dyDescent="0.2">
      <c r="A1859" s="5" t="str">
        <f ca="1">IFERROR(__xludf.DUMMYFUNCTION("""COMPUTED_VALUE"""),"PA38")</f>
        <v>PA38</v>
      </c>
      <c r="B1859" s="5" t="str">
        <f ca="1">IFERROR(__xludf.DUMMYFUNCTION("""COMPUTED_VALUE"""),"PIPER")</f>
        <v>PIPER</v>
      </c>
      <c r="C1859" s="5" t="str">
        <f ca="1">IFERROR(__xludf.DUMMYFUNCTION("""COMPUTED_VALUE"""),"PA-38 Tomahawk")</f>
        <v>PA-38 Tomahawk</v>
      </c>
      <c r="D1859" s="5" t="str">
        <f ca="1">IFERROR(__xludf.DUMMYFUNCTION("""COMPUTED_VALUE"""),"LandPlane")</f>
        <v>LandPlane</v>
      </c>
      <c r="E1859" s="5" t="str">
        <f ca="1">IFERROR(__xludf.DUMMYFUNCTION("""COMPUTED_VALUE"""),"Piston")</f>
        <v>Piston</v>
      </c>
      <c r="F1859" s="5">
        <f ca="1">IFERROR(__xludf.DUMMYFUNCTION("""COMPUTED_VALUE"""),1)</f>
        <v>1</v>
      </c>
    </row>
    <row r="1860" spans="1:6" ht="15" customHeight="1" x14ac:dyDescent="0.2">
      <c r="A1860" s="5" t="str">
        <f ca="1">IFERROR(__xludf.DUMMYFUNCTION("""COMPUTED_VALUE"""),"PA44")</f>
        <v>PA44</v>
      </c>
      <c r="B1860" s="5" t="str">
        <f ca="1">IFERROR(__xludf.DUMMYFUNCTION("""COMPUTED_VALUE"""),"PIPER")</f>
        <v>PIPER</v>
      </c>
      <c r="C1860" s="5" t="str">
        <f ca="1">IFERROR(__xludf.DUMMYFUNCTION("""COMPUTED_VALUE"""),"PA-44 Seminole")</f>
        <v>PA-44 Seminole</v>
      </c>
      <c r="D1860" s="5" t="str">
        <f ca="1">IFERROR(__xludf.DUMMYFUNCTION("""COMPUTED_VALUE"""),"LandPlane")</f>
        <v>LandPlane</v>
      </c>
      <c r="E1860" s="5" t="str">
        <f ca="1">IFERROR(__xludf.DUMMYFUNCTION("""COMPUTED_VALUE"""),"Piston")</f>
        <v>Piston</v>
      </c>
      <c r="F1860" s="5">
        <f ca="1">IFERROR(__xludf.DUMMYFUNCTION("""COMPUTED_VALUE"""),2)</f>
        <v>2</v>
      </c>
    </row>
    <row r="1861" spans="1:6" ht="15" customHeight="1" x14ac:dyDescent="0.2">
      <c r="A1861" s="5" t="str">
        <f ca="1">IFERROR(__xludf.DUMMYFUNCTION("""COMPUTED_VALUE"""),"PA46")</f>
        <v>PA46</v>
      </c>
      <c r="B1861" s="5" t="str">
        <f ca="1">IFERROR(__xludf.DUMMYFUNCTION("""COMPUTED_VALUE"""),"PIPER")</f>
        <v>PIPER</v>
      </c>
      <c r="C1861" s="5" t="str">
        <f ca="1">IFERROR(__xludf.DUMMYFUNCTION("""COMPUTED_VALUE"""),"PA-46-310P Malibu")</f>
        <v>PA-46-310P Malibu</v>
      </c>
      <c r="D1861" s="5" t="str">
        <f ca="1">IFERROR(__xludf.DUMMYFUNCTION("""COMPUTED_VALUE"""),"LandPlane")</f>
        <v>LandPlane</v>
      </c>
      <c r="E1861" s="5" t="str">
        <f ca="1">IFERROR(__xludf.DUMMYFUNCTION("""COMPUTED_VALUE"""),"Piston")</f>
        <v>Piston</v>
      </c>
      <c r="F1861" s="5">
        <f ca="1">IFERROR(__xludf.DUMMYFUNCTION("""COMPUTED_VALUE"""),1)</f>
        <v>1</v>
      </c>
    </row>
    <row r="1862" spans="1:6" ht="15" customHeight="1" x14ac:dyDescent="0.2">
      <c r="A1862" s="5" t="str">
        <f ca="1">IFERROR(__xludf.DUMMYFUNCTION("""COMPUTED_VALUE"""),"PA47")</f>
        <v>PA47</v>
      </c>
      <c r="B1862" s="5" t="str">
        <f ca="1">IFERROR(__xludf.DUMMYFUNCTION("""COMPUTED_VALUE"""),"PIPER")</f>
        <v>PIPER</v>
      </c>
      <c r="C1862" s="5" t="str">
        <f ca="1">IFERROR(__xludf.DUMMYFUNCTION("""COMPUTED_VALUE"""),"PA-47 Piper Jet")</f>
        <v>PA-47 Piper Jet</v>
      </c>
      <c r="D1862" s="5" t="str">
        <f ca="1">IFERROR(__xludf.DUMMYFUNCTION("""COMPUTED_VALUE"""),"LandPlane")</f>
        <v>LandPlane</v>
      </c>
      <c r="E1862" s="5" t="str">
        <f ca="1">IFERROR(__xludf.DUMMYFUNCTION("""COMPUTED_VALUE"""),"Jet")</f>
        <v>Jet</v>
      </c>
      <c r="F1862" s="5">
        <f ca="1">IFERROR(__xludf.DUMMYFUNCTION("""COMPUTED_VALUE"""),1)</f>
        <v>1</v>
      </c>
    </row>
    <row r="1863" spans="1:6" ht="15" customHeight="1" x14ac:dyDescent="0.2">
      <c r="A1863" s="5" t="str">
        <f ca="1">IFERROR(__xludf.DUMMYFUNCTION("""COMPUTED_VALUE"""),"PACE")</f>
        <v>PACE</v>
      </c>
      <c r="B1863" s="5" t="str">
        <f ca="1">IFERROR(__xludf.DUMMYFUNCTION("""COMPUTED_VALUE"""),"BELLANCA")</f>
        <v>BELLANCA</v>
      </c>
      <c r="C1863" s="5" t="str">
        <f ca="1">IFERROR(__xludf.DUMMYFUNCTION("""COMPUTED_VALUE"""),"CH-300 Pacemaker")</f>
        <v>CH-300 Pacemaker</v>
      </c>
      <c r="D1863" s="5" t="str">
        <f ca="1">IFERROR(__xludf.DUMMYFUNCTION("""COMPUTED_VALUE"""),"LandPlane")</f>
        <v>LandPlane</v>
      </c>
      <c r="E1863" s="5" t="str">
        <f ca="1">IFERROR(__xludf.DUMMYFUNCTION("""COMPUTED_VALUE"""),"Piston")</f>
        <v>Piston</v>
      </c>
      <c r="F1863" s="5">
        <f ca="1">IFERROR(__xludf.DUMMYFUNCTION("""COMPUTED_VALUE"""),1)</f>
        <v>1</v>
      </c>
    </row>
    <row r="1864" spans="1:6" ht="15" customHeight="1" x14ac:dyDescent="0.2">
      <c r="A1864" s="5" t="str">
        <f ca="1">IFERROR(__xludf.DUMMYFUNCTION("""COMPUTED_VALUE"""),"PAGO")</f>
        <v>PAGO</v>
      </c>
      <c r="B1864" s="5" t="str">
        <f ca="1">IFERROR(__xludf.DUMMYFUNCTION("""COMPUTED_VALUE"""),"SAUPER")</f>
        <v>SAUPER</v>
      </c>
      <c r="C1864" s="5" t="str">
        <f ca="1">IFERROR(__xludf.DUMMYFUNCTION("""COMPUTED_VALUE"""),"ADV-01 Papango")</f>
        <v>ADV-01 Papango</v>
      </c>
      <c r="D1864" s="5" t="str">
        <f ca="1">IFERROR(__xludf.DUMMYFUNCTION("""COMPUTED_VALUE"""),"LandPlane")</f>
        <v>LandPlane</v>
      </c>
      <c r="E1864" s="5" t="str">
        <f ca="1">IFERROR(__xludf.DUMMYFUNCTION("""COMPUTED_VALUE"""),"Piston")</f>
        <v>Piston</v>
      </c>
      <c r="F1864" s="5">
        <f ca="1">IFERROR(__xludf.DUMMYFUNCTION("""COMPUTED_VALUE"""),1)</f>
        <v>1</v>
      </c>
    </row>
    <row r="1865" spans="1:6" ht="15" customHeight="1" x14ac:dyDescent="0.2">
      <c r="A1865" s="5" t="str">
        <f ca="1">IFERROR(__xludf.DUMMYFUNCTION("""COMPUTED_VALUE"""),"PANT")</f>
        <v>PANT</v>
      </c>
      <c r="B1865" s="5" t="str">
        <f ca="1">IFERROR(__xludf.DUMMYFUNCTION("""COMPUTED_VALUE"""),"ROTEC")</f>
        <v>ROTEC</v>
      </c>
      <c r="C1865" s="5" t="str">
        <f ca="1">IFERROR(__xludf.DUMMYFUNCTION("""COMPUTED_VALUE"""),"Panther 2")</f>
        <v>Panther 2</v>
      </c>
      <c r="D1865" s="5" t="str">
        <f ca="1">IFERROR(__xludf.DUMMYFUNCTION("""COMPUTED_VALUE"""),"LandPlane")</f>
        <v>LandPlane</v>
      </c>
      <c r="E1865" s="5" t="str">
        <f ca="1">IFERROR(__xludf.DUMMYFUNCTION("""COMPUTED_VALUE"""),"Piston")</f>
        <v>Piston</v>
      </c>
      <c r="F1865" s="5">
        <f ca="1">IFERROR(__xludf.DUMMYFUNCTION("""COMPUTED_VALUE"""),1)</f>
        <v>1</v>
      </c>
    </row>
    <row r="1866" spans="1:6" ht="15" customHeight="1" x14ac:dyDescent="0.2">
      <c r="A1866" s="5" t="str">
        <f ca="1">IFERROR(__xludf.DUMMYFUNCTION("""COMPUTED_VALUE"""),"PAR1")</f>
        <v>PAR1</v>
      </c>
      <c r="B1866" s="5" t="str">
        <f ca="1">IFERROR(__xludf.DUMMYFUNCTION("""COMPUTED_VALUE"""),"PARADISE")</f>
        <v>PARADISE</v>
      </c>
      <c r="C1866" s="5" t="str">
        <f ca="1">IFERROR(__xludf.DUMMYFUNCTION("""COMPUTED_VALUE"""),"P-1")</f>
        <v>P-1</v>
      </c>
      <c r="D1866" s="5" t="str">
        <f ca="1">IFERROR(__xludf.DUMMYFUNCTION("""COMPUTED_VALUE"""),"LandPlane")</f>
        <v>LandPlane</v>
      </c>
      <c r="E1866" s="5" t="str">
        <f ca="1">IFERROR(__xludf.DUMMYFUNCTION("""COMPUTED_VALUE"""),"Piston")</f>
        <v>Piston</v>
      </c>
      <c r="F1866" s="5">
        <f ca="1">IFERROR(__xludf.DUMMYFUNCTION("""COMPUTED_VALUE"""),1)</f>
        <v>1</v>
      </c>
    </row>
    <row r="1867" spans="1:6" ht="15" customHeight="1" x14ac:dyDescent="0.2">
      <c r="A1867" s="5" t="str">
        <f ca="1">IFERROR(__xludf.DUMMYFUNCTION("""COMPUTED_VALUE"""),"PAR4")</f>
        <v>PAR4</v>
      </c>
      <c r="B1867" s="5" t="str">
        <f ca="1">IFERROR(__xludf.DUMMYFUNCTION("""COMPUTED_VALUE"""),"PARADISE")</f>
        <v>PARADISE</v>
      </c>
      <c r="C1867" s="5" t="str">
        <f ca="1">IFERROR(__xludf.DUMMYFUNCTION("""COMPUTED_VALUE"""),"P-4")</f>
        <v>P-4</v>
      </c>
      <c r="D1867" s="5" t="str">
        <f ca="1">IFERROR(__xludf.DUMMYFUNCTION("""COMPUTED_VALUE"""),"LandPlane")</f>
        <v>LandPlane</v>
      </c>
      <c r="E1867" s="5" t="str">
        <f ca="1">IFERROR(__xludf.DUMMYFUNCTION("""COMPUTED_VALUE"""),"Piston")</f>
        <v>Piston</v>
      </c>
      <c r="F1867" s="5">
        <f ca="1">IFERROR(__xludf.DUMMYFUNCTION("""COMPUTED_VALUE"""),1)</f>
        <v>1</v>
      </c>
    </row>
    <row r="1868" spans="1:6" ht="15" customHeight="1" x14ac:dyDescent="0.2">
      <c r="A1868" s="5" t="str">
        <f ca="1">IFERROR(__xludf.DUMMYFUNCTION("""COMPUTED_VALUE"""),"PARL")</f>
        <v>PARL</v>
      </c>
      <c r="B1868" s="5" t="str">
        <f ca="1">IFERROR(__xludf.DUMMYFUNCTION("""COMPUTED_VALUE"""),"ST. CROIX")</f>
        <v>ST. CROIX</v>
      </c>
      <c r="C1868" s="5" t="str">
        <f ca="1">IFERROR(__xludf.DUMMYFUNCTION("""COMPUTED_VALUE"""),"Pietenpol Aerial")</f>
        <v>Pietenpol Aerial</v>
      </c>
      <c r="D1868" s="5" t="str">
        <f ca="1">IFERROR(__xludf.DUMMYFUNCTION("""COMPUTED_VALUE"""),"LandPlane")</f>
        <v>LandPlane</v>
      </c>
      <c r="E1868" s="5" t="str">
        <f ca="1">IFERROR(__xludf.DUMMYFUNCTION("""COMPUTED_VALUE"""),"Piston")</f>
        <v>Piston</v>
      </c>
      <c r="F1868" s="5">
        <f ca="1">IFERROR(__xludf.DUMMYFUNCTION("""COMPUTED_VALUE"""),1)</f>
        <v>1</v>
      </c>
    </row>
    <row r="1869" spans="1:6" ht="15" customHeight="1" x14ac:dyDescent="0.2">
      <c r="A1869" s="5" t="str">
        <f ca="1">IFERROR(__xludf.DUMMYFUNCTION("""COMPUTED_VALUE"""),"PAT2")</f>
        <v>PAT2</v>
      </c>
      <c r="B1869" s="5" t="str">
        <f ca="1">IFERROR(__xludf.DUMMYFUNCTION("""COMPUTED_VALUE"""),"ATAC")</f>
        <v>ATAC</v>
      </c>
      <c r="C1869" s="5" t="str">
        <f ca="1">IFERROR(__xludf.DUMMYFUNCTION("""COMPUTED_VALUE"""),"Patriot 2")</f>
        <v>Patriot 2</v>
      </c>
      <c r="D1869" s="5" t="str">
        <f ca="1">IFERROR(__xludf.DUMMYFUNCTION("""COMPUTED_VALUE"""),"LandPlane")</f>
        <v>LandPlane</v>
      </c>
      <c r="E1869" s="5" t="str">
        <f ca="1">IFERROR(__xludf.DUMMYFUNCTION("""COMPUTED_VALUE"""),"Piston")</f>
        <v>Piston</v>
      </c>
      <c r="F1869" s="5">
        <f ca="1">IFERROR(__xludf.DUMMYFUNCTION("""COMPUTED_VALUE"""),1)</f>
        <v>1</v>
      </c>
    </row>
    <row r="1870" spans="1:6" ht="15" customHeight="1" x14ac:dyDescent="0.2">
      <c r="A1870" s="5" t="str">
        <f ca="1">IFERROR(__xludf.DUMMYFUNCTION("""COMPUTED_VALUE"""),"PAT4")</f>
        <v>PAT4</v>
      </c>
      <c r="B1870" s="5" t="str">
        <f ca="1">IFERROR(__xludf.DUMMYFUNCTION("""COMPUTED_VALUE"""),"PIPER")</f>
        <v>PIPER</v>
      </c>
      <c r="C1870" s="5" t="str">
        <f ca="1">IFERROR(__xludf.DUMMYFUNCTION("""COMPUTED_VALUE"""),"PA-31T3-500 T-1040")</f>
        <v>PA-31T3-500 T-1040</v>
      </c>
      <c r="D1870" s="5" t="str">
        <f ca="1">IFERROR(__xludf.DUMMYFUNCTION("""COMPUTED_VALUE"""),"LandPlane")</f>
        <v>LandPlane</v>
      </c>
      <c r="E1870" s="5" t="str">
        <f ca="1">IFERROR(__xludf.DUMMYFUNCTION("""COMPUTED_VALUE"""),"Turboprop/Turboshaft")</f>
        <v>Turboprop/Turboshaft</v>
      </c>
      <c r="F1870" s="5">
        <f ca="1">IFERROR(__xludf.DUMMYFUNCTION("""COMPUTED_VALUE"""),2)</f>
        <v>2</v>
      </c>
    </row>
    <row r="1871" spans="1:6" ht="15" customHeight="1" x14ac:dyDescent="0.2">
      <c r="A1871" s="5" t="str">
        <f ca="1">IFERROR(__xludf.DUMMYFUNCTION("""COMPUTED_VALUE"""),"PAUL")</f>
        <v>PAUL</v>
      </c>
      <c r="B1871" s="5" t="str">
        <f ca="1">IFERROR(__xludf.DUMMYFUNCTION("""COMPUTED_VALUE"""),"PAULISTA")</f>
        <v>PAULISTA</v>
      </c>
      <c r="C1871" s="5" t="str">
        <f ca="1">IFERROR(__xludf.DUMMYFUNCTION("""COMPUTED_VALUE"""),"CAP-4 Paulistinha")</f>
        <v>CAP-4 Paulistinha</v>
      </c>
      <c r="D1871" s="5" t="str">
        <f ca="1">IFERROR(__xludf.DUMMYFUNCTION("""COMPUTED_VALUE"""),"LandPlane")</f>
        <v>LandPlane</v>
      </c>
      <c r="E1871" s="5" t="str">
        <f ca="1">IFERROR(__xludf.DUMMYFUNCTION("""COMPUTED_VALUE"""),"Piston")</f>
        <v>Piston</v>
      </c>
      <c r="F1871" s="5">
        <f ca="1">IFERROR(__xludf.DUMMYFUNCTION("""COMPUTED_VALUE"""),1)</f>
        <v>1</v>
      </c>
    </row>
    <row r="1872" spans="1:6" ht="15" customHeight="1" x14ac:dyDescent="0.2">
      <c r="A1872" s="5" t="str">
        <f ca="1">IFERROR(__xludf.DUMMYFUNCTION("""COMPUTED_VALUE"""),"PAV4")</f>
        <v>PAV4</v>
      </c>
      <c r="B1872" s="5" t="str">
        <f ca="1">IFERROR(__xludf.DUMMYFUNCTION("""COMPUTED_VALUE"""),"CARTER")</f>
        <v>CARTER</v>
      </c>
      <c r="C1872" s="5" t="str">
        <f ca="1">IFERROR(__xludf.DUMMYFUNCTION("""COMPUTED_VALUE"""),"PAV-4")</f>
        <v>PAV-4</v>
      </c>
      <c r="D1872" s="5" t="str">
        <f ca="1">IFERROR(__xludf.DUMMYFUNCTION("""COMPUTED_VALUE"""),"Gyrocopter")</f>
        <v>Gyrocopter</v>
      </c>
      <c r="E1872" s="5" t="str">
        <f ca="1">IFERROR(__xludf.DUMMYFUNCTION("""COMPUTED_VALUE"""),"Piston")</f>
        <v>Piston</v>
      </c>
      <c r="F1872" s="5">
        <f ca="1">IFERROR(__xludf.DUMMYFUNCTION("""COMPUTED_VALUE"""),1)</f>
        <v>1</v>
      </c>
    </row>
    <row r="1873" spans="1:6" ht="15" customHeight="1" x14ac:dyDescent="0.2">
      <c r="A1873" s="5" t="str">
        <f ca="1">IFERROR(__xludf.DUMMYFUNCTION("""COMPUTED_VALUE"""),"PAY1")</f>
        <v>PAY1</v>
      </c>
      <c r="B1873" s="5" t="str">
        <f ca="1">IFERROR(__xludf.DUMMYFUNCTION("""COMPUTED_VALUE"""),"PIPER")</f>
        <v>PIPER</v>
      </c>
      <c r="C1873" s="5" t="str">
        <f ca="1">IFERROR(__xludf.DUMMYFUNCTION("""COMPUTED_VALUE"""),"PA-31T1-500 Cheyenne 1")</f>
        <v>PA-31T1-500 Cheyenne 1</v>
      </c>
      <c r="D1873" s="5" t="str">
        <f ca="1">IFERROR(__xludf.DUMMYFUNCTION("""COMPUTED_VALUE"""),"LandPlane")</f>
        <v>LandPlane</v>
      </c>
      <c r="E1873" s="5" t="str">
        <f ca="1">IFERROR(__xludf.DUMMYFUNCTION("""COMPUTED_VALUE"""),"Turboprop/Turboshaft")</f>
        <v>Turboprop/Turboshaft</v>
      </c>
      <c r="F1873" s="5">
        <f ca="1">IFERROR(__xludf.DUMMYFUNCTION("""COMPUTED_VALUE"""),2)</f>
        <v>2</v>
      </c>
    </row>
    <row r="1874" spans="1:6" ht="15" customHeight="1" x14ac:dyDescent="0.2">
      <c r="A1874" s="5" t="str">
        <f ca="1">IFERROR(__xludf.DUMMYFUNCTION("""COMPUTED_VALUE"""),"PAY2")</f>
        <v>PAY2</v>
      </c>
      <c r="B1874" s="5" t="str">
        <f ca="1">IFERROR(__xludf.DUMMYFUNCTION("""COMPUTED_VALUE"""),"PIPER")</f>
        <v>PIPER</v>
      </c>
      <c r="C1874" s="5" t="str">
        <f ca="1">IFERROR(__xludf.DUMMYFUNCTION("""COMPUTED_VALUE"""),"PA-31T-620 Cheyenne 2")</f>
        <v>PA-31T-620 Cheyenne 2</v>
      </c>
      <c r="D1874" s="5" t="str">
        <f ca="1">IFERROR(__xludf.DUMMYFUNCTION("""COMPUTED_VALUE"""),"LandPlane")</f>
        <v>LandPlane</v>
      </c>
      <c r="E1874" s="5" t="str">
        <f ca="1">IFERROR(__xludf.DUMMYFUNCTION("""COMPUTED_VALUE"""),"Turboprop/Turboshaft")</f>
        <v>Turboprop/Turboshaft</v>
      </c>
      <c r="F1874" s="5">
        <f ca="1">IFERROR(__xludf.DUMMYFUNCTION("""COMPUTED_VALUE"""),2)</f>
        <v>2</v>
      </c>
    </row>
    <row r="1875" spans="1:6" ht="15" customHeight="1" x14ac:dyDescent="0.2">
      <c r="A1875" s="5" t="str">
        <f ca="1">IFERROR(__xludf.DUMMYFUNCTION("""COMPUTED_VALUE"""),"PAY3")</f>
        <v>PAY3</v>
      </c>
      <c r="B1875" s="5" t="str">
        <f ca="1">IFERROR(__xludf.DUMMYFUNCTION("""COMPUTED_VALUE"""),"PIPER")</f>
        <v>PIPER</v>
      </c>
      <c r="C1875" s="5" t="str">
        <f ca="1">IFERROR(__xludf.DUMMYFUNCTION("""COMPUTED_VALUE"""),"PA-42-720 Cheyenne 3")</f>
        <v>PA-42-720 Cheyenne 3</v>
      </c>
      <c r="D1875" s="5" t="str">
        <f ca="1">IFERROR(__xludf.DUMMYFUNCTION("""COMPUTED_VALUE"""),"LandPlane")</f>
        <v>LandPlane</v>
      </c>
      <c r="E1875" s="5" t="str">
        <f ca="1">IFERROR(__xludf.DUMMYFUNCTION("""COMPUTED_VALUE"""),"Turboprop/Turboshaft")</f>
        <v>Turboprop/Turboshaft</v>
      </c>
      <c r="F1875" s="5">
        <f ca="1">IFERROR(__xludf.DUMMYFUNCTION("""COMPUTED_VALUE"""),2)</f>
        <v>2</v>
      </c>
    </row>
    <row r="1876" spans="1:6" ht="15" customHeight="1" x14ac:dyDescent="0.2">
      <c r="A1876" s="5" t="str">
        <f ca="1">IFERROR(__xludf.DUMMYFUNCTION("""COMPUTED_VALUE"""),"PAY4")</f>
        <v>PAY4</v>
      </c>
      <c r="B1876" s="5" t="str">
        <f ca="1">IFERROR(__xludf.DUMMYFUNCTION("""COMPUTED_VALUE"""),"PIPER")</f>
        <v>PIPER</v>
      </c>
      <c r="C1876" s="5" t="str">
        <f ca="1">IFERROR(__xludf.DUMMYFUNCTION("""COMPUTED_VALUE"""),"PA-42-1000 Cheyenne 400")</f>
        <v>PA-42-1000 Cheyenne 400</v>
      </c>
      <c r="D1876" s="5" t="str">
        <f ca="1">IFERROR(__xludf.DUMMYFUNCTION("""COMPUTED_VALUE"""),"LandPlane")</f>
        <v>LandPlane</v>
      </c>
      <c r="E1876" s="5" t="str">
        <f ca="1">IFERROR(__xludf.DUMMYFUNCTION("""COMPUTED_VALUE"""),"Turboprop/Turboshaft")</f>
        <v>Turboprop/Turboshaft</v>
      </c>
      <c r="F1876" s="5">
        <f ca="1">IFERROR(__xludf.DUMMYFUNCTION("""COMPUTED_VALUE"""),2)</f>
        <v>2</v>
      </c>
    </row>
    <row r="1877" spans="1:6" ht="15" customHeight="1" x14ac:dyDescent="0.2">
      <c r="A1877" s="5" t="str">
        <f ca="1">IFERROR(__xludf.DUMMYFUNCTION("""COMPUTED_VALUE"""),"PC12")</f>
        <v>PC12</v>
      </c>
      <c r="B1877" s="5" t="str">
        <f ca="1">IFERROR(__xludf.DUMMYFUNCTION("""COMPUTED_VALUE"""),"PILATUS")</f>
        <v>PILATUS</v>
      </c>
      <c r="C1877" s="5" t="str">
        <f ca="1">IFERROR(__xludf.DUMMYFUNCTION("""COMPUTED_VALUE"""),"PC-12")</f>
        <v>PC-12</v>
      </c>
      <c r="D1877" s="5" t="str">
        <f ca="1">IFERROR(__xludf.DUMMYFUNCTION("""COMPUTED_VALUE"""),"LandPlane")</f>
        <v>LandPlane</v>
      </c>
      <c r="E1877" s="5" t="str">
        <f ca="1">IFERROR(__xludf.DUMMYFUNCTION("""COMPUTED_VALUE"""),"Turboprop/Turboshaft")</f>
        <v>Turboprop/Turboshaft</v>
      </c>
      <c r="F1877" s="5">
        <f ca="1">IFERROR(__xludf.DUMMYFUNCTION("""COMPUTED_VALUE"""),1)</f>
        <v>1</v>
      </c>
    </row>
    <row r="1878" spans="1:6" ht="15" customHeight="1" x14ac:dyDescent="0.2">
      <c r="A1878" s="5" t="str">
        <f ca="1">IFERROR(__xludf.DUMMYFUNCTION("""COMPUTED_VALUE"""),"PC21")</f>
        <v>PC21</v>
      </c>
      <c r="B1878" s="5" t="str">
        <f ca="1">IFERROR(__xludf.DUMMYFUNCTION("""COMPUTED_VALUE"""),"PILATUS")</f>
        <v>PILATUS</v>
      </c>
      <c r="C1878" s="5" t="str">
        <f ca="1">IFERROR(__xludf.DUMMYFUNCTION("""COMPUTED_VALUE"""),"PC-21")</f>
        <v>PC-21</v>
      </c>
      <c r="D1878" s="5" t="str">
        <f ca="1">IFERROR(__xludf.DUMMYFUNCTION("""COMPUTED_VALUE"""),"LandPlane")</f>
        <v>LandPlane</v>
      </c>
      <c r="E1878" s="5" t="str">
        <f ca="1">IFERROR(__xludf.DUMMYFUNCTION("""COMPUTED_VALUE"""),"Turboprop/Turboshaft")</f>
        <v>Turboprop/Turboshaft</v>
      </c>
      <c r="F1878" s="5">
        <f ca="1">IFERROR(__xludf.DUMMYFUNCTION("""COMPUTED_VALUE"""),1)</f>
        <v>1</v>
      </c>
    </row>
    <row r="1879" spans="1:6" ht="15" customHeight="1" x14ac:dyDescent="0.2">
      <c r="A1879" s="5" t="str">
        <f ca="1">IFERROR(__xludf.DUMMYFUNCTION("""COMPUTED_VALUE"""),"PC24")</f>
        <v>PC24</v>
      </c>
      <c r="B1879" s="5" t="str">
        <f ca="1">IFERROR(__xludf.DUMMYFUNCTION("""COMPUTED_VALUE"""),"PILATUS")</f>
        <v>PILATUS</v>
      </c>
      <c r="C1879" s="5" t="str">
        <f ca="1">IFERROR(__xludf.DUMMYFUNCTION("""COMPUTED_VALUE"""),"PC-24")</f>
        <v>PC-24</v>
      </c>
      <c r="D1879" s="5" t="str">
        <f ca="1">IFERROR(__xludf.DUMMYFUNCTION("""COMPUTED_VALUE"""),"LandPlane")</f>
        <v>LandPlane</v>
      </c>
      <c r="E1879" s="5" t="str">
        <f ca="1">IFERROR(__xludf.DUMMYFUNCTION("""COMPUTED_VALUE"""),"Jet")</f>
        <v>Jet</v>
      </c>
      <c r="F1879" s="5">
        <f ca="1">IFERROR(__xludf.DUMMYFUNCTION("""COMPUTED_VALUE"""),2)</f>
        <v>2</v>
      </c>
    </row>
    <row r="1880" spans="1:6" ht="15" customHeight="1" x14ac:dyDescent="0.2">
      <c r="A1880" s="5" t="str">
        <f ca="1">IFERROR(__xludf.DUMMYFUNCTION("""COMPUTED_VALUE"""),"PC6P")</f>
        <v>PC6P</v>
      </c>
      <c r="B1880" s="5" t="str">
        <f ca="1">IFERROR(__xludf.DUMMYFUNCTION("""COMPUTED_VALUE"""),"PILATUS")</f>
        <v>PILATUS</v>
      </c>
      <c r="C1880" s="5" t="str">
        <f ca="1">IFERROR(__xludf.DUMMYFUNCTION("""COMPUTED_VALUE"""),"PC-6 Porter")</f>
        <v>PC-6 Porter</v>
      </c>
      <c r="D1880" s="5" t="str">
        <f ca="1">IFERROR(__xludf.DUMMYFUNCTION("""COMPUTED_VALUE"""),"LandPlane")</f>
        <v>LandPlane</v>
      </c>
      <c r="E1880" s="5" t="str">
        <f ca="1">IFERROR(__xludf.DUMMYFUNCTION("""COMPUTED_VALUE"""),"Piston")</f>
        <v>Piston</v>
      </c>
      <c r="F1880" s="5">
        <f ca="1">IFERROR(__xludf.DUMMYFUNCTION("""COMPUTED_VALUE"""),1)</f>
        <v>1</v>
      </c>
    </row>
    <row r="1881" spans="1:6" ht="15" customHeight="1" x14ac:dyDescent="0.2">
      <c r="A1881" s="5" t="str">
        <f ca="1">IFERROR(__xludf.DUMMYFUNCTION("""COMPUTED_VALUE"""),"PC6T")</f>
        <v>PC6T</v>
      </c>
      <c r="B1881" s="5" t="str">
        <f ca="1">IFERROR(__xludf.DUMMYFUNCTION("""COMPUTED_VALUE"""),"PILATUS")</f>
        <v>PILATUS</v>
      </c>
      <c r="C1881" s="5" t="str">
        <f ca="1">IFERROR(__xludf.DUMMYFUNCTION("""COMPUTED_VALUE"""),"PC-6C Turbo-Porter")</f>
        <v>PC-6C Turbo-Porter</v>
      </c>
      <c r="D1881" s="5" t="str">
        <f ca="1">IFERROR(__xludf.DUMMYFUNCTION("""COMPUTED_VALUE"""),"LandPlane")</f>
        <v>LandPlane</v>
      </c>
      <c r="E1881" s="5" t="str">
        <f ca="1">IFERROR(__xludf.DUMMYFUNCTION("""COMPUTED_VALUE"""),"Turboprop/Turboshaft")</f>
        <v>Turboprop/Turboshaft</v>
      </c>
      <c r="F1881" s="5">
        <f ca="1">IFERROR(__xludf.DUMMYFUNCTION("""COMPUTED_VALUE"""),1)</f>
        <v>1</v>
      </c>
    </row>
    <row r="1882" spans="1:6" ht="15" customHeight="1" x14ac:dyDescent="0.2">
      <c r="A1882" s="5" t="str">
        <f ca="1">IFERROR(__xludf.DUMMYFUNCTION("""COMPUTED_VALUE"""),"PC7")</f>
        <v>PC7</v>
      </c>
      <c r="B1882" s="5" t="str">
        <f ca="1">IFERROR(__xludf.DUMMYFUNCTION("""COMPUTED_VALUE"""),"PILATUS")</f>
        <v>PILATUS</v>
      </c>
      <c r="C1882" s="5" t="str">
        <f ca="1">IFERROR(__xludf.DUMMYFUNCTION("""COMPUTED_VALUE"""),"PC-7 Astra")</f>
        <v>PC-7 Astra</v>
      </c>
      <c r="D1882" s="5" t="str">
        <f ca="1">IFERROR(__xludf.DUMMYFUNCTION("""COMPUTED_VALUE"""),"LandPlane")</f>
        <v>LandPlane</v>
      </c>
      <c r="E1882" s="5" t="str">
        <f ca="1">IFERROR(__xludf.DUMMYFUNCTION("""COMPUTED_VALUE"""),"Turboprop/Turboshaft")</f>
        <v>Turboprop/Turboshaft</v>
      </c>
      <c r="F1882" s="5">
        <f ca="1">IFERROR(__xludf.DUMMYFUNCTION("""COMPUTED_VALUE"""),1)</f>
        <v>1</v>
      </c>
    </row>
    <row r="1883" spans="1:6" ht="15" customHeight="1" x14ac:dyDescent="0.2">
      <c r="A1883" s="5" t="str">
        <f ca="1">IFERROR(__xludf.DUMMYFUNCTION("""COMPUTED_VALUE"""),"PC9")</f>
        <v>PC9</v>
      </c>
      <c r="B1883" s="5" t="str">
        <f ca="1">IFERROR(__xludf.DUMMYFUNCTION("""COMPUTED_VALUE"""),"PILATUS")</f>
        <v>PILATUS</v>
      </c>
      <c r="C1883" s="5" t="str">
        <f ca="1">IFERROR(__xludf.DUMMYFUNCTION("""COMPUTED_VALUE"""),"PC-9")</f>
        <v>PC-9</v>
      </c>
      <c r="D1883" s="5" t="str">
        <f ca="1">IFERROR(__xludf.DUMMYFUNCTION("""COMPUTED_VALUE"""),"LandPlane")</f>
        <v>LandPlane</v>
      </c>
      <c r="E1883" s="5" t="str">
        <f ca="1">IFERROR(__xludf.DUMMYFUNCTION("""COMPUTED_VALUE"""),"Turboprop/Turboshaft")</f>
        <v>Turboprop/Turboshaft</v>
      </c>
      <c r="F1883" s="5">
        <f ca="1">IFERROR(__xludf.DUMMYFUNCTION("""COMPUTED_VALUE"""),1)</f>
        <v>1</v>
      </c>
    </row>
    <row r="1884" spans="1:6" ht="15" customHeight="1" x14ac:dyDescent="0.2">
      <c r="A1884" s="5" t="str">
        <f ca="1">IFERROR(__xludf.DUMMYFUNCTION("""COMPUTED_VALUE"""),"PCA2")</f>
        <v>PCA2</v>
      </c>
      <c r="B1884" s="5" t="str">
        <f ca="1">IFERROR(__xludf.DUMMYFUNCTION("""COMPUTED_VALUE"""),"PITCAIRN-CIERVA")</f>
        <v>PITCAIRN-CIERVA</v>
      </c>
      <c r="C1884" s="5" t="str">
        <f ca="1">IFERROR(__xludf.DUMMYFUNCTION("""COMPUTED_VALUE"""),"PCA-2")</f>
        <v>PCA-2</v>
      </c>
      <c r="D1884" s="5" t="str">
        <f ca="1">IFERROR(__xludf.DUMMYFUNCTION("""COMPUTED_VALUE"""),"Gyrocopter")</f>
        <v>Gyrocopter</v>
      </c>
      <c r="E1884" s="5" t="str">
        <f ca="1">IFERROR(__xludf.DUMMYFUNCTION("""COMPUTED_VALUE"""),"Piston")</f>
        <v>Piston</v>
      </c>
      <c r="F1884" s="5">
        <f ca="1">IFERROR(__xludf.DUMMYFUNCTION("""COMPUTED_VALUE"""),1)</f>
        <v>1</v>
      </c>
    </row>
    <row r="1885" spans="1:6" ht="15" customHeight="1" x14ac:dyDescent="0.2">
      <c r="A1885" s="5" t="str">
        <f ca="1">IFERROR(__xludf.DUMMYFUNCTION("""COMPUTED_VALUE"""),"PDIG")</f>
        <v>PDIG</v>
      </c>
      <c r="B1885" s="5" t="str">
        <f ca="1">IFERROR(__xludf.DUMMYFUNCTION("""COMPUTED_VALUE"""),"VSTOL")</f>
        <v>VSTOL</v>
      </c>
      <c r="C1885" s="5" t="str">
        <f ca="1">IFERROR(__xludf.DUMMYFUNCTION("""COMPUTED_VALUE"""),"SST-2000 Pairadigm")</f>
        <v>SST-2000 Pairadigm</v>
      </c>
      <c r="D1885" s="5" t="str">
        <f ca="1">IFERROR(__xludf.DUMMYFUNCTION("""COMPUTED_VALUE"""),"LandPlane")</f>
        <v>LandPlane</v>
      </c>
      <c r="E1885" s="5" t="str">
        <f ca="1">IFERROR(__xludf.DUMMYFUNCTION("""COMPUTED_VALUE"""),"Piston")</f>
        <v>Piston</v>
      </c>
      <c r="F1885" s="5">
        <f ca="1">IFERROR(__xludf.DUMMYFUNCTION("""COMPUTED_VALUE"""),2)</f>
        <v>2</v>
      </c>
    </row>
    <row r="1886" spans="1:6" ht="15" customHeight="1" x14ac:dyDescent="0.2">
      <c r="A1886" s="5" t="str">
        <f ca="1">IFERROR(__xludf.DUMMYFUNCTION("""COMPUTED_VALUE"""),"PECR")</f>
        <v>PECR</v>
      </c>
      <c r="B1886" s="5" t="str">
        <f ca="1">IFERROR(__xludf.DUMMYFUNCTION("""COMPUTED_VALUE"""),"PRO-COMPOSITES")</f>
        <v>PRO-COMPOSITES</v>
      </c>
      <c r="C1886" s="5" t="str">
        <f ca="1">IFERROR(__xludf.DUMMYFUNCTION("""COMPUTED_VALUE"""),"Personal Cruiser")</f>
        <v>Personal Cruiser</v>
      </c>
      <c r="D1886" s="5" t="str">
        <f ca="1">IFERROR(__xludf.DUMMYFUNCTION("""COMPUTED_VALUE"""),"LandPlane")</f>
        <v>LandPlane</v>
      </c>
      <c r="E1886" s="5" t="str">
        <f ca="1">IFERROR(__xludf.DUMMYFUNCTION("""COMPUTED_VALUE"""),"Piston")</f>
        <v>Piston</v>
      </c>
      <c r="F1886" s="5">
        <f ca="1">IFERROR(__xludf.DUMMYFUNCTION("""COMPUTED_VALUE"""),1)</f>
        <v>1</v>
      </c>
    </row>
    <row r="1887" spans="1:6" ht="15" customHeight="1" x14ac:dyDescent="0.2">
      <c r="A1887" s="5" t="str">
        <f ca="1">IFERROR(__xludf.DUMMYFUNCTION("""COMPUTED_VALUE"""),"PEGA")</f>
        <v>PEGA</v>
      </c>
      <c r="B1887" s="5" t="str">
        <f ca="1">IFERROR(__xludf.DUMMYFUNCTION("""COMPUTED_VALUE"""),"GENERAL AVIA")</f>
        <v>GENERAL AVIA</v>
      </c>
      <c r="C1887" s="5" t="str">
        <f ca="1">IFERROR(__xludf.DUMMYFUNCTION("""COMPUTED_VALUE"""),"F-20 Pegaso")</f>
        <v>F-20 Pegaso</v>
      </c>
      <c r="D1887" s="5" t="str">
        <f ca="1">IFERROR(__xludf.DUMMYFUNCTION("""COMPUTED_VALUE"""),"LandPlane")</f>
        <v>LandPlane</v>
      </c>
      <c r="E1887" s="5" t="str">
        <f ca="1">IFERROR(__xludf.DUMMYFUNCTION("""COMPUTED_VALUE"""),"Piston")</f>
        <v>Piston</v>
      </c>
      <c r="F1887" s="5">
        <f ca="1">IFERROR(__xludf.DUMMYFUNCTION("""COMPUTED_VALUE"""),2)</f>
        <v>2</v>
      </c>
    </row>
    <row r="1888" spans="1:6" ht="15" customHeight="1" x14ac:dyDescent="0.2">
      <c r="A1888" s="5" t="str">
        <f ca="1">IFERROR(__xludf.DUMMYFUNCTION("""COMPUTED_VALUE"""),"PEGZ")</f>
        <v>PEGZ</v>
      </c>
      <c r="B1888" s="5" t="str">
        <f ca="1">IFERROR(__xludf.DUMMYFUNCTION("""COMPUTED_VALUE"""),"PEGASE AERO")</f>
        <v>PEGASE AERO</v>
      </c>
      <c r="C1888" s="5" t="str">
        <f ca="1">IFERROR(__xludf.DUMMYFUNCTION("""COMPUTED_VALUE"""),"Pegazair")</f>
        <v>Pegazair</v>
      </c>
      <c r="D1888" s="5" t="str">
        <f ca="1">IFERROR(__xludf.DUMMYFUNCTION("""COMPUTED_VALUE"""),"LandPlane")</f>
        <v>LandPlane</v>
      </c>
      <c r="E1888" s="5" t="str">
        <f ca="1">IFERROR(__xludf.DUMMYFUNCTION("""COMPUTED_VALUE"""),"Piston")</f>
        <v>Piston</v>
      </c>
      <c r="F1888" s="5">
        <f ca="1">IFERROR(__xludf.DUMMYFUNCTION("""COMPUTED_VALUE"""),1)</f>
        <v>1</v>
      </c>
    </row>
    <row r="1889" spans="1:6" ht="15" customHeight="1" x14ac:dyDescent="0.2">
      <c r="A1889" s="5" t="str">
        <f ca="1">IFERROR(__xludf.DUMMYFUNCTION("""COMPUTED_VALUE"""),"PELI")</f>
        <v>PELI</v>
      </c>
      <c r="B1889" s="5" t="str">
        <f ca="1">IFERROR(__xludf.DUMMYFUNCTION("""COMPUTED_VALUE"""),"ULTRAVIA")</f>
        <v>ULTRAVIA</v>
      </c>
      <c r="C1889" s="5" t="str">
        <f ca="1">IFERROR(__xludf.DUMMYFUNCTION("""COMPUTED_VALUE"""),"Pelican")</f>
        <v>Pelican</v>
      </c>
      <c r="D1889" s="5" t="str">
        <f ca="1">IFERROR(__xludf.DUMMYFUNCTION("""COMPUTED_VALUE"""),"LandPlane")</f>
        <v>LandPlane</v>
      </c>
      <c r="E1889" s="5" t="str">
        <f ca="1">IFERROR(__xludf.DUMMYFUNCTION("""COMPUTED_VALUE"""),"Piston")</f>
        <v>Piston</v>
      </c>
      <c r="F1889" s="5">
        <f ca="1">IFERROR(__xludf.DUMMYFUNCTION("""COMPUTED_VALUE"""),1)</f>
        <v>1</v>
      </c>
    </row>
    <row r="1890" spans="1:6" ht="15" customHeight="1" x14ac:dyDescent="0.2">
      <c r="A1890" s="5" t="str">
        <f ca="1">IFERROR(__xludf.DUMMYFUNCTION("""COMPUTED_VALUE"""),"PEMB")</f>
        <v>PEMB</v>
      </c>
      <c r="B1890" s="5" t="str">
        <f ca="1">IFERROR(__xludf.DUMMYFUNCTION("""COMPUTED_VALUE"""),"PERCIVAL")</f>
        <v>PERCIVAL</v>
      </c>
      <c r="C1890" s="5" t="str">
        <f ca="1">IFERROR(__xludf.DUMMYFUNCTION("""COMPUTED_VALUE"""),"P-66 Pembroke")</f>
        <v>P-66 Pembroke</v>
      </c>
      <c r="D1890" s="5" t="str">
        <f ca="1">IFERROR(__xludf.DUMMYFUNCTION("""COMPUTED_VALUE"""),"LandPlane")</f>
        <v>LandPlane</v>
      </c>
      <c r="E1890" s="5" t="str">
        <f ca="1">IFERROR(__xludf.DUMMYFUNCTION("""COMPUTED_VALUE"""),"Piston")</f>
        <v>Piston</v>
      </c>
      <c r="F1890" s="5">
        <f ca="1">IFERROR(__xludf.DUMMYFUNCTION("""COMPUTED_VALUE"""),2)</f>
        <v>2</v>
      </c>
    </row>
    <row r="1891" spans="1:6" ht="15" customHeight="1" x14ac:dyDescent="0.2">
      <c r="A1891" s="5" t="str">
        <f ca="1">IFERROR(__xludf.DUMMYFUNCTION("""COMPUTED_VALUE"""),"PETL")</f>
        <v>PETL</v>
      </c>
      <c r="B1891" s="5" t="str">
        <f ca="1">IFERROR(__xludf.DUMMYFUNCTION("""COMPUTED_VALUE"""),"AERO ITBA")</f>
        <v>AERO ITBA</v>
      </c>
      <c r="C1891" s="5" t="str">
        <f ca="1">IFERROR(__xludf.DUMMYFUNCTION("""COMPUTED_VALUE"""),"Petrel")</f>
        <v>Petrel</v>
      </c>
      <c r="D1891" s="5" t="str">
        <f ca="1">IFERROR(__xludf.DUMMYFUNCTION("""COMPUTED_VALUE"""),"LandPlane")</f>
        <v>LandPlane</v>
      </c>
      <c r="E1891" s="5" t="str">
        <f ca="1">IFERROR(__xludf.DUMMYFUNCTION("""COMPUTED_VALUE"""),"Piston")</f>
        <v>Piston</v>
      </c>
      <c r="F1891" s="5">
        <f ca="1">IFERROR(__xludf.DUMMYFUNCTION("""COMPUTED_VALUE"""),1)</f>
        <v>1</v>
      </c>
    </row>
    <row r="1892" spans="1:6" ht="15" customHeight="1" x14ac:dyDescent="0.2">
      <c r="A1892" s="5" t="str">
        <f ca="1">IFERROR(__xludf.DUMMYFUNCTION("""COMPUTED_VALUE"""),"PETR")</f>
        <v>PETR</v>
      </c>
      <c r="B1892" s="5" t="str">
        <f ca="1">IFERROR(__xludf.DUMMYFUNCTION("""COMPUTED_VALUE"""),"EDRA")</f>
        <v>EDRA</v>
      </c>
      <c r="C1892" s="5" t="str">
        <f ca="1">IFERROR(__xludf.DUMMYFUNCTION("""COMPUTED_VALUE"""),"Super Petrel")</f>
        <v>Super Petrel</v>
      </c>
      <c r="D1892" s="5" t="str">
        <f ca="1">IFERROR(__xludf.DUMMYFUNCTION("""COMPUTED_VALUE"""),"Amphibian")</f>
        <v>Amphibian</v>
      </c>
      <c r="E1892" s="5" t="str">
        <f ca="1">IFERROR(__xludf.DUMMYFUNCTION("""COMPUTED_VALUE"""),"Piston")</f>
        <v>Piston</v>
      </c>
      <c r="F1892" s="5">
        <f ca="1">IFERROR(__xludf.DUMMYFUNCTION("""COMPUTED_VALUE"""),1)</f>
        <v>1</v>
      </c>
    </row>
    <row r="1893" spans="1:6" ht="15" customHeight="1" x14ac:dyDescent="0.2">
      <c r="A1893" s="5" t="str">
        <f ca="1">IFERROR(__xludf.DUMMYFUNCTION("""COMPUTED_VALUE"""),"PGEE")</f>
        <v>PGEE</v>
      </c>
      <c r="B1893" s="5" t="str">
        <f ca="1">IFERROR(__xludf.DUMMYFUNCTION("""COMPUTED_VALUE"""),"HOLCOMB")</f>
        <v>HOLCOMB</v>
      </c>
      <c r="C1893" s="5" t="str">
        <f ca="1">IFERROR(__xludf.DUMMYFUNCTION("""COMPUTED_VALUE"""),"Perigee")</f>
        <v>Perigee</v>
      </c>
      <c r="D1893" s="5" t="str">
        <f ca="1">IFERROR(__xludf.DUMMYFUNCTION("""COMPUTED_VALUE"""),"LandPlane")</f>
        <v>LandPlane</v>
      </c>
      <c r="E1893" s="5" t="str">
        <f ca="1">IFERROR(__xludf.DUMMYFUNCTION("""COMPUTED_VALUE"""),"Piston")</f>
        <v>Piston</v>
      </c>
      <c r="F1893" s="5">
        <f ca="1">IFERROR(__xludf.DUMMYFUNCTION("""COMPUTED_VALUE"""),1)</f>
        <v>1</v>
      </c>
    </row>
    <row r="1894" spans="1:6" ht="15" customHeight="1" x14ac:dyDescent="0.2">
      <c r="A1894" s="5" t="str">
        <f ca="1">IFERROR(__xludf.DUMMYFUNCTION("""COMPUTED_VALUE"""),"PGK1")</f>
        <v>PGK1</v>
      </c>
      <c r="B1894" s="5" t="str">
        <f ca="1">IFERROR(__xludf.DUMMYFUNCTION("""COMPUTED_VALUE"""),"WESTERN")</f>
        <v>WESTERN</v>
      </c>
      <c r="C1894" s="5" t="str">
        <f ca="1">IFERROR(__xludf.DUMMYFUNCTION("""COMPUTED_VALUE"""),"PGK-1 Hirondelle")</f>
        <v>PGK-1 Hirondelle</v>
      </c>
      <c r="D1894" s="5" t="str">
        <f ca="1">IFERROR(__xludf.DUMMYFUNCTION("""COMPUTED_VALUE"""),"LandPlane")</f>
        <v>LandPlane</v>
      </c>
      <c r="E1894" s="5" t="str">
        <f ca="1">IFERROR(__xludf.DUMMYFUNCTION("""COMPUTED_VALUE"""),"Piston")</f>
        <v>Piston</v>
      </c>
      <c r="F1894" s="5">
        <f ca="1">IFERROR(__xludf.DUMMYFUNCTION("""COMPUTED_VALUE"""),1)</f>
        <v>1</v>
      </c>
    </row>
    <row r="1895" spans="1:6" ht="15" customHeight="1" x14ac:dyDescent="0.2">
      <c r="A1895" s="5" t="str">
        <f ca="1">IFERROR(__xludf.DUMMYFUNCTION("""COMPUTED_VALUE"""),"PHIL")</f>
        <v>PHIL</v>
      </c>
      <c r="B1895" s="5" t="str">
        <f ca="1">IFERROR(__xludf.DUMMYFUNCTION("""COMPUTED_VALUE"""),"VTOL AIRCRAFT")</f>
        <v>VTOL AIRCRAFT</v>
      </c>
      <c r="C1895" s="5" t="str">
        <f ca="1">IFERROR(__xludf.DUMMYFUNCTION("""COMPUTED_VALUE"""),"Phillicopter")</f>
        <v>Phillicopter</v>
      </c>
      <c r="D1895" s="5" t="str">
        <f ca="1">IFERROR(__xludf.DUMMYFUNCTION("""COMPUTED_VALUE"""),"Helicopter")</f>
        <v>Helicopter</v>
      </c>
      <c r="E1895" s="5" t="str">
        <f ca="1">IFERROR(__xludf.DUMMYFUNCTION("""COMPUTED_VALUE"""),"Piston")</f>
        <v>Piston</v>
      </c>
      <c r="F1895" s="5">
        <f ca="1">IFERROR(__xludf.DUMMYFUNCTION("""COMPUTED_VALUE"""),1)</f>
        <v>1</v>
      </c>
    </row>
    <row r="1896" spans="1:6" ht="15" customHeight="1" x14ac:dyDescent="0.2">
      <c r="A1896" s="5" t="str">
        <f ca="1">IFERROR(__xludf.DUMMYFUNCTION("""COMPUTED_VALUE"""),"PHIX")</f>
        <v>PHIX</v>
      </c>
      <c r="B1896" s="5" t="str">
        <f ca="1">IFERROR(__xludf.DUMMYFUNCTION("""COMPUTED_VALUE"""),"PHENIX")</f>
        <v>PHENIX</v>
      </c>
      <c r="C1896" s="5" t="str">
        <f ca="1">IFERROR(__xludf.DUMMYFUNCTION("""COMPUTED_VALUE"""),"Phenix")</f>
        <v>Phenix</v>
      </c>
      <c r="D1896" s="5" t="str">
        <f ca="1">IFERROR(__xludf.DUMMYFUNCTION("""COMPUTED_VALUE"""),"Gyrocopter")</f>
        <v>Gyrocopter</v>
      </c>
      <c r="E1896" s="5" t="str">
        <f ca="1">IFERROR(__xludf.DUMMYFUNCTION("""COMPUTED_VALUE"""),"Piston")</f>
        <v>Piston</v>
      </c>
      <c r="F1896" s="5">
        <f ca="1">IFERROR(__xludf.DUMMYFUNCTION("""COMPUTED_VALUE"""),1)</f>
        <v>1</v>
      </c>
    </row>
    <row r="1897" spans="1:6" ht="15" customHeight="1" x14ac:dyDescent="0.2">
      <c r="A1897" s="5" t="str">
        <f ca="1">IFERROR(__xludf.DUMMYFUNCTION("""COMPUTED_VALUE"""),"PHNX")</f>
        <v>PHNX</v>
      </c>
      <c r="B1897" s="5" t="str">
        <f ca="1">IFERROR(__xludf.DUMMYFUNCTION("""COMPUTED_VALUE"""),"FREEDOM")</f>
        <v>FREEDOM</v>
      </c>
      <c r="C1897" s="5" t="str">
        <f ca="1">IFERROR(__xludf.DUMMYFUNCTION("""COMPUTED_VALUE"""),"Phoenix")</f>
        <v>Phoenix</v>
      </c>
      <c r="D1897" s="5" t="str">
        <f ca="1">IFERROR(__xludf.DUMMYFUNCTION("""COMPUTED_VALUE"""),"LandPlane")</f>
        <v>LandPlane</v>
      </c>
      <c r="E1897" s="5" t="str">
        <f ca="1">IFERROR(__xludf.DUMMYFUNCTION("""COMPUTED_VALUE"""),"Piston")</f>
        <v>Piston</v>
      </c>
      <c r="F1897" s="5">
        <f ca="1">IFERROR(__xludf.DUMMYFUNCTION("""COMPUTED_VALUE"""),1)</f>
        <v>1</v>
      </c>
    </row>
    <row r="1898" spans="1:6" ht="15" customHeight="1" x14ac:dyDescent="0.2">
      <c r="A1898" s="5" t="str">
        <f ca="1">IFERROR(__xludf.DUMMYFUNCTION("""COMPUTED_VALUE"""),"PIAE")</f>
        <v>PIAE</v>
      </c>
      <c r="B1898" s="5" t="str">
        <f ca="1">IFERROR(__xludf.DUMMYFUNCTION("""COMPUTED_VALUE"""),"PIPISTREL")</f>
        <v>PIPISTREL</v>
      </c>
      <c r="C1898" s="5" t="str">
        <f ca="1">IFERROR(__xludf.DUMMYFUNCTION("""COMPUTED_VALUE"""),"Alpha Electro")</f>
        <v>Alpha Electro</v>
      </c>
      <c r="D1898" s="5" t="str">
        <f ca="1">IFERROR(__xludf.DUMMYFUNCTION("""COMPUTED_VALUE"""),"LandPlane")</f>
        <v>LandPlane</v>
      </c>
      <c r="E1898" s="5" t="str">
        <f ca="1">IFERROR(__xludf.DUMMYFUNCTION("""COMPUTED_VALUE"""),"Electric")</f>
        <v>Electric</v>
      </c>
      <c r="F1898" s="5">
        <f ca="1">IFERROR(__xludf.DUMMYFUNCTION("""COMPUTED_VALUE"""),1)</f>
        <v>1</v>
      </c>
    </row>
    <row r="1899" spans="1:6" ht="15" customHeight="1" x14ac:dyDescent="0.2">
      <c r="A1899" s="5" t="str">
        <f ca="1">IFERROR(__xludf.DUMMYFUNCTION("""COMPUTED_VALUE"""),"PIAT")</f>
        <v>PIAT</v>
      </c>
      <c r="B1899" s="5" t="str">
        <f ca="1">IFERROR(__xludf.DUMMYFUNCTION("""COMPUTED_VALUE"""),"PIPISTREL")</f>
        <v>PIPISTREL</v>
      </c>
      <c r="C1899" s="5" t="str">
        <f ca="1">IFERROR(__xludf.DUMMYFUNCTION("""COMPUTED_VALUE"""),"Alpha Trainer")</f>
        <v>Alpha Trainer</v>
      </c>
      <c r="D1899" s="5" t="str">
        <f ca="1">IFERROR(__xludf.DUMMYFUNCTION("""COMPUTED_VALUE"""),"LandPlane")</f>
        <v>LandPlane</v>
      </c>
      <c r="E1899" s="5" t="str">
        <f ca="1">IFERROR(__xludf.DUMMYFUNCTION("""COMPUTED_VALUE"""),"Piston")</f>
        <v>Piston</v>
      </c>
      <c r="F1899" s="5">
        <f ca="1">IFERROR(__xludf.DUMMYFUNCTION("""COMPUTED_VALUE"""),1)</f>
        <v>1</v>
      </c>
    </row>
    <row r="1900" spans="1:6" ht="15" customHeight="1" x14ac:dyDescent="0.2">
      <c r="A1900" s="5" t="str">
        <f ca="1">IFERROR(__xludf.DUMMYFUNCTION("""COMPUTED_VALUE"""),"PICO")</f>
        <v>PICO</v>
      </c>
      <c r="B1900" s="5" t="str">
        <f ca="1">IFERROR(__xludf.DUMMYFUNCTION("""COMPUTED_VALUE"""),"PROCAER")</f>
        <v>PROCAER</v>
      </c>
      <c r="C1900" s="5" t="str">
        <f ca="1">IFERROR(__xludf.DUMMYFUNCTION("""COMPUTED_VALUE"""),"F-15 Picchio")</f>
        <v>F-15 Picchio</v>
      </c>
      <c r="D1900" s="5" t="str">
        <f ca="1">IFERROR(__xludf.DUMMYFUNCTION("""COMPUTED_VALUE"""),"LandPlane")</f>
        <v>LandPlane</v>
      </c>
      <c r="E1900" s="5" t="str">
        <f ca="1">IFERROR(__xludf.DUMMYFUNCTION("""COMPUTED_VALUE"""),"Piston")</f>
        <v>Piston</v>
      </c>
      <c r="F1900" s="5">
        <f ca="1">IFERROR(__xludf.DUMMYFUNCTION("""COMPUTED_VALUE"""),1)</f>
        <v>1</v>
      </c>
    </row>
    <row r="1901" spans="1:6" ht="15" customHeight="1" x14ac:dyDescent="0.2">
      <c r="A1901" s="5" t="str">
        <f ca="1">IFERROR(__xludf.DUMMYFUNCTION("""COMPUTED_VALUE"""),"PILL")</f>
        <v>PILL</v>
      </c>
      <c r="B1901" s="5" t="str">
        <f ca="1">IFERROR(__xludf.DUMMYFUNCTION("""COMPUTED_VALUE"""),"ENAER")</f>
        <v>ENAER</v>
      </c>
      <c r="C1901" s="5" t="str">
        <f ca="1">IFERROR(__xludf.DUMMYFUNCTION("""COMPUTED_VALUE"""),"T-35A Pillán")</f>
        <v>T-35A Pillán</v>
      </c>
      <c r="D1901" s="5" t="str">
        <f ca="1">IFERROR(__xludf.DUMMYFUNCTION("""COMPUTED_VALUE"""),"LandPlane")</f>
        <v>LandPlane</v>
      </c>
      <c r="E1901" s="5" t="str">
        <f ca="1">IFERROR(__xludf.DUMMYFUNCTION("""COMPUTED_VALUE"""),"Piston")</f>
        <v>Piston</v>
      </c>
      <c r="F1901" s="5">
        <f ca="1">IFERROR(__xludf.DUMMYFUNCTION("""COMPUTED_VALUE"""),1)</f>
        <v>1</v>
      </c>
    </row>
    <row r="1902" spans="1:6" ht="15" customHeight="1" x14ac:dyDescent="0.2">
      <c r="A1902" s="5" t="str">
        <f ca="1">IFERROR(__xludf.DUMMYFUNCTION("""COMPUTED_VALUE"""),"PINO")</f>
        <v>PINO</v>
      </c>
      <c r="B1902" s="5" t="str">
        <f ca="1">IFERROR(__xludf.DUMMYFUNCTION("""COMPUTED_VALUE"""),"GENERAL AVIA")</f>
        <v>GENERAL AVIA</v>
      </c>
      <c r="C1902" s="5" t="str">
        <f ca="1">IFERROR(__xludf.DUMMYFUNCTION("""COMPUTED_VALUE"""),"F-22 Pinguino")</f>
        <v>F-22 Pinguino</v>
      </c>
      <c r="D1902" s="5" t="str">
        <f ca="1">IFERROR(__xludf.DUMMYFUNCTION("""COMPUTED_VALUE"""),"LandPlane")</f>
        <v>LandPlane</v>
      </c>
      <c r="E1902" s="5" t="str">
        <f ca="1">IFERROR(__xludf.DUMMYFUNCTION("""COMPUTED_VALUE"""),"Piston")</f>
        <v>Piston</v>
      </c>
      <c r="F1902" s="5">
        <f ca="1">IFERROR(__xludf.DUMMYFUNCTION("""COMPUTED_VALUE"""),1)</f>
        <v>1</v>
      </c>
    </row>
    <row r="1903" spans="1:6" ht="15" customHeight="1" x14ac:dyDescent="0.2">
      <c r="A1903" s="5" t="str">
        <f ca="1">IFERROR(__xludf.DUMMYFUNCTION("""COMPUTED_VALUE"""),"PIPA")</f>
        <v>PIPA</v>
      </c>
      <c r="B1903" s="5" t="str">
        <f ca="1">IFERROR(__xludf.DUMMYFUNCTION("""COMPUTED_VALUE"""),"PIPISTREL")</f>
        <v>PIPISTREL</v>
      </c>
      <c r="C1903" s="5" t="str">
        <f ca="1">IFERROR(__xludf.DUMMYFUNCTION("""COMPUTED_VALUE"""),"Panthera")</f>
        <v>Panthera</v>
      </c>
      <c r="D1903" s="5" t="str">
        <f ca="1">IFERROR(__xludf.DUMMYFUNCTION("""COMPUTED_VALUE"""),"LandPlane")</f>
        <v>LandPlane</v>
      </c>
      <c r="E1903" s="5" t="str">
        <f ca="1">IFERROR(__xludf.DUMMYFUNCTION("""COMPUTED_VALUE"""),"Piston")</f>
        <v>Piston</v>
      </c>
      <c r="F1903" s="5">
        <f ca="1">IFERROR(__xludf.DUMMYFUNCTION("""COMPUTED_VALUE"""),1)</f>
        <v>1</v>
      </c>
    </row>
    <row r="1904" spans="1:6" ht="15" customHeight="1" x14ac:dyDescent="0.2">
      <c r="A1904" s="5" t="str">
        <f ca="1">IFERROR(__xludf.DUMMYFUNCTION("""COMPUTED_VALUE"""),"PISI")</f>
        <v>PISI</v>
      </c>
      <c r="B1904" s="5" t="str">
        <f ca="1">IFERROR(__xludf.DUMMYFUNCTION("""COMPUTED_VALUE"""),"PIPISTREL")</f>
        <v>PIPISTREL</v>
      </c>
      <c r="C1904" s="5" t="str">
        <f ca="1">IFERROR(__xludf.DUMMYFUNCTION("""COMPUTED_VALUE"""),"Sinus")</f>
        <v>Sinus</v>
      </c>
      <c r="D1904" s="5" t="str">
        <f ca="1">IFERROR(__xludf.DUMMYFUNCTION("""COMPUTED_VALUE"""),"LandPlane")</f>
        <v>LandPlane</v>
      </c>
      <c r="E1904" s="5" t="str">
        <f ca="1">IFERROR(__xludf.DUMMYFUNCTION("""COMPUTED_VALUE"""),"Piston")</f>
        <v>Piston</v>
      </c>
      <c r="F1904" s="5">
        <f ca="1">IFERROR(__xludf.DUMMYFUNCTION("""COMPUTED_VALUE"""),1)</f>
        <v>1</v>
      </c>
    </row>
    <row r="1905" spans="1:6" ht="15" customHeight="1" x14ac:dyDescent="0.2">
      <c r="A1905" s="5" t="str">
        <f ca="1">IFERROR(__xludf.DUMMYFUNCTION("""COMPUTED_VALUE"""),"PIT4")</f>
        <v>PIT4</v>
      </c>
      <c r="B1905" s="5" t="str">
        <f ca="1">IFERROR(__xludf.DUMMYFUNCTION("""COMPUTED_VALUE"""),"PIPISTREL")</f>
        <v>PIPISTREL</v>
      </c>
      <c r="C1905" s="5" t="str">
        <f ca="1">IFERROR(__xludf.DUMMYFUNCTION("""COMPUTED_VALUE"""),"Taurus Electro G4")</f>
        <v>Taurus Electro G4</v>
      </c>
      <c r="D1905" s="5" t="str">
        <f ca="1">IFERROR(__xludf.DUMMYFUNCTION("""COMPUTED_VALUE"""),"LandPlane")</f>
        <v>LandPlane</v>
      </c>
      <c r="E1905" s="5" t="str">
        <f ca="1">IFERROR(__xludf.DUMMYFUNCTION("""COMPUTED_VALUE"""),"Electric")</f>
        <v>Electric</v>
      </c>
      <c r="F1905" s="5">
        <f ca="1">IFERROR(__xludf.DUMMYFUNCTION("""COMPUTED_VALUE"""),1)</f>
        <v>1</v>
      </c>
    </row>
    <row r="1906" spans="1:6" ht="15" customHeight="1" x14ac:dyDescent="0.2">
      <c r="A1906" s="5" t="str">
        <f ca="1">IFERROR(__xludf.DUMMYFUNCTION("""COMPUTED_VALUE"""),"PITA")</f>
        <v>PITA</v>
      </c>
      <c r="B1906" s="5" t="str">
        <f ca="1">IFERROR(__xludf.DUMMYFUNCTION("""COMPUTED_VALUE"""),"PIPISTREL")</f>
        <v>PIPISTREL</v>
      </c>
      <c r="C1906" s="5" t="str">
        <f ca="1">IFERROR(__xludf.DUMMYFUNCTION("""COMPUTED_VALUE"""),"Taurus 503")</f>
        <v>Taurus 503</v>
      </c>
      <c r="D1906" s="5" t="str">
        <f ca="1">IFERROR(__xludf.DUMMYFUNCTION("""COMPUTED_VALUE"""),"LandPlane")</f>
        <v>LandPlane</v>
      </c>
      <c r="E1906" s="5" t="str">
        <f ca="1">IFERROR(__xludf.DUMMYFUNCTION("""COMPUTED_VALUE"""),"Piston")</f>
        <v>Piston</v>
      </c>
      <c r="F1906" s="5">
        <f ca="1">IFERROR(__xludf.DUMMYFUNCTION("""COMPUTED_VALUE"""),1)</f>
        <v>1</v>
      </c>
    </row>
    <row r="1907" spans="1:6" ht="15" customHeight="1" x14ac:dyDescent="0.2">
      <c r="A1907" s="5" t="str">
        <f ca="1">IFERROR(__xludf.DUMMYFUNCTION("""COMPUTED_VALUE"""),"PITE")</f>
        <v>PITE</v>
      </c>
      <c r="B1907" s="5" t="str">
        <f ca="1">IFERROR(__xludf.DUMMYFUNCTION("""COMPUTED_VALUE"""),"PIPISTREL")</f>
        <v>PIPISTREL</v>
      </c>
      <c r="C1907" s="5" t="str">
        <f ca="1">IFERROR(__xludf.DUMMYFUNCTION("""COMPUTED_VALUE"""),"Taurus Electro")</f>
        <v>Taurus Electro</v>
      </c>
      <c r="D1907" s="5" t="str">
        <f ca="1">IFERROR(__xludf.DUMMYFUNCTION("""COMPUTED_VALUE"""),"LandPlane")</f>
        <v>LandPlane</v>
      </c>
      <c r="E1907" s="5" t="str">
        <f ca="1">IFERROR(__xludf.DUMMYFUNCTION("""COMPUTED_VALUE"""),"Electric")</f>
        <v>Electric</v>
      </c>
      <c r="F1907" s="5">
        <f ca="1">IFERROR(__xludf.DUMMYFUNCTION("""COMPUTED_VALUE"""),1)</f>
        <v>1</v>
      </c>
    </row>
    <row r="1908" spans="1:6" ht="15" customHeight="1" x14ac:dyDescent="0.2">
      <c r="A1908" s="5" t="str">
        <f ca="1">IFERROR(__xludf.DUMMYFUNCTION("""COMPUTED_VALUE"""),"PIVE")</f>
        <v>PIVE</v>
      </c>
      <c r="B1908" s="5" t="str">
        <f ca="1">IFERROR(__xludf.DUMMYFUNCTION("""COMPUTED_VALUE"""),"PIPISTREL")</f>
        <v>PIPISTREL</v>
      </c>
      <c r="C1908" s="5" t="str">
        <f ca="1">IFERROR(__xludf.DUMMYFUNCTION("""COMPUTED_VALUE"""),"Velis Electro")</f>
        <v>Velis Electro</v>
      </c>
      <c r="D1908" s="5" t="str">
        <f ca="1">IFERROR(__xludf.DUMMYFUNCTION("""COMPUTED_VALUE"""),"LandPlane")</f>
        <v>LandPlane</v>
      </c>
      <c r="E1908" s="5" t="str">
        <f ca="1">IFERROR(__xludf.DUMMYFUNCTION("""COMPUTED_VALUE"""),"Electric")</f>
        <v>Electric</v>
      </c>
      <c r="F1908" s="5">
        <f ca="1">IFERROR(__xludf.DUMMYFUNCTION("""COMPUTED_VALUE"""),1)</f>
        <v>1</v>
      </c>
    </row>
    <row r="1909" spans="1:6" ht="15" customHeight="1" x14ac:dyDescent="0.2">
      <c r="A1909" s="5" t="str">
        <f ca="1">IFERROR(__xludf.DUMMYFUNCTION("""COMPUTED_VALUE"""),"PIVI")</f>
        <v>PIVI</v>
      </c>
      <c r="B1909" s="5" t="str">
        <f ca="1">IFERROR(__xludf.DUMMYFUNCTION("""COMPUTED_VALUE"""),"PIPISTREL")</f>
        <v>PIPISTREL</v>
      </c>
      <c r="C1909" s="5" t="str">
        <f ca="1">IFERROR(__xludf.DUMMYFUNCTION("""COMPUTED_VALUE"""),"Virus (piston)")</f>
        <v>Virus (piston)</v>
      </c>
      <c r="D1909" s="5" t="str">
        <f ca="1">IFERROR(__xludf.DUMMYFUNCTION("""COMPUTED_VALUE"""),"LandPlane")</f>
        <v>LandPlane</v>
      </c>
      <c r="E1909" s="5" t="str">
        <f ca="1">IFERROR(__xludf.DUMMYFUNCTION("""COMPUTED_VALUE"""),"Piston")</f>
        <v>Piston</v>
      </c>
      <c r="F1909" s="5">
        <f ca="1">IFERROR(__xludf.DUMMYFUNCTION("""COMPUTED_VALUE"""),1)</f>
        <v>1</v>
      </c>
    </row>
    <row r="1910" spans="1:6" ht="15" customHeight="1" x14ac:dyDescent="0.2">
      <c r="A1910" s="5" t="str">
        <f ca="1">IFERROR(__xludf.DUMMYFUNCTION("""COMPUTED_VALUE"""),"PK11")</f>
        <v>PK11</v>
      </c>
      <c r="B1910" s="5" t="str">
        <f ca="1">IFERROR(__xludf.DUMMYFUNCTION("""COMPUTED_VALUE"""),"PIK")</f>
        <v>PIK</v>
      </c>
      <c r="C1910" s="5" t="str">
        <f ca="1">IFERROR(__xludf.DUMMYFUNCTION("""COMPUTED_VALUE"""),"PIK-11 Tumppu")</f>
        <v>PIK-11 Tumppu</v>
      </c>
      <c r="D1910" s="5" t="str">
        <f ca="1">IFERROR(__xludf.DUMMYFUNCTION("""COMPUTED_VALUE"""),"LandPlane")</f>
        <v>LandPlane</v>
      </c>
      <c r="E1910" s="5" t="str">
        <f ca="1">IFERROR(__xludf.DUMMYFUNCTION("""COMPUTED_VALUE"""),"Piston")</f>
        <v>Piston</v>
      </c>
      <c r="F1910" s="5">
        <f ca="1">IFERROR(__xludf.DUMMYFUNCTION("""COMPUTED_VALUE"""),1)</f>
        <v>1</v>
      </c>
    </row>
    <row r="1911" spans="1:6" ht="15" customHeight="1" x14ac:dyDescent="0.2">
      <c r="A1911" s="5" t="str">
        <f ca="1">IFERROR(__xludf.DUMMYFUNCTION("""COMPUTED_VALUE"""),"PK15")</f>
        <v>PK15</v>
      </c>
      <c r="B1911" s="5" t="str">
        <f ca="1">IFERROR(__xludf.DUMMYFUNCTION("""COMPUTED_VALUE"""),"PIK")</f>
        <v>PIK</v>
      </c>
      <c r="C1911" s="5" t="str">
        <f ca="1">IFERROR(__xludf.DUMMYFUNCTION("""COMPUTED_VALUE"""),"PIK-15 Hinu")</f>
        <v>PIK-15 Hinu</v>
      </c>
      <c r="D1911" s="5" t="str">
        <f ca="1">IFERROR(__xludf.DUMMYFUNCTION("""COMPUTED_VALUE"""),"LandPlane")</f>
        <v>LandPlane</v>
      </c>
      <c r="E1911" s="5" t="str">
        <f ca="1">IFERROR(__xludf.DUMMYFUNCTION("""COMPUTED_VALUE"""),"Piston")</f>
        <v>Piston</v>
      </c>
      <c r="F1911" s="5">
        <f ca="1">IFERROR(__xludf.DUMMYFUNCTION("""COMPUTED_VALUE"""),1)</f>
        <v>1</v>
      </c>
    </row>
    <row r="1912" spans="1:6" ht="15" customHeight="1" x14ac:dyDescent="0.2">
      <c r="A1912" s="5" t="str">
        <f ca="1">IFERROR(__xludf.DUMMYFUNCTION("""COMPUTED_VALUE"""),"PK18")</f>
        <v>PK18</v>
      </c>
      <c r="B1912" s="5" t="str">
        <f ca="1">IFERROR(__xludf.DUMMYFUNCTION("""COMPUTED_VALUE"""),"PIK")</f>
        <v>PIK</v>
      </c>
      <c r="C1912" s="5" t="str">
        <f ca="1">IFERROR(__xludf.DUMMYFUNCTION("""COMPUTED_VALUE"""),"PIK-18 Sytky")</f>
        <v>PIK-18 Sytky</v>
      </c>
      <c r="D1912" s="5" t="str">
        <f ca="1">IFERROR(__xludf.DUMMYFUNCTION("""COMPUTED_VALUE"""),"LandPlane")</f>
        <v>LandPlane</v>
      </c>
      <c r="E1912" s="5" t="str">
        <f ca="1">IFERROR(__xludf.DUMMYFUNCTION("""COMPUTED_VALUE"""),"Piston")</f>
        <v>Piston</v>
      </c>
      <c r="F1912" s="5">
        <f ca="1">IFERROR(__xludf.DUMMYFUNCTION("""COMPUTED_VALUE"""),1)</f>
        <v>1</v>
      </c>
    </row>
    <row r="1913" spans="1:6" ht="15" customHeight="1" x14ac:dyDescent="0.2">
      <c r="A1913" s="5" t="str">
        <f ca="1">IFERROR(__xludf.DUMMYFUNCTION("""COMPUTED_VALUE"""),"PK19")</f>
        <v>PK19</v>
      </c>
      <c r="B1913" s="5" t="str">
        <f ca="1">IFERROR(__xludf.DUMMYFUNCTION("""COMPUTED_VALUE"""),"PIK")</f>
        <v>PIK</v>
      </c>
      <c r="C1913" s="5" t="str">
        <f ca="1">IFERROR(__xludf.DUMMYFUNCTION("""COMPUTED_VALUE"""),"PIK-19 Muhinu")</f>
        <v>PIK-19 Muhinu</v>
      </c>
      <c r="D1913" s="5" t="str">
        <f ca="1">IFERROR(__xludf.DUMMYFUNCTION("""COMPUTED_VALUE"""),"LandPlane")</f>
        <v>LandPlane</v>
      </c>
      <c r="E1913" s="5" t="str">
        <f ca="1">IFERROR(__xludf.DUMMYFUNCTION("""COMPUTED_VALUE"""),"Piston")</f>
        <v>Piston</v>
      </c>
      <c r="F1913" s="5">
        <f ca="1">IFERROR(__xludf.DUMMYFUNCTION("""COMPUTED_VALUE"""),1)</f>
        <v>1</v>
      </c>
    </row>
    <row r="1914" spans="1:6" ht="15" customHeight="1" x14ac:dyDescent="0.2">
      <c r="A1914" s="5" t="str">
        <f ca="1">IFERROR(__xludf.DUMMYFUNCTION("""COMPUTED_VALUE"""),"PK20")</f>
        <v>PK20</v>
      </c>
      <c r="B1914" s="5" t="str">
        <f ca="1">IFERROR(__xludf.DUMMYFUNCTION("""COMPUTED_VALUE"""),"PIK")</f>
        <v>PIK</v>
      </c>
      <c r="C1914" s="5" t="str">
        <f ca="1">IFERROR(__xludf.DUMMYFUNCTION("""COMPUTED_VALUE"""),"PIK-20E")</f>
        <v>PIK-20E</v>
      </c>
      <c r="D1914" s="5" t="str">
        <f ca="1">IFERROR(__xludf.DUMMYFUNCTION("""COMPUTED_VALUE"""),"LandPlane")</f>
        <v>LandPlane</v>
      </c>
      <c r="E1914" s="5" t="str">
        <f ca="1">IFERROR(__xludf.DUMMYFUNCTION("""COMPUTED_VALUE"""),"Piston")</f>
        <v>Piston</v>
      </c>
      <c r="F1914" s="5">
        <f ca="1">IFERROR(__xludf.DUMMYFUNCTION("""COMPUTED_VALUE"""),1)</f>
        <v>1</v>
      </c>
    </row>
    <row r="1915" spans="1:6" ht="15" customHeight="1" x14ac:dyDescent="0.2">
      <c r="A1915" s="5" t="str">
        <f ca="1">IFERROR(__xludf.DUMMYFUNCTION("""COMPUTED_VALUE"""),"PK21")</f>
        <v>PK21</v>
      </c>
      <c r="B1915" s="5" t="str">
        <f ca="1">IFERROR(__xludf.DUMMYFUNCTION("""COMPUTED_VALUE"""),"PIK")</f>
        <v>PIK</v>
      </c>
      <c r="C1915" s="5" t="str">
        <f ca="1">IFERROR(__xludf.DUMMYFUNCTION("""COMPUTED_VALUE"""),"PIK-21 Super Sytky")</f>
        <v>PIK-21 Super Sytky</v>
      </c>
      <c r="D1915" s="5" t="str">
        <f ca="1">IFERROR(__xludf.DUMMYFUNCTION("""COMPUTED_VALUE"""),"LandPlane")</f>
        <v>LandPlane</v>
      </c>
      <c r="E1915" s="5" t="str">
        <f ca="1">IFERROR(__xludf.DUMMYFUNCTION("""COMPUTED_VALUE"""),"Piston")</f>
        <v>Piston</v>
      </c>
      <c r="F1915" s="5">
        <f ca="1">IFERROR(__xludf.DUMMYFUNCTION("""COMPUTED_VALUE"""),1)</f>
        <v>1</v>
      </c>
    </row>
    <row r="1916" spans="1:6" ht="15" customHeight="1" x14ac:dyDescent="0.2">
      <c r="A1916" s="5" t="str">
        <f ca="1">IFERROR(__xludf.DUMMYFUNCTION("""COMPUTED_VALUE"""),"PK23")</f>
        <v>PK23</v>
      </c>
      <c r="B1916" s="5" t="str">
        <f ca="1">IFERROR(__xludf.DUMMYFUNCTION("""COMPUTED_VALUE"""),"PIK")</f>
        <v>PIK</v>
      </c>
      <c r="C1916" s="5" t="str">
        <f ca="1">IFERROR(__xludf.DUMMYFUNCTION("""COMPUTED_VALUE"""),"PIK-23 Suhinu")</f>
        <v>PIK-23 Suhinu</v>
      </c>
      <c r="D1916" s="5" t="str">
        <f ca="1">IFERROR(__xludf.DUMMYFUNCTION("""COMPUTED_VALUE"""),"LandPlane")</f>
        <v>LandPlane</v>
      </c>
      <c r="E1916" s="5" t="str">
        <f ca="1">IFERROR(__xludf.DUMMYFUNCTION("""COMPUTED_VALUE"""),"Piston")</f>
        <v>Piston</v>
      </c>
      <c r="F1916" s="5">
        <f ca="1">IFERROR(__xludf.DUMMYFUNCTION("""COMPUTED_VALUE"""),1)</f>
        <v>1</v>
      </c>
    </row>
    <row r="1917" spans="1:6" ht="15" customHeight="1" x14ac:dyDescent="0.2">
      <c r="A1917" s="5" t="str">
        <f ca="1">IFERROR(__xludf.DUMMYFUNCTION("""COMPUTED_VALUE"""),"PK25")</f>
        <v>PK25</v>
      </c>
      <c r="B1917" s="5" t="str">
        <f ca="1">IFERROR(__xludf.DUMMYFUNCTION("""COMPUTED_VALUE"""),"PIK")</f>
        <v>PIK</v>
      </c>
      <c r="C1917" s="5" t="str">
        <f ca="1">IFERROR(__xludf.DUMMYFUNCTION("""COMPUTED_VALUE"""),"PIK-25 Varttimarkka")</f>
        <v>PIK-25 Varttimarkka</v>
      </c>
      <c r="D1917" s="5" t="str">
        <f ca="1">IFERROR(__xludf.DUMMYFUNCTION("""COMPUTED_VALUE"""),"LandPlane")</f>
        <v>LandPlane</v>
      </c>
      <c r="E1917" s="5" t="str">
        <f ca="1">IFERROR(__xludf.DUMMYFUNCTION("""COMPUTED_VALUE"""),"Piston")</f>
        <v>Piston</v>
      </c>
      <c r="F1917" s="5">
        <f ca="1">IFERROR(__xludf.DUMMYFUNCTION("""COMPUTED_VALUE"""),1)</f>
        <v>1</v>
      </c>
    </row>
    <row r="1918" spans="1:6" ht="15" customHeight="1" x14ac:dyDescent="0.2">
      <c r="A1918" s="5" t="str">
        <f ca="1">IFERROR(__xludf.DUMMYFUNCTION("""COMPUTED_VALUE"""),"PK25")</f>
        <v>PK25</v>
      </c>
      <c r="B1918" s="5" t="str">
        <f ca="1">IFERROR(__xludf.DUMMYFUNCTION("""COMPUTED_VALUE"""),"PIK")</f>
        <v>PIK</v>
      </c>
      <c r="C1918" s="5" t="str">
        <f ca="1">IFERROR(__xludf.DUMMYFUNCTION("""COMPUTED_VALUE"""),"Varttimarkka")</f>
        <v>Varttimarkka</v>
      </c>
      <c r="D1918" s="5" t="str">
        <f ca="1">IFERROR(__xludf.DUMMYFUNCTION("""COMPUTED_VALUE"""),"LandPlane")</f>
        <v>LandPlane</v>
      </c>
      <c r="E1918" s="5" t="str">
        <f ca="1">IFERROR(__xludf.DUMMYFUNCTION("""COMPUTED_VALUE"""),"Piston")</f>
        <v>Piston</v>
      </c>
      <c r="F1918" s="5">
        <f ca="1">IFERROR(__xludf.DUMMYFUNCTION("""COMPUTED_VALUE"""),1)</f>
        <v>1</v>
      </c>
    </row>
    <row r="1919" spans="1:6" ht="15" customHeight="1" x14ac:dyDescent="0.2">
      <c r="A1919" s="5" t="str">
        <f ca="1">IFERROR(__xludf.DUMMYFUNCTION("""COMPUTED_VALUE"""),"PKAN")</f>
        <v>PKAN</v>
      </c>
      <c r="B1919" s="5" t="str">
        <f ca="1">IFERROR(__xludf.DUMMYFUNCTION("""COMPUTED_VALUE"""),"UETZ")</f>
        <v>UETZ</v>
      </c>
      <c r="C1919" s="5" t="str">
        <f ca="1">IFERROR(__xludf.DUMMYFUNCTION("""COMPUTED_VALUE"""),"U-3M Pelikan")</f>
        <v>U-3M Pelikan</v>
      </c>
      <c r="D1919" s="5" t="str">
        <f ca="1">IFERROR(__xludf.DUMMYFUNCTION("""COMPUTED_VALUE"""),"LandPlane")</f>
        <v>LandPlane</v>
      </c>
      <c r="E1919" s="5" t="str">
        <f ca="1">IFERROR(__xludf.DUMMYFUNCTION("""COMPUTED_VALUE"""),"Piston")</f>
        <v>Piston</v>
      </c>
      <c r="F1919" s="5">
        <f ca="1">IFERROR(__xludf.DUMMYFUNCTION("""COMPUTED_VALUE"""),1)</f>
        <v>1</v>
      </c>
    </row>
    <row r="1920" spans="1:6" ht="15" customHeight="1" x14ac:dyDescent="0.2">
      <c r="A1920" s="5" t="str">
        <f ca="1">IFERROR(__xludf.DUMMYFUNCTION("""COMPUTED_VALUE"""),"PL1")</f>
        <v>PL1</v>
      </c>
      <c r="B1920" s="5" t="str">
        <f ca="1">IFERROR(__xludf.DUMMYFUNCTION("""COMPUTED_VALUE"""),"PAZMANY")</f>
        <v>PAZMANY</v>
      </c>
      <c r="C1920" s="5" t="str">
        <f ca="1">IFERROR(__xludf.DUMMYFUNCTION("""COMPUTED_VALUE"""),"PL-1 Laminar")</f>
        <v>PL-1 Laminar</v>
      </c>
      <c r="D1920" s="5" t="str">
        <f ca="1">IFERROR(__xludf.DUMMYFUNCTION("""COMPUTED_VALUE"""),"LandPlane")</f>
        <v>LandPlane</v>
      </c>
      <c r="E1920" s="5" t="str">
        <f ca="1">IFERROR(__xludf.DUMMYFUNCTION("""COMPUTED_VALUE"""),"Piston")</f>
        <v>Piston</v>
      </c>
      <c r="F1920" s="5">
        <f ca="1">IFERROR(__xludf.DUMMYFUNCTION("""COMPUTED_VALUE"""),1)</f>
        <v>1</v>
      </c>
    </row>
    <row r="1921" spans="1:6" ht="15" customHeight="1" x14ac:dyDescent="0.2">
      <c r="A1921" s="5" t="str">
        <f ca="1">IFERROR(__xludf.DUMMYFUNCTION("""COMPUTED_VALUE"""),"PL12")</f>
        <v>PL12</v>
      </c>
      <c r="B1921" s="5" t="str">
        <f ca="1">IFERROR(__xludf.DUMMYFUNCTION("""COMPUTED_VALUE"""),"TRANSAVIA")</f>
        <v>TRANSAVIA</v>
      </c>
      <c r="C1921" s="5" t="str">
        <f ca="1">IFERROR(__xludf.DUMMYFUNCTION("""COMPUTED_VALUE"""),"PL-12 Airtruk")</f>
        <v>PL-12 Airtruk</v>
      </c>
      <c r="D1921" s="5" t="str">
        <f ca="1">IFERROR(__xludf.DUMMYFUNCTION("""COMPUTED_VALUE"""),"LandPlane")</f>
        <v>LandPlane</v>
      </c>
      <c r="E1921" s="5" t="str">
        <f ca="1">IFERROR(__xludf.DUMMYFUNCTION("""COMPUTED_VALUE"""),"Piston")</f>
        <v>Piston</v>
      </c>
      <c r="F1921" s="5">
        <f ca="1">IFERROR(__xludf.DUMMYFUNCTION("""COMPUTED_VALUE"""),1)</f>
        <v>1</v>
      </c>
    </row>
    <row r="1922" spans="1:6" ht="15" customHeight="1" x14ac:dyDescent="0.2">
      <c r="A1922" s="5" t="str">
        <f ca="1">IFERROR(__xludf.DUMMYFUNCTION("""COMPUTED_VALUE"""),"PL2")</f>
        <v>PL2</v>
      </c>
      <c r="B1922" s="5" t="str">
        <f ca="1">IFERROR(__xludf.DUMMYFUNCTION("""COMPUTED_VALUE"""),"PAZMANY")</f>
        <v>PAZMANY</v>
      </c>
      <c r="C1922" s="5" t="str">
        <f ca="1">IFERROR(__xludf.DUMMYFUNCTION("""COMPUTED_VALUE"""),"PL-2")</f>
        <v>PL-2</v>
      </c>
      <c r="D1922" s="5" t="str">
        <f ca="1">IFERROR(__xludf.DUMMYFUNCTION("""COMPUTED_VALUE"""),"LandPlane")</f>
        <v>LandPlane</v>
      </c>
      <c r="E1922" s="5" t="str">
        <f ca="1">IFERROR(__xludf.DUMMYFUNCTION("""COMPUTED_VALUE"""),"Piston")</f>
        <v>Piston</v>
      </c>
      <c r="F1922" s="5">
        <f ca="1">IFERROR(__xludf.DUMMYFUNCTION("""COMPUTED_VALUE"""),1)</f>
        <v>1</v>
      </c>
    </row>
    <row r="1923" spans="1:6" ht="15" customHeight="1" x14ac:dyDescent="0.2">
      <c r="A1923" s="5" t="str">
        <f ca="1">IFERROR(__xludf.DUMMYFUNCTION("""COMPUTED_VALUE"""),"PL4")</f>
        <v>PL4</v>
      </c>
      <c r="B1923" s="5" t="str">
        <f ca="1">IFERROR(__xludf.DUMMYFUNCTION("""COMPUTED_VALUE"""),"PAZMANY")</f>
        <v>PAZMANY</v>
      </c>
      <c r="C1923" s="5" t="str">
        <f ca="1">IFERROR(__xludf.DUMMYFUNCTION("""COMPUTED_VALUE"""),"PL-4")</f>
        <v>PL-4</v>
      </c>
      <c r="D1923" s="5" t="str">
        <f ca="1">IFERROR(__xludf.DUMMYFUNCTION("""COMPUTED_VALUE"""),"LandPlane")</f>
        <v>LandPlane</v>
      </c>
      <c r="E1923" s="5" t="str">
        <f ca="1">IFERROR(__xludf.DUMMYFUNCTION("""COMPUTED_VALUE"""),"Piston")</f>
        <v>Piston</v>
      </c>
      <c r="F1923" s="5">
        <f ca="1">IFERROR(__xludf.DUMMYFUNCTION("""COMPUTED_VALUE"""),1)</f>
        <v>1</v>
      </c>
    </row>
    <row r="1924" spans="1:6" ht="15" customHeight="1" x14ac:dyDescent="0.2">
      <c r="A1924" s="5" t="str">
        <f ca="1">IFERROR(__xludf.DUMMYFUNCTION("""COMPUTED_VALUE"""),"PL9")</f>
        <v>PL9</v>
      </c>
      <c r="B1924" s="5" t="str">
        <f ca="1">IFERROR(__xludf.DUMMYFUNCTION("""COMPUTED_VALUE"""),"PAZMANY")</f>
        <v>PAZMANY</v>
      </c>
      <c r="C1924" s="5" t="str">
        <f ca="1">IFERROR(__xludf.DUMMYFUNCTION("""COMPUTED_VALUE"""),"PL-9 Stork")</f>
        <v>PL-9 Stork</v>
      </c>
      <c r="D1924" s="5" t="str">
        <f ca="1">IFERROR(__xludf.DUMMYFUNCTION("""COMPUTED_VALUE"""),"LandPlane")</f>
        <v>LandPlane</v>
      </c>
      <c r="E1924" s="5" t="str">
        <f ca="1">IFERROR(__xludf.DUMMYFUNCTION("""COMPUTED_VALUE"""),"Piston")</f>
        <v>Piston</v>
      </c>
      <c r="F1924" s="5">
        <f ca="1">IFERROR(__xludf.DUMMYFUNCTION("""COMPUTED_VALUE"""),1)</f>
        <v>1</v>
      </c>
    </row>
    <row r="1925" spans="1:6" ht="15" customHeight="1" x14ac:dyDescent="0.2">
      <c r="A1925" s="5" t="str">
        <f ca="1">IFERROR(__xludf.DUMMYFUNCTION("""COMPUTED_VALUE"""),"PLUS")</f>
        <v>PLUS</v>
      </c>
      <c r="B1925" s="5" t="str">
        <f ca="1">IFERROR(__xludf.DUMMYFUNCTION("""COMPUTED_VALUE"""),"TAYLORCRAFT (2)")</f>
        <v>TAYLORCRAFT (2)</v>
      </c>
      <c r="C1925" s="5" t="str">
        <f ca="1">IFERROR(__xludf.DUMMYFUNCTION("""COMPUTED_VALUE"""),"Plus C")</f>
        <v>Plus C</v>
      </c>
      <c r="D1925" s="5" t="str">
        <f ca="1">IFERROR(__xludf.DUMMYFUNCTION("""COMPUTED_VALUE"""),"LandPlane")</f>
        <v>LandPlane</v>
      </c>
      <c r="E1925" s="5" t="str">
        <f ca="1">IFERROR(__xludf.DUMMYFUNCTION("""COMPUTED_VALUE"""),"Piston")</f>
        <v>Piston</v>
      </c>
      <c r="F1925" s="5">
        <f ca="1">IFERROR(__xludf.DUMMYFUNCTION("""COMPUTED_VALUE"""),1)</f>
        <v>1</v>
      </c>
    </row>
    <row r="1926" spans="1:6" ht="15" customHeight="1" x14ac:dyDescent="0.2">
      <c r="A1926" s="5" t="str">
        <f ca="1">IFERROR(__xludf.DUMMYFUNCTION("""COMPUTED_VALUE"""),"PNR2")</f>
        <v>PNR2</v>
      </c>
      <c r="B1926" s="5" t="str">
        <f ca="1">IFERROR(__xludf.DUMMYFUNCTION("""COMPUTED_VALUE"""),"ALPI")</f>
        <v>ALPI</v>
      </c>
      <c r="C1926" s="5" t="str">
        <f ca="1">IFERROR(__xludf.DUMMYFUNCTION("""COMPUTED_VALUE"""),"Pioneer 200")</f>
        <v>Pioneer 200</v>
      </c>
      <c r="D1926" s="5" t="str">
        <f ca="1">IFERROR(__xludf.DUMMYFUNCTION("""COMPUTED_VALUE"""),"LandPlane")</f>
        <v>LandPlane</v>
      </c>
      <c r="E1926" s="5" t="str">
        <f ca="1">IFERROR(__xludf.DUMMYFUNCTION("""COMPUTED_VALUE"""),"Piston")</f>
        <v>Piston</v>
      </c>
      <c r="F1926" s="5">
        <f ca="1">IFERROR(__xludf.DUMMYFUNCTION("""COMPUTED_VALUE"""),1)</f>
        <v>1</v>
      </c>
    </row>
    <row r="1927" spans="1:6" ht="15" customHeight="1" x14ac:dyDescent="0.2">
      <c r="A1927" s="5" t="str">
        <f ca="1">IFERROR(__xludf.DUMMYFUNCTION("""COMPUTED_VALUE"""),"PNR3")</f>
        <v>PNR3</v>
      </c>
      <c r="B1927" s="5" t="str">
        <f ca="1">IFERROR(__xludf.DUMMYFUNCTION("""COMPUTED_VALUE"""),"ALPI")</f>
        <v>ALPI</v>
      </c>
      <c r="C1927" s="5" t="str">
        <f ca="1">IFERROR(__xludf.DUMMYFUNCTION("""COMPUTED_VALUE"""),"Pioneer 300")</f>
        <v>Pioneer 300</v>
      </c>
      <c r="D1927" s="5" t="str">
        <f ca="1">IFERROR(__xludf.DUMMYFUNCTION("""COMPUTED_VALUE"""),"LandPlane")</f>
        <v>LandPlane</v>
      </c>
      <c r="E1927" s="5" t="str">
        <f ca="1">IFERROR(__xludf.DUMMYFUNCTION("""COMPUTED_VALUE"""),"Piston")</f>
        <v>Piston</v>
      </c>
      <c r="F1927" s="5">
        <f ca="1">IFERROR(__xludf.DUMMYFUNCTION("""COMPUTED_VALUE"""),1)</f>
        <v>1</v>
      </c>
    </row>
    <row r="1928" spans="1:6" ht="15" customHeight="1" x14ac:dyDescent="0.2">
      <c r="A1928" s="5" t="str">
        <f ca="1">IFERROR(__xludf.DUMMYFUNCTION("""COMPUTED_VALUE"""),"PNR4")</f>
        <v>PNR4</v>
      </c>
      <c r="B1928" s="5" t="str">
        <f ca="1">IFERROR(__xludf.DUMMYFUNCTION("""COMPUTED_VALUE"""),"ALPI")</f>
        <v>ALPI</v>
      </c>
      <c r="C1928" s="5" t="str">
        <f ca="1">IFERROR(__xludf.DUMMYFUNCTION("""COMPUTED_VALUE"""),"Pioneer 400")</f>
        <v>Pioneer 400</v>
      </c>
      <c r="D1928" s="5" t="str">
        <f ca="1">IFERROR(__xludf.DUMMYFUNCTION("""COMPUTED_VALUE"""),"LandPlane")</f>
        <v>LandPlane</v>
      </c>
      <c r="E1928" s="5" t="str">
        <f ca="1">IFERROR(__xludf.DUMMYFUNCTION("""COMPUTED_VALUE"""),"Piston")</f>
        <v>Piston</v>
      </c>
      <c r="F1928" s="5">
        <f ca="1">IFERROR(__xludf.DUMMYFUNCTION("""COMPUTED_VALUE"""),1)</f>
        <v>1</v>
      </c>
    </row>
    <row r="1929" spans="1:6" ht="15" customHeight="1" x14ac:dyDescent="0.2">
      <c r="A1929" s="5" t="str">
        <f ca="1">IFERROR(__xludf.DUMMYFUNCTION("""COMPUTED_VALUE"""),"PNTH")</f>
        <v>PNTH</v>
      </c>
      <c r="B1929" s="5" t="str">
        <f ca="1">IFERROR(__xludf.DUMMYFUNCTION("""COMPUTED_VALUE"""),"SPORT PERFORMANCE")</f>
        <v>SPORT PERFORMANCE</v>
      </c>
      <c r="C1929" s="5" t="str">
        <f ca="1">IFERROR(__xludf.DUMMYFUNCTION("""COMPUTED_VALUE"""),"Panther")</f>
        <v>Panther</v>
      </c>
      <c r="D1929" s="5" t="str">
        <f ca="1">IFERROR(__xludf.DUMMYFUNCTION("""COMPUTED_VALUE"""),"LandPlane")</f>
        <v>LandPlane</v>
      </c>
      <c r="E1929" s="5" t="str">
        <f ca="1">IFERROR(__xludf.DUMMYFUNCTION("""COMPUTED_VALUE"""),"Piston")</f>
        <v>Piston</v>
      </c>
      <c r="F1929" s="5">
        <f ca="1">IFERROR(__xludf.DUMMYFUNCTION("""COMPUTED_VALUE"""),1)</f>
        <v>1</v>
      </c>
    </row>
    <row r="1930" spans="1:6" ht="15" customHeight="1" x14ac:dyDescent="0.2">
      <c r="A1930" s="5" t="str">
        <f ca="1">IFERROR(__xludf.DUMMYFUNCTION("""COMPUTED_VALUE"""),"PO2")</f>
        <v>PO2</v>
      </c>
      <c r="B1930" s="5" t="str">
        <f ca="1">IFERROR(__xludf.DUMMYFUNCTION("""COMPUTED_VALUE"""),"POLIKARPOV")</f>
        <v>POLIKARPOV</v>
      </c>
      <c r="C1930" s="5" t="str">
        <f ca="1">IFERROR(__xludf.DUMMYFUNCTION("""COMPUTED_VALUE"""),"Po-2")</f>
        <v>Po-2</v>
      </c>
      <c r="D1930" s="5" t="str">
        <f ca="1">IFERROR(__xludf.DUMMYFUNCTION("""COMPUTED_VALUE"""),"LandPlane")</f>
        <v>LandPlane</v>
      </c>
      <c r="E1930" s="5" t="str">
        <f ca="1">IFERROR(__xludf.DUMMYFUNCTION("""COMPUTED_VALUE"""),"Piston")</f>
        <v>Piston</v>
      </c>
      <c r="F1930" s="5">
        <f ca="1">IFERROR(__xludf.DUMMYFUNCTION("""COMPUTED_VALUE"""),1)</f>
        <v>1</v>
      </c>
    </row>
    <row r="1931" spans="1:6" ht="15" customHeight="1" x14ac:dyDescent="0.2">
      <c r="A1931" s="5" t="str">
        <f ca="1">IFERROR(__xludf.DUMMYFUNCTION("""COMPUTED_VALUE"""),"PO60")</f>
        <v>PO60</v>
      </c>
      <c r="B1931" s="5" t="str">
        <f ca="1">IFERROR(__xludf.DUMMYFUNCTION("""COMPUTED_VALUE"""),"POTEZ")</f>
        <v>POTEZ</v>
      </c>
      <c r="C1931" s="5" t="str">
        <f ca="1">IFERROR(__xludf.DUMMYFUNCTION("""COMPUTED_VALUE"""),"60 Sauterelle")</f>
        <v>60 Sauterelle</v>
      </c>
      <c r="D1931" s="5" t="str">
        <f ca="1">IFERROR(__xludf.DUMMYFUNCTION("""COMPUTED_VALUE"""),"LandPlane")</f>
        <v>LandPlane</v>
      </c>
      <c r="E1931" s="5" t="str">
        <f ca="1">IFERROR(__xludf.DUMMYFUNCTION("""COMPUTED_VALUE"""),"Piston")</f>
        <v>Piston</v>
      </c>
      <c r="F1931" s="5">
        <f ca="1">IFERROR(__xludf.DUMMYFUNCTION("""COMPUTED_VALUE"""),1)</f>
        <v>1</v>
      </c>
    </row>
    <row r="1932" spans="1:6" ht="15" customHeight="1" x14ac:dyDescent="0.2">
      <c r="A1932" s="5" t="str">
        <f ca="1">IFERROR(__xludf.DUMMYFUNCTION("""COMPUTED_VALUE"""),"POLI")</f>
        <v>POLI</v>
      </c>
      <c r="B1932" s="5" t="str">
        <f ca="1">IFERROR(__xludf.DUMMYFUNCTION("""COMPUTED_VALUE"""),"ALVAREZ")</f>
        <v>ALVAREZ</v>
      </c>
      <c r="C1932" s="5" t="str">
        <f ca="1">IFERROR(__xludf.DUMMYFUNCTION("""COMPUTED_VALUE"""),"Polliwagen")</f>
        <v>Polliwagen</v>
      </c>
      <c r="D1932" s="5" t="str">
        <f ca="1">IFERROR(__xludf.DUMMYFUNCTION("""COMPUTED_VALUE"""),"LandPlane")</f>
        <v>LandPlane</v>
      </c>
      <c r="E1932" s="5" t="str">
        <f ca="1">IFERROR(__xludf.DUMMYFUNCTION("""COMPUTED_VALUE"""),"Piston")</f>
        <v>Piston</v>
      </c>
      <c r="F1932" s="5">
        <f ca="1">IFERROR(__xludf.DUMMYFUNCTION("""COMPUTED_VALUE"""),1)</f>
        <v>1</v>
      </c>
    </row>
    <row r="1933" spans="1:6" ht="15" customHeight="1" x14ac:dyDescent="0.2">
      <c r="A1933" s="5" t="str">
        <f ca="1">IFERROR(__xludf.DUMMYFUNCTION("""COMPUTED_VALUE"""),"PONY")</f>
        <v>PONY</v>
      </c>
      <c r="B1933" s="5" t="str">
        <f ca="1">IFERROR(__xludf.DUMMYFUNCTION("""COMPUTED_VALUE"""),"REDA")</f>
        <v>REDA</v>
      </c>
      <c r="C1933" s="5" t="str">
        <f ca="1">IFERROR(__xludf.DUMMYFUNCTION("""COMPUTED_VALUE"""),"Pony")</f>
        <v>Pony</v>
      </c>
      <c r="D1933" s="5" t="str">
        <f ca="1">IFERROR(__xludf.DUMMYFUNCTION("""COMPUTED_VALUE"""),"Amphibian")</f>
        <v>Amphibian</v>
      </c>
      <c r="E1933" s="5" t="str">
        <f ca="1">IFERROR(__xludf.DUMMYFUNCTION("""COMPUTED_VALUE"""),"Piston")</f>
        <v>Piston</v>
      </c>
      <c r="F1933" s="5">
        <f ca="1">IFERROR(__xludf.DUMMYFUNCTION("""COMPUTED_VALUE"""),1)</f>
        <v>1</v>
      </c>
    </row>
    <row r="1934" spans="1:6" ht="15" customHeight="1" x14ac:dyDescent="0.2">
      <c r="A1934" s="5" t="str">
        <f ca="1">IFERROR(__xludf.DUMMYFUNCTION("""COMPUTED_VALUE"""),"PP2")</f>
        <v>PP2</v>
      </c>
      <c r="B1934" s="5" t="str">
        <f ca="1">IFERROR(__xludf.DUMMYFUNCTION("""COMPUTED_VALUE"""),"PILATUS")</f>
        <v>PILATUS</v>
      </c>
      <c r="C1934" s="5" t="str">
        <f ca="1">IFERROR(__xludf.DUMMYFUNCTION("""COMPUTED_VALUE"""),"P-2")</f>
        <v>P-2</v>
      </c>
      <c r="D1934" s="5" t="str">
        <f ca="1">IFERROR(__xludf.DUMMYFUNCTION("""COMPUTED_VALUE"""),"LandPlane")</f>
        <v>LandPlane</v>
      </c>
      <c r="E1934" s="5" t="str">
        <f ca="1">IFERROR(__xludf.DUMMYFUNCTION("""COMPUTED_VALUE"""),"Piston")</f>
        <v>Piston</v>
      </c>
      <c r="F1934" s="5">
        <f ca="1">IFERROR(__xludf.DUMMYFUNCTION("""COMPUTED_VALUE"""),1)</f>
        <v>1</v>
      </c>
    </row>
    <row r="1935" spans="1:6" ht="15" customHeight="1" x14ac:dyDescent="0.2">
      <c r="A1935" s="5" t="str">
        <f ca="1">IFERROR(__xludf.DUMMYFUNCTION("""COMPUTED_VALUE"""),"PP3")</f>
        <v>PP3</v>
      </c>
      <c r="B1935" s="5" t="str">
        <f ca="1">IFERROR(__xludf.DUMMYFUNCTION("""COMPUTED_VALUE"""),"PILATUS")</f>
        <v>PILATUS</v>
      </c>
      <c r="C1935" s="5" t="str">
        <f ca="1">IFERROR(__xludf.DUMMYFUNCTION("""COMPUTED_VALUE"""),"P-3")</f>
        <v>P-3</v>
      </c>
      <c r="D1935" s="5" t="str">
        <f ca="1">IFERROR(__xludf.DUMMYFUNCTION("""COMPUTED_VALUE"""),"LandPlane")</f>
        <v>LandPlane</v>
      </c>
      <c r="E1935" s="5" t="str">
        <f ca="1">IFERROR(__xludf.DUMMYFUNCTION("""COMPUTED_VALUE"""),"Piston")</f>
        <v>Piston</v>
      </c>
      <c r="F1935" s="5">
        <f ca="1">IFERROR(__xludf.DUMMYFUNCTION("""COMPUTED_VALUE"""),1)</f>
        <v>1</v>
      </c>
    </row>
    <row r="1936" spans="1:6" ht="15" customHeight="1" x14ac:dyDescent="0.2">
      <c r="A1936" s="5" t="str">
        <f ca="1">IFERROR(__xludf.DUMMYFUNCTION("""COMPUTED_VALUE"""),"PPRO")</f>
        <v>PPRO</v>
      </c>
      <c r="B1936" s="5" t="str">
        <f ca="1">IFERROR(__xludf.DUMMYFUNCTION("""COMPUTED_VALUE"""),"PERCIVAL")</f>
        <v>PERCIVAL</v>
      </c>
      <c r="C1936" s="5" t="str">
        <f ca="1">IFERROR(__xludf.DUMMYFUNCTION("""COMPUTED_VALUE"""),"P-56 Provost")</f>
        <v>P-56 Provost</v>
      </c>
      <c r="D1936" s="5" t="str">
        <f ca="1">IFERROR(__xludf.DUMMYFUNCTION("""COMPUTED_VALUE"""),"LandPlane")</f>
        <v>LandPlane</v>
      </c>
      <c r="E1936" s="5" t="str">
        <f ca="1">IFERROR(__xludf.DUMMYFUNCTION("""COMPUTED_VALUE"""),"Piston")</f>
        <v>Piston</v>
      </c>
      <c r="F1936" s="5">
        <f ca="1">IFERROR(__xludf.DUMMYFUNCTION("""COMPUTED_VALUE"""),1)</f>
        <v>1</v>
      </c>
    </row>
    <row r="1937" spans="1:6" ht="15" customHeight="1" x14ac:dyDescent="0.2">
      <c r="A1937" s="5" t="str">
        <f ca="1">IFERROR(__xludf.DUMMYFUNCTION("""COMPUTED_VALUE"""),"PRBP")</f>
        <v>PRBP</v>
      </c>
      <c r="B1937" s="5" t="str">
        <f ca="1">IFERROR(__xludf.DUMMYFUNCTION("""COMPUTED_VALUE"""),"HOWARD HUGHES")</f>
        <v>HOWARD HUGHES</v>
      </c>
      <c r="C1937" s="5" t="str">
        <f ca="1">IFERROR(__xludf.DUMMYFUNCTION("""COMPUTED_VALUE"""),"Pocket Rocket PR-Bipe")</f>
        <v>Pocket Rocket PR-Bipe</v>
      </c>
      <c r="D1937" s="5" t="str">
        <f ca="1">IFERROR(__xludf.DUMMYFUNCTION("""COMPUTED_VALUE"""),"LandPlane")</f>
        <v>LandPlane</v>
      </c>
      <c r="E1937" s="5" t="str">
        <f ca="1">IFERROR(__xludf.DUMMYFUNCTION("""COMPUTED_VALUE"""),"Piston")</f>
        <v>Piston</v>
      </c>
      <c r="F1937" s="5">
        <f ca="1">IFERROR(__xludf.DUMMYFUNCTION("""COMPUTED_VALUE"""),1)</f>
        <v>1</v>
      </c>
    </row>
    <row r="1938" spans="1:6" ht="15" customHeight="1" x14ac:dyDescent="0.2">
      <c r="A1938" s="5" t="str">
        <f ca="1">IFERROR(__xludf.DUMMYFUNCTION("""COMPUTED_VALUE"""),"PRBR")</f>
        <v>PRBR</v>
      </c>
      <c r="B1938" s="5" t="str">
        <f ca="1">IFERROR(__xludf.DUMMYFUNCTION("""COMPUTED_VALUE"""),"HOWARD HUGHES")</f>
        <v>HOWARD HUGHES</v>
      </c>
      <c r="C1938" s="5" t="str">
        <f ca="1">IFERROR(__xludf.DUMMYFUNCTION("""COMPUTED_VALUE"""),"Pocket Rocket PR-Breeze")</f>
        <v>Pocket Rocket PR-Breeze</v>
      </c>
      <c r="D1938" s="5" t="str">
        <f ca="1">IFERROR(__xludf.DUMMYFUNCTION("""COMPUTED_VALUE"""),"LandPlane")</f>
        <v>LandPlane</v>
      </c>
      <c r="E1938" s="5" t="str">
        <f ca="1">IFERROR(__xludf.DUMMYFUNCTION("""COMPUTED_VALUE"""),"Piston")</f>
        <v>Piston</v>
      </c>
      <c r="F1938" s="5">
        <f ca="1">IFERROR(__xludf.DUMMYFUNCTION("""COMPUTED_VALUE"""),1)</f>
        <v>1</v>
      </c>
    </row>
    <row r="1939" spans="1:6" ht="15" customHeight="1" x14ac:dyDescent="0.2">
      <c r="A1939" s="5" t="str">
        <f ca="1">IFERROR(__xludf.DUMMYFUNCTION("""COMPUTED_VALUE"""),"PRCE")</f>
        <v>PRCE</v>
      </c>
      <c r="B1939" s="5" t="str">
        <f ca="1">IFERROR(__xludf.DUMMYFUNCTION("""COMPUTED_VALUE"""),"PERCIVAL")</f>
        <v>PERCIVAL</v>
      </c>
      <c r="C1939" s="5" t="str">
        <f ca="1">IFERROR(__xludf.DUMMYFUNCTION("""COMPUTED_VALUE"""),"P-57 Sea Prince")</f>
        <v>P-57 Sea Prince</v>
      </c>
      <c r="D1939" s="5" t="str">
        <f ca="1">IFERROR(__xludf.DUMMYFUNCTION("""COMPUTED_VALUE"""),"LandPlane")</f>
        <v>LandPlane</v>
      </c>
      <c r="E1939" s="5" t="str">
        <f ca="1">IFERROR(__xludf.DUMMYFUNCTION("""COMPUTED_VALUE"""),"Piston")</f>
        <v>Piston</v>
      </c>
      <c r="F1939" s="5">
        <f ca="1">IFERROR(__xludf.DUMMYFUNCTION("""COMPUTED_VALUE"""),2)</f>
        <v>2</v>
      </c>
    </row>
    <row r="1940" spans="1:6" ht="15" customHeight="1" x14ac:dyDescent="0.2">
      <c r="A1940" s="5" t="str">
        <f ca="1">IFERROR(__xludf.DUMMYFUNCTION("""COMPUTED_VALUE"""),"PREN")</f>
        <v>PREN</v>
      </c>
      <c r="B1940" s="5" t="str">
        <f ca="1">IFERROR(__xludf.DUMMYFUNCTION("""COMPUTED_VALUE"""),"PERCIVAL")</f>
        <v>PERCIVAL</v>
      </c>
      <c r="C1940" s="5" t="str">
        <f ca="1">IFERROR(__xludf.DUMMYFUNCTION("""COMPUTED_VALUE"""),"P-40 Prentice")</f>
        <v>P-40 Prentice</v>
      </c>
      <c r="D1940" s="5" t="str">
        <f ca="1">IFERROR(__xludf.DUMMYFUNCTION("""COMPUTED_VALUE"""),"LandPlane")</f>
        <v>LandPlane</v>
      </c>
      <c r="E1940" s="5" t="str">
        <f ca="1">IFERROR(__xludf.DUMMYFUNCTION("""COMPUTED_VALUE"""),"Piston")</f>
        <v>Piston</v>
      </c>
      <c r="F1940" s="5">
        <f ca="1">IFERROR(__xludf.DUMMYFUNCTION("""COMPUTED_VALUE"""),1)</f>
        <v>1</v>
      </c>
    </row>
    <row r="1941" spans="1:6" ht="15" customHeight="1" x14ac:dyDescent="0.2">
      <c r="A1941" s="5" t="str">
        <f ca="1">IFERROR(__xludf.DUMMYFUNCTION("""COMPUTED_VALUE"""),"PRET")</f>
        <v>PRET</v>
      </c>
      <c r="B1941" s="5" t="str">
        <f ca="1">IFERROR(__xludf.DUMMYFUNCTION("""COMPUTED_VALUE"""),"GM&amp;T")</f>
        <v>GM&amp;T</v>
      </c>
      <c r="C1941" s="5" t="str">
        <f ca="1">IFERROR(__xludf.DUMMYFUNCTION("""COMPUTED_VALUE"""),"GM&amp;T Pretty Flight")</f>
        <v>GM&amp;T Pretty Flight</v>
      </c>
      <c r="D1941" s="5" t="str">
        <f ca="1">IFERROR(__xludf.DUMMYFUNCTION("""COMPUTED_VALUE"""),"LandPlane")</f>
        <v>LandPlane</v>
      </c>
      <c r="E1941" s="5" t="str">
        <f ca="1">IFERROR(__xludf.DUMMYFUNCTION("""COMPUTED_VALUE"""),"Piston")</f>
        <v>Piston</v>
      </c>
      <c r="F1941" s="5">
        <f ca="1">IFERROR(__xludf.DUMMYFUNCTION("""COMPUTED_VALUE"""),1)</f>
        <v>1</v>
      </c>
    </row>
    <row r="1942" spans="1:6" ht="15" customHeight="1" x14ac:dyDescent="0.2">
      <c r="A1942" s="5" t="str">
        <f ca="1">IFERROR(__xludf.DUMMYFUNCTION("""COMPUTED_VALUE"""),"PREX")</f>
        <v>PREX</v>
      </c>
      <c r="B1942" s="5" t="str">
        <f ca="1">IFERROR(__xludf.DUMMYFUNCTION("""COMPUTED_VALUE"""),"PRIVATE EXPLORER")</f>
        <v>PRIVATE EXPLORER</v>
      </c>
      <c r="C1942" s="5" t="str">
        <f ca="1">IFERROR(__xludf.DUMMYFUNCTION("""COMPUTED_VALUE"""),"Private Explorer")</f>
        <v>Private Explorer</v>
      </c>
      <c r="D1942" s="5" t="str">
        <f ca="1">IFERROR(__xludf.DUMMYFUNCTION("""COMPUTED_VALUE"""),"LandPlane")</f>
        <v>LandPlane</v>
      </c>
      <c r="E1942" s="5" t="str">
        <f ca="1">IFERROR(__xludf.DUMMYFUNCTION("""COMPUTED_VALUE"""),"Piston")</f>
        <v>Piston</v>
      </c>
      <c r="F1942" s="5">
        <f ca="1">IFERROR(__xludf.DUMMYFUNCTION("""COMPUTED_VALUE"""),1)</f>
        <v>1</v>
      </c>
    </row>
    <row r="1943" spans="1:6" ht="15" customHeight="1" x14ac:dyDescent="0.2">
      <c r="A1943" s="5" t="str">
        <f ca="1">IFERROR(__xludf.DUMMYFUNCTION("""COMPUTED_VALUE"""),"PRIM")</f>
        <v>PRIM</v>
      </c>
      <c r="B1943" s="5" t="str">
        <f ca="1">IFERROR(__xludf.DUMMYFUNCTION("""COMPUTED_VALUE"""),"BLACKSHAPE")</f>
        <v>BLACKSHAPE</v>
      </c>
      <c r="C1943" s="5" t="str">
        <f ca="1">IFERROR(__xludf.DUMMYFUNCTION("""COMPUTED_VALUE"""),"Bk-100 Prime")</f>
        <v>Bk-100 Prime</v>
      </c>
      <c r="D1943" s="5" t="str">
        <f ca="1">IFERROR(__xludf.DUMMYFUNCTION("""COMPUTED_VALUE"""),"LandPlane")</f>
        <v>LandPlane</v>
      </c>
      <c r="E1943" s="5" t="str">
        <f ca="1">IFERROR(__xludf.DUMMYFUNCTION("""COMPUTED_VALUE"""),"Piston")</f>
        <v>Piston</v>
      </c>
      <c r="F1943" s="5">
        <f ca="1">IFERROR(__xludf.DUMMYFUNCTION("""COMPUTED_VALUE"""),1)</f>
        <v>1</v>
      </c>
    </row>
    <row r="1944" spans="1:6" ht="15" customHeight="1" x14ac:dyDescent="0.2">
      <c r="A1944" s="5" t="str">
        <f ca="1">IFERROR(__xludf.DUMMYFUNCTION("""COMPUTED_VALUE"""),"PRM1")</f>
        <v>PRM1</v>
      </c>
      <c r="B1944" s="5" t="str">
        <f ca="1">IFERROR(__xludf.DUMMYFUNCTION("""COMPUTED_VALUE"""),"HAWKER BEECHCRAFT")</f>
        <v>HAWKER BEECHCRAFT</v>
      </c>
      <c r="C1944" s="5" t="str">
        <f ca="1">IFERROR(__xludf.DUMMYFUNCTION("""COMPUTED_VALUE"""),"390 Premier 1")</f>
        <v>390 Premier 1</v>
      </c>
      <c r="D1944" s="5" t="str">
        <f ca="1">IFERROR(__xludf.DUMMYFUNCTION("""COMPUTED_VALUE"""),"LandPlane")</f>
        <v>LandPlane</v>
      </c>
      <c r="E1944" s="5" t="str">
        <f ca="1">IFERROR(__xludf.DUMMYFUNCTION("""COMPUTED_VALUE"""),"Jet")</f>
        <v>Jet</v>
      </c>
      <c r="F1944" s="5">
        <f ca="1">IFERROR(__xludf.DUMMYFUNCTION("""COMPUTED_VALUE"""),2)</f>
        <v>2</v>
      </c>
    </row>
    <row r="1945" spans="1:6" ht="15" customHeight="1" x14ac:dyDescent="0.2">
      <c r="A1945" s="5" t="str">
        <f ca="1">IFERROR(__xludf.DUMMYFUNCTION("""COMPUTED_VALUE"""),"PROC")</f>
        <v>PROC</v>
      </c>
      <c r="B1945" s="5" t="str">
        <f ca="1">IFERROR(__xludf.DUMMYFUNCTION("""COMPUTED_VALUE"""),"PERCIVAL")</f>
        <v>PERCIVAL</v>
      </c>
      <c r="C1945" s="5" t="str">
        <f ca="1">IFERROR(__xludf.DUMMYFUNCTION("""COMPUTED_VALUE"""),"P-28 Proctor")</f>
        <v>P-28 Proctor</v>
      </c>
      <c r="D1945" s="5" t="str">
        <f ca="1">IFERROR(__xludf.DUMMYFUNCTION("""COMPUTED_VALUE"""),"LandPlane")</f>
        <v>LandPlane</v>
      </c>
      <c r="E1945" s="5" t="str">
        <f ca="1">IFERROR(__xludf.DUMMYFUNCTION("""COMPUTED_VALUE"""),"Piston")</f>
        <v>Piston</v>
      </c>
      <c r="F1945" s="5">
        <f ca="1">IFERROR(__xludf.DUMMYFUNCTION("""COMPUTED_VALUE"""),1)</f>
        <v>1</v>
      </c>
    </row>
    <row r="1946" spans="1:6" ht="15" customHeight="1" x14ac:dyDescent="0.2">
      <c r="A1946" s="5" t="str">
        <f ca="1">IFERROR(__xludf.DUMMYFUNCTION("""COMPUTED_VALUE"""),"PROT")</f>
        <v>PROT</v>
      </c>
      <c r="B1946" s="5" t="str">
        <f ca="1">IFERROR(__xludf.DUMMYFUNCTION("""COMPUTED_VALUE"""),"CZAW")</f>
        <v>CZAW</v>
      </c>
      <c r="C1946" s="5" t="str">
        <f ca="1">IFERROR(__xludf.DUMMYFUNCTION("""COMPUTED_VALUE"""),"Parrot")</f>
        <v>Parrot</v>
      </c>
      <c r="D1946" s="5" t="str">
        <f ca="1">IFERROR(__xludf.DUMMYFUNCTION("""COMPUTED_VALUE"""),"LandPlane")</f>
        <v>LandPlane</v>
      </c>
      <c r="E1946" s="5" t="str">
        <f ca="1">IFERROR(__xludf.DUMMYFUNCTION("""COMPUTED_VALUE"""),"Piston")</f>
        <v>Piston</v>
      </c>
      <c r="F1946" s="5">
        <f ca="1">IFERROR(__xludf.DUMMYFUNCTION("""COMPUTED_VALUE"""),1)</f>
        <v>1</v>
      </c>
    </row>
    <row r="1947" spans="1:6" ht="15" customHeight="1" x14ac:dyDescent="0.2">
      <c r="A1947" s="5" t="str">
        <f ca="1">IFERROR(__xludf.DUMMYFUNCTION("""COMPUTED_VALUE"""),"PROW")</f>
        <v>PROW</v>
      </c>
      <c r="B1947" s="5" t="str">
        <f ca="1">IFERROR(__xludf.DUMMYFUNCTION("""COMPUTED_VALUE"""),"PROWLER")</f>
        <v>PROWLER</v>
      </c>
      <c r="C1947" s="5" t="str">
        <f ca="1">IFERROR(__xludf.DUMMYFUNCTION("""COMPUTED_VALUE"""),"Jaguar")</f>
        <v>Jaguar</v>
      </c>
      <c r="D1947" s="5" t="str">
        <f ca="1">IFERROR(__xludf.DUMMYFUNCTION("""COMPUTED_VALUE"""),"LandPlane")</f>
        <v>LandPlane</v>
      </c>
      <c r="E1947" s="5" t="str">
        <f ca="1">IFERROR(__xludf.DUMMYFUNCTION("""COMPUTED_VALUE"""),"Piston")</f>
        <v>Piston</v>
      </c>
      <c r="F1947" s="5">
        <f ca="1">IFERROR(__xludf.DUMMYFUNCTION("""COMPUTED_VALUE"""),1)</f>
        <v>1</v>
      </c>
    </row>
    <row r="1948" spans="1:6" ht="15" customHeight="1" x14ac:dyDescent="0.2">
      <c r="A1948" s="5" t="str">
        <f ca="1">IFERROR(__xludf.DUMMYFUNCTION("""COMPUTED_VALUE"""),"PRPR")</f>
        <v>PRPR</v>
      </c>
      <c r="B1948" s="5" t="str">
        <f ca="1">IFERROR(__xludf.DUMMYFUNCTION("""COMPUTED_VALUE"""),"HOWARD HUGHES")</f>
        <v>HOWARD HUGHES</v>
      </c>
      <c r="C1948" s="5" t="str">
        <f ca="1">IFERROR(__xludf.DUMMYFUNCTION("""COMPUTED_VALUE"""),"Pocket Rocket PR-582")</f>
        <v>Pocket Rocket PR-582</v>
      </c>
      <c r="D1948" s="5" t="str">
        <f ca="1">IFERROR(__xludf.DUMMYFUNCTION("""COMPUTED_VALUE"""),"LandPlane")</f>
        <v>LandPlane</v>
      </c>
      <c r="E1948" s="5" t="str">
        <f ca="1">IFERROR(__xludf.DUMMYFUNCTION("""COMPUTED_VALUE"""),"Piston")</f>
        <v>Piston</v>
      </c>
      <c r="F1948" s="5">
        <f ca="1">IFERROR(__xludf.DUMMYFUNCTION("""COMPUTED_VALUE"""),1)</f>
        <v>1</v>
      </c>
    </row>
    <row r="1949" spans="1:6" ht="15" customHeight="1" x14ac:dyDescent="0.2">
      <c r="A1949" s="5" t="str">
        <f ca="1">IFERROR(__xludf.DUMMYFUNCTION("""COMPUTED_VALUE"""),"PRTS")</f>
        <v>PRTS</v>
      </c>
      <c r="B1949" s="5" t="str">
        <f ca="1">IFERROR(__xludf.DUMMYFUNCTION("""COMPUTED_VALUE"""),"SCALED")</f>
        <v>SCALED</v>
      </c>
      <c r="C1949" s="5" t="str">
        <f ca="1">IFERROR(__xludf.DUMMYFUNCTION("""COMPUTED_VALUE"""),"281 Proteus")</f>
        <v>281 Proteus</v>
      </c>
      <c r="D1949" s="5" t="str">
        <f ca="1">IFERROR(__xludf.DUMMYFUNCTION("""COMPUTED_VALUE"""),"LandPlane")</f>
        <v>LandPlane</v>
      </c>
      <c r="E1949" s="5" t="str">
        <f ca="1">IFERROR(__xludf.DUMMYFUNCTION("""COMPUTED_VALUE"""),"Jet")</f>
        <v>Jet</v>
      </c>
      <c r="F1949" s="5">
        <f ca="1">IFERROR(__xludf.DUMMYFUNCTION("""COMPUTED_VALUE"""),2)</f>
        <v>2</v>
      </c>
    </row>
    <row r="1950" spans="1:6" ht="15" customHeight="1" x14ac:dyDescent="0.2">
      <c r="A1950" s="5" t="str">
        <f ca="1">IFERROR(__xludf.DUMMYFUNCTION("""COMPUTED_VALUE"""),"PRXT")</f>
        <v>PRXT</v>
      </c>
      <c r="B1950" s="5" t="str">
        <f ca="1">IFERROR(__xludf.DUMMYFUNCTION("""COMPUTED_VALUE"""),"PRIVATE EXPLORER")</f>
        <v>PRIVATE EXPLORER</v>
      </c>
      <c r="C1950" s="5" t="str">
        <f ca="1">IFERROR(__xludf.DUMMYFUNCTION("""COMPUTED_VALUE"""),"T-Explorer")</f>
        <v>T-Explorer</v>
      </c>
      <c r="D1950" s="5" t="str">
        <f ca="1">IFERROR(__xludf.DUMMYFUNCTION("""COMPUTED_VALUE"""),"LandPlane")</f>
        <v>LandPlane</v>
      </c>
      <c r="E1950" s="5" t="str">
        <f ca="1">IFERROR(__xludf.DUMMYFUNCTION("""COMPUTED_VALUE"""),"Turboprop/Turboshaft")</f>
        <v>Turboprop/Turboshaft</v>
      </c>
      <c r="F1950" s="5">
        <f ca="1">IFERROR(__xludf.DUMMYFUNCTION("""COMPUTED_VALUE"""),1)</f>
        <v>1</v>
      </c>
    </row>
    <row r="1951" spans="1:6" ht="15" customHeight="1" x14ac:dyDescent="0.2">
      <c r="A1951" s="5" t="str">
        <f ca="1">IFERROR(__xludf.DUMMYFUNCTION("""COMPUTED_VALUE"""),"PSTM")</f>
        <v>PSTM</v>
      </c>
      <c r="B1951" s="5" t="str">
        <f ca="1">IFERROR(__xludf.DUMMYFUNCTION("""COMPUTED_VALUE"""),"PODESVA")</f>
        <v>PODESVA</v>
      </c>
      <c r="C1951" s="5" t="str">
        <f ca="1">IFERROR(__xludf.DUMMYFUNCTION("""COMPUTED_VALUE"""),"Stearman")</f>
        <v>Stearman</v>
      </c>
      <c r="D1951" s="5" t="str">
        <f ca="1">IFERROR(__xludf.DUMMYFUNCTION("""COMPUTED_VALUE"""),"LandPlane")</f>
        <v>LandPlane</v>
      </c>
      <c r="E1951" s="5" t="str">
        <f ca="1">IFERROR(__xludf.DUMMYFUNCTION("""COMPUTED_VALUE"""),"Piston")</f>
        <v>Piston</v>
      </c>
      <c r="F1951" s="5">
        <f ca="1">IFERROR(__xludf.DUMMYFUNCTION("""COMPUTED_VALUE"""),1)</f>
        <v>1</v>
      </c>
    </row>
    <row r="1952" spans="1:6" ht="15" customHeight="1" x14ac:dyDescent="0.2">
      <c r="A1952" s="5" t="str">
        <f ca="1">IFERROR(__xludf.DUMMYFUNCTION("""COMPUTED_VALUE"""),"PSW4")</f>
        <v>PSW4</v>
      </c>
      <c r="B1952" s="5" t="str">
        <f ca="1">IFERROR(__xludf.DUMMYFUNCTION("""COMPUTED_VALUE"""),"PZL-SWIDNIK")</f>
        <v>PZL-SWIDNIK</v>
      </c>
      <c r="C1952" s="5" t="str">
        <f ca="1">IFERROR(__xludf.DUMMYFUNCTION("""COMPUTED_VALUE"""),"SW-4")</f>
        <v>SW-4</v>
      </c>
      <c r="D1952" s="5" t="str">
        <f ca="1">IFERROR(__xludf.DUMMYFUNCTION("""COMPUTED_VALUE"""),"Helicopter")</f>
        <v>Helicopter</v>
      </c>
      <c r="E1952" s="5" t="str">
        <f ca="1">IFERROR(__xludf.DUMMYFUNCTION("""COMPUTED_VALUE"""),"Turboprop/Turboshaft")</f>
        <v>Turboprop/Turboshaft</v>
      </c>
      <c r="F1952" s="5">
        <f ca="1">IFERROR(__xludf.DUMMYFUNCTION("""COMPUTED_VALUE"""),1)</f>
        <v>1</v>
      </c>
    </row>
    <row r="1953" spans="1:6" ht="15" customHeight="1" x14ac:dyDescent="0.2">
      <c r="A1953" s="5" t="str">
        <f ca="1">IFERROR(__xludf.DUMMYFUNCTION("""COMPUTED_VALUE"""),"PT21")</f>
        <v>PT21</v>
      </c>
      <c r="B1953" s="5" t="str">
        <f ca="1">IFERROR(__xludf.DUMMYFUNCTION("""COMPUTED_VALUE"""),"POTTIER")</f>
        <v>POTTIER</v>
      </c>
      <c r="C1953" s="5" t="str">
        <f ca="1">IFERROR(__xludf.DUMMYFUNCTION("""COMPUTED_VALUE"""),"P-210 Coati")</f>
        <v>P-210 Coati</v>
      </c>
      <c r="D1953" s="5" t="str">
        <f ca="1">IFERROR(__xludf.DUMMYFUNCTION("""COMPUTED_VALUE"""),"LandPlane")</f>
        <v>LandPlane</v>
      </c>
      <c r="E1953" s="5" t="str">
        <f ca="1">IFERROR(__xludf.DUMMYFUNCTION("""COMPUTED_VALUE"""),"Piston")</f>
        <v>Piston</v>
      </c>
      <c r="F1953" s="5">
        <f ca="1">IFERROR(__xludf.DUMMYFUNCTION("""COMPUTED_VALUE"""),1)</f>
        <v>1</v>
      </c>
    </row>
    <row r="1954" spans="1:6" ht="15" customHeight="1" x14ac:dyDescent="0.2">
      <c r="A1954" s="5" t="str">
        <f ca="1">IFERROR(__xludf.DUMMYFUNCTION("""COMPUTED_VALUE"""),"PT22")</f>
        <v>PT22</v>
      </c>
      <c r="B1954" s="5" t="str">
        <f ca="1">IFERROR(__xludf.DUMMYFUNCTION("""COMPUTED_VALUE"""),"RYAN")</f>
        <v>RYAN</v>
      </c>
      <c r="C1954" s="5" t="str">
        <f ca="1">IFERROR(__xludf.DUMMYFUNCTION("""COMPUTED_VALUE"""),"PT-22 Recruit")</f>
        <v>PT-22 Recruit</v>
      </c>
      <c r="D1954" s="5" t="str">
        <f ca="1">IFERROR(__xludf.DUMMYFUNCTION("""COMPUTED_VALUE"""),"LandPlane")</f>
        <v>LandPlane</v>
      </c>
      <c r="E1954" s="5" t="str">
        <f ca="1">IFERROR(__xludf.DUMMYFUNCTION("""COMPUTED_VALUE"""),"Piston")</f>
        <v>Piston</v>
      </c>
      <c r="F1954" s="5">
        <f ca="1">IFERROR(__xludf.DUMMYFUNCTION("""COMPUTED_VALUE"""),1)</f>
        <v>1</v>
      </c>
    </row>
    <row r="1955" spans="1:6" ht="15" customHeight="1" x14ac:dyDescent="0.2">
      <c r="A1955" s="5" t="str">
        <f ca="1">IFERROR(__xludf.DUMMYFUNCTION("""COMPUTED_VALUE"""),"PT70")</f>
        <v>PT70</v>
      </c>
      <c r="B1955" s="5" t="str">
        <f ca="1">IFERROR(__xludf.DUMMYFUNCTION("""COMPUTED_VALUE"""),"POTTIER")</f>
        <v>POTTIER</v>
      </c>
      <c r="C1955" s="5" t="str">
        <f ca="1">IFERROR(__xludf.DUMMYFUNCTION("""COMPUTED_VALUE"""),"P-170")</f>
        <v>P-170</v>
      </c>
      <c r="D1955" s="5" t="str">
        <f ca="1">IFERROR(__xludf.DUMMYFUNCTION("""COMPUTED_VALUE"""),"LandPlane")</f>
        <v>LandPlane</v>
      </c>
      <c r="E1955" s="5" t="str">
        <f ca="1">IFERROR(__xludf.DUMMYFUNCTION("""COMPUTED_VALUE"""),"Piston")</f>
        <v>Piston</v>
      </c>
      <c r="F1955" s="5">
        <f ca="1">IFERROR(__xludf.DUMMYFUNCTION("""COMPUTED_VALUE"""),1)</f>
        <v>1</v>
      </c>
    </row>
    <row r="1956" spans="1:6" ht="15" customHeight="1" x14ac:dyDescent="0.2">
      <c r="A1956" s="5" t="str">
        <f ca="1">IFERROR(__xludf.DUMMYFUNCTION("""COMPUTED_VALUE"""),"PT80")</f>
        <v>PT80</v>
      </c>
      <c r="B1956" s="5" t="str">
        <f ca="1">IFERROR(__xludf.DUMMYFUNCTION("""COMPUTED_VALUE"""),"POTTIER")</f>
        <v>POTTIER</v>
      </c>
      <c r="C1956" s="5" t="str">
        <f ca="1">IFERROR(__xludf.DUMMYFUNCTION("""COMPUTED_VALUE"""),"P-180")</f>
        <v>P-180</v>
      </c>
      <c r="D1956" s="5" t="str">
        <f ca="1">IFERROR(__xludf.DUMMYFUNCTION("""COMPUTED_VALUE"""),"LandPlane")</f>
        <v>LandPlane</v>
      </c>
      <c r="E1956" s="5" t="str">
        <f ca="1">IFERROR(__xludf.DUMMYFUNCTION("""COMPUTED_VALUE"""),"Piston")</f>
        <v>Piston</v>
      </c>
      <c r="F1956" s="5">
        <f ca="1">IFERROR(__xludf.DUMMYFUNCTION("""COMPUTED_VALUE"""),1)</f>
        <v>1</v>
      </c>
    </row>
    <row r="1957" spans="1:6" ht="15" customHeight="1" x14ac:dyDescent="0.2">
      <c r="A1957" s="5" t="str">
        <f ca="1">IFERROR(__xludf.DUMMYFUNCTION("""COMPUTED_VALUE"""),"PTMS")</f>
        <v>PTMS</v>
      </c>
      <c r="B1957" s="5" t="str">
        <f ca="1">IFERROR(__xludf.DUMMYFUNCTION("""COMPUTED_VALUE"""),"PITTS")</f>
        <v>PITTS</v>
      </c>
      <c r="C1957" s="5" t="str">
        <f ca="1">IFERROR(__xludf.DUMMYFUNCTION("""COMPUTED_VALUE"""),"S-12 Macho Stinker")</f>
        <v>S-12 Macho Stinker</v>
      </c>
      <c r="D1957" s="5" t="str">
        <f ca="1">IFERROR(__xludf.DUMMYFUNCTION("""COMPUTED_VALUE"""),"LandPlane")</f>
        <v>LandPlane</v>
      </c>
      <c r="E1957" s="5" t="str">
        <f ca="1">IFERROR(__xludf.DUMMYFUNCTION("""COMPUTED_VALUE"""),"Piston")</f>
        <v>Piston</v>
      </c>
      <c r="F1957" s="5">
        <f ca="1">IFERROR(__xludf.DUMMYFUNCTION("""COMPUTED_VALUE"""),1)</f>
        <v>1</v>
      </c>
    </row>
    <row r="1958" spans="1:6" ht="15" customHeight="1" x14ac:dyDescent="0.2">
      <c r="A1958" s="5" t="str">
        <f ca="1">IFERROR(__xludf.DUMMYFUNCTION("""COMPUTED_VALUE"""),"PTS1")</f>
        <v>PTS1</v>
      </c>
      <c r="B1958" s="5" t="str">
        <f ca="1">IFERROR(__xludf.DUMMYFUNCTION("""COMPUTED_VALUE"""),"PITTS")</f>
        <v>PITTS</v>
      </c>
      <c r="C1958" s="5" t="str">
        <f ca="1">IFERROR(__xludf.DUMMYFUNCTION("""COMPUTED_VALUE"""),"S-1 Special")</f>
        <v>S-1 Special</v>
      </c>
      <c r="D1958" s="5" t="str">
        <f ca="1">IFERROR(__xludf.DUMMYFUNCTION("""COMPUTED_VALUE"""),"LandPlane")</f>
        <v>LandPlane</v>
      </c>
      <c r="E1958" s="5" t="str">
        <f ca="1">IFERROR(__xludf.DUMMYFUNCTION("""COMPUTED_VALUE"""),"Piston")</f>
        <v>Piston</v>
      </c>
      <c r="F1958" s="5">
        <f ca="1">IFERROR(__xludf.DUMMYFUNCTION("""COMPUTED_VALUE"""),1)</f>
        <v>1</v>
      </c>
    </row>
    <row r="1959" spans="1:6" ht="15" customHeight="1" x14ac:dyDescent="0.2">
      <c r="A1959" s="5" t="str">
        <f ca="1">IFERROR(__xludf.DUMMYFUNCTION("""COMPUTED_VALUE"""),"PTS2")</f>
        <v>PTS2</v>
      </c>
      <c r="B1959" s="5" t="str">
        <f ca="1">IFERROR(__xludf.DUMMYFUNCTION("""COMPUTED_VALUE"""),"PITTS")</f>
        <v>PITTS</v>
      </c>
      <c r="C1959" s="5" t="str">
        <f ca="1">IFERROR(__xludf.DUMMYFUNCTION("""COMPUTED_VALUE"""),"S-2 Special")</f>
        <v>S-2 Special</v>
      </c>
      <c r="D1959" s="5" t="str">
        <f ca="1">IFERROR(__xludf.DUMMYFUNCTION("""COMPUTED_VALUE"""),"LandPlane")</f>
        <v>LandPlane</v>
      </c>
      <c r="E1959" s="5" t="str">
        <f ca="1">IFERROR(__xludf.DUMMYFUNCTION("""COMPUTED_VALUE"""),"Piston")</f>
        <v>Piston</v>
      </c>
      <c r="F1959" s="5">
        <f ca="1">IFERROR(__xludf.DUMMYFUNCTION("""COMPUTED_VALUE"""),1)</f>
        <v>1</v>
      </c>
    </row>
    <row r="1960" spans="1:6" ht="15" customHeight="1" x14ac:dyDescent="0.2">
      <c r="A1960" s="5" t="str">
        <f ca="1">IFERROR(__xludf.DUMMYFUNCTION("""COMPUTED_VALUE"""),"PTSS")</f>
        <v>PTSS</v>
      </c>
      <c r="B1960" s="5" t="str">
        <f ca="1">IFERROR(__xludf.DUMMYFUNCTION("""COMPUTED_VALUE"""),"PITTS")</f>
        <v>PITTS</v>
      </c>
      <c r="C1960" s="5" t="str">
        <f ca="1">IFERROR(__xludf.DUMMYFUNCTION("""COMPUTED_VALUE"""),"S-1-11 Super Stinker")</f>
        <v>S-1-11 Super Stinker</v>
      </c>
      <c r="D1960" s="5" t="str">
        <f ca="1">IFERROR(__xludf.DUMMYFUNCTION("""COMPUTED_VALUE"""),"LandPlane")</f>
        <v>LandPlane</v>
      </c>
      <c r="E1960" s="5" t="str">
        <f ca="1">IFERROR(__xludf.DUMMYFUNCTION("""COMPUTED_VALUE"""),"Piston")</f>
        <v>Piston</v>
      </c>
      <c r="F1960" s="5">
        <f ca="1">IFERROR(__xludf.DUMMYFUNCTION("""COMPUTED_VALUE"""),1)</f>
        <v>1</v>
      </c>
    </row>
    <row r="1961" spans="1:6" ht="15" customHeight="1" x14ac:dyDescent="0.2">
      <c r="A1961" s="5" t="str">
        <f ca="1">IFERROR(__xludf.DUMMYFUNCTION("""COMPUTED_VALUE"""),"PUL6")</f>
        <v>PUL6</v>
      </c>
      <c r="B1961" s="5" t="str">
        <f ca="1">IFERROR(__xludf.DUMMYFUNCTION("""COMPUTED_VALUE"""),"PULSAR")</f>
        <v>PULSAR</v>
      </c>
      <c r="C1961" s="5" t="str">
        <f ca="1">IFERROR(__xludf.DUMMYFUNCTION("""COMPUTED_VALUE"""),"Super Pulsar 600")</f>
        <v>Super Pulsar 600</v>
      </c>
      <c r="D1961" s="5" t="str">
        <f ca="1">IFERROR(__xludf.DUMMYFUNCTION("""COMPUTED_VALUE"""),"LandPlane")</f>
        <v>LandPlane</v>
      </c>
      <c r="E1961" s="5" t="str">
        <f ca="1">IFERROR(__xludf.DUMMYFUNCTION("""COMPUTED_VALUE"""),"Piston")</f>
        <v>Piston</v>
      </c>
      <c r="F1961" s="5">
        <f ca="1">IFERROR(__xludf.DUMMYFUNCTION("""COMPUTED_VALUE"""),1)</f>
        <v>1</v>
      </c>
    </row>
    <row r="1962" spans="1:6" ht="15" customHeight="1" x14ac:dyDescent="0.2">
      <c r="A1962" s="5" t="str">
        <f ca="1">IFERROR(__xludf.DUMMYFUNCTION("""COMPUTED_VALUE"""),"PULR")</f>
        <v>PULR</v>
      </c>
      <c r="B1962" s="5" t="str">
        <f ca="1">IFERROR(__xludf.DUMMYFUNCTION("""COMPUTED_VALUE"""),"P&amp;M AVIATION")</f>
        <v>P&amp;M AVIATION</v>
      </c>
      <c r="C1962" s="5" t="str">
        <f ca="1">IFERROR(__xludf.DUMMYFUNCTION("""COMPUTED_VALUE"""),"PulsR")</f>
        <v>PulsR</v>
      </c>
      <c r="D1962" s="5" t="str">
        <f ca="1">IFERROR(__xludf.DUMMYFUNCTION("""COMPUTED_VALUE"""),"LandPlane")</f>
        <v>LandPlane</v>
      </c>
      <c r="E1962" s="5" t="str">
        <f ca="1">IFERROR(__xludf.DUMMYFUNCTION("""COMPUTED_VALUE"""),"Piston")</f>
        <v>Piston</v>
      </c>
      <c r="F1962" s="5">
        <f ca="1">IFERROR(__xludf.DUMMYFUNCTION("""COMPUTED_VALUE"""),1)</f>
        <v>1</v>
      </c>
    </row>
    <row r="1963" spans="1:6" ht="15" customHeight="1" x14ac:dyDescent="0.2">
      <c r="A1963" s="5" t="str">
        <f ca="1">IFERROR(__xludf.DUMMYFUNCTION("""COMPUTED_VALUE"""),"PULS")</f>
        <v>PULS</v>
      </c>
      <c r="B1963" s="5" t="str">
        <f ca="1">IFERROR(__xludf.DUMMYFUNCTION("""COMPUTED_VALUE"""),"AERO DESIGNS")</f>
        <v>AERO DESIGNS</v>
      </c>
      <c r="C1963" s="5" t="str">
        <f ca="1">IFERROR(__xludf.DUMMYFUNCTION("""COMPUTED_VALUE"""),"Pulsar")</f>
        <v>Pulsar</v>
      </c>
      <c r="D1963" s="5" t="str">
        <f ca="1">IFERROR(__xludf.DUMMYFUNCTION("""COMPUTED_VALUE"""),"LandPlane")</f>
        <v>LandPlane</v>
      </c>
      <c r="E1963" s="5" t="str">
        <f ca="1">IFERROR(__xludf.DUMMYFUNCTION("""COMPUTED_VALUE"""),"Piston")</f>
        <v>Piston</v>
      </c>
      <c r="F1963" s="5">
        <f ca="1">IFERROR(__xludf.DUMMYFUNCTION("""COMPUTED_VALUE"""),1)</f>
        <v>1</v>
      </c>
    </row>
    <row r="1964" spans="1:6" ht="15" customHeight="1" x14ac:dyDescent="0.2">
      <c r="A1964" s="5" t="str">
        <f ca="1">IFERROR(__xludf.DUMMYFUNCTION("""COMPUTED_VALUE"""),"PUMA")</f>
        <v>PUMA</v>
      </c>
      <c r="B1964" s="5" t="str">
        <f ca="1">IFERROR(__xludf.DUMMYFUNCTION("""COMPUTED_VALUE"""),"AEROSPATIALE")</f>
        <v>AEROSPATIALE</v>
      </c>
      <c r="C1964" s="5" t="str">
        <f ca="1">IFERROR(__xludf.DUMMYFUNCTION("""COMPUTED_VALUE"""),"SA-330 Puma")</f>
        <v>SA-330 Puma</v>
      </c>
      <c r="D1964" s="5" t="str">
        <f ca="1">IFERROR(__xludf.DUMMYFUNCTION("""COMPUTED_VALUE"""),"Helicopter")</f>
        <v>Helicopter</v>
      </c>
      <c r="E1964" s="5" t="str">
        <f ca="1">IFERROR(__xludf.DUMMYFUNCTION("""COMPUTED_VALUE"""),"Turboprop/Turboshaft")</f>
        <v>Turboprop/Turboshaft</v>
      </c>
      <c r="F1964" s="5">
        <f ca="1">IFERROR(__xludf.DUMMYFUNCTION("""COMPUTED_VALUE"""),2)</f>
        <v>2</v>
      </c>
    </row>
    <row r="1965" spans="1:6" ht="15" customHeight="1" x14ac:dyDescent="0.2">
      <c r="A1965" s="5" t="str">
        <f ca="1">IFERROR(__xludf.DUMMYFUNCTION("""COMPUTED_VALUE"""),"PUP")</f>
        <v>PUP</v>
      </c>
      <c r="B1965" s="5" t="str">
        <f ca="1">IFERROR(__xludf.DUMMYFUNCTION("""COMPUTED_VALUE"""),"BEAGLE")</f>
        <v>BEAGLE</v>
      </c>
      <c r="C1965" s="5" t="str">
        <f ca="1">IFERROR(__xludf.DUMMYFUNCTION("""COMPUTED_VALUE"""),"B-121 Pup")</f>
        <v>B-121 Pup</v>
      </c>
      <c r="D1965" s="5" t="str">
        <f ca="1">IFERROR(__xludf.DUMMYFUNCTION("""COMPUTED_VALUE"""),"LandPlane")</f>
        <v>LandPlane</v>
      </c>
      <c r="E1965" s="5" t="str">
        <f ca="1">IFERROR(__xludf.DUMMYFUNCTION("""COMPUTED_VALUE"""),"Piston")</f>
        <v>Piston</v>
      </c>
      <c r="F1965" s="5">
        <f ca="1">IFERROR(__xludf.DUMMYFUNCTION("""COMPUTED_VALUE"""),1)</f>
        <v>1</v>
      </c>
    </row>
    <row r="1966" spans="1:6" ht="15" customHeight="1" x14ac:dyDescent="0.2">
      <c r="A1966" s="5" t="str">
        <f ca="1">IFERROR(__xludf.DUMMYFUNCTION("""COMPUTED_VALUE"""),"PURS")</f>
        <v>PURS</v>
      </c>
      <c r="B1966" s="5" t="str">
        <f ca="1">IFERROR(__xludf.DUMMYFUNCTION("""COMPUTED_VALUE"""),"RANS")</f>
        <v>RANS</v>
      </c>
      <c r="C1966" s="5" t="str">
        <f ca="1">IFERROR(__xludf.DUMMYFUNCTION("""COMPUTED_VALUE"""),"S-11 Pursuit")</f>
        <v>S-11 Pursuit</v>
      </c>
      <c r="D1966" s="5" t="str">
        <f ca="1">IFERROR(__xludf.DUMMYFUNCTION("""COMPUTED_VALUE"""),"LandPlane")</f>
        <v>LandPlane</v>
      </c>
      <c r="E1966" s="5" t="str">
        <f ca="1">IFERROR(__xludf.DUMMYFUNCTION("""COMPUTED_VALUE"""),"Piston")</f>
        <v>Piston</v>
      </c>
      <c r="F1966" s="5">
        <f ca="1">IFERROR(__xludf.DUMMYFUNCTION("""COMPUTED_VALUE"""),1)</f>
        <v>1</v>
      </c>
    </row>
    <row r="1967" spans="1:6" ht="15" customHeight="1" x14ac:dyDescent="0.2">
      <c r="A1967" s="5" t="str">
        <f ca="1">IFERROR(__xludf.DUMMYFUNCTION("""COMPUTED_VALUE"""),"PUSH")</f>
        <v>PUSH</v>
      </c>
      <c r="B1967" s="5" t="str">
        <f ca="1">IFERROR(__xludf.DUMMYFUNCTION("""COMPUTED_VALUE"""),"PRESCOTT")</f>
        <v>PRESCOTT</v>
      </c>
      <c r="C1967" s="5" t="str">
        <f ca="1">IFERROR(__xludf.DUMMYFUNCTION("""COMPUTED_VALUE"""),"Pusher")</f>
        <v>Pusher</v>
      </c>
      <c r="D1967" s="5" t="str">
        <f ca="1">IFERROR(__xludf.DUMMYFUNCTION("""COMPUTED_VALUE"""),"LandPlane")</f>
        <v>LandPlane</v>
      </c>
      <c r="E1967" s="5" t="str">
        <f ca="1">IFERROR(__xludf.DUMMYFUNCTION("""COMPUTED_VALUE"""),"Piston")</f>
        <v>Piston</v>
      </c>
      <c r="F1967" s="5">
        <f ca="1">IFERROR(__xludf.DUMMYFUNCTION("""COMPUTED_VALUE"""),1)</f>
        <v>1</v>
      </c>
    </row>
    <row r="1968" spans="1:6" ht="15" customHeight="1" x14ac:dyDescent="0.2">
      <c r="A1968" s="5" t="str">
        <f ca="1">IFERROR(__xludf.DUMMYFUNCTION("""COMPUTED_VALUE"""),"PW4")</f>
        <v>PW4</v>
      </c>
      <c r="B1968" s="5" t="str">
        <f ca="1">IFERROR(__xludf.DUMMYFUNCTION("""COMPUTED_VALUE"""),"POLITECHNIKA WARSZAWSKA")</f>
        <v>POLITECHNIKA WARSZAWSKA</v>
      </c>
      <c r="C1968" s="5" t="str">
        <f ca="1">IFERROR(__xludf.DUMMYFUNCTION("""COMPUTED_VALUE"""),"PW-4")</f>
        <v>PW-4</v>
      </c>
      <c r="D1968" s="5" t="str">
        <f ca="1">IFERROR(__xludf.DUMMYFUNCTION("""COMPUTED_VALUE"""),"LandPlane")</f>
        <v>LandPlane</v>
      </c>
      <c r="E1968" s="5" t="str">
        <f ca="1">IFERROR(__xludf.DUMMYFUNCTION("""COMPUTED_VALUE"""),"Piston")</f>
        <v>Piston</v>
      </c>
      <c r="F1968" s="5">
        <f ca="1">IFERROR(__xludf.DUMMYFUNCTION("""COMPUTED_VALUE"""),1)</f>
        <v>1</v>
      </c>
    </row>
    <row r="1969" spans="1:6" ht="15" customHeight="1" x14ac:dyDescent="0.2">
      <c r="A1969" s="5" t="str">
        <f ca="1">IFERROR(__xludf.DUMMYFUNCTION("""COMPUTED_VALUE"""),"PZ01")</f>
        <v>PZ01</v>
      </c>
      <c r="B1969" s="5" t="str">
        <f ca="1">IFERROR(__xludf.DUMMYFUNCTION("""COMPUTED_VALUE"""),"PZL-OKECIE")</f>
        <v>PZL-OKECIE</v>
      </c>
      <c r="C1969" s="5" t="str">
        <f ca="1">IFERROR(__xludf.DUMMYFUNCTION("""COMPUTED_VALUE"""),"PZL-101 Gawron")</f>
        <v>PZL-101 Gawron</v>
      </c>
      <c r="D1969" s="5" t="str">
        <f ca="1">IFERROR(__xludf.DUMMYFUNCTION("""COMPUTED_VALUE"""),"LandPlane")</f>
        <v>LandPlane</v>
      </c>
      <c r="E1969" s="5" t="str">
        <f ca="1">IFERROR(__xludf.DUMMYFUNCTION("""COMPUTED_VALUE"""),"Piston")</f>
        <v>Piston</v>
      </c>
      <c r="F1969" s="5">
        <f ca="1">IFERROR(__xludf.DUMMYFUNCTION("""COMPUTED_VALUE"""),1)</f>
        <v>1</v>
      </c>
    </row>
    <row r="1970" spans="1:6" ht="15" customHeight="1" x14ac:dyDescent="0.2">
      <c r="A1970" s="5" t="str">
        <f ca="1">IFERROR(__xludf.DUMMYFUNCTION("""COMPUTED_VALUE"""),"PZ02")</f>
        <v>PZ02</v>
      </c>
      <c r="B1970" s="5" t="str">
        <f ca="1">IFERROR(__xludf.DUMMYFUNCTION("""COMPUTED_VALUE"""),"PZL-OKECIE")</f>
        <v>PZL-OKECIE</v>
      </c>
      <c r="C1970" s="5" t="str">
        <f ca="1">IFERROR(__xludf.DUMMYFUNCTION("""COMPUTED_VALUE"""),"PZL-102 Kos")</f>
        <v>PZL-102 Kos</v>
      </c>
      <c r="D1970" s="5" t="str">
        <f ca="1">IFERROR(__xludf.DUMMYFUNCTION("""COMPUTED_VALUE"""),"LandPlane")</f>
        <v>LandPlane</v>
      </c>
      <c r="E1970" s="5" t="str">
        <f ca="1">IFERROR(__xludf.DUMMYFUNCTION("""COMPUTED_VALUE"""),"Piston")</f>
        <v>Piston</v>
      </c>
      <c r="F1970" s="5">
        <f ca="1">IFERROR(__xludf.DUMMYFUNCTION("""COMPUTED_VALUE"""),1)</f>
        <v>1</v>
      </c>
    </row>
    <row r="1971" spans="1:6" ht="15" customHeight="1" x14ac:dyDescent="0.2">
      <c r="A1971" s="5" t="str">
        <f ca="1">IFERROR(__xludf.DUMMYFUNCTION("""COMPUTED_VALUE"""),"PZ04")</f>
        <v>PZ04</v>
      </c>
      <c r="B1971" s="5" t="str">
        <f ca="1">IFERROR(__xludf.DUMMYFUNCTION("""COMPUTED_VALUE"""),"PZL-OKECIE")</f>
        <v>PZL-OKECIE</v>
      </c>
      <c r="C1971" s="5" t="str">
        <f ca="1">IFERROR(__xludf.DUMMYFUNCTION("""COMPUTED_VALUE"""),"PZL-104 Wilga 35")</f>
        <v>PZL-104 Wilga 35</v>
      </c>
      <c r="D1971" s="5" t="str">
        <f ca="1">IFERROR(__xludf.DUMMYFUNCTION("""COMPUTED_VALUE"""),"LandPlane")</f>
        <v>LandPlane</v>
      </c>
      <c r="E1971" s="5" t="str">
        <f ca="1">IFERROR(__xludf.DUMMYFUNCTION("""COMPUTED_VALUE"""),"Piston")</f>
        <v>Piston</v>
      </c>
      <c r="F1971" s="5">
        <f ca="1">IFERROR(__xludf.DUMMYFUNCTION("""COMPUTED_VALUE"""),1)</f>
        <v>1</v>
      </c>
    </row>
    <row r="1972" spans="1:6" ht="15" customHeight="1" x14ac:dyDescent="0.2">
      <c r="A1972" s="5" t="str">
        <f ca="1">IFERROR(__xludf.DUMMYFUNCTION("""COMPUTED_VALUE"""),"PZ05")</f>
        <v>PZ05</v>
      </c>
      <c r="B1972" s="5" t="str">
        <f ca="1">IFERROR(__xludf.DUMMYFUNCTION("""COMPUTED_VALUE"""),"PZL-OKECIE")</f>
        <v>PZL-OKECIE</v>
      </c>
      <c r="C1972" s="5" t="str">
        <f ca="1">IFERROR(__xludf.DUMMYFUNCTION("""COMPUTED_VALUE"""),"PZL-105 Flaming")</f>
        <v>PZL-105 Flaming</v>
      </c>
      <c r="D1972" s="5" t="str">
        <f ca="1">IFERROR(__xludf.DUMMYFUNCTION("""COMPUTED_VALUE"""),"LandPlane")</f>
        <v>LandPlane</v>
      </c>
      <c r="E1972" s="5" t="str">
        <f ca="1">IFERROR(__xludf.DUMMYFUNCTION("""COMPUTED_VALUE"""),"Piston")</f>
        <v>Piston</v>
      </c>
      <c r="F1972" s="5">
        <f ca="1">IFERROR(__xludf.DUMMYFUNCTION("""COMPUTED_VALUE"""),1)</f>
        <v>1</v>
      </c>
    </row>
    <row r="1973" spans="1:6" ht="15" customHeight="1" x14ac:dyDescent="0.2">
      <c r="A1973" s="5" t="str">
        <f ca="1">IFERROR(__xludf.DUMMYFUNCTION("""COMPUTED_VALUE"""),"PZ06")</f>
        <v>PZ06</v>
      </c>
      <c r="B1973" s="5" t="str">
        <f ca="1">IFERROR(__xludf.DUMMYFUNCTION("""COMPUTED_VALUE"""),"PZL-OKECIE")</f>
        <v>PZL-OKECIE</v>
      </c>
      <c r="C1973" s="5" t="str">
        <f ca="1">IFERROR(__xludf.DUMMYFUNCTION("""COMPUTED_VALUE"""),"PZL-106A Kruk")</f>
        <v>PZL-106A Kruk</v>
      </c>
      <c r="D1973" s="5" t="str">
        <f ca="1">IFERROR(__xludf.DUMMYFUNCTION("""COMPUTED_VALUE"""),"LandPlane")</f>
        <v>LandPlane</v>
      </c>
      <c r="E1973" s="5" t="str">
        <f ca="1">IFERROR(__xludf.DUMMYFUNCTION("""COMPUTED_VALUE"""),"Piston")</f>
        <v>Piston</v>
      </c>
      <c r="F1973" s="5">
        <f ca="1">IFERROR(__xludf.DUMMYFUNCTION("""COMPUTED_VALUE"""),1)</f>
        <v>1</v>
      </c>
    </row>
    <row r="1974" spans="1:6" ht="15" customHeight="1" x14ac:dyDescent="0.2">
      <c r="A1974" s="5" t="str">
        <f ca="1">IFERROR(__xludf.DUMMYFUNCTION("""COMPUTED_VALUE"""),"PZ12")</f>
        <v>PZ12</v>
      </c>
      <c r="B1974" s="5" t="str">
        <f ca="1">IFERROR(__xludf.DUMMYFUNCTION("""COMPUTED_VALUE"""),"PZL-OKECIE")</f>
        <v>PZL-OKECIE</v>
      </c>
      <c r="C1974" s="5" t="str">
        <f ca="1">IFERROR(__xludf.DUMMYFUNCTION("""COMPUTED_VALUE"""),"PZL-112 Junior")</f>
        <v>PZL-112 Junior</v>
      </c>
      <c r="D1974" s="5" t="str">
        <f ca="1">IFERROR(__xludf.DUMMYFUNCTION("""COMPUTED_VALUE"""),"LandPlane")</f>
        <v>LandPlane</v>
      </c>
      <c r="E1974" s="5" t="str">
        <f ca="1">IFERROR(__xludf.DUMMYFUNCTION("""COMPUTED_VALUE"""),"Piston")</f>
        <v>Piston</v>
      </c>
      <c r="F1974" s="5">
        <f ca="1">IFERROR(__xludf.DUMMYFUNCTION("""COMPUTED_VALUE"""),1)</f>
        <v>1</v>
      </c>
    </row>
    <row r="1975" spans="1:6" ht="15" customHeight="1" x14ac:dyDescent="0.2">
      <c r="A1975" s="5" t="str">
        <f ca="1">IFERROR(__xludf.DUMMYFUNCTION("""COMPUTED_VALUE"""),"PZ26")</f>
        <v>PZ26</v>
      </c>
      <c r="B1975" s="5" t="str">
        <f ca="1">IFERROR(__xludf.DUMMYFUNCTION("""COMPUTED_VALUE"""),"PZL-OKECIE")</f>
        <v>PZL-OKECIE</v>
      </c>
      <c r="C1975" s="5" t="str">
        <f ca="1">IFERROR(__xludf.DUMMYFUNCTION("""COMPUTED_VALUE"""),"PZL-126 Mrówka")</f>
        <v>PZL-126 Mrówka</v>
      </c>
      <c r="D1975" s="5" t="str">
        <f ca="1">IFERROR(__xludf.DUMMYFUNCTION("""COMPUTED_VALUE"""),"LandPlane")</f>
        <v>LandPlane</v>
      </c>
      <c r="E1975" s="5" t="str">
        <f ca="1">IFERROR(__xludf.DUMMYFUNCTION("""COMPUTED_VALUE"""),"Piston")</f>
        <v>Piston</v>
      </c>
      <c r="F1975" s="5">
        <f ca="1">IFERROR(__xludf.DUMMYFUNCTION("""COMPUTED_VALUE"""),1)</f>
        <v>1</v>
      </c>
    </row>
    <row r="1976" spans="1:6" ht="15" customHeight="1" x14ac:dyDescent="0.2">
      <c r="A1976" s="5" t="str">
        <f ca="1">IFERROR(__xludf.DUMMYFUNCTION("""COMPUTED_VALUE"""),"PZ3T")</f>
        <v>PZ3T</v>
      </c>
      <c r="B1976" s="5" t="str">
        <f ca="1">IFERROR(__xludf.DUMMYFUNCTION("""COMPUTED_VALUE"""),"PZL-OKECIE")</f>
        <v>PZL-OKECIE</v>
      </c>
      <c r="C1976" s="5" t="str">
        <f ca="1">IFERROR(__xludf.DUMMYFUNCTION("""COMPUTED_VALUE"""),"PZL-130 Orlik")</f>
        <v>PZL-130 Orlik</v>
      </c>
      <c r="D1976" s="5" t="str">
        <f ca="1">IFERROR(__xludf.DUMMYFUNCTION("""COMPUTED_VALUE"""),"LandPlane")</f>
        <v>LandPlane</v>
      </c>
      <c r="E1976" s="5" t="str">
        <f ca="1">IFERROR(__xludf.DUMMYFUNCTION("""COMPUTED_VALUE"""),"Turboprop/Turboshaft")</f>
        <v>Turboprop/Turboshaft</v>
      </c>
      <c r="F1976" s="5">
        <f ca="1">IFERROR(__xludf.DUMMYFUNCTION("""COMPUTED_VALUE"""),1)</f>
        <v>1</v>
      </c>
    </row>
    <row r="1977" spans="1:6" ht="15" customHeight="1" x14ac:dyDescent="0.2">
      <c r="A1977" s="5" t="str">
        <f ca="1">IFERROR(__xludf.DUMMYFUNCTION("""COMPUTED_VALUE"""),"PZ4M")</f>
        <v>PZ4M</v>
      </c>
      <c r="B1977" s="5" t="str">
        <f ca="1">IFERROR(__xludf.DUMMYFUNCTION("""COMPUTED_VALUE"""),"PZL-OKECIE")</f>
        <v>PZL-OKECIE</v>
      </c>
      <c r="C1977" s="5" t="str">
        <f ca="1">IFERROR(__xludf.DUMMYFUNCTION("""COMPUTED_VALUE"""),"PZL-104M Wilga 2000")</f>
        <v>PZL-104M Wilga 2000</v>
      </c>
      <c r="D1977" s="5" t="str">
        <f ca="1">IFERROR(__xludf.DUMMYFUNCTION("""COMPUTED_VALUE"""),"LandPlane")</f>
        <v>LandPlane</v>
      </c>
      <c r="E1977" s="5" t="str">
        <f ca="1">IFERROR(__xludf.DUMMYFUNCTION("""COMPUTED_VALUE"""),"Piston")</f>
        <v>Piston</v>
      </c>
      <c r="F1977" s="5">
        <f ca="1">IFERROR(__xludf.DUMMYFUNCTION("""COMPUTED_VALUE"""),1)</f>
        <v>1</v>
      </c>
    </row>
    <row r="1978" spans="1:6" ht="15" customHeight="1" x14ac:dyDescent="0.2">
      <c r="A1978" s="5" t="str">
        <f ca="1">IFERROR(__xludf.DUMMYFUNCTION("""COMPUTED_VALUE"""),"PZ6T")</f>
        <v>PZ6T</v>
      </c>
      <c r="B1978" s="5" t="str">
        <f ca="1">IFERROR(__xludf.DUMMYFUNCTION("""COMPUTED_VALUE"""),"PZL-OKECIE")</f>
        <v>PZL-OKECIE</v>
      </c>
      <c r="C1978" s="5" t="str">
        <f ca="1">IFERROR(__xludf.DUMMYFUNCTION("""COMPUTED_VALUE"""),"PZL-106AT Turbo Kruk")</f>
        <v>PZL-106AT Turbo Kruk</v>
      </c>
      <c r="D1978" s="5" t="str">
        <f ca="1">IFERROR(__xludf.DUMMYFUNCTION("""COMPUTED_VALUE"""),"LandPlane")</f>
        <v>LandPlane</v>
      </c>
      <c r="E1978" s="5" t="str">
        <f ca="1">IFERROR(__xludf.DUMMYFUNCTION("""COMPUTED_VALUE"""),"Turboprop/Turboshaft")</f>
        <v>Turboprop/Turboshaft</v>
      </c>
      <c r="F1978" s="5">
        <f ca="1">IFERROR(__xludf.DUMMYFUNCTION("""COMPUTED_VALUE"""),1)</f>
        <v>1</v>
      </c>
    </row>
    <row r="1979" spans="1:6" ht="15" customHeight="1" x14ac:dyDescent="0.2">
      <c r="A1979" s="5" t="str">
        <f ca="1">IFERROR(__xludf.DUMMYFUNCTION("""COMPUTED_VALUE"""),"Q01")</f>
        <v>Q01</v>
      </c>
      <c r="B1979" s="5" t="str">
        <f ca="1">IFERROR(__xludf.DUMMYFUNCTION("""COMPUTED_VALUE"""),"REINER STEMME")</f>
        <v>REINER STEMME</v>
      </c>
      <c r="C1979" s="5" t="str">
        <f ca="1">IFERROR(__xludf.DUMMYFUNCTION("""COMPUTED_VALUE"""),"Q-01")</f>
        <v>Q-01</v>
      </c>
      <c r="D1979" s="5" t="str">
        <f ca="1">IFERROR(__xludf.DUMMYFUNCTION("""COMPUTED_VALUE"""),"LandPlane")</f>
        <v>LandPlane</v>
      </c>
      <c r="E1979" s="5" t="str">
        <f ca="1">IFERROR(__xludf.DUMMYFUNCTION("""COMPUTED_VALUE"""),"Piston")</f>
        <v>Piston</v>
      </c>
      <c r="F1979" s="5">
        <f ca="1">IFERROR(__xludf.DUMMYFUNCTION("""COMPUTED_VALUE"""),1)</f>
        <v>1</v>
      </c>
    </row>
    <row r="1980" spans="1:6" ht="15" customHeight="1" x14ac:dyDescent="0.2">
      <c r="A1980" s="5" t="str">
        <f ca="1">IFERROR(__xludf.DUMMYFUNCTION("""COMPUTED_VALUE"""),"Q1")</f>
        <v>Q1</v>
      </c>
      <c r="B1980" s="5" t="str">
        <f ca="1">IFERROR(__xludf.DUMMYFUNCTION("""COMPUTED_VALUE"""),"GENERAL ATOMICS")</f>
        <v>GENERAL ATOMICS</v>
      </c>
      <c r="C1980" s="5" t="str">
        <f ca="1">IFERROR(__xludf.DUMMYFUNCTION("""COMPUTED_VALUE"""),"MQ-1 Predator")</f>
        <v>MQ-1 Predator</v>
      </c>
      <c r="D1980" s="5" t="str">
        <f ca="1">IFERROR(__xludf.DUMMYFUNCTION("""COMPUTED_VALUE"""),"LandPlane")</f>
        <v>LandPlane</v>
      </c>
      <c r="E1980" s="5" t="str">
        <f ca="1">IFERROR(__xludf.DUMMYFUNCTION("""COMPUTED_VALUE"""),"Piston")</f>
        <v>Piston</v>
      </c>
      <c r="F1980" s="5">
        <f ca="1">IFERROR(__xludf.DUMMYFUNCTION("""COMPUTED_VALUE"""),1)</f>
        <v>1</v>
      </c>
    </row>
    <row r="1981" spans="1:6" ht="15" customHeight="1" x14ac:dyDescent="0.2">
      <c r="A1981" s="5" t="str">
        <f ca="1">IFERROR(__xludf.DUMMYFUNCTION("""COMPUTED_VALUE"""),"Q25")</f>
        <v>Q25</v>
      </c>
      <c r="B1981" s="5" t="str">
        <f ca="1">IFERROR(__xludf.DUMMYFUNCTION("""COMPUTED_VALUE"""),"BOEING")</f>
        <v>BOEING</v>
      </c>
      <c r="C1981" s="5" t="str">
        <f ca="1">IFERROR(__xludf.DUMMYFUNCTION("""COMPUTED_VALUE"""),"MQ-25 Stingray")</f>
        <v>MQ-25 Stingray</v>
      </c>
      <c r="D1981" s="5" t="str">
        <f ca="1">IFERROR(__xludf.DUMMYFUNCTION("""COMPUTED_VALUE"""),"LandPlane")</f>
        <v>LandPlane</v>
      </c>
      <c r="E1981" s="5" t="str">
        <f ca="1">IFERROR(__xludf.DUMMYFUNCTION("""COMPUTED_VALUE"""),"Jet")</f>
        <v>Jet</v>
      </c>
      <c r="F1981" s="5">
        <f ca="1">IFERROR(__xludf.DUMMYFUNCTION("""COMPUTED_VALUE"""),1)</f>
        <v>1</v>
      </c>
    </row>
    <row r="1982" spans="1:6" ht="15" customHeight="1" x14ac:dyDescent="0.2">
      <c r="A1982" s="5" t="str">
        <f ca="1">IFERROR(__xludf.DUMMYFUNCTION("""COMPUTED_VALUE"""),"Q4")</f>
        <v>Q4</v>
      </c>
      <c r="B1982" s="5" t="str">
        <f ca="1">IFERROR(__xludf.DUMMYFUNCTION("""COMPUTED_VALUE"""),"NORTHROP GRUMMAN")</f>
        <v>NORTHROP GRUMMAN</v>
      </c>
      <c r="C1982" s="5" t="str">
        <f ca="1">IFERROR(__xludf.DUMMYFUNCTION("""COMPUTED_VALUE"""),"RQ-4 Global Hawk")</f>
        <v>RQ-4 Global Hawk</v>
      </c>
      <c r="D1982" s="5" t="str">
        <f ca="1">IFERROR(__xludf.DUMMYFUNCTION("""COMPUTED_VALUE"""),"LandPlane")</f>
        <v>LandPlane</v>
      </c>
      <c r="E1982" s="5" t="str">
        <f ca="1">IFERROR(__xludf.DUMMYFUNCTION("""COMPUTED_VALUE"""),"Jet")</f>
        <v>Jet</v>
      </c>
      <c r="F1982" s="5">
        <f ca="1">IFERROR(__xludf.DUMMYFUNCTION("""COMPUTED_VALUE"""),1)</f>
        <v>1</v>
      </c>
    </row>
    <row r="1983" spans="1:6" ht="15" customHeight="1" x14ac:dyDescent="0.2">
      <c r="A1983" s="5" t="str">
        <f ca="1">IFERROR(__xludf.DUMMYFUNCTION("""COMPUTED_VALUE"""),"Q5")</f>
        <v>Q5</v>
      </c>
      <c r="B1983" s="5" t="str">
        <f ca="1">IFERROR(__xludf.DUMMYFUNCTION("""COMPUTED_VALUE"""),"NANCHANG")</f>
        <v>NANCHANG</v>
      </c>
      <c r="C1983" s="5" t="str">
        <f ca="1">IFERROR(__xludf.DUMMYFUNCTION("""COMPUTED_VALUE"""),"Q-5")</f>
        <v>Q-5</v>
      </c>
      <c r="D1983" s="5" t="str">
        <f ca="1">IFERROR(__xludf.DUMMYFUNCTION("""COMPUTED_VALUE"""),"LandPlane")</f>
        <v>LandPlane</v>
      </c>
      <c r="E1983" s="5" t="str">
        <f ca="1">IFERROR(__xludf.DUMMYFUNCTION("""COMPUTED_VALUE"""),"Jet")</f>
        <v>Jet</v>
      </c>
      <c r="F1983" s="5">
        <f ca="1">IFERROR(__xludf.DUMMYFUNCTION("""COMPUTED_VALUE"""),2)</f>
        <v>2</v>
      </c>
    </row>
    <row r="1984" spans="1:6" ht="15" customHeight="1" x14ac:dyDescent="0.2">
      <c r="A1984" s="5" t="str">
        <f ca="1">IFERROR(__xludf.DUMMYFUNCTION("""COMPUTED_VALUE"""),"Q9")</f>
        <v>Q9</v>
      </c>
      <c r="B1984" s="5" t="str">
        <f ca="1">IFERROR(__xludf.DUMMYFUNCTION("""COMPUTED_VALUE"""),"GENERAL ATOMICS")</f>
        <v>GENERAL ATOMICS</v>
      </c>
      <c r="C1984" s="5" t="str">
        <f ca="1">IFERROR(__xludf.DUMMYFUNCTION("""COMPUTED_VALUE"""),"MQ-9 Reaper")</f>
        <v>MQ-9 Reaper</v>
      </c>
      <c r="D1984" s="5" t="str">
        <f ca="1">IFERROR(__xludf.DUMMYFUNCTION("""COMPUTED_VALUE"""),"LandPlane")</f>
        <v>LandPlane</v>
      </c>
      <c r="E1984" s="5" t="str">
        <f ca="1">IFERROR(__xludf.DUMMYFUNCTION("""COMPUTED_VALUE"""),"Turboprop/Turboshaft")</f>
        <v>Turboprop/Turboshaft</v>
      </c>
      <c r="F1984" s="5">
        <f ca="1">IFERROR(__xludf.DUMMYFUNCTION("""COMPUTED_VALUE"""),1)</f>
        <v>1</v>
      </c>
    </row>
    <row r="1985" spans="1:6" ht="15" customHeight="1" x14ac:dyDescent="0.2">
      <c r="A1985" s="5" t="str">
        <f ca="1">IFERROR(__xludf.DUMMYFUNCTION("""COMPUTED_VALUE"""),"QAIL")</f>
        <v>QAIL</v>
      </c>
      <c r="B1985" s="5" t="str">
        <f ca="1">IFERROR(__xludf.DUMMYFUNCTION("""COMPUTED_VALUE"""),"AEROSPORT")</f>
        <v>AEROSPORT</v>
      </c>
      <c r="C1985" s="5" t="str">
        <f ca="1">IFERROR(__xludf.DUMMYFUNCTION("""COMPUTED_VALUE"""),"Quail")</f>
        <v>Quail</v>
      </c>
      <c r="D1985" s="5" t="str">
        <f ca="1">IFERROR(__xludf.DUMMYFUNCTION("""COMPUTED_VALUE"""),"LandPlane")</f>
        <v>LandPlane</v>
      </c>
      <c r="E1985" s="5" t="str">
        <f ca="1">IFERROR(__xludf.DUMMYFUNCTION("""COMPUTED_VALUE"""),"Piston")</f>
        <v>Piston</v>
      </c>
      <c r="F1985" s="5">
        <f ca="1">IFERROR(__xludf.DUMMYFUNCTION("""COMPUTED_VALUE"""),1)</f>
        <v>1</v>
      </c>
    </row>
    <row r="1986" spans="1:6" ht="15" customHeight="1" x14ac:dyDescent="0.2">
      <c r="A1986" s="5" t="str">
        <f ca="1">IFERROR(__xludf.DUMMYFUNCTION("""COMPUTED_VALUE"""),"QALT")</f>
        <v>QALT</v>
      </c>
      <c r="B1986" s="5" t="str">
        <f ca="1">IFERROR(__xludf.DUMMYFUNCTION("""COMPUTED_VALUE"""),"FMP")</f>
        <v>FMP</v>
      </c>
      <c r="C1986" s="5" t="str">
        <f ca="1">IFERROR(__xludf.DUMMYFUNCTION("""COMPUTED_VALUE"""),"Qualt")</f>
        <v>Qualt</v>
      </c>
      <c r="D1986" s="5" t="str">
        <f ca="1">IFERROR(__xludf.DUMMYFUNCTION("""COMPUTED_VALUE"""),"LandPlane")</f>
        <v>LandPlane</v>
      </c>
      <c r="E1986" s="5" t="str">
        <f ca="1">IFERROR(__xludf.DUMMYFUNCTION("""COMPUTED_VALUE"""),"Piston")</f>
        <v>Piston</v>
      </c>
      <c r="F1986" s="5">
        <f ca="1">IFERROR(__xludf.DUMMYFUNCTION("""COMPUTED_VALUE"""),1)</f>
        <v>1</v>
      </c>
    </row>
    <row r="1987" spans="1:6" ht="15" customHeight="1" x14ac:dyDescent="0.2">
      <c r="A1987" s="5" t="str">
        <f ca="1">IFERROR(__xludf.DUMMYFUNCTION("""COMPUTED_VALUE"""),"QEST")</f>
        <v>QEST</v>
      </c>
      <c r="B1987" s="5" t="str">
        <f ca="1">IFERROR(__xludf.DUMMYFUNCTION("""COMPUTED_VALUE"""),"OMNI-WELD")</f>
        <v>OMNI-WELD</v>
      </c>
      <c r="C1987" s="5" t="str">
        <f ca="1">IFERROR(__xludf.DUMMYFUNCTION("""COMPUTED_VALUE"""),"Questor")</f>
        <v>Questor</v>
      </c>
      <c r="D1987" s="5" t="str">
        <f ca="1">IFERROR(__xludf.DUMMYFUNCTION("""COMPUTED_VALUE"""),"LandPlane")</f>
        <v>LandPlane</v>
      </c>
      <c r="E1987" s="5" t="str">
        <f ca="1">IFERROR(__xludf.DUMMYFUNCTION("""COMPUTED_VALUE"""),"Piston")</f>
        <v>Piston</v>
      </c>
      <c r="F1987" s="5">
        <f ca="1">IFERROR(__xludf.DUMMYFUNCTION("""COMPUTED_VALUE"""),1)</f>
        <v>1</v>
      </c>
    </row>
    <row r="1988" spans="1:6" ht="15" customHeight="1" x14ac:dyDescent="0.2">
      <c r="A1988" s="5" t="str">
        <f ca="1">IFERROR(__xludf.DUMMYFUNCTION("""COMPUTED_VALUE"""),"QIC2")</f>
        <v>QIC2</v>
      </c>
      <c r="B1988" s="5" t="str">
        <f ca="1">IFERROR(__xludf.DUMMYFUNCTION("""COMPUTED_VALUE"""),"QUICKIE")</f>
        <v>QUICKIE</v>
      </c>
      <c r="C1988" s="5" t="str">
        <f ca="1">IFERROR(__xludf.DUMMYFUNCTION("""COMPUTED_VALUE"""),"Quickie Q2")</f>
        <v>Quickie Q2</v>
      </c>
      <c r="D1988" s="5" t="str">
        <f ca="1">IFERROR(__xludf.DUMMYFUNCTION("""COMPUTED_VALUE"""),"LandPlane")</f>
        <v>LandPlane</v>
      </c>
      <c r="E1988" s="5" t="str">
        <f ca="1">IFERROR(__xludf.DUMMYFUNCTION("""COMPUTED_VALUE"""),"Piston")</f>
        <v>Piston</v>
      </c>
      <c r="F1988" s="5">
        <f ca="1">IFERROR(__xludf.DUMMYFUNCTION("""COMPUTED_VALUE"""),1)</f>
        <v>1</v>
      </c>
    </row>
    <row r="1989" spans="1:6" ht="15" customHeight="1" x14ac:dyDescent="0.2">
      <c r="A1989" s="5" t="str">
        <f ca="1">IFERROR(__xludf.DUMMYFUNCTION("""COMPUTED_VALUE"""),"QINT")</f>
        <v>QINT</v>
      </c>
      <c r="B1989" s="5" t="str">
        <f ca="1">IFERROR(__xludf.DUMMYFUNCTION("""COMPUTED_VALUE"""),"SCHEMPP-HIRTH")</f>
        <v>SCHEMPP-HIRTH</v>
      </c>
      <c r="C1989" s="5" t="str">
        <f ca="1">IFERROR(__xludf.DUMMYFUNCTION("""COMPUTED_VALUE"""),"Quintus")</f>
        <v>Quintus</v>
      </c>
      <c r="D1989" s="5" t="str">
        <f ca="1">IFERROR(__xludf.DUMMYFUNCTION("""COMPUTED_VALUE"""),"LandPlane")</f>
        <v>LandPlane</v>
      </c>
      <c r="E1989" s="5" t="str">
        <f ca="1">IFERROR(__xludf.DUMMYFUNCTION("""COMPUTED_VALUE"""),"Piston")</f>
        <v>Piston</v>
      </c>
      <c r="F1989" s="5">
        <f ca="1">IFERROR(__xludf.DUMMYFUNCTION("""COMPUTED_VALUE"""),1)</f>
        <v>1</v>
      </c>
    </row>
    <row r="1990" spans="1:6" ht="15" customHeight="1" x14ac:dyDescent="0.2">
      <c r="A1990" s="5" t="str">
        <f ca="1">IFERROR(__xludf.DUMMYFUNCTION("""COMPUTED_VALUE"""),"QR01")</f>
        <v>QR01</v>
      </c>
      <c r="B1990" s="5" t="str">
        <f ca="1">IFERROR(__xludf.DUMMYFUNCTION("""COMPUTED_VALUE"""),"QUERCY")</f>
        <v>QUERCY</v>
      </c>
      <c r="C1990" s="5" t="str">
        <f ca="1">IFERROR(__xludf.DUMMYFUNCTION("""COMPUTED_VALUE"""),"CQR-01")</f>
        <v>CQR-01</v>
      </c>
      <c r="D1990" s="5" t="str">
        <f ca="1">IFERROR(__xludf.DUMMYFUNCTION("""COMPUTED_VALUE"""),"LandPlane")</f>
        <v>LandPlane</v>
      </c>
      <c r="E1990" s="5" t="str">
        <f ca="1">IFERROR(__xludf.DUMMYFUNCTION("""COMPUTED_VALUE"""),"Piston")</f>
        <v>Piston</v>
      </c>
      <c r="F1990" s="5">
        <f ca="1">IFERROR(__xludf.DUMMYFUNCTION("""COMPUTED_VALUE"""),1)</f>
        <v>1</v>
      </c>
    </row>
    <row r="1991" spans="1:6" ht="15" customHeight="1" x14ac:dyDescent="0.2">
      <c r="A1991" s="5" t="str">
        <f ca="1">IFERROR(__xludf.DUMMYFUNCTION("""COMPUTED_VALUE"""),"QUAS")</f>
        <v>QUAS</v>
      </c>
      <c r="B1991" s="5" t="str">
        <f ca="1">IFERROR(__xludf.DUMMYFUNCTION("""COMPUTED_VALUE"""),"AEROALCOOL")</f>
        <v>AEROALCOOL</v>
      </c>
      <c r="C1991" s="5" t="str">
        <f ca="1">IFERROR(__xludf.DUMMYFUNCTION("""COMPUTED_VALUE"""),"Quasar Lite")</f>
        <v>Quasar Lite</v>
      </c>
      <c r="D1991" s="5" t="str">
        <f ca="1">IFERROR(__xludf.DUMMYFUNCTION("""COMPUTED_VALUE"""),"LandPlane")</f>
        <v>LandPlane</v>
      </c>
      <c r="E1991" s="5" t="str">
        <f ca="1">IFERROR(__xludf.DUMMYFUNCTION("""COMPUTED_VALUE"""),"Piston")</f>
        <v>Piston</v>
      </c>
      <c r="F1991" s="5">
        <f ca="1">IFERROR(__xludf.DUMMYFUNCTION("""COMPUTED_VALUE"""),1)</f>
        <v>1</v>
      </c>
    </row>
    <row r="1992" spans="1:6" ht="15" customHeight="1" x14ac:dyDescent="0.2">
      <c r="A1992" s="5" t="str">
        <f ca="1">IFERROR(__xludf.DUMMYFUNCTION("""COMPUTED_VALUE"""),"QUIC")</f>
        <v>QUIC</v>
      </c>
      <c r="B1992" s="5" t="str">
        <f ca="1">IFERROR(__xludf.DUMMYFUNCTION("""COMPUTED_VALUE"""),"QUICKIE")</f>
        <v>QUICKIE</v>
      </c>
      <c r="C1992" s="5" t="str">
        <f ca="1">IFERROR(__xludf.DUMMYFUNCTION("""COMPUTED_VALUE"""),"Quickie")</f>
        <v>Quickie</v>
      </c>
      <c r="D1992" s="5" t="str">
        <f ca="1">IFERROR(__xludf.DUMMYFUNCTION("""COMPUTED_VALUE"""),"LandPlane")</f>
        <v>LandPlane</v>
      </c>
      <c r="E1992" s="5" t="str">
        <f ca="1">IFERROR(__xludf.DUMMYFUNCTION("""COMPUTED_VALUE"""),"Piston")</f>
        <v>Piston</v>
      </c>
      <c r="F1992" s="5">
        <f ca="1">IFERROR(__xludf.DUMMYFUNCTION("""COMPUTED_VALUE"""),1)</f>
        <v>1</v>
      </c>
    </row>
    <row r="1993" spans="1:6" ht="15" customHeight="1" x14ac:dyDescent="0.2">
      <c r="A1993" s="5" t="str">
        <f ca="1">IFERROR(__xludf.DUMMYFUNCTION("""COMPUTED_VALUE"""),"R100")</f>
        <v>R100</v>
      </c>
      <c r="B1993" s="5" t="str">
        <f ca="1">IFERROR(__xludf.DUMMYFUNCTION("""COMPUTED_VALUE"""),"ROBIN")</f>
        <v>ROBIN</v>
      </c>
      <c r="C1993" s="5" t="str">
        <f ca="1">IFERROR(__xludf.DUMMYFUNCTION("""COMPUTED_VALUE"""),"R-1180 Aiglon")</f>
        <v>R-1180 Aiglon</v>
      </c>
      <c r="D1993" s="5" t="str">
        <f ca="1">IFERROR(__xludf.DUMMYFUNCTION("""COMPUTED_VALUE"""),"LandPlane")</f>
        <v>LandPlane</v>
      </c>
      <c r="E1993" s="5" t="str">
        <f ca="1">IFERROR(__xludf.DUMMYFUNCTION("""COMPUTED_VALUE"""),"Piston")</f>
        <v>Piston</v>
      </c>
      <c r="F1993" s="5">
        <f ca="1">IFERROR(__xludf.DUMMYFUNCTION("""COMPUTED_VALUE"""),1)</f>
        <v>1</v>
      </c>
    </row>
    <row r="1994" spans="1:6" ht="15" customHeight="1" x14ac:dyDescent="0.2">
      <c r="A1994" s="5" t="str">
        <f ca="1">IFERROR(__xludf.DUMMYFUNCTION("""COMPUTED_VALUE"""),"R109")</f>
        <v>R109</v>
      </c>
      <c r="B1994" s="5" t="str">
        <f ca="1">IFERROR(__xludf.DUMMYFUNCTION("""COMPUTED_VALUE"""),"RIHN")</f>
        <v>RIHN</v>
      </c>
      <c r="C1994" s="5" t="str">
        <f ca="1">IFERROR(__xludf.DUMMYFUNCTION("""COMPUTED_VALUE"""),"DR-109 Rhino")</f>
        <v>DR-109 Rhino</v>
      </c>
      <c r="D1994" s="5" t="str">
        <f ca="1">IFERROR(__xludf.DUMMYFUNCTION("""COMPUTED_VALUE"""),"LandPlane")</f>
        <v>LandPlane</v>
      </c>
      <c r="E1994" s="5" t="str">
        <f ca="1">IFERROR(__xludf.DUMMYFUNCTION("""COMPUTED_VALUE"""),"Piston")</f>
        <v>Piston</v>
      </c>
      <c r="F1994" s="5">
        <f ca="1">IFERROR(__xludf.DUMMYFUNCTION("""COMPUTED_VALUE"""),1)</f>
        <v>1</v>
      </c>
    </row>
    <row r="1995" spans="1:6" ht="15" customHeight="1" x14ac:dyDescent="0.2">
      <c r="A1995" s="5" t="str">
        <f ca="1">IFERROR(__xludf.DUMMYFUNCTION("""COMPUTED_VALUE"""),"R11")</f>
        <v>R11</v>
      </c>
      <c r="B1995" s="5" t="str">
        <f ca="1">IFERROR(__xludf.DUMMYFUNCTION("""COMPUTED_VALUE"""),"RUPERT")</f>
        <v>RUPERT</v>
      </c>
      <c r="C1995" s="5" t="str">
        <f ca="1">IFERROR(__xludf.DUMMYFUNCTION("""COMPUTED_VALUE"""),"R-11")</f>
        <v>R-11</v>
      </c>
      <c r="D1995" s="5" t="str">
        <f ca="1">IFERROR(__xludf.DUMMYFUNCTION("""COMPUTED_VALUE"""),"LandPlane")</f>
        <v>LandPlane</v>
      </c>
      <c r="E1995" s="5" t="str">
        <f ca="1">IFERROR(__xludf.DUMMYFUNCTION("""COMPUTED_VALUE"""),"Piston")</f>
        <v>Piston</v>
      </c>
      <c r="F1995" s="5">
        <f ca="1">IFERROR(__xludf.DUMMYFUNCTION("""COMPUTED_VALUE"""),1)</f>
        <v>1</v>
      </c>
    </row>
    <row r="1996" spans="1:6" ht="15" customHeight="1" x14ac:dyDescent="0.2">
      <c r="A1996" s="5" t="str">
        <f ca="1">IFERROR(__xludf.DUMMYFUNCTION("""COMPUTED_VALUE"""),"R135")</f>
        <v>R135</v>
      </c>
      <c r="B1996" s="5" t="str">
        <f ca="1">IFERROR(__xludf.DUMMYFUNCTION("""COMPUTED_VALUE"""),"BOEING")</f>
        <v>BOEING</v>
      </c>
      <c r="C1996" s="5" t="str">
        <f ca="1">IFERROR(__xludf.DUMMYFUNCTION("""COMPUTED_VALUE"""),"RC-135")</f>
        <v>RC-135</v>
      </c>
      <c r="D1996" s="5" t="str">
        <f ca="1">IFERROR(__xludf.DUMMYFUNCTION("""COMPUTED_VALUE"""),"LandPlane")</f>
        <v>LandPlane</v>
      </c>
      <c r="E1996" s="5" t="str">
        <f ca="1">IFERROR(__xludf.DUMMYFUNCTION("""COMPUTED_VALUE"""),"Jet")</f>
        <v>Jet</v>
      </c>
      <c r="F1996" s="5">
        <f ca="1">IFERROR(__xludf.DUMMYFUNCTION("""COMPUTED_VALUE"""),4)</f>
        <v>4</v>
      </c>
    </row>
    <row r="1997" spans="1:6" ht="15" customHeight="1" x14ac:dyDescent="0.2">
      <c r="A1997" s="5" t="str">
        <f ca="1">IFERROR(__xludf.DUMMYFUNCTION("""COMPUTED_VALUE"""),"R185")</f>
        <v>R185</v>
      </c>
      <c r="B1997" s="5" t="str">
        <f ca="1">IFERROR(__xludf.DUMMYFUNCTION("""COMPUTED_VALUE"""),"JOHNSON")</f>
        <v>JOHNSON</v>
      </c>
      <c r="C1997" s="5" t="str">
        <f ca="1">IFERROR(__xludf.DUMMYFUNCTION("""COMPUTED_VALUE"""),"Rocket 185")</f>
        <v>Rocket 185</v>
      </c>
      <c r="D1997" s="5" t="str">
        <f ca="1">IFERROR(__xludf.DUMMYFUNCTION("""COMPUTED_VALUE"""),"LandPlane")</f>
        <v>LandPlane</v>
      </c>
      <c r="E1997" s="5" t="str">
        <f ca="1">IFERROR(__xludf.DUMMYFUNCTION("""COMPUTED_VALUE"""),"Piston")</f>
        <v>Piston</v>
      </c>
      <c r="F1997" s="5">
        <f ca="1">IFERROR(__xludf.DUMMYFUNCTION("""COMPUTED_VALUE"""),1)</f>
        <v>1</v>
      </c>
    </row>
    <row r="1998" spans="1:6" ht="15" customHeight="1" x14ac:dyDescent="0.2">
      <c r="A1998" s="5" t="str">
        <f ca="1">IFERROR(__xludf.DUMMYFUNCTION("""COMPUTED_VALUE"""),"R2")</f>
        <v>R2</v>
      </c>
      <c r="B1998" s="5" t="str">
        <f ca="1">IFERROR(__xludf.DUMMYFUNCTION("""COMPUTED_VALUE"""),"SAU")</f>
        <v>SAU</v>
      </c>
      <c r="C1998" s="5" t="str">
        <f ca="1">IFERROR(__xludf.DUMMYFUNCTION("""COMPUTED_VALUE"""),"R-02 Robert")</f>
        <v>R-02 Robert</v>
      </c>
      <c r="D1998" s="5" t="str">
        <f ca="1">IFERROR(__xludf.DUMMYFUNCTION("""COMPUTED_VALUE"""),"SeaPlane")</f>
        <v>SeaPlane</v>
      </c>
      <c r="E1998" s="5" t="str">
        <f ca="1">IFERROR(__xludf.DUMMYFUNCTION("""COMPUTED_VALUE"""),"Piston")</f>
        <v>Piston</v>
      </c>
      <c r="F1998" s="5">
        <f ca="1">IFERROR(__xludf.DUMMYFUNCTION("""COMPUTED_VALUE"""),1)</f>
        <v>1</v>
      </c>
    </row>
    <row r="1999" spans="1:6" ht="15" customHeight="1" x14ac:dyDescent="0.2">
      <c r="A1999" s="5" t="str">
        <f ca="1">IFERROR(__xludf.DUMMYFUNCTION("""COMPUTED_VALUE"""),"R200")</f>
        <v>R200</v>
      </c>
      <c r="B1999" s="5" t="str">
        <f ca="1">IFERROR(__xludf.DUMMYFUNCTION("""COMPUTED_VALUE"""),"ROBIN")</f>
        <v>ROBIN</v>
      </c>
      <c r="C1999" s="5" t="str">
        <f ca="1">IFERROR(__xludf.DUMMYFUNCTION("""COMPUTED_VALUE"""),"R-2100 Super Club")</f>
        <v>R-2100 Super Club</v>
      </c>
      <c r="D1999" s="5" t="str">
        <f ca="1">IFERROR(__xludf.DUMMYFUNCTION("""COMPUTED_VALUE"""),"LandPlane")</f>
        <v>LandPlane</v>
      </c>
      <c r="E1999" s="5" t="str">
        <f ca="1">IFERROR(__xludf.DUMMYFUNCTION("""COMPUTED_VALUE"""),"Piston")</f>
        <v>Piston</v>
      </c>
      <c r="F1999" s="5">
        <f ca="1">IFERROR(__xludf.DUMMYFUNCTION("""COMPUTED_VALUE"""),1)</f>
        <v>1</v>
      </c>
    </row>
    <row r="2000" spans="1:6" ht="15" customHeight="1" x14ac:dyDescent="0.2">
      <c r="A2000" s="5" t="str">
        <f ca="1">IFERROR(__xludf.DUMMYFUNCTION("""COMPUTED_VALUE"""),"R22")</f>
        <v>R22</v>
      </c>
      <c r="B2000" s="5" t="str">
        <f ca="1">IFERROR(__xludf.DUMMYFUNCTION("""COMPUTED_VALUE"""),"ROBINSON")</f>
        <v>ROBINSON</v>
      </c>
      <c r="C2000" s="5" t="str">
        <f ca="1">IFERROR(__xludf.DUMMYFUNCTION("""COMPUTED_VALUE"""),"R-22")</f>
        <v>R-22</v>
      </c>
      <c r="D2000" s="5" t="str">
        <f ca="1">IFERROR(__xludf.DUMMYFUNCTION("""COMPUTED_VALUE"""),"Helicopter")</f>
        <v>Helicopter</v>
      </c>
      <c r="E2000" s="5" t="str">
        <f ca="1">IFERROR(__xludf.DUMMYFUNCTION("""COMPUTED_VALUE"""),"Piston")</f>
        <v>Piston</v>
      </c>
      <c r="F2000" s="5">
        <f ca="1">IFERROR(__xludf.DUMMYFUNCTION("""COMPUTED_VALUE"""),1)</f>
        <v>1</v>
      </c>
    </row>
    <row r="2001" spans="1:6" ht="15" customHeight="1" x14ac:dyDescent="0.2">
      <c r="A2001" s="5" t="str">
        <f ca="1">IFERROR(__xludf.DUMMYFUNCTION("""COMPUTED_VALUE"""),"R300")</f>
        <v>R300</v>
      </c>
      <c r="B2001" s="5" t="str">
        <f ca="1">IFERROR(__xludf.DUMMYFUNCTION("""COMPUTED_VALUE"""),"ROBIN")</f>
        <v>ROBIN</v>
      </c>
      <c r="C2001" s="5" t="str">
        <f ca="1">IFERROR(__xludf.DUMMYFUNCTION("""COMPUTED_VALUE"""),"R-300")</f>
        <v>R-300</v>
      </c>
      <c r="D2001" s="5" t="str">
        <f ca="1">IFERROR(__xludf.DUMMYFUNCTION("""COMPUTED_VALUE"""),"LandPlane")</f>
        <v>LandPlane</v>
      </c>
      <c r="E2001" s="5" t="str">
        <f ca="1">IFERROR(__xludf.DUMMYFUNCTION("""COMPUTED_VALUE"""),"Piston")</f>
        <v>Piston</v>
      </c>
      <c r="F2001" s="5">
        <f ca="1">IFERROR(__xludf.DUMMYFUNCTION("""COMPUTED_VALUE"""),1)</f>
        <v>1</v>
      </c>
    </row>
    <row r="2002" spans="1:6" ht="15" customHeight="1" x14ac:dyDescent="0.2">
      <c r="A2002" s="5" t="str">
        <f ca="1">IFERROR(__xludf.DUMMYFUNCTION("""COMPUTED_VALUE"""),"R4")</f>
        <v>R4</v>
      </c>
      <c r="B2002" s="5" t="str">
        <f ca="1">IFERROR(__xludf.DUMMYFUNCTION("""COMPUTED_VALUE"""),"SIKORSKY")</f>
        <v>SIKORSKY</v>
      </c>
      <c r="C2002" s="5" t="str">
        <f ca="1">IFERROR(__xludf.DUMMYFUNCTION("""COMPUTED_VALUE"""),"R-4 Hoverfly")</f>
        <v>R-4 Hoverfly</v>
      </c>
      <c r="D2002" s="5" t="str">
        <f ca="1">IFERROR(__xludf.DUMMYFUNCTION("""COMPUTED_VALUE"""),"Helicopter")</f>
        <v>Helicopter</v>
      </c>
      <c r="E2002" s="5" t="str">
        <f ca="1">IFERROR(__xludf.DUMMYFUNCTION("""COMPUTED_VALUE"""),"Piston")</f>
        <v>Piston</v>
      </c>
      <c r="F2002" s="5">
        <f ca="1">IFERROR(__xludf.DUMMYFUNCTION("""COMPUTED_VALUE"""),1)</f>
        <v>1</v>
      </c>
    </row>
    <row r="2003" spans="1:6" ht="15" customHeight="1" x14ac:dyDescent="0.2">
      <c r="A2003" s="5" t="str">
        <f ca="1">IFERROR(__xludf.DUMMYFUNCTION("""COMPUTED_VALUE"""),"R44")</f>
        <v>R44</v>
      </c>
      <c r="B2003" s="5" t="str">
        <f ca="1">IFERROR(__xludf.DUMMYFUNCTION("""COMPUTED_VALUE"""),"ROBINSON")</f>
        <v>ROBINSON</v>
      </c>
      <c r="C2003" s="5" t="str">
        <f ca="1">IFERROR(__xludf.DUMMYFUNCTION("""COMPUTED_VALUE"""),"R-44 Raven")</f>
        <v>R-44 Raven</v>
      </c>
      <c r="D2003" s="5" t="str">
        <f ca="1">IFERROR(__xludf.DUMMYFUNCTION("""COMPUTED_VALUE"""),"Helicopter")</f>
        <v>Helicopter</v>
      </c>
      <c r="E2003" s="5" t="str">
        <f ca="1">IFERROR(__xludf.DUMMYFUNCTION("""COMPUTED_VALUE"""),"Piston")</f>
        <v>Piston</v>
      </c>
      <c r="F2003" s="5">
        <f ca="1">IFERROR(__xludf.DUMMYFUNCTION("""COMPUTED_VALUE"""),1)</f>
        <v>1</v>
      </c>
    </row>
    <row r="2004" spans="1:6" ht="15" customHeight="1" x14ac:dyDescent="0.2">
      <c r="A2004" s="5" t="str">
        <f ca="1">IFERROR(__xludf.DUMMYFUNCTION("""COMPUTED_VALUE"""),"R66")</f>
        <v>R66</v>
      </c>
      <c r="B2004" s="5" t="str">
        <f ca="1">IFERROR(__xludf.DUMMYFUNCTION("""COMPUTED_VALUE"""),"ROBINSON")</f>
        <v>ROBINSON</v>
      </c>
      <c r="C2004" s="5" t="str">
        <f ca="1">IFERROR(__xludf.DUMMYFUNCTION("""COMPUTED_VALUE"""),"R-66")</f>
        <v>R-66</v>
      </c>
      <c r="D2004" s="5" t="str">
        <f ca="1">IFERROR(__xludf.DUMMYFUNCTION("""COMPUTED_VALUE"""),"Helicopter")</f>
        <v>Helicopter</v>
      </c>
      <c r="E2004" s="5" t="str">
        <f ca="1">IFERROR(__xludf.DUMMYFUNCTION("""COMPUTED_VALUE"""),"Turboprop/Turboshaft")</f>
        <v>Turboprop/Turboshaft</v>
      </c>
      <c r="F2004" s="5">
        <f ca="1">IFERROR(__xludf.DUMMYFUNCTION("""COMPUTED_VALUE"""),1)</f>
        <v>1</v>
      </c>
    </row>
    <row r="2005" spans="1:6" ht="15" customHeight="1" x14ac:dyDescent="0.2">
      <c r="A2005" s="5" t="str">
        <f ca="1">IFERROR(__xludf.DUMMYFUNCTION("""COMPUTED_VALUE"""),"R721")</f>
        <v>R721</v>
      </c>
      <c r="B2005" s="5" t="str">
        <f ca="1">IFERROR(__xludf.DUMMYFUNCTION("""COMPUTED_VALUE"""),"BOEING")</f>
        <v>BOEING</v>
      </c>
      <c r="C2005" s="5" t="str">
        <f ca="1">IFERROR(__xludf.DUMMYFUNCTION("""COMPUTED_VALUE"""),"727-100RE Super 27")</f>
        <v>727-100RE Super 27</v>
      </c>
      <c r="D2005" s="5" t="str">
        <f ca="1">IFERROR(__xludf.DUMMYFUNCTION("""COMPUTED_VALUE"""),"LandPlane")</f>
        <v>LandPlane</v>
      </c>
      <c r="E2005" s="5" t="str">
        <f ca="1">IFERROR(__xludf.DUMMYFUNCTION("""COMPUTED_VALUE"""),"Jet")</f>
        <v>Jet</v>
      </c>
      <c r="F2005" s="5">
        <f ca="1">IFERROR(__xludf.DUMMYFUNCTION("""COMPUTED_VALUE"""),3)</f>
        <v>3</v>
      </c>
    </row>
    <row r="2006" spans="1:6" ht="15" customHeight="1" x14ac:dyDescent="0.2">
      <c r="A2006" s="5" t="str">
        <f ca="1">IFERROR(__xludf.DUMMYFUNCTION("""COMPUTED_VALUE"""),"R722")</f>
        <v>R722</v>
      </c>
      <c r="B2006" s="5" t="str">
        <f ca="1">IFERROR(__xludf.DUMMYFUNCTION("""COMPUTED_VALUE"""),"BOEING")</f>
        <v>BOEING</v>
      </c>
      <c r="C2006" s="5" t="str">
        <f ca="1">IFERROR(__xludf.DUMMYFUNCTION("""COMPUTED_VALUE"""),"727-200RE Super 27")</f>
        <v>727-200RE Super 27</v>
      </c>
      <c r="D2006" s="5" t="str">
        <f ca="1">IFERROR(__xludf.DUMMYFUNCTION("""COMPUTED_VALUE"""),"LandPlane")</f>
        <v>LandPlane</v>
      </c>
      <c r="E2006" s="5" t="str">
        <f ca="1">IFERROR(__xludf.DUMMYFUNCTION("""COMPUTED_VALUE"""),"Jet")</f>
        <v>Jet</v>
      </c>
      <c r="F2006" s="5">
        <f ca="1">IFERROR(__xludf.DUMMYFUNCTION("""COMPUTED_VALUE"""),3)</f>
        <v>3</v>
      </c>
    </row>
    <row r="2007" spans="1:6" ht="15" customHeight="1" x14ac:dyDescent="0.2">
      <c r="A2007" s="5" t="str">
        <f ca="1">IFERROR(__xludf.DUMMYFUNCTION("""COMPUTED_VALUE"""),"R90F")</f>
        <v>R90F</v>
      </c>
      <c r="B2007" s="5" t="str">
        <f ca="1">IFERROR(__xludf.DUMMYFUNCTION("""COMPUTED_VALUE"""),"RUSCHMEYER")</f>
        <v>RUSCHMEYER</v>
      </c>
      <c r="C2007" s="5" t="str">
        <f ca="1">IFERROR(__xludf.DUMMYFUNCTION("""COMPUTED_VALUE"""),"R-90-230FG")</f>
        <v>R-90-230FG</v>
      </c>
      <c r="D2007" s="5" t="str">
        <f ca="1">IFERROR(__xludf.DUMMYFUNCTION("""COMPUTED_VALUE"""),"LandPlane")</f>
        <v>LandPlane</v>
      </c>
      <c r="E2007" s="5" t="str">
        <f ca="1">IFERROR(__xludf.DUMMYFUNCTION("""COMPUTED_VALUE"""),"Piston")</f>
        <v>Piston</v>
      </c>
      <c r="F2007" s="5">
        <f ca="1">IFERROR(__xludf.DUMMYFUNCTION("""COMPUTED_VALUE"""),1)</f>
        <v>1</v>
      </c>
    </row>
    <row r="2008" spans="1:6" ht="15" customHeight="1" x14ac:dyDescent="0.2">
      <c r="A2008" s="5" t="str">
        <f ca="1">IFERROR(__xludf.DUMMYFUNCTION("""COMPUTED_VALUE"""),"R90R")</f>
        <v>R90R</v>
      </c>
      <c r="B2008" s="5" t="str">
        <f ca="1">IFERROR(__xludf.DUMMYFUNCTION("""COMPUTED_VALUE"""),"RUSCHMEYER")</f>
        <v>RUSCHMEYER</v>
      </c>
      <c r="C2008" s="5" t="str">
        <f ca="1">IFERROR(__xludf.DUMMYFUNCTION("""COMPUTED_VALUE"""),"R-90-230RG")</f>
        <v>R-90-230RG</v>
      </c>
      <c r="D2008" s="5" t="str">
        <f ca="1">IFERROR(__xludf.DUMMYFUNCTION("""COMPUTED_VALUE"""),"LandPlane")</f>
        <v>LandPlane</v>
      </c>
      <c r="E2008" s="5" t="str">
        <f ca="1">IFERROR(__xludf.DUMMYFUNCTION("""COMPUTED_VALUE"""),"Piston")</f>
        <v>Piston</v>
      </c>
      <c r="F2008" s="5">
        <f ca="1">IFERROR(__xludf.DUMMYFUNCTION("""COMPUTED_VALUE"""),1)</f>
        <v>1</v>
      </c>
    </row>
    <row r="2009" spans="1:6" ht="15" customHeight="1" x14ac:dyDescent="0.2">
      <c r="A2009" s="5" t="str">
        <f ca="1">IFERROR(__xludf.DUMMYFUNCTION("""COMPUTED_VALUE"""),"R90T")</f>
        <v>R90T</v>
      </c>
      <c r="B2009" s="5" t="str">
        <f ca="1">IFERROR(__xludf.DUMMYFUNCTION("""COMPUTED_VALUE"""),"RUSCHMEYER")</f>
        <v>RUSCHMEYER</v>
      </c>
      <c r="C2009" s="5" t="str">
        <f ca="1">IFERROR(__xludf.DUMMYFUNCTION("""COMPUTED_VALUE"""),"R-90-420AT")</f>
        <v>R-90-420AT</v>
      </c>
      <c r="D2009" s="5" t="str">
        <f ca="1">IFERROR(__xludf.DUMMYFUNCTION("""COMPUTED_VALUE"""),"LandPlane")</f>
        <v>LandPlane</v>
      </c>
      <c r="E2009" s="5" t="str">
        <f ca="1">IFERROR(__xludf.DUMMYFUNCTION("""COMPUTED_VALUE"""),"Turboprop/Turboshaft")</f>
        <v>Turboprop/Turboshaft</v>
      </c>
      <c r="F2009" s="5">
        <f ca="1">IFERROR(__xludf.DUMMYFUNCTION("""COMPUTED_VALUE"""),1)</f>
        <v>1</v>
      </c>
    </row>
    <row r="2010" spans="1:6" ht="15" customHeight="1" x14ac:dyDescent="0.2">
      <c r="A2010" s="5" t="str">
        <f ca="1">IFERROR(__xludf.DUMMYFUNCTION("""COMPUTED_VALUE"""),"RA14")</f>
        <v>RA14</v>
      </c>
      <c r="B2010" s="5" t="str">
        <f ca="1">IFERROR(__xludf.DUMMYFUNCTION("""COMPUTED_VALUE"""),"ADAM (1)")</f>
        <v>ADAM (1)</v>
      </c>
      <c r="C2010" s="5" t="str">
        <f ca="1">IFERROR(__xludf.DUMMYFUNCTION("""COMPUTED_VALUE"""),"RA-14 Loisirs")</f>
        <v>RA-14 Loisirs</v>
      </c>
      <c r="D2010" s="5" t="str">
        <f ca="1">IFERROR(__xludf.DUMMYFUNCTION("""COMPUTED_VALUE"""),"LandPlane")</f>
        <v>LandPlane</v>
      </c>
      <c r="E2010" s="5" t="str">
        <f ca="1">IFERROR(__xludf.DUMMYFUNCTION("""COMPUTED_VALUE"""),"Piston")</f>
        <v>Piston</v>
      </c>
      <c r="F2010" s="5">
        <f ca="1">IFERROR(__xludf.DUMMYFUNCTION("""COMPUTED_VALUE"""),1)</f>
        <v>1</v>
      </c>
    </row>
    <row r="2011" spans="1:6" ht="15" customHeight="1" x14ac:dyDescent="0.2">
      <c r="A2011" s="5" t="str">
        <f ca="1">IFERROR(__xludf.DUMMYFUNCTION("""COMPUTED_VALUE"""),"RA17")</f>
        <v>RA17</v>
      </c>
      <c r="B2011" s="5" t="str">
        <f ca="1">IFERROR(__xludf.DUMMYFUNCTION("""COMPUTED_VALUE"""),"ADAM (1)")</f>
        <v>ADAM (1)</v>
      </c>
      <c r="C2011" s="5" t="str">
        <f ca="1">IFERROR(__xludf.DUMMYFUNCTION("""COMPUTED_VALUE"""),"RA-17")</f>
        <v>RA-17</v>
      </c>
      <c r="D2011" s="5" t="str">
        <f ca="1">IFERROR(__xludf.DUMMYFUNCTION("""COMPUTED_VALUE"""),"LandPlane")</f>
        <v>LandPlane</v>
      </c>
      <c r="E2011" s="5" t="str">
        <f ca="1">IFERROR(__xludf.DUMMYFUNCTION("""COMPUTED_VALUE"""),"Piston")</f>
        <v>Piston</v>
      </c>
      <c r="F2011" s="5">
        <f ca="1">IFERROR(__xludf.DUMMYFUNCTION("""COMPUTED_VALUE"""),1)</f>
        <v>1</v>
      </c>
    </row>
    <row r="2012" spans="1:6" ht="15" customHeight="1" x14ac:dyDescent="0.2">
      <c r="A2012" s="5" t="str">
        <f ca="1">IFERROR(__xludf.DUMMYFUNCTION("""COMPUTED_VALUE"""),"RAF2")</f>
        <v>RAF2</v>
      </c>
      <c r="B2012" s="5" t="str">
        <f ca="1">IFERROR(__xludf.DUMMYFUNCTION("""COMPUTED_VALUE"""),"ROTARY AIR FORCE")</f>
        <v>ROTARY AIR FORCE</v>
      </c>
      <c r="C2012" s="5" t="str">
        <f ca="1">IFERROR(__xludf.DUMMYFUNCTION("""COMPUTED_VALUE"""),"RAF-2000")</f>
        <v>RAF-2000</v>
      </c>
      <c r="D2012" s="5" t="str">
        <f ca="1">IFERROR(__xludf.DUMMYFUNCTION("""COMPUTED_VALUE"""),"Gyrocopter")</f>
        <v>Gyrocopter</v>
      </c>
      <c r="E2012" s="5" t="str">
        <f ca="1">IFERROR(__xludf.DUMMYFUNCTION("""COMPUTED_VALUE"""),"Piston")</f>
        <v>Piston</v>
      </c>
      <c r="F2012" s="5">
        <f ca="1">IFERROR(__xludf.DUMMYFUNCTION("""COMPUTED_VALUE"""),1)</f>
        <v>1</v>
      </c>
    </row>
    <row r="2013" spans="1:6" ht="15" customHeight="1" x14ac:dyDescent="0.2">
      <c r="A2013" s="5" t="str">
        <f ca="1">IFERROR(__xludf.DUMMYFUNCTION("""COMPUTED_VALUE"""),"RAID")</f>
        <v>RAID</v>
      </c>
      <c r="B2013" s="5" t="str">
        <f ca="1">IFERROR(__xludf.DUMMYFUNCTION("""COMPUTED_VALUE"""),"SKY RAIDER")</f>
        <v>SKY RAIDER</v>
      </c>
      <c r="C2013" s="5" t="str">
        <f ca="1">IFERROR(__xludf.DUMMYFUNCTION("""COMPUTED_VALUE"""),"Super Sky Raider")</f>
        <v>Super Sky Raider</v>
      </c>
      <c r="D2013" s="5" t="str">
        <f ca="1">IFERROR(__xludf.DUMMYFUNCTION("""COMPUTED_VALUE"""),"LandPlane")</f>
        <v>LandPlane</v>
      </c>
      <c r="E2013" s="5" t="str">
        <f ca="1">IFERROR(__xludf.DUMMYFUNCTION("""COMPUTED_VALUE"""),"Piston")</f>
        <v>Piston</v>
      </c>
      <c r="F2013" s="5">
        <f ca="1">IFERROR(__xludf.DUMMYFUNCTION("""COMPUTED_VALUE"""),1)</f>
        <v>1</v>
      </c>
    </row>
    <row r="2014" spans="1:6" ht="15" customHeight="1" x14ac:dyDescent="0.2">
      <c r="A2014" s="5" t="str">
        <f ca="1">IFERROR(__xludf.DUMMYFUNCTION("""COMPUTED_VALUE"""),"RAIL")</f>
        <v>RAIL</v>
      </c>
      <c r="B2014" s="5" t="str">
        <f ca="1">IFERROR(__xludf.DUMMYFUNCTION("""COMPUTED_VALUE"""),"AEROSPORT")</f>
        <v>AEROSPORT</v>
      </c>
      <c r="C2014" s="5" t="str">
        <f ca="1">IFERROR(__xludf.DUMMYFUNCTION("""COMPUTED_VALUE"""),"Rail")</f>
        <v>Rail</v>
      </c>
      <c r="D2014" s="5" t="str">
        <f ca="1">IFERROR(__xludf.DUMMYFUNCTION("""COMPUTED_VALUE"""),"LandPlane")</f>
        <v>LandPlane</v>
      </c>
      <c r="E2014" s="5" t="str">
        <f ca="1">IFERROR(__xludf.DUMMYFUNCTION("""COMPUTED_VALUE"""),"Piston")</f>
        <v>Piston</v>
      </c>
      <c r="F2014" s="5">
        <f ca="1">IFERROR(__xludf.DUMMYFUNCTION("""COMPUTED_VALUE"""),1)</f>
        <v>1</v>
      </c>
    </row>
    <row r="2015" spans="1:6" ht="15" customHeight="1" x14ac:dyDescent="0.2">
      <c r="A2015" s="5" t="str">
        <f ca="1">IFERROR(__xludf.DUMMYFUNCTION("""COMPUTED_VALUE"""),"RALL")</f>
        <v>RALL</v>
      </c>
      <c r="B2015" s="5" t="str">
        <f ca="1">IFERROR(__xludf.DUMMYFUNCTION("""COMPUTED_VALUE"""),"MORANE-SAULNIER")</f>
        <v>MORANE-SAULNIER</v>
      </c>
      <c r="C2015" s="5" t="str">
        <f ca="1">IFERROR(__xludf.DUMMYFUNCTION("""COMPUTED_VALUE"""),"MS-880 Rallye Club")</f>
        <v>MS-880 Rallye Club</v>
      </c>
      <c r="D2015" s="5" t="str">
        <f ca="1">IFERROR(__xludf.DUMMYFUNCTION("""COMPUTED_VALUE"""),"LandPlane")</f>
        <v>LandPlane</v>
      </c>
      <c r="E2015" s="5" t="str">
        <f ca="1">IFERROR(__xludf.DUMMYFUNCTION("""COMPUTED_VALUE"""),"Piston")</f>
        <v>Piston</v>
      </c>
      <c r="F2015" s="5">
        <f ca="1">IFERROR(__xludf.DUMMYFUNCTION("""COMPUTED_VALUE"""),1)</f>
        <v>1</v>
      </c>
    </row>
    <row r="2016" spans="1:6" ht="15" customHeight="1" x14ac:dyDescent="0.2">
      <c r="A2016" s="5" t="str">
        <f ca="1">IFERROR(__xludf.DUMMYFUNCTION("""COMPUTED_VALUE"""),"RANG")</f>
        <v>RANG</v>
      </c>
      <c r="B2016" s="5" t="str">
        <f ca="1">IFERROR(__xludf.DUMMYFUNCTION("""COMPUTED_VALUE"""),"NAVION")</f>
        <v>NAVION</v>
      </c>
      <c r="C2016" s="5" t="str">
        <f ca="1">IFERROR(__xludf.DUMMYFUNCTION("""COMPUTED_VALUE"""),"Rangemaster")</f>
        <v>Rangemaster</v>
      </c>
      <c r="D2016" s="5" t="str">
        <f ca="1">IFERROR(__xludf.DUMMYFUNCTION("""COMPUTED_VALUE"""),"LandPlane")</f>
        <v>LandPlane</v>
      </c>
      <c r="E2016" s="5" t="str">
        <f ca="1">IFERROR(__xludf.DUMMYFUNCTION("""COMPUTED_VALUE"""),"Piston")</f>
        <v>Piston</v>
      </c>
      <c r="F2016" s="5">
        <f ca="1">IFERROR(__xludf.DUMMYFUNCTION("""COMPUTED_VALUE"""),1)</f>
        <v>1</v>
      </c>
    </row>
    <row r="2017" spans="1:6" ht="15" customHeight="1" x14ac:dyDescent="0.2">
      <c r="A2017" s="5" t="str">
        <f ca="1">IFERROR(__xludf.DUMMYFUNCTION("""COMPUTED_VALUE"""),"RARO")</f>
        <v>RARO</v>
      </c>
      <c r="B2017" s="5" t="str">
        <f ca="1">IFERROR(__xludf.DUMMYFUNCTION("""COMPUTED_VALUE"""),"NEW CENTURY")</f>
        <v>NEW CENTURY</v>
      </c>
      <c r="C2017" s="5" t="str">
        <f ca="1">IFERROR(__xludf.DUMMYFUNCTION("""COMPUTED_VALUE"""),"Radial Rocket")</f>
        <v>Radial Rocket</v>
      </c>
      <c r="D2017" s="5" t="str">
        <f ca="1">IFERROR(__xludf.DUMMYFUNCTION("""COMPUTED_VALUE"""),"LandPlane")</f>
        <v>LandPlane</v>
      </c>
      <c r="E2017" s="5" t="str">
        <f ca="1">IFERROR(__xludf.DUMMYFUNCTION("""COMPUTED_VALUE"""),"Piston")</f>
        <v>Piston</v>
      </c>
      <c r="F2017" s="5">
        <f ca="1">IFERROR(__xludf.DUMMYFUNCTION("""COMPUTED_VALUE"""),1)</f>
        <v>1</v>
      </c>
    </row>
    <row r="2018" spans="1:6" ht="15" customHeight="1" x14ac:dyDescent="0.2">
      <c r="A2018" s="5" t="str">
        <f ca="1">IFERROR(__xludf.DUMMYFUNCTION("""COMPUTED_VALUE"""),"RAV3")</f>
        <v>RAV3</v>
      </c>
      <c r="B2018" s="5" t="str">
        <f ca="1">IFERROR(__xludf.DUMMYFUNCTION("""COMPUTED_VALUE"""),"RAVIN")</f>
        <v>RAVIN</v>
      </c>
      <c r="C2018" s="5" t="str">
        <f ca="1">IFERROR(__xludf.DUMMYFUNCTION("""COMPUTED_VALUE"""),"Ravin 300")</f>
        <v>Ravin 300</v>
      </c>
      <c r="D2018" s="5" t="str">
        <f ca="1">IFERROR(__xludf.DUMMYFUNCTION("""COMPUTED_VALUE"""),"LandPlane")</f>
        <v>LandPlane</v>
      </c>
      <c r="E2018" s="5" t="str">
        <f ca="1">IFERROR(__xludf.DUMMYFUNCTION("""COMPUTED_VALUE"""),"Piston")</f>
        <v>Piston</v>
      </c>
      <c r="F2018" s="5">
        <f ca="1">IFERROR(__xludf.DUMMYFUNCTION("""COMPUTED_VALUE"""),1)</f>
        <v>1</v>
      </c>
    </row>
    <row r="2019" spans="1:6" ht="15" customHeight="1" x14ac:dyDescent="0.2">
      <c r="A2019" s="5" t="str">
        <f ca="1">IFERROR(__xludf.DUMMYFUNCTION("""COMPUTED_VALUE"""),"RAV5")</f>
        <v>RAV5</v>
      </c>
      <c r="B2019" s="5" t="str">
        <f ca="1">IFERROR(__xludf.DUMMYFUNCTION("""COMPUTED_VALUE"""),"RAVIN")</f>
        <v>RAVIN</v>
      </c>
      <c r="C2019" s="5" t="str">
        <f ca="1">IFERROR(__xludf.DUMMYFUNCTION("""COMPUTED_VALUE"""),"Ravin 500")</f>
        <v>Ravin 500</v>
      </c>
      <c r="D2019" s="5" t="str">
        <f ca="1">IFERROR(__xludf.DUMMYFUNCTION("""COMPUTED_VALUE"""),"LandPlane")</f>
        <v>LandPlane</v>
      </c>
      <c r="E2019" s="5" t="str">
        <f ca="1">IFERROR(__xludf.DUMMYFUNCTION("""COMPUTED_VALUE"""),"Piston")</f>
        <v>Piston</v>
      </c>
      <c r="F2019" s="5">
        <f ca="1">IFERROR(__xludf.DUMMYFUNCTION("""COMPUTED_VALUE"""),1)</f>
        <v>1</v>
      </c>
    </row>
    <row r="2020" spans="1:6" ht="15" customHeight="1" x14ac:dyDescent="0.2">
      <c r="A2020" s="5" t="str">
        <f ca="1">IFERROR(__xludf.DUMMYFUNCTION("""COMPUTED_VALUE"""),"RAZM")</f>
        <v>RAZM</v>
      </c>
      <c r="B2020" s="5" t="str">
        <f ca="1">IFERROR(__xludf.DUMMYFUNCTION("""COMPUTED_VALUE"""),"SAINT GERMAIN")</f>
        <v>SAINT GERMAIN</v>
      </c>
      <c r="C2020" s="5" t="str">
        <f ca="1">IFERROR(__xludf.DUMMYFUNCTION("""COMPUTED_VALUE"""),"Raz-Mut")</f>
        <v>Raz-Mut</v>
      </c>
      <c r="D2020" s="5" t="str">
        <f ca="1">IFERROR(__xludf.DUMMYFUNCTION("""COMPUTED_VALUE"""),"LandPlane")</f>
        <v>LandPlane</v>
      </c>
      <c r="E2020" s="5" t="str">
        <f ca="1">IFERROR(__xludf.DUMMYFUNCTION("""COMPUTED_VALUE"""),"Piston")</f>
        <v>Piston</v>
      </c>
      <c r="F2020" s="5">
        <f ca="1">IFERROR(__xludf.DUMMYFUNCTION("""COMPUTED_VALUE"""),1)</f>
        <v>1</v>
      </c>
    </row>
    <row r="2021" spans="1:6" ht="15" customHeight="1" x14ac:dyDescent="0.2">
      <c r="A2021" s="5" t="str">
        <f ca="1">IFERROR(__xludf.DUMMYFUNCTION("""COMPUTED_VALUE"""),"RBEL")</f>
        <v>RBEL</v>
      </c>
      <c r="B2021" s="5" t="str">
        <f ca="1">IFERROR(__xludf.DUMMYFUNCTION("""COMPUTED_VALUE"""),"MURPHY")</f>
        <v>MURPHY</v>
      </c>
      <c r="C2021" s="5" t="str">
        <f ca="1">IFERROR(__xludf.DUMMYFUNCTION("""COMPUTED_VALUE"""),"Rebel")</f>
        <v>Rebel</v>
      </c>
      <c r="D2021" s="5" t="str">
        <f ca="1">IFERROR(__xludf.DUMMYFUNCTION("""COMPUTED_VALUE"""),"LandPlane")</f>
        <v>LandPlane</v>
      </c>
      <c r="E2021" s="5" t="str">
        <f ca="1">IFERROR(__xludf.DUMMYFUNCTION("""COMPUTED_VALUE"""),"Piston")</f>
        <v>Piston</v>
      </c>
      <c r="F2021" s="5">
        <f ca="1">IFERROR(__xludf.DUMMYFUNCTION("""COMPUTED_VALUE"""),1)</f>
        <v>1</v>
      </c>
    </row>
    <row r="2022" spans="1:6" ht="15" customHeight="1" x14ac:dyDescent="0.2">
      <c r="A2022" s="5" t="str">
        <f ca="1">IFERROR(__xludf.DUMMYFUNCTION("""COMPUTED_VALUE"""),"RC3")</f>
        <v>RC3</v>
      </c>
      <c r="B2022" s="5" t="str">
        <f ca="1">IFERROR(__xludf.DUMMYFUNCTION("""COMPUTED_VALUE"""),"REPUBLIC")</f>
        <v>REPUBLIC</v>
      </c>
      <c r="C2022" s="5" t="str">
        <f ca="1">IFERROR(__xludf.DUMMYFUNCTION("""COMPUTED_VALUE"""),"RC-3 Seabee")</f>
        <v>RC-3 Seabee</v>
      </c>
      <c r="D2022" s="5" t="str">
        <f ca="1">IFERROR(__xludf.DUMMYFUNCTION("""COMPUTED_VALUE"""),"Amphibian")</f>
        <v>Amphibian</v>
      </c>
      <c r="E2022" s="5" t="str">
        <f ca="1">IFERROR(__xludf.DUMMYFUNCTION("""COMPUTED_VALUE"""),"Piston")</f>
        <v>Piston</v>
      </c>
      <c r="F2022" s="5">
        <f ca="1">IFERROR(__xludf.DUMMYFUNCTION("""COMPUTED_VALUE"""),1)</f>
        <v>1</v>
      </c>
    </row>
    <row r="2023" spans="1:6" ht="15" customHeight="1" x14ac:dyDescent="0.2">
      <c r="A2023" s="5" t="str">
        <f ca="1">IFERROR(__xludf.DUMMYFUNCTION("""COMPUTED_VALUE"""),"RC70")</f>
        <v>RC70</v>
      </c>
      <c r="B2023" s="5" t="str">
        <f ca="1">IFERROR(__xludf.DUMMYFUNCTION("""COMPUTED_VALUE"""),"ROCKWELL")</f>
        <v>ROCKWELL</v>
      </c>
      <c r="C2023" s="5" t="str">
        <f ca="1">IFERROR(__xludf.DUMMYFUNCTION("""COMPUTED_VALUE"""),"Commander 700")</f>
        <v>Commander 700</v>
      </c>
      <c r="D2023" s="5" t="str">
        <f ca="1">IFERROR(__xludf.DUMMYFUNCTION("""COMPUTED_VALUE"""),"LandPlane")</f>
        <v>LandPlane</v>
      </c>
      <c r="E2023" s="5" t="str">
        <f ca="1">IFERROR(__xludf.DUMMYFUNCTION("""COMPUTED_VALUE"""),"Piston")</f>
        <v>Piston</v>
      </c>
      <c r="F2023" s="5">
        <f ca="1">IFERROR(__xludf.DUMMYFUNCTION("""COMPUTED_VALUE"""),2)</f>
        <v>2</v>
      </c>
    </row>
    <row r="2024" spans="1:6" ht="15" customHeight="1" x14ac:dyDescent="0.2">
      <c r="A2024" s="5" t="str">
        <f ca="1">IFERROR(__xludf.DUMMYFUNCTION("""COMPUTED_VALUE"""),"RCAL")</f>
        <v>RCAL</v>
      </c>
      <c r="B2024" s="5" t="str">
        <f ca="1">IFERROR(__xludf.DUMMYFUNCTION("""COMPUTED_VALUE"""),"MURPHY")</f>
        <v>MURPHY</v>
      </c>
      <c r="C2024" s="5" t="str">
        <f ca="1">IFERROR(__xludf.DUMMYFUNCTION("""COMPUTED_VALUE"""),"Radical")</f>
        <v>Radical</v>
      </c>
      <c r="D2024" s="5" t="str">
        <f ca="1">IFERROR(__xludf.DUMMYFUNCTION("""COMPUTED_VALUE"""),"LandPlane")</f>
        <v>LandPlane</v>
      </c>
      <c r="E2024" s="5" t="str">
        <f ca="1">IFERROR(__xludf.DUMMYFUNCTION("""COMPUTED_VALUE"""),"Piston")</f>
        <v>Piston</v>
      </c>
      <c r="F2024" s="5">
        <f ca="1">IFERROR(__xludf.DUMMYFUNCTION("""COMPUTED_VALUE"""),1)</f>
        <v>1</v>
      </c>
    </row>
    <row r="2025" spans="1:6" ht="15" customHeight="1" x14ac:dyDescent="0.2">
      <c r="A2025" s="5" t="str">
        <f ca="1">IFERROR(__xludf.DUMMYFUNCTION("""COMPUTED_VALUE"""),"RD03")</f>
        <v>RD03</v>
      </c>
      <c r="B2025" s="5" t="str">
        <f ca="1">IFERROR(__xludf.DUMMYFUNCTION("""COMPUTED_VALUE"""),"DURUBLE")</f>
        <v>DURUBLE</v>
      </c>
      <c r="C2025" s="5" t="str">
        <f ca="1">IFERROR(__xludf.DUMMYFUNCTION("""COMPUTED_VALUE"""),"RD-03 Edelweiss")</f>
        <v>RD-03 Edelweiss</v>
      </c>
      <c r="D2025" s="5" t="str">
        <f ca="1">IFERROR(__xludf.DUMMYFUNCTION("""COMPUTED_VALUE"""),"LandPlane")</f>
        <v>LandPlane</v>
      </c>
      <c r="E2025" s="5" t="str">
        <f ca="1">IFERROR(__xludf.DUMMYFUNCTION("""COMPUTED_VALUE"""),"Piston")</f>
        <v>Piston</v>
      </c>
      <c r="F2025" s="5">
        <f ca="1">IFERROR(__xludf.DUMMYFUNCTION("""COMPUTED_VALUE"""),1)</f>
        <v>1</v>
      </c>
    </row>
    <row r="2026" spans="1:6" ht="15" customHeight="1" x14ac:dyDescent="0.2">
      <c r="A2026" s="5" t="str">
        <f ca="1">IFERROR(__xludf.DUMMYFUNCTION("""COMPUTED_VALUE"""),"RD20")</f>
        <v>RD20</v>
      </c>
      <c r="B2026" s="5" t="str">
        <f ca="1">IFERROR(__xludf.DUMMYFUNCTION("""COMPUTED_VALUE"""),"DENIZE")</f>
        <v>DENIZE</v>
      </c>
      <c r="C2026" s="5" t="str">
        <f ca="1">IFERROR(__xludf.DUMMYFUNCTION("""COMPUTED_VALUE"""),"RD-20 Raid Driver")</f>
        <v>RD-20 Raid Driver</v>
      </c>
      <c r="D2026" s="5" t="str">
        <f ca="1">IFERROR(__xludf.DUMMYFUNCTION("""COMPUTED_VALUE"""),"LandPlane")</f>
        <v>LandPlane</v>
      </c>
      <c r="E2026" s="5" t="str">
        <f ca="1">IFERROR(__xludf.DUMMYFUNCTION("""COMPUTED_VALUE"""),"Piston")</f>
        <v>Piston</v>
      </c>
      <c r="F2026" s="5">
        <f ca="1">IFERROR(__xludf.DUMMYFUNCTION("""COMPUTED_VALUE"""),1)</f>
        <v>1</v>
      </c>
    </row>
    <row r="2027" spans="1:6" ht="15" customHeight="1" x14ac:dyDescent="0.2">
      <c r="A2027" s="5" t="str">
        <f ca="1">IFERROR(__xludf.DUMMYFUNCTION("""COMPUTED_VALUE"""),"RDH2")</f>
        <v>RDH2</v>
      </c>
      <c r="B2027" s="5" t="str">
        <f ca="1">IFERROR(__xludf.DUMMYFUNCTION("""COMPUTED_VALUE"""),"REDFERN")</f>
        <v>REDFERN</v>
      </c>
      <c r="C2027" s="5" t="str">
        <f ca="1">IFERROR(__xludf.DUMMYFUNCTION("""COMPUTED_VALUE"""),"DH-2")</f>
        <v>DH-2</v>
      </c>
      <c r="D2027" s="5" t="str">
        <f ca="1">IFERROR(__xludf.DUMMYFUNCTION("""COMPUTED_VALUE"""),"LandPlane")</f>
        <v>LandPlane</v>
      </c>
      <c r="E2027" s="5" t="str">
        <f ca="1">IFERROR(__xludf.DUMMYFUNCTION("""COMPUTED_VALUE"""),"Piston")</f>
        <v>Piston</v>
      </c>
      <c r="F2027" s="5">
        <f ca="1">IFERROR(__xludf.DUMMYFUNCTION("""COMPUTED_VALUE"""),1)</f>
        <v>1</v>
      </c>
    </row>
    <row r="2028" spans="1:6" ht="15" customHeight="1" x14ac:dyDescent="0.2">
      <c r="A2028" s="5" t="str">
        <f ca="1">IFERROR(__xludf.DUMMYFUNCTION("""COMPUTED_VALUE"""),"RELI")</f>
        <v>RELI</v>
      </c>
      <c r="B2028" s="5" t="str">
        <f ca="1">IFERROR(__xludf.DUMMYFUNCTION("""COMPUTED_VALUE"""),"STINSON")</f>
        <v>STINSON</v>
      </c>
      <c r="C2028" s="5" t="str">
        <f ca="1">IFERROR(__xludf.DUMMYFUNCTION("""COMPUTED_VALUE"""),"AT-19 Reliant")</f>
        <v>AT-19 Reliant</v>
      </c>
      <c r="D2028" s="5" t="str">
        <f ca="1">IFERROR(__xludf.DUMMYFUNCTION("""COMPUTED_VALUE"""),"LandPlane")</f>
        <v>LandPlane</v>
      </c>
      <c r="E2028" s="5" t="str">
        <f ca="1">IFERROR(__xludf.DUMMYFUNCTION("""COMPUTED_VALUE"""),"Piston")</f>
        <v>Piston</v>
      </c>
      <c r="F2028" s="5">
        <f ca="1">IFERROR(__xludf.DUMMYFUNCTION("""COMPUTED_VALUE"""),1)</f>
        <v>1</v>
      </c>
    </row>
    <row r="2029" spans="1:6" ht="15" customHeight="1" x14ac:dyDescent="0.2">
      <c r="A2029" s="5" t="str">
        <f ca="1">IFERROR(__xludf.DUMMYFUNCTION("""COMPUTED_VALUE"""),"RENE")</f>
        <v>RENE</v>
      </c>
      <c r="B2029" s="5" t="str">
        <f ca="1">IFERROR(__xludf.DUMMYFUNCTION("""COMPUTED_VALUE"""),"MURPHY")</f>
        <v>MURPHY</v>
      </c>
      <c r="C2029" s="5" t="str">
        <f ca="1">IFERROR(__xludf.DUMMYFUNCTION("""COMPUTED_VALUE"""),"Renegade")</f>
        <v>Renegade</v>
      </c>
      <c r="D2029" s="5" t="str">
        <f ca="1">IFERROR(__xludf.DUMMYFUNCTION("""COMPUTED_VALUE"""),"LandPlane")</f>
        <v>LandPlane</v>
      </c>
      <c r="E2029" s="5" t="str">
        <f ca="1">IFERROR(__xludf.DUMMYFUNCTION("""COMPUTED_VALUE"""),"Piston")</f>
        <v>Piston</v>
      </c>
      <c r="F2029" s="5">
        <f ca="1">IFERROR(__xludf.DUMMYFUNCTION("""COMPUTED_VALUE"""),1)</f>
        <v>1</v>
      </c>
    </row>
    <row r="2030" spans="1:6" ht="15" customHeight="1" x14ac:dyDescent="0.2">
      <c r="A2030" s="5" t="str">
        <f ca="1">IFERROR(__xludf.DUMMYFUNCTION("""COMPUTED_VALUE"""),"REV6")</f>
        <v>REV6</v>
      </c>
      <c r="B2030" s="5" t="str">
        <f ca="1">IFERROR(__xludf.DUMMYFUNCTION("""COMPUTED_VALUE"""),"GROEN")</f>
        <v>GROEN</v>
      </c>
      <c r="C2030" s="5" t="str">
        <f ca="1">IFERROR(__xludf.DUMMYFUNCTION("""COMPUTED_VALUE"""),"Revcon 6G")</f>
        <v>Revcon 6G</v>
      </c>
      <c r="D2030" s="5" t="str">
        <f ca="1">IFERROR(__xludf.DUMMYFUNCTION("""COMPUTED_VALUE"""),"Gyrocopter")</f>
        <v>Gyrocopter</v>
      </c>
      <c r="E2030" s="5" t="str">
        <f ca="1">IFERROR(__xludf.DUMMYFUNCTION("""COMPUTED_VALUE"""),"Turboprop/Turboshaft")</f>
        <v>Turboprop/Turboshaft</v>
      </c>
      <c r="F2030" s="5">
        <f ca="1">IFERROR(__xludf.DUMMYFUNCTION("""COMPUTED_VALUE"""),1)</f>
        <v>1</v>
      </c>
    </row>
    <row r="2031" spans="1:6" ht="15" customHeight="1" x14ac:dyDescent="0.2">
      <c r="A2031" s="5" t="str">
        <f ca="1">IFERROR(__xludf.DUMMYFUNCTION("""COMPUTED_VALUE"""),"RF10")</f>
        <v>RF10</v>
      </c>
      <c r="B2031" s="5" t="str">
        <f ca="1">IFERROR(__xludf.DUMMYFUNCTION("""COMPUTED_VALUE"""),"FOURNIER")</f>
        <v>FOURNIER</v>
      </c>
      <c r="C2031" s="5" t="str">
        <f ca="1">IFERROR(__xludf.DUMMYFUNCTION("""COMPUTED_VALUE"""),"RF-10")</f>
        <v>RF-10</v>
      </c>
      <c r="D2031" s="5" t="str">
        <f ca="1">IFERROR(__xludf.DUMMYFUNCTION("""COMPUTED_VALUE"""),"LandPlane")</f>
        <v>LandPlane</v>
      </c>
      <c r="E2031" s="5" t="str">
        <f ca="1">IFERROR(__xludf.DUMMYFUNCTION("""COMPUTED_VALUE"""),"Piston")</f>
        <v>Piston</v>
      </c>
      <c r="F2031" s="5">
        <f ca="1">IFERROR(__xludf.DUMMYFUNCTION("""COMPUTED_VALUE"""),1)</f>
        <v>1</v>
      </c>
    </row>
    <row r="2032" spans="1:6" ht="15" customHeight="1" x14ac:dyDescent="0.2">
      <c r="A2032" s="5" t="str">
        <f ca="1">IFERROR(__xludf.DUMMYFUNCTION("""COMPUTED_VALUE"""),"RF3")</f>
        <v>RF3</v>
      </c>
      <c r="B2032" s="5" t="str">
        <f ca="1">IFERROR(__xludf.DUMMYFUNCTION("""COMPUTED_VALUE"""),"FOURNIER")</f>
        <v>FOURNIER</v>
      </c>
      <c r="C2032" s="5" t="str">
        <f ca="1">IFERROR(__xludf.DUMMYFUNCTION("""COMPUTED_VALUE"""),"RF-3")</f>
        <v>RF-3</v>
      </c>
      <c r="D2032" s="5" t="str">
        <f ca="1">IFERROR(__xludf.DUMMYFUNCTION("""COMPUTED_VALUE"""),"LandPlane")</f>
        <v>LandPlane</v>
      </c>
      <c r="E2032" s="5" t="str">
        <f ca="1">IFERROR(__xludf.DUMMYFUNCTION("""COMPUTED_VALUE"""),"Piston")</f>
        <v>Piston</v>
      </c>
      <c r="F2032" s="5">
        <f ca="1">IFERROR(__xludf.DUMMYFUNCTION("""COMPUTED_VALUE"""),1)</f>
        <v>1</v>
      </c>
    </row>
    <row r="2033" spans="1:6" ht="15" customHeight="1" x14ac:dyDescent="0.2">
      <c r="A2033" s="5" t="str">
        <f ca="1">IFERROR(__xludf.DUMMYFUNCTION("""COMPUTED_VALUE"""),"RF4")</f>
        <v>RF4</v>
      </c>
      <c r="B2033" s="5" t="str">
        <f ca="1">IFERROR(__xludf.DUMMYFUNCTION("""COMPUTED_VALUE"""),"FOURNIER")</f>
        <v>FOURNIER</v>
      </c>
      <c r="C2033" s="5" t="str">
        <f ca="1">IFERROR(__xludf.DUMMYFUNCTION("""COMPUTED_VALUE"""),"RF-4")</f>
        <v>RF-4</v>
      </c>
      <c r="D2033" s="5" t="str">
        <f ca="1">IFERROR(__xludf.DUMMYFUNCTION("""COMPUTED_VALUE"""),"LandPlane")</f>
        <v>LandPlane</v>
      </c>
      <c r="E2033" s="5" t="str">
        <f ca="1">IFERROR(__xludf.DUMMYFUNCTION("""COMPUTED_VALUE"""),"Piston")</f>
        <v>Piston</v>
      </c>
      <c r="F2033" s="5">
        <f ca="1">IFERROR(__xludf.DUMMYFUNCTION("""COMPUTED_VALUE"""),1)</f>
        <v>1</v>
      </c>
    </row>
    <row r="2034" spans="1:6" ht="15" customHeight="1" x14ac:dyDescent="0.2">
      <c r="A2034" s="5" t="str">
        <f ca="1">IFERROR(__xludf.DUMMYFUNCTION("""COMPUTED_VALUE"""),"RF47")</f>
        <v>RF47</v>
      </c>
      <c r="B2034" s="5" t="str">
        <f ca="1">IFERROR(__xludf.DUMMYFUNCTION("""COMPUTED_VALUE"""),"FOURNIER")</f>
        <v>FOURNIER</v>
      </c>
      <c r="C2034" s="5" t="str">
        <f ca="1">IFERROR(__xludf.DUMMYFUNCTION("""COMPUTED_VALUE"""),"RF-47")</f>
        <v>RF-47</v>
      </c>
      <c r="D2034" s="5" t="str">
        <f ca="1">IFERROR(__xludf.DUMMYFUNCTION("""COMPUTED_VALUE"""),"LandPlane")</f>
        <v>LandPlane</v>
      </c>
      <c r="E2034" s="5" t="str">
        <f ca="1">IFERROR(__xludf.DUMMYFUNCTION("""COMPUTED_VALUE"""),"Piston")</f>
        <v>Piston</v>
      </c>
      <c r="F2034" s="5">
        <f ca="1">IFERROR(__xludf.DUMMYFUNCTION("""COMPUTED_VALUE"""),1)</f>
        <v>1</v>
      </c>
    </row>
    <row r="2035" spans="1:6" ht="15" customHeight="1" x14ac:dyDescent="0.2">
      <c r="A2035" s="5" t="str">
        <f ca="1">IFERROR(__xludf.DUMMYFUNCTION("""COMPUTED_VALUE"""),"RF5")</f>
        <v>RF5</v>
      </c>
      <c r="B2035" s="5" t="str">
        <f ca="1">IFERROR(__xludf.DUMMYFUNCTION("""COMPUTED_VALUE"""),"FOURNIER")</f>
        <v>FOURNIER</v>
      </c>
      <c r="C2035" s="5" t="str">
        <f ca="1">IFERROR(__xludf.DUMMYFUNCTION("""COMPUTED_VALUE"""),"RF-5")</f>
        <v>RF-5</v>
      </c>
      <c r="D2035" s="5" t="str">
        <f ca="1">IFERROR(__xludf.DUMMYFUNCTION("""COMPUTED_VALUE"""),"LandPlane")</f>
        <v>LandPlane</v>
      </c>
      <c r="E2035" s="5" t="str">
        <f ca="1">IFERROR(__xludf.DUMMYFUNCTION("""COMPUTED_VALUE"""),"Piston")</f>
        <v>Piston</v>
      </c>
      <c r="F2035" s="5">
        <f ca="1">IFERROR(__xludf.DUMMYFUNCTION("""COMPUTED_VALUE"""),1)</f>
        <v>1</v>
      </c>
    </row>
    <row r="2036" spans="1:6" ht="15" customHeight="1" x14ac:dyDescent="0.2">
      <c r="A2036" s="5" t="str">
        <f ca="1">IFERROR(__xludf.DUMMYFUNCTION("""COMPUTED_VALUE"""),"RF6")</f>
        <v>RF6</v>
      </c>
      <c r="B2036" s="5" t="str">
        <f ca="1">IFERROR(__xludf.DUMMYFUNCTION("""COMPUTED_VALUE"""),"FOURNIER")</f>
        <v>FOURNIER</v>
      </c>
      <c r="C2036" s="5" t="str">
        <f ca="1">IFERROR(__xludf.DUMMYFUNCTION("""COMPUTED_VALUE"""),"RF-6")</f>
        <v>RF-6</v>
      </c>
      <c r="D2036" s="5" t="str">
        <f ca="1">IFERROR(__xludf.DUMMYFUNCTION("""COMPUTED_VALUE"""),"LandPlane")</f>
        <v>LandPlane</v>
      </c>
      <c r="E2036" s="5" t="str">
        <f ca="1">IFERROR(__xludf.DUMMYFUNCTION("""COMPUTED_VALUE"""),"Piston")</f>
        <v>Piston</v>
      </c>
      <c r="F2036" s="5">
        <f ca="1">IFERROR(__xludf.DUMMYFUNCTION("""COMPUTED_VALUE"""),1)</f>
        <v>1</v>
      </c>
    </row>
    <row r="2037" spans="1:6" ht="15" customHeight="1" x14ac:dyDescent="0.2">
      <c r="A2037" s="5" t="str">
        <f ca="1">IFERROR(__xludf.DUMMYFUNCTION("""COMPUTED_VALUE"""),"RF9")</f>
        <v>RF9</v>
      </c>
      <c r="B2037" s="5" t="str">
        <f ca="1">IFERROR(__xludf.DUMMYFUNCTION("""COMPUTED_VALUE"""),"FOURNIER")</f>
        <v>FOURNIER</v>
      </c>
      <c r="C2037" s="5" t="str">
        <f ca="1">IFERROR(__xludf.DUMMYFUNCTION("""COMPUTED_VALUE"""),"RF-9")</f>
        <v>RF-9</v>
      </c>
      <c r="D2037" s="5" t="str">
        <f ca="1">IFERROR(__xludf.DUMMYFUNCTION("""COMPUTED_VALUE"""),"LandPlane")</f>
        <v>LandPlane</v>
      </c>
      <c r="E2037" s="5" t="str">
        <f ca="1">IFERROR(__xludf.DUMMYFUNCTION("""COMPUTED_VALUE"""),"Piston")</f>
        <v>Piston</v>
      </c>
      <c r="F2037" s="5">
        <f ca="1">IFERROR(__xludf.DUMMYFUNCTION("""COMPUTED_VALUE"""),1)</f>
        <v>1</v>
      </c>
    </row>
    <row r="2038" spans="1:6" ht="15" customHeight="1" x14ac:dyDescent="0.2">
      <c r="A2038" s="5" t="str">
        <f ca="1">IFERROR(__xludf.DUMMYFUNCTION("""COMPUTED_VALUE"""),"RFAL")</f>
        <v>RFAL</v>
      </c>
      <c r="B2038" s="5" t="str">
        <f ca="1">IFERROR(__xludf.DUMMYFUNCTION("""COMPUTED_VALUE"""),"DASSAULT")</f>
        <v>DASSAULT</v>
      </c>
      <c r="C2038" s="5" t="str">
        <f ca="1">IFERROR(__xludf.DUMMYFUNCTION("""COMPUTED_VALUE"""),"Rafale")</f>
        <v>Rafale</v>
      </c>
      <c r="D2038" s="5" t="str">
        <f ca="1">IFERROR(__xludf.DUMMYFUNCTION("""COMPUTED_VALUE"""),"LandPlane")</f>
        <v>LandPlane</v>
      </c>
      <c r="E2038" s="5" t="str">
        <f ca="1">IFERROR(__xludf.DUMMYFUNCTION("""COMPUTED_VALUE"""),"Jet")</f>
        <v>Jet</v>
      </c>
      <c r="F2038" s="5">
        <f ca="1">IFERROR(__xludf.DUMMYFUNCTION("""COMPUTED_VALUE"""),2)</f>
        <v>2</v>
      </c>
    </row>
    <row r="2039" spans="1:6" ht="15" customHeight="1" x14ac:dyDescent="0.2">
      <c r="A2039" s="5" t="str">
        <f ca="1">IFERROR(__xludf.DUMMYFUNCTION("""COMPUTED_VALUE"""),"RGNT")</f>
        <v>RGNT</v>
      </c>
      <c r="B2039" s="5" t="str">
        <f ca="1">IFERROR(__xludf.DUMMYFUNCTION("""COMPUTED_VALUE"""),"NEIVA")</f>
        <v>NEIVA</v>
      </c>
      <c r="C2039" s="5" t="str">
        <f ca="1">IFERROR(__xludf.DUMMYFUNCTION("""COMPUTED_VALUE"""),"C-42 Regente")</f>
        <v>C-42 Regente</v>
      </c>
      <c r="D2039" s="5" t="str">
        <f ca="1">IFERROR(__xludf.DUMMYFUNCTION("""COMPUTED_VALUE"""),"LandPlane")</f>
        <v>LandPlane</v>
      </c>
      <c r="E2039" s="5" t="str">
        <f ca="1">IFERROR(__xludf.DUMMYFUNCTION("""COMPUTED_VALUE"""),"Piston")</f>
        <v>Piston</v>
      </c>
      <c r="F2039" s="5">
        <f ca="1">IFERROR(__xludf.DUMMYFUNCTION("""COMPUTED_VALUE"""),1)</f>
        <v>1</v>
      </c>
    </row>
    <row r="2040" spans="1:6" ht="15" customHeight="1" x14ac:dyDescent="0.2">
      <c r="A2040" s="5" t="str">
        <f ca="1">IFERROR(__xludf.DUMMYFUNCTION("""COMPUTED_VALUE"""),"RISN")</f>
        <v>RISN</v>
      </c>
      <c r="B2040" s="5" t="str">
        <f ca="1">IFERROR(__xludf.DUMMYFUNCTION("""COMPUTED_VALUE"""),"SWISS EXCELLENCE")</f>
        <v>SWISS EXCELLENCE</v>
      </c>
      <c r="C2040" s="5" t="str">
        <f ca="1">IFERROR(__xludf.DUMMYFUNCTION("""COMPUTED_VALUE"""),"Risen")</f>
        <v>Risen</v>
      </c>
      <c r="D2040" s="5" t="str">
        <f ca="1">IFERROR(__xludf.DUMMYFUNCTION("""COMPUTED_VALUE"""),"LandPlane")</f>
        <v>LandPlane</v>
      </c>
      <c r="E2040" s="5" t="str">
        <f ca="1">IFERROR(__xludf.DUMMYFUNCTION("""COMPUTED_VALUE"""),"Piston")</f>
        <v>Piston</v>
      </c>
      <c r="F2040" s="5">
        <f ca="1">IFERROR(__xludf.DUMMYFUNCTION("""COMPUTED_VALUE"""),1)</f>
        <v>1</v>
      </c>
    </row>
    <row r="2041" spans="1:6" ht="15" customHeight="1" x14ac:dyDescent="0.2">
      <c r="A2041" s="5" t="str">
        <f ca="1">IFERROR(__xludf.DUMMYFUNCTION("""COMPUTED_VALUE"""),"RJ03")</f>
        <v>RJ03</v>
      </c>
      <c r="B2041" s="5" t="str">
        <f ca="1">IFERROR(__xludf.DUMMYFUNCTION("""COMPUTED_VALUE"""),"JUNQUA")</f>
        <v>JUNQUA</v>
      </c>
      <c r="C2041" s="5" t="str">
        <f ca="1">IFERROR(__xludf.DUMMYFUNCTION("""COMPUTED_VALUE"""),"RJ-03 Ibis")</f>
        <v>RJ-03 Ibis</v>
      </c>
      <c r="D2041" s="5" t="str">
        <f ca="1">IFERROR(__xludf.DUMMYFUNCTION("""COMPUTED_VALUE"""),"LandPlane")</f>
        <v>LandPlane</v>
      </c>
      <c r="E2041" s="5" t="str">
        <f ca="1">IFERROR(__xludf.DUMMYFUNCTION("""COMPUTED_VALUE"""),"Piston")</f>
        <v>Piston</v>
      </c>
      <c r="F2041" s="5">
        <f ca="1">IFERROR(__xludf.DUMMYFUNCTION("""COMPUTED_VALUE"""),1)</f>
        <v>1</v>
      </c>
    </row>
    <row r="2042" spans="1:6" ht="15" customHeight="1" x14ac:dyDescent="0.2">
      <c r="A2042" s="5" t="str">
        <f ca="1">IFERROR(__xludf.DUMMYFUNCTION("""COMPUTED_VALUE"""),"RJ1H")</f>
        <v>RJ1H</v>
      </c>
      <c r="B2042" s="5" t="str">
        <f ca="1">IFERROR(__xludf.DUMMYFUNCTION("""COMPUTED_VALUE"""),"BRITISH AEROSPACE")</f>
        <v>BRITISH AEROSPACE</v>
      </c>
      <c r="C2042" s="5" t="str">
        <f ca="1">IFERROR(__xludf.DUMMYFUNCTION("""COMPUTED_VALUE"""),"RJ-100")</f>
        <v>RJ-100</v>
      </c>
      <c r="D2042" s="5" t="str">
        <f ca="1">IFERROR(__xludf.DUMMYFUNCTION("""COMPUTED_VALUE"""),"LandPlane")</f>
        <v>LandPlane</v>
      </c>
      <c r="E2042" s="5" t="str">
        <f ca="1">IFERROR(__xludf.DUMMYFUNCTION("""COMPUTED_VALUE"""),"Jet")</f>
        <v>Jet</v>
      </c>
      <c r="F2042" s="5">
        <f ca="1">IFERROR(__xludf.DUMMYFUNCTION("""COMPUTED_VALUE"""),4)</f>
        <v>4</v>
      </c>
    </row>
    <row r="2043" spans="1:6" ht="15" customHeight="1" x14ac:dyDescent="0.2">
      <c r="A2043" s="5" t="str">
        <f ca="1">IFERROR(__xludf.DUMMYFUNCTION("""COMPUTED_VALUE"""),"RJ70")</f>
        <v>RJ70</v>
      </c>
      <c r="B2043" s="5" t="str">
        <f ca="1">IFERROR(__xludf.DUMMYFUNCTION("""COMPUTED_VALUE"""),"BRITISH AEROSPACE")</f>
        <v>BRITISH AEROSPACE</v>
      </c>
      <c r="C2043" s="5" t="str">
        <f ca="1">IFERROR(__xludf.DUMMYFUNCTION("""COMPUTED_VALUE"""),"RJ-70")</f>
        <v>RJ-70</v>
      </c>
      <c r="D2043" s="5" t="str">
        <f ca="1">IFERROR(__xludf.DUMMYFUNCTION("""COMPUTED_VALUE"""),"LandPlane")</f>
        <v>LandPlane</v>
      </c>
      <c r="E2043" s="5" t="str">
        <f ca="1">IFERROR(__xludf.DUMMYFUNCTION("""COMPUTED_VALUE"""),"Jet")</f>
        <v>Jet</v>
      </c>
      <c r="F2043" s="5">
        <f ca="1">IFERROR(__xludf.DUMMYFUNCTION("""COMPUTED_VALUE"""),4)</f>
        <v>4</v>
      </c>
    </row>
    <row r="2044" spans="1:6" ht="15" customHeight="1" x14ac:dyDescent="0.2">
      <c r="A2044" s="5" t="str">
        <f ca="1">IFERROR(__xludf.DUMMYFUNCTION("""COMPUTED_VALUE"""),"RJ85")</f>
        <v>RJ85</v>
      </c>
      <c r="B2044" s="5" t="str">
        <f ca="1">IFERROR(__xludf.DUMMYFUNCTION("""COMPUTED_VALUE"""),"BRITISH AEROSPACE")</f>
        <v>BRITISH AEROSPACE</v>
      </c>
      <c r="C2044" s="5" t="str">
        <f ca="1">IFERROR(__xludf.DUMMYFUNCTION("""COMPUTED_VALUE"""),"RJ-85")</f>
        <v>RJ-85</v>
      </c>
      <c r="D2044" s="5" t="str">
        <f ca="1">IFERROR(__xludf.DUMMYFUNCTION("""COMPUTED_VALUE"""),"LandPlane")</f>
        <v>LandPlane</v>
      </c>
      <c r="E2044" s="5" t="str">
        <f ca="1">IFERROR(__xludf.DUMMYFUNCTION("""COMPUTED_VALUE"""),"Jet")</f>
        <v>Jet</v>
      </c>
      <c r="F2044" s="5">
        <f ca="1">IFERROR(__xludf.DUMMYFUNCTION("""COMPUTED_VALUE"""),4)</f>
        <v>4</v>
      </c>
    </row>
    <row r="2045" spans="1:6" ht="15" customHeight="1" x14ac:dyDescent="0.2">
      <c r="A2045" s="5" t="str">
        <f ca="1">IFERROR(__xludf.DUMMYFUNCTION("""COMPUTED_VALUE"""),"RK5")</f>
        <v>RK5</v>
      </c>
      <c r="B2045" s="5" t="str">
        <f ca="1">IFERROR(__xludf.DUMMYFUNCTION("""COMPUTED_VALUE"""),"KALINAUSKAS")</f>
        <v>KALINAUSKAS</v>
      </c>
      <c r="C2045" s="5" t="str">
        <f ca="1">IFERROR(__xludf.DUMMYFUNCTION("""COMPUTED_VALUE"""),"RK-5")</f>
        <v>RK-5</v>
      </c>
      <c r="D2045" s="5" t="str">
        <f ca="1">IFERROR(__xludf.DUMMYFUNCTION("""COMPUTED_VALUE"""),"LandPlane")</f>
        <v>LandPlane</v>
      </c>
      <c r="E2045" s="5" t="str">
        <f ca="1">IFERROR(__xludf.DUMMYFUNCTION("""COMPUTED_VALUE"""),"Piston")</f>
        <v>Piston</v>
      </c>
      <c r="F2045" s="5">
        <f ca="1">IFERROR(__xludf.DUMMYFUNCTION("""COMPUTED_VALUE"""),1)</f>
        <v>1</v>
      </c>
    </row>
    <row r="2046" spans="1:6" ht="15" customHeight="1" x14ac:dyDescent="0.2">
      <c r="A2046" s="5" t="str">
        <f ca="1">IFERROR(__xludf.DUMMYFUNCTION("""COMPUTED_VALUE"""),"RLU1")</f>
        <v>RLU1</v>
      </c>
      <c r="B2046" s="5" t="str">
        <f ca="1">IFERROR(__xludf.DUMMYFUNCTION("""COMPUTED_VALUE"""),"RLU")</f>
        <v>RLU</v>
      </c>
      <c r="C2046" s="5" t="str">
        <f ca="1">IFERROR(__xludf.DUMMYFUNCTION("""COMPUTED_VALUE"""),"RLU-1 Breezy")</f>
        <v>RLU-1 Breezy</v>
      </c>
      <c r="D2046" s="5" t="str">
        <f ca="1">IFERROR(__xludf.DUMMYFUNCTION("""COMPUTED_VALUE"""),"LandPlane")</f>
        <v>LandPlane</v>
      </c>
      <c r="E2046" s="5" t="str">
        <f ca="1">IFERROR(__xludf.DUMMYFUNCTION("""COMPUTED_VALUE"""),"Piston")</f>
        <v>Piston</v>
      </c>
      <c r="F2046" s="5">
        <f ca="1">IFERROR(__xludf.DUMMYFUNCTION("""COMPUTED_VALUE"""),1)</f>
        <v>1</v>
      </c>
    </row>
    <row r="2047" spans="1:6" ht="15" customHeight="1" x14ac:dyDescent="0.2">
      <c r="A2047" s="5" t="str">
        <f ca="1">IFERROR(__xludf.DUMMYFUNCTION("""COMPUTED_VALUE"""),"RMOU")</f>
        <v>RMOU</v>
      </c>
      <c r="B2047" s="5" t="str">
        <f ca="1">IFERROR(__xludf.DUMMYFUNCTION("""COMPUTED_VALUE"""),"HILLBERG")</f>
        <v>HILLBERG</v>
      </c>
      <c r="C2047" s="5" t="str">
        <f ca="1">IFERROR(__xludf.DUMMYFUNCTION("""COMPUTED_VALUE"""),"EH1-01 Rotormouse")</f>
        <v>EH1-01 Rotormouse</v>
      </c>
      <c r="D2047" s="5" t="str">
        <f ca="1">IFERROR(__xludf.DUMMYFUNCTION("""COMPUTED_VALUE"""),"Helicopter")</f>
        <v>Helicopter</v>
      </c>
      <c r="E2047" s="5" t="str">
        <f ca="1">IFERROR(__xludf.DUMMYFUNCTION("""COMPUTED_VALUE"""),"Turboprop/Turboshaft")</f>
        <v>Turboprop/Turboshaft</v>
      </c>
      <c r="F2047" s="5">
        <f ca="1">IFERROR(__xludf.DUMMYFUNCTION("""COMPUTED_VALUE"""),1)</f>
        <v>1</v>
      </c>
    </row>
    <row r="2048" spans="1:6" ht="15" customHeight="1" x14ac:dyDescent="0.2">
      <c r="A2048" s="5" t="str">
        <f ca="1">IFERROR(__xludf.DUMMYFUNCTION("""COMPUTED_VALUE"""),"RNGR")</f>
        <v>RNGR</v>
      </c>
      <c r="B2048" s="5" t="str">
        <f ca="1">IFERROR(__xludf.DUMMYFUNCTION("""COMPUTED_VALUE"""),"DAC")</f>
        <v>DAC</v>
      </c>
      <c r="C2048" s="5" t="str">
        <f ca="1">IFERROR(__xludf.DUMMYFUNCTION("""COMPUTED_VALUE"""),"RangeR")</f>
        <v>RangeR</v>
      </c>
      <c r="D2048" s="5" t="str">
        <f ca="1">IFERROR(__xludf.DUMMYFUNCTION("""COMPUTED_VALUE"""),"LandPlane")</f>
        <v>LandPlane</v>
      </c>
      <c r="E2048" s="5" t="str">
        <f ca="1">IFERROR(__xludf.DUMMYFUNCTION("""COMPUTED_VALUE"""),"Piston")</f>
        <v>Piston</v>
      </c>
      <c r="F2048" s="5">
        <f ca="1">IFERROR(__xludf.DUMMYFUNCTION("""COMPUTED_VALUE"""),1)</f>
        <v>1</v>
      </c>
    </row>
    <row r="2049" spans="1:6" ht="15" customHeight="1" x14ac:dyDescent="0.2">
      <c r="A2049" s="5" t="str">
        <f ca="1">IFERROR(__xludf.DUMMYFUNCTION("""COMPUTED_VALUE"""),"ROAR")</f>
        <v>ROAR</v>
      </c>
      <c r="B2049" s="5" t="str">
        <f ca="1">IFERROR(__xludf.DUMMYFUNCTION("""COMPUTED_VALUE"""),"VELOCITY")</f>
        <v>VELOCITY</v>
      </c>
      <c r="C2049" s="5" t="str">
        <f ca="1">IFERROR(__xludf.DUMMYFUNCTION("""COMPUTED_VALUE"""),"Rocket Racer")</f>
        <v>Rocket Racer</v>
      </c>
      <c r="D2049" s="5" t="str">
        <f ca="1">IFERROR(__xludf.DUMMYFUNCTION("""COMPUTED_VALUE"""),"LandPlane")</f>
        <v>LandPlane</v>
      </c>
      <c r="E2049" s="5" t="str">
        <f ca="1">IFERROR(__xludf.DUMMYFUNCTION("""COMPUTED_VALUE"""),"Rocket")</f>
        <v>Rocket</v>
      </c>
      <c r="F2049" s="5">
        <f ca="1">IFERROR(__xludf.DUMMYFUNCTION("""COMPUTED_VALUE"""),1)</f>
        <v>1</v>
      </c>
    </row>
    <row r="2050" spans="1:6" ht="15" customHeight="1" x14ac:dyDescent="0.2">
      <c r="A2050" s="5" t="str">
        <f ca="1">IFERROR(__xludf.DUMMYFUNCTION("""COMPUTED_VALUE"""),"RODS")</f>
        <v>RODS</v>
      </c>
      <c r="B2050" s="5" t="str">
        <f ca="1">IFERROR(__xludf.DUMMYFUNCTION("""COMPUTED_VALUE"""),"RIHN")</f>
        <v>RIHN</v>
      </c>
      <c r="C2050" s="5" t="str">
        <f ca="1">IFERROR(__xludf.DUMMYFUNCTION("""COMPUTED_VALUE"""),"DR-107 One Design")</f>
        <v>DR-107 One Design</v>
      </c>
      <c r="D2050" s="5" t="str">
        <f ca="1">IFERROR(__xludf.DUMMYFUNCTION("""COMPUTED_VALUE"""),"LandPlane")</f>
        <v>LandPlane</v>
      </c>
      <c r="E2050" s="5" t="str">
        <f ca="1">IFERROR(__xludf.DUMMYFUNCTION("""COMPUTED_VALUE"""),"Piston")</f>
        <v>Piston</v>
      </c>
      <c r="F2050" s="5">
        <f ca="1">IFERROR(__xludf.DUMMYFUNCTION("""COMPUTED_VALUE"""),1)</f>
        <v>1</v>
      </c>
    </row>
    <row r="2051" spans="1:6" ht="15" customHeight="1" x14ac:dyDescent="0.2">
      <c r="A2051" s="5" t="str">
        <f ca="1">IFERROR(__xludf.DUMMYFUNCTION("""COMPUTED_VALUE"""),"ROND")</f>
        <v>ROND</v>
      </c>
      <c r="B2051" s="5" t="str">
        <f ca="1">IFERROR(__xludf.DUMMYFUNCTION("""COMPUTED_VALUE"""),"AMBROSINI")</f>
        <v>AMBROSINI</v>
      </c>
      <c r="C2051" s="5" t="str">
        <f ca="1">IFERROR(__xludf.DUMMYFUNCTION("""COMPUTED_VALUE"""),"F-4 Rondone")</f>
        <v>F-4 Rondone</v>
      </c>
      <c r="D2051" s="5" t="str">
        <f ca="1">IFERROR(__xludf.DUMMYFUNCTION("""COMPUTED_VALUE"""),"LandPlane")</f>
        <v>LandPlane</v>
      </c>
      <c r="E2051" s="5" t="str">
        <f ca="1">IFERROR(__xludf.DUMMYFUNCTION("""COMPUTED_VALUE"""),"Piston")</f>
        <v>Piston</v>
      </c>
      <c r="F2051" s="5">
        <f ca="1">IFERROR(__xludf.DUMMYFUNCTION("""COMPUTED_VALUE"""),1)</f>
        <v>1</v>
      </c>
    </row>
    <row r="2052" spans="1:6" ht="15" customHeight="1" x14ac:dyDescent="0.2">
      <c r="A2052" s="5" t="str">
        <f ca="1">IFERROR(__xludf.DUMMYFUNCTION("""COMPUTED_VALUE"""),"ROSE")</f>
        <v>ROSE</v>
      </c>
      <c r="B2052" s="5" t="str">
        <f ca="1">IFERROR(__xludf.DUMMYFUNCTION("""COMPUTED_VALUE"""),"MAUPIN")</f>
        <v>MAUPIN</v>
      </c>
      <c r="C2052" s="5" t="str">
        <f ca="1">IFERROR(__xludf.DUMMYFUNCTION("""COMPUTED_VALUE"""),"Windrose")</f>
        <v>Windrose</v>
      </c>
      <c r="D2052" s="5" t="str">
        <f ca="1">IFERROR(__xludf.DUMMYFUNCTION("""COMPUTED_VALUE"""),"LandPlane")</f>
        <v>LandPlane</v>
      </c>
      <c r="E2052" s="5" t="str">
        <f ca="1">IFERROR(__xludf.DUMMYFUNCTION("""COMPUTED_VALUE"""),"Piston")</f>
        <v>Piston</v>
      </c>
      <c r="F2052" s="5">
        <f ca="1">IFERROR(__xludf.DUMMYFUNCTION("""COMPUTED_VALUE"""),1)</f>
        <v>1</v>
      </c>
    </row>
    <row r="2053" spans="1:6" ht="15" customHeight="1" x14ac:dyDescent="0.2">
      <c r="A2053" s="5" t="str">
        <f ca="1">IFERROR(__xludf.DUMMYFUNCTION("""COMPUTED_VALUE"""),"RP1")</f>
        <v>RP1</v>
      </c>
      <c r="B2053" s="5" t="str">
        <f ca="1">IFERROR(__xludf.DUMMYFUNCTION("""COMPUTED_VALUE"""),"MITSUBISHI")</f>
        <v>MITSUBISHI</v>
      </c>
      <c r="C2053" s="5" t="str">
        <f ca="1">IFERROR(__xludf.DUMMYFUNCTION("""COMPUTED_VALUE"""),"RP-1")</f>
        <v>RP-1</v>
      </c>
      <c r="D2053" s="5" t="str">
        <f ca="1">IFERROR(__xludf.DUMMYFUNCTION("""COMPUTED_VALUE"""),"Helicopter")</f>
        <v>Helicopter</v>
      </c>
      <c r="E2053" s="5" t="str">
        <f ca="1">IFERROR(__xludf.DUMMYFUNCTION("""COMPUTED_VALUE"""),"Turboprop/Turboshaft")</f>
        <v>Turboprop/Turboshaft</v>
      </c>
      <c r="F2053" s="5">
        <f ca="1">IFERROR(__xludf.DUMMYFUNCTION("""COMPUTED_VALUE"""),2)</f>
        <v>2</v>
      </c>
    </row>
    <row r="2054" spans="1:6" ht="15" customHeight="1" x14ac:dyDescent="0.2">
      <c r="A2054" s="5" t="str">
        <f ca="1">IFERROR(__xludf.DUMMYFUNCTION("""COMPUTED_VALUE"""),"RPUP")</f>
        <v>RPUP</v>
      </c>
      <c r="B2054" s="5" t="str">
        <f ca="1">IFERROR(__xludf.DUMMYFUNCTION("""COMPUTED_VALUE"""),"LITTLE WING")</f>
        <v>LITTLE WING</v>
      </c>
      <c r="C2054" s="5" t="str">
        <f ca="1">IFERROR(__xludf.DUMMYFUNCTION("""COMPUTED_VALUE"""),"LW-4 Roto-Pup")</f>
        <v>LW-4 Roto-Pup</v>
      </c>
      <c r="D2054" s="5" t="str">
        <f ca="1">IFERROR(__xludf.DUMMYFUNCTION("""COMPUTED_VALUE"""),"Gyrocopter")</f>
        <v>Gyrocopter</v>
      </c>
      <c r="E2054" s="5" t="str">
        <f ca="1">IFERROR(__xludf.DUMMYFUNCTION("""COMPUTED_VALUE"""),"Piston")</f>
        <v>Piston</v>
      </c>
      <c r="F2054" s="5">
        <f ca="1">IFERROR(__xludf.DUMMYFUNCTION("""COMPUTED_VALUE"""),1)</f>
        <v>1</v>
      </c>
    </row>
    <row r="2055" spans="1:6" ht="15" customHeight="1" x14ac:dyDescent="0.2">
      <c r="A2055" s="5" t="str">
        <f ca="1">IFERROR(__xludf.DUMMYFUNCTION("""COMPUTED_VALUE"""),"RS12")</f>
        <v>RS12</v>
      </c>
      <c r="B2055" s="5" t="str">
        <f ca="1">IFERROR(__xludf.DUMMYFUNCTION("""COMPUTED_VALUE"""),"RANS")</f>
        <v>RANS</v>
      </c>
      <c r="C2055" s="5" t="str">
        <f ca="1">IFERROR(__xludf.DUMMYFUNCTION("""COMPUTED_VALUE"""),"S-12 Airaile")</f>
        <v>S-12 Airaile</v>
      </c>
      <c r="D2055" s="5" t="str">
        <f ca="1">IFERROR(__xludf.DUMMYFUNCTION("""COMPUTED_VALUE"""),"LandPlane")</f>
        <v>LandPlane</v>
      </c>
      <c r="E2055" s="5" t="str">
        <f ca="1">IFERROR(__xludf.DUMMYFUNCTION("""COMPUTED_VALUE"""),"Piston")</f>
        <v>Piston</v>
      </c>
      <c r="F2055" s="5">
        <f ca="1">IFERROR(__xludf.DUMMYFUNCTION("""COMPUTED_VALUE"""),1)</f>
        <v>1</v>
      </c>
    </row>
    <row r="2056" spans="1:6" ht="15" customHeight="1" x14ac:dyDescent="0.2">
      <c r="A2056" s="5" t="str">
        <f ca="1">IFERROR(__xludf.DUMMYFUNCTION("""COMPUTED_VALUE"""),"RS18")</f>
        <v>RS18</v>
      </c>
      <c r="B2056" s="5" t="str">
        <f ca="1">IFERROR(__xludf.DUMMYFUNCTION("""COMPUTED_VALUE"""),"SPORTAVIA-PUTZER")</f>
        <v>SPORTAVIA-PUTZER</v>
      </c>
      <c r="C2056" s="5" t="str">
        <f ca="1">IFERROR(__xludf.DUMMYFUNCTION("""COMPUTED_VALUE"""),"RS-180 Sportsman")</f>
        <v>RS-180 Sportsman</v>
      </c>
      <c r="D2056" s="5" t="str">
        <f ca="1">IFERROR(__xludf.DUMMYFUNCTION("""COMPUTED_VALUE"""),"LandPlane")</f>
        <v>LandPlane</v>
      </c>
      <c r="E2056" s="5" t="str">
        <f ca="1">IFERROR(__xludf.DUMMYFUNCTION("""COMPUTED_VALUE"""),"Piston")</f>
        <v>Piston</v>
      </c>
      <c r="F2056" s="5">
        <f ca="1">IFERROR(__xludf.DUMMYFUNCTION("""COMPUTED_VALUE"""),1)</f>
        <v>1</v>
      </c>
    </row>
    <row r="2057" spans="1:6" ht="15" customHeight="1" x14ac:dyDescent="0.2">
      <c r="A2057" s="5" t="str">
        <f ca="1">IFERROR(__xludf.DUMMYFUNCTION("""COMPUTED_VALUE"""),"RS20")</f>
        <v>RS20</v>
      </c>
      <c r="B2057" s="5" t="str">
        <f ca="1">IFERROR(__xludf.DUMMYFUNCTION("""COMPUTED_VALUE"""),"RANS")</f>
        <v>RANS</v>
      </c>
      <c r="C2057" s="5" t="str">
        <f ca="1">IFERROR(__xludf.DUMMYFUNCTION("""COMPUTED_VALUE"""),"S-20 Raven")</f>
        <v>S-20 Raven</v>
      </c>
      <c r="D2057" s="5" t="str">
        <f ca="1">IFERROR(__xludf.DUMMYFUNCTION("""COMPUTED_VALUE"""),"LandPlane")</f>
        <v>LandPlane</v>
      </c>
      <c r="E2057" s="5" t="str">
        <f ca="1">IFERROR(__xludf.DUMMYFUNCTION("""COMPUTED_VALUE"""),"Piston")</f>
        <v>Piston</v>
      </c>
      <c r="F2057" s="5">
        <f ca="1">IFERROR(__xludf.DUMMYFUNCTION("""COMPUTED_VALUE"""),1)</f>
        <v>1</v>
      </c>
    </row>
    <row r="2058" spans="1:6" ht="15" customHeight="1" x14ac:dyDescent="0.2">
      <c r="A2058" s="5" t="str">
        <f ca="1">IFERROR(__xludf.DUMMYFUNCTION("""COMPUTED_VALUE"""),"RS21")</f>
        <v>RS21</v>
      </c>
      <c r="B2058" s="5" t="str">
        <f ca="1">IFERROR(__xludf.DUMMYFUNCTION("""COMPUTED_VALUE"""),"RANS")</f>
        <v>RANS</v>
      </c>
      <c r="C2058" s="5" t="str">
        <f ca="1">IFERROR(__xludf.DUMMYFUNCTION("""COMPUTED_VALUE"""),"S-21 Outbound")</f>
        <v>S-21 Outbound</v>
      </c>
      <c r="D2058" s="5" t="str">
        <f ca="1">IFERROR(__xludf.DUMMYFUNCTION("""COMPUTED_VALUE"""),"LandPlane")</f>
        <v>LandPlane</v>
      </c>
      <c r="E2058" s="5" t="str">
        <f ca="1">IFERROR(__xludf.DUMMYFUNCTION("""COMPUTED_VALUE"""),"Piston")</f>
        <v>Piston</v>
      </c>
      <c r="F2058" s="5">
        <f ca="1">IFERROR(__xludf.DUMMYFUNCTION("""COMPUTED_VALUE"""),1)</f>
        <v>1</v>
      </c>
    </row>
    <row r="2059" spans="1:6" ht="15" customHeight="1" x14ac:dyDescent="0.2">
      <c r="A2059" s="5" t="str">
        <f ca="1">IFERROR(__xludf.DUMMYFUNCTION("""COMPUTED_VALUE"""),"RTA4")</f>
        <v>RTA4</v>
      </c>
      <c r="B2059" s="5" t="str">
        <f ca="1">IFERROR(__xludf.DUMMYFUNCTION("""COMPUTED_VALUE"""),"RTAF")</f>
        <v>RTAF</v>
      </c>
      <c r="C2059" s="5" t="str">
        <f ca="1">IFERROR(__xludf.DUMMYFUNCTION("""COMPUTED_VALUE"""),"RTAF-4 Chandra")</f>
        <v>RTAF-4 Chandra</v>
      </c>
      <c r="D2059" s="5" t="str">
        <f ca="1">IFERROR(__xludf.DUMMYFUNCTION("""COMPUTED_VALUE"""),"LandPlane")</f>
        <v>LandPlane</v>
      </c>
      <c r="E2059" s="5" t="str">
        <f ca="1">IFERROR(__xludf.DUMMYFUNCTION("""COMPUTED_VALUE"""),"Piston")</f>
        <v>Piston</v>
      </c>
      <c r="F2059" s="5">
        <f ca="1">IFERROR(__xludf.DUMMYFUNCTION("""COMPUTED_VALUE"""),1)</f>
        <v>1</v>
      </c>
    </row>
    <row r="2060" spans="1:6" ht="15" customHeight="1" x14ac:dyDescent="0.2">
      <c r="A2060" s="5" t="str">
        <f ca="1">IFERROR(__xludf.DUMMYFUNCTION("""COMPUTED_VALUE"""),"RUBI")</f>
        <v>RUBI</v>
      </c>
      <c r="B2060" s="5" t="str">
        <f ca="1">IFERROR(__xludf.DUMMYFUNCTION("""COMPUTED_VALUE"""),"SCINTEX")</f>
        <v>SCINTEX</v>
      </c>
      <c r="C2060" s="5" t="str">
        <f ca="1">IFERROR(__xludf.DUMMYFUNCTION("""COMPUTED_VALUE"""),"ML-250 Rubis")</f>
        <v>ML-250 Rubis</v>
      </c>
      <c r="D2060" s="5" t="str">
        <f ca="1">IFERROR(__xludf.DUMMYFUNCTION("""COMPUTED_VALUE"""),"LandPlane")</f>
        <v>LandPlane</v>
      </c>
      <c r="E2060" s="5" t="str">
        <f ca="1">IFERROR(__xludf.DUMMYFUNCTION("""COMPUTED_VALUE"""),"Piston")</f>
        <v>Piston</v>
      </c>
      <c r="F2060" s="5">
        <f ca="1">IFERROR(__xludf.DUMMYFUNCTION("""COMPUTED_VALUE"""),1)</f>
        <v>1</v>
      </c>
    </row>
    <row r="2061" spans="1:6" ht="15" customHeight="1" x14ac:dyDescent="0.2">
      <c r="A2061" s="5" t="str">
        <f ca="1">IFERROR(__xludf.DUMMYFUNCTION("""COMPUTED_VALUE"""),"RV10")</f>
        <v>RV10</v>
      </c>
      <c r="B2061" s="5" t="str">
        <f ca="1">IFERROR(__xludf.DUMMYFUNCTION("""COMPUTED_VALUE"""),"VAN'S")</f>
        <v>VAN'S</v>
      </c>
      <c r="C2061" s="5" t="str">
        <f ca="1">IFERROR(__xludf.DUMMYFUNCTION("""COMPUTED_VALUE"""),"RV-10")</f>
        <v>RV-10</v>
      </c>
      <c r="D2061" s="5" t="str">
        <f ca="1">IFERROR(__xludf.DUMMYFUNCTION("""COMPUTED_VALUE"""),"LandPlane")</f>
        <v>LandPlane</v>
      </c>
      <c r="E2061" s="5" t="str">
        <f ca="1">IFERROR(__xludf.DUMMYFUNCTION("""COMPUTED_VALUE"""),"Piston")</f>
        <v>Piston</v>
      </c>
      <c r="F2061" s="5">
        <f ca="1">IFERROR(__xludf.DUMMYFUNCTION("""COMPUTED_VALUE"""),1)</f>
        <v>1</v>
      </c>
    </row>
    <row r="2062" spans="1:6" ht="15" customHeight="1" x14ac:dyDescent="0.2">
      <c r="A2062" s="5" t="str">
        <f ca="1">IFERROR(__xludf.DUMMYFUNCTION("""COMPUTED_VALUE"""),"RV12")</f>
        <v>RV12</v>
      </c>
      <c r="B2062" s="5" t="str">
        <f ca="1">IFERROR(__xludf.DUMMYFUNCTION("""COMPUTED_VALUE"""),"VAN'S")</f>
        <v>VAN'S</v>
      </c>
      <c r="C2062" s="5" t="str">
        <f ca="1">IFERROR(__xludf.DUMMYFUNCTION("""COMPUTED_VALUE"""),"RV-12")</f>
        <v>RV-12</v>
      </c>
      <c r="D2062" s="5" t="str">
        <f ca="1">IFERROR(__xludf.DUMMYFUNCTION("""COMPUTED_VALUE"""),"LandPlane")</f>
        <v>LandPlane</v>
      </c>
      <c r="E2062" s="5" t="str">
        <f ca="1">IFERROR(__xludf.DUMMYFUNCTION("""COMPUTED_VALUE"""),"Piston")</f>
        <v>Piston</v>
      </c>
      <c r="F2062" s="5">
        <f ca="1">IFERROR(__xludf.DUMMYFUNCTION("""COMPUTED_VALUE"""),1)</f>
        <v>1</v>
      </c>
    </row>
    <row r="2063" spans="1:6" ht="15" customHeight="1" x14ac:dyDescent="0.2">
      <c r="A2063" s="5" t="str">
        <f ca="1">IFERROR(__xludf.DUMMYFUNCTION("""COMPUTED_VALUE"""),"RV14")</f>
        <v>RV14</v>
      </c>
      <c r="B2063" s="5" t="str">
        <f ca="1">IFERROR(__xludf.DUMMYFUNCTION("""COMPUTED_VALUE"""),"VAN'S")</f>
        <v>VAN'S</v>
      </c>
      <c r="C2063" s="5" t="str">
        <f ca="1">IFERROR(__xludf.DUMMYFUNCTION("""COMPUTED_VALUE"""),"RV-14")</f>
        <v>RV-14</v>
      </c>
      <c r="D2063" s="5" t="str">
        <f ca="1">IFERROR(__xludf.DUMMYFUNCTION("""COMPUTED_VALUE"""),"LandPlane")</f>
        <v>LandPlane</v>
      </c>
      <c r="E2063" s="5" t="str">
        <f ca="1">IFERROR(__xludf.DUMMYFUNCTION("""COMPUTED_VALUE"""),"Piston")</f>
        <v>Piston</v>
      </c>
      <c r="F2063" s="5">
        <f ca="1">IFERROR(__xludf.DUMMYFUNCTION("""COMPUTED_VALUE"""),1)</f>
        <v>1</v>
      </c>
    </row>
    <row r="2064" spans="1:6" ht="15" customHeight="1" x14ac:dyDescent="0.2">
      <c r="A2064" s="5" t="str">
        <f ca="1">IFERROR(__xludf.DUMMYFUNCTION("""COMPUTED_VALUE"""),"RV3")</f>
        <v>RV3</v>
      </c>
      <c r="B2064" s="5" t="str">
        <f ca="1">IFERROR(__xludf.DUMMYFUNCTION("""COMPUTED_VALUE"""),"VAN'S")</f>
        <v>VAN'S</v>
      </c>
      <c r="C2064" s="5" t="str">
        <f ca="1">IFERROR(__xludf.DUMMYFUNCTION("""COMPUTED_VALUE"""),"RV-3")</f>
        <v>RV-3</v>
      </c>
      <c r="D2064" s="5" t="str">
        <f ca="1">IFERROR(__xludf.DUMMYFUNCTION("""COMPUTED_VALUE"""),"LandPlane")</f>
        <v>LandPlane</v>
      </c>
      <c r="E2064" s="5" t="str">
        <f ca="1">IFERROR(__xludf.DUMMYFUNCTION("""COMPUTED_VALUE"""),"Piston")</f>
        <v>Piston</v>
      </c>
      <c r="F2064" s="5">
        <f ca="1">IFERROR(__xludf.DUMMYFUNCTION("""COMPUTED_VALUE"""),1)</f>
        <v>1</v>
      </c>
    </row>
    <row r="2065" spans="1:6" ht="15" customHeight="1" x14ac:dyDescent="0.2">
      <c r="A2065" s="5" t="str">
        <f ca="1">IFERROR(__xludf.DUMMYFUNCTION("""COMPUTED_VALUE"""),"RV4")</f>
        <v>RV4</v>
      </c>
      <c r="B2065" s="5" t="str">
        <f ca="1">IFERROR(__xludf.DUMMYFUNCTION("""COMPUTED_VALUE"""),"VAN'S")</f>
        <v>VAN'S</v>
      </c>
      <c r="C2065" s="5" t="str">
        <f ca="1">IFERROR(__xludf.DUMMYFUNCTION("""COMPUTED_VALUE"""),"RV-4")</f>
        <v>RV-4</v>
      </c>
      <c r="D2065" s="5" t="str">
        <f ca="1">IFERROR(__xludf.DUMMYFUNCTION("""COMPUTED_VALUE"""),"LandPlane")</f>
        <v>LandPlane</v>
      </c>
      <c r="E2065" s="5" t="str">
        <f ca="1">IFERROR(__xludf.DUMMYFUNCTION("""COMPUTED_VALUE"""),"Piston")</f>
        <v>Piston</v>
      </c>
      <c r="F2065" s="5">
        <f ca="1">IFERROR(__xludf.DUMMYFUNCTION("""COMPUTED_VALUE"""),1)</f>
        <v>1</v>
      </c>
    </row>
    <row r="2066" spans="1:6" ht="15" customHeight="1" x14ac:dyDescent="0.2">
      <c r="A2066" s="5" t="str">
        <f ca="1">IFERROR(__xludf.DUMMYFUNCTION("""COMPUTED_VALUE"""),"RV4T")</f>
        <v>RV4T</v>
      </c>
      <c r="B2066" s="5" t="str">
        <f ca="1">IFERROR(__xludf.DUMMYFUNCTION("""COMPUTED_VALUE"""),"VAN'S")</f>
        <v>VAN'S</v>
      </c>
      <c r="C2066" s="5" t="str">
        <f ca="1">IFERROR(__xludf.DUMMYFUNCTION("""COMPUTED_VALUE"""),"RV-4T")</f>
        <v>RV-4T</v>
      </c>
      <c r="D2066" s="5" t="str">
        <f ca="1">IFERROR(__xludf.DUMMYFUNCTION("""COMPUTED_VALUE"""),"LandPlane")</f>
        <v>LandPlane</v>
      </c>
      <c r="E2066" s="5" t="str">
        <f ca="1">IFERROR(__xludf.DUMMYFUNCTION("""COMPUTED_VALUE"""),"Turboprop/Turboshaft")</f>
        <v>Turboprop/Turboshaft</v>
      </c>
      <c r="F2066" s="5">
        <f ca="1">IFERROR(__xludf.DUMMYFUNCTION("""COMPUTED_VALUE"""),1)</f>
        <v>1</v>
      </c>
    </row>
    <row r="2067" spans="1:6" ht="15" customHeight="1" x14ac:dyDescent="0.2">
      <c r="A2067" s="5" t="str">
        <f ca="1">IFERROR(__xludf.DUMMYFUNCTION("""COMPUTED_VALUE"""),"RV6")</f>
        <v>RV6</v>
      </c>
      <c r="B2067" s="5" t="str">
        <f ca="1">IFERROR(__xludf.DUMMYFUNCTION("""COMPUTED_VALUE"""),"VAN'S")</f>
        <v>VAN'S</v>
      </c>
      <c r="C2067" s="5" t="str">
        <f ca="1">IFERROR(__xludf.DUMMYFUNCTION("""COMPUTED_VALUE"""),"RV-6")</f>
        <v>RV-6</v>
      </c>
      <c r="D2067" s="5" t="str">
        <f ca="1">IFERROR(__xludf.DUMMYFUNCTION("""COMPUTED_VALUE"""),"LandPlane")</f>
        <v>LandPlane</v>
      </c>
      <c r="E2067" s="5" t="str">
        <f ca="1">IFERROR(__xludf.DUMMYFUNCTION("""COMPUTED_VALUE"""),"Piston")</f>
        <v>Piston</v>
      </c>
      <c r="F2067" s="5">
        <f ca="1">IFERROR(__xludf.DUMMYFUNCTION("""COMPUTED_VALUE"""),1)</f>
        <v>1</v>
      </c>
    </row>
    <row r="2068" spans="1:6" ht="15" customHeight="1" x14ac:dyDescent="0.2">
      <c r="A2068" s="5" t="str">
        <f ca="1">IFERROR(__xludf.DUMMYFUNCTION("""COMPUTED_VALUE"""),"RV7")</f>
        <v>RV7</v>
      </c>
      <c r="B2068" s="5" t="str">
        <f ca="1">IFERROR(__xludf.DUMMYFUNCTION("""COMPUTED_VALUE"""),"VAN'S")</f>
        <v>VAN'S</v>
      </c>
      <c r="C2068" s="5" t="str">
        <f ca="1">IFERROR(__xludf.DUMMYFUNCTION("""COMPUTED_VALUE"""),"RV-7")</f>
        <v>RV-7</v>
      </c>
      <c r="D2068" s="5" t="str">
        <f ca="1">IFERROR(__xludf.DUMMYFUNCTION("""COMPUTED_VALUE"""),"LandPlane")</f>
        <v>LandPlane</v>
      </c>
      <c r="E2068" s="5" t="str">
        <f ca="1">IFERROR(__xludf.DUMMYFUNCTION("""COMPUTED_VALUE"""),"Piston")</f>
        <v>Piston</v>
      </c>
      <c r="F2068" s="5">
        <f ca="1">IFERROR(__xludf.DUMMYFUNCTION("""COMPUTED_VALUE"""),1)</f>
        <v>1</v>
      </c>
    </row>
    <row r="2069" spans="1:6" ht="15" customHeight="1" x14ac:dyDescent="0.2">
      <c r="A2069" s="5" t="str">
        <f ca="1">IFERROR(__xludf.DUMMYFUNCTION("""COMPUTED_VALUE"""),"RV8")</f>
        <v>RV8</v>
      </c>
      <c r="B2069" s="5" t="str">
        <f ca="1">IFERROR(__xludf.DUMMYFUNCTION("""COMPUTED_VALUE"""),"VAN'S")</f>
        <v>VAN'S</v>
      </c>
      <c r="C2069" s="5" t="str">
        <f ca="1">IFERROR(__xludf.DUMMYFUNCTION("""COMPUTED_VALUE"""),"RV-8")</f>
        <v>RV-8</v>
      </c>
      <c r="D2069" s="5" t="str">
        <f ca="1">IFERROR(__xludf.DUMMYFUNCTION("""COMPUTED_VALUE"""),"LandPlane")</f>
        <v>LandPlane</v>
      </c>
      <c r="E2069" s="5" t="str">
        <f ca="1">IFERROR(__xludf.DUMMYFUNCTION("""COMPUTED_VALUE"""),"Piston")</f>
        <v>Piston</v>
      </c>
      <c r="F2069" s="5">
        <f ca="1">IFERROR(__xludf.DUMMYFUNCTION("""COMPUTED_VALUE"""),1)</f>
        <v>1</v>
      </c>
    </row>
    <row r="2070" spans="1:6" ht="15" customHeight="1" x14ac:dyDescent="0.2">
      <c r="A2070" s="5" t="str">
        <f ca="1">IFERROR(__xludf.DUMMYFUNCTION("""COMPUTED_VALUE"""),"RV9")</f>
        <v>RV9</v>
      </c>
      <c r="B2070" s="5" t="str">
        <f ca="1">IFERROR(__xludf.DUMMYFUNCTION("""COMPUTED_VALUE"""),"VAN'S")</f>
        <v>VAN'S</v>
      </c>
      <c r="C2070" s="5" t="str">
        <f ca="1">IFERROR(__xludf.DUMMYFUNCTION("""COMPUTED_VALUE"""),"RV-9")</f>
        <v>RV-9</v>
      </c>
      <c r="D2070" s="5" t="str">
        <f ca="1">IFERROR(__xludf.DUMMYFUNCTION("""COMPUTED_VALUE"""),"LandPlane")</f>
        <v>LandPlane</v>
      </c>
      <c r="E2070" s="5" t="str">
        <f ca="1">IFERROR(__xludf.DUMMYFUNCTION("""COMPUTED_VALUE"""),"Piston")</f>
        <v>Piston</v>
      </c>
      <c r="F2070" s="5">
        <f ca="1">IFERROR(__xludf.DUMMYFUNCTION("""COMPUTED_VALUE"""),1)</f>
        <v>1</v>
      </c>
    </row>
    <row r="2071" spans="1:6" ht="15" customHeight="1" x14ac:dyDescent="0.2">
      <c r="A2071" s="5" t="str">
        <f ca="1">IFERROR(__xludf.DUMMYFUNCTION("""COMPUTED_VALUE"""),"RVAL")</f>
        <v>RVAL</v>
      </c>
      <c r="B2071" s="5" t="str">
        <f ca="1">IFERROR(__xludf.DUMMYFUNCTION("""COMPUTED_VALUE"""),"DENEL")</f>
        <v>DENEL</v>
      </c>
      <c r="C2071" s="5" t="str">
        <f ca="1">IFERROR(__xludf.DUMMYFUNCTION("""COMPUTED_VALUE"""),"AH-2 Rooivalk")</f>
        <v>AH-2 Rooivalk</v>
      </c>
      <c r="D2071" s="5" t="str">
        <f ca="1">IFERROR(__xludf.DUMMYFUNCTION("""COMPUTED_VALUE"""),"Helicopter")</f>
        <v>Helicopter</v>
      </c>
      <c r="E2071" s="5" t="str">
        <f ca="1">IFERROR(__xludf.DUMMYFUNCTION("""COMPUTED_VALUE"""),"Turboprop/Turboshaft")</f>
        <v>Turboprop/Turboshaft</v>
      </c>
      <c r="F2071" s="5">
        <f ca="1">IFERROR(__xludf.DUMMYFUNCTION("""COMPUTED_VALUE"""),2)</f>
        <v>2</v>
      </c>
    </row>
    <row r="2072" spans="1:6" ht="15" customHeight="1" x14ac:dyDescent="0.2">
      <c r="A2072" s="5" t="str">
        <f ca="1">IFERROR(__xludf.DUMMYFUNCTION("""COMPUTED_VALUE"""),"RW19")</f>
        <v>RW19</v>
      </c>
      <c r="B2072" s="5" t="str">
        <f ca="1">IFERROR(__xludf.DUMMYFUNCTION("""COMPUTED_VALUE"""),"RAGWING")</f>
        <v>RAGWING</v>
      </c>
      <c r="C2072" s="5" t="str">
        <f ca="1">IFERROR(__xludf.DUMMYFUNCTION("""COMPUTED_VALUE"""),"RW-19 Stork")</f>
        <v>RW-19 Stork</v>
      </c>
      <c r="D2072" s="5" t="str">
        <f ca="1">IFERROR(__xludf.DUMMYFUNCTION("""COMPUTED_VALUE"""),"LandPlane")</f>
        <v>LandPlane</v>
      </c>
      <c r="E2072" s="5" t="str">
        <f ca="1">IFERROR(__xludf.DUMMYFUNCTION("""COMPUTED_VALUE"""),"Piston")</f>
        <v>Piston</v>
      </c>
      <c r="F2072" s="5">
        <f ca="1">IFERROR(__xludf.DUMMYFUNCTION("""COMPUTED_VALUE"""),1)</f>
        <v>1</v>
      </c>
    </row>
    <row r="2073" spans="1:6" ht="15" customHeight="1" x14ac:dyDescent="0.2">
      <c r="A2073" s="5" t="str">
        <f ca="1">IFERROR(__xludf.DUMMYFUNCTION("""COMPUTED_VALUE"""),"RW20")</f>
        <v>RW20</v>
      </c>
      <c r="B2073" s="5" t="str">
        <f ca="1">IFERROR(__xludf.DUMMYFUNCTION("""COMPUTED_VALUE"""),"RAGWING")</f>
        <v>RAGWING</v>
      </c>
      <c r="C2073" s="5" t="str">
        <f ca="1">IFERROR(__xludf.DUMMYFUNCTION("""COMPUTED_VALUE"""),"RW-20 Stork")</f>
        <v>RW-20 Stork</v>
      </c>
      <c r="D2073" s="5" t="str">
        <f ca="1">IFERROR(__xludf.DUMMYFUNCTION("""COMPUTED_VALUE"""),"LandPlane")</f>
        <v>LandPlane</v>
      </c>
      <c r="E2073" s="5" t="str">
        <f ca="1">IFERROR(__xludf.DUMMYFUNCTION("""COMPUTED_VALUE"""),"Piston")</f>
        <v>Piston</v>
      </c>
      <c r="F2073" s="5">
        <f ca="1">IFERROR(__xludf.DUMMYFUNCTION("""COMPUTED_VALUE"""),1)</f>
        <v>1</v>
      </c>
    </row>
    <row r="2074" spans="1:6" ht="15" customHeight="1" x14ac:dyDescent="0.2">
      <c r="A2074" s="5" t="str">
        <f ca="1">IFERROR(__xludf.DUMMYFUNCTION("""COMPUTED_VALUE"""),"RW22")</f>
        <v>RW22</v>
      </c>
      <c r="B2074" s="5" t="str">
        <f ca="1">IFERROR(__xludf.DUMMYFUNCTION("""COMPUTED_VALUE"""),"RAGWING")</f>
        <v>RAGWING</v>
      </c>
      <c r="C2074" s="5" t="str">
        <f ca="1">IFERROR(__xludf.DUMMYFUNCTION("""COMPUTED_VALUE"""),"RW-22 Tiger Moth")</f>
        <v>RW-22 Tiger Moth</v>
      </c>
      <c r="D2074" s="5" t="str">
        <f ca="1">IFERROR(__xludf.DUMMYFUNCTION("""COMPUTED_VALUE"""),"LandPlane")</f>
        <v>LandPlane</v>
      </c>
      <c r="E2074" s="5" t="str">
        <f ca="1">IFERROR(__xludf.DUMMYFUNCTION("""COMPUTED_VALUE"""),"Piston")</f>
        <v>Piston</v>
      </c>
      <c r="F2074" s="5">
        <f ca="1">IFERROR(__xludf.DUMMYFUNCTION("""COMPUTED_VALUE"""),1)</f>
        <v>1</v>
      </c>
    </row>
    <row r="2075" spans="1:6" ht="15" customHeight="1" x14ac:dyDescent="0.2">
      <c r="A2075" s="5" t="str">
        <f ca="1">IFERROR(__xludf.DUMMYFUNCTION("""COMPUTED_VALUE"""),"RW26")</f>
        <v>RW26</v>
      </c>
      <c r="B2075" s="5" t="str">
        <f ca="1">IFERROR(__xludf.DUMMYFUNCTION("""COMPUTED_VALUE"""),"RAGWING")</f>
        <v>RAGWING</v>
      </c>
      <c r="C2075" s="5" t="str">
        <f ca="1">IFERROR(__xludf.DUMMYFUNCTION("""COMPUTED_VALUE"""),"RW-26 Special 2")</f>
        <v>RW-26 Special 2</v>
      </c>
      <c r="D2075" s="5" t="str">
        <f ca="1">IFERROR(__xludf.DUMMYFUNCTION("""COMPUTED_VALUE"""),"LandPlane")</f>
        <v>LandPlane</v>
      </c>
      <c r="E2075" s="5" t="str">
        <f ca="1">IFERROR(__xludf.DUMMYFUNCTION("""COMPUTED_VALUE"""),"Piston")</f>
        <v>Piston</v>
      </c>
      <c r="F2075" s="5">
        <f ca="1">IFERROR(__xludf.DUMMYFUNCTION("""COMPUTED_VALUE"""),1)</f>
        <v>1</v>
      </c>
    </row>
    <row r="2076" spans="1:6" ht="15" customHeight="1" x14ac:dyDescent="0.2">
      <c r="A2076" s="5" t="str">
        <f ca="1">IFERROR(__xludf.DUMMYFUNCTION("""COMPUTED_VALUE"""),"RW3")</f>
        <v>RW3</v>
      </c>
      <c r="B2076" s="5" t="str">
        <f ca="1">IFERROR(__xludf.DUMMYFUNCTION("""COMPUTED_VALUE"""),"RHEIN-WEST-FLUG")</f>
        <v>RHEIN-WEST-FLUG</v>
      </c>
      <c r="C2076" s="5" t="str">
        <f ca="1">IFERROR(__xludf.DUMMYFUNCTION("""COMPUTED_VALUE"""),"RW-3 Multoplane")</f>
        <v>RW-3 Multoplane</v>
      </c>
      <c r="D2076" s="5" t="str">
        <f ca="1">IFERROR(__xludf.DUMMYFUNCTION("""COMPUTED_VALUE"""),"LandPlane")</f>
        <v>LandPlane</v>
      </c>
      <c r="E2076" s="5" t="str">
        <f ca="1">IFERROR(__xludf.DUMMYFUNCTION("""COMPUTED_VALUE"""),"Piston")</f>
        <v>Piston</v>
      </c>
      <c r="F2076" s="5">
        <f ca="1">IFERROR(__xludf.DUMMYFUNCTION("""COMPUTED_VALUE"""),1)</f>
        <v>1</v>
      </c>
    </row>
    <row r="2077" spans="1:6" ht="15" customHeight="1" x14ac:dyDescent="0.2">
      <c r="A2077" s="5" t="str">
        <f ca="1">IFERROR(__xludf.DUMMYFUNCTION("""COMPUTED_VALUE"""),"RYSA")</f>
        <v>RYSA</v>
      </c>
      <c r="B2077" s="5" t="str">
        <f ca="1">IFERROR(__xludf.DUMMYFUNCTION("""COMPUTED_VALUE"""),"TECHNOAVIA")</f>
        <v>TECHNOAVIA</v>
      </c>
      <c r="C2077" s="5" t="str">
        <f ca="1">IFERROR(__xludf.DUMMYFUNCTION("""COMPUTED_VALUE"""),"Rysachok")</f>
        <v>Rysachok</v>
      </c>
      <c r="D2077" s="5" t="str">
        <f ca="1">IFERROR(__xludf.DUMMYFUNCTION("""COMPUTED_VALUE"""),"LandPlane")</f>
        <v>LandPlane</v>
      </c>
      <c r="E2077" s="5" t="str">
        <f ca="1">IFERROR(__xludf.DUMMYFUNCTION("""COMPUTED_VALUE"""),"Turboprop/Turboshaft")</f>
        <v>Turboprop/Turboshaft</v>
      </c>
      <c r="F2077" s="5">
        <f ca="1">IFERROR(__xludf.DUMMYFUNCTION("""COMPUTED_VALUE"""),2)</f>
        <v>2</v>
      </c>
    </row>
    <row r="2078" spans="1:6" ht="15" customHeight="1" x14ac:dyDescent="0.2">
      <c r="A2078" s="5" t="str">
        <f ca="1">IFERROR(__xludf.DUMMYFUNCTION("""COMPUTED_VALUE"""),"RYST")</f>
        <v>RYST</v>
      </c>
      <c r="B2078" s="5" t="str">
        <f ca="1">IFERROR(__xludf.DUMMYFUNCTION("""COMPUTED_VALUE"""),"RYAN")</f>
        <v>RYAN</v>
      </c>
      <c r="C2078" s="5" t="str">
        <f ca="1">IFERROR(__xludf.DUMMYFUNCTION("""COMPUTED_VALUE"""),"ST-A")</f>
        <v>ST-A</v>
      </c>
      <c r="D2078" s="5" t="str">
        <f ca="1">IFERROR(__xludf.DUMMYFUNCTION("""COMPUTED_VALUE"""),"LandPlane")</f>
        <v>LandPlane</v>
      </c>
      <c r="E2078" s="5" t="str">
        <f ca="1">IFERROR(__xludf.DUMMYFUNCTION("""COMPUTED_VALUE"""),"Piston")</f>
        <v>Piston</v>
      </c>
      <c r="F2078" s="5">
        <f ca="1">IFERROR(__xludf.DUMMYFUNCTION("""COMPUTED_VALUE"""),1)</f>
        <v>1</v>
      </c>
    </row>
    <row r="2079" spans="1:6" ht="15" customHeight="1" x14ac:dyDescent="0.2">
      <c r="A2079" s="5" t="str">
        <f ca="1">IFERROR(__xludf.DUMMYFUNCTION("""COMPUTED_VALUE"""),"S05F")</f>
        <v>S05F</v>
      </c>
      <c r="B2079" s="5" t="str">
        <f ca="1">IFERROR(__xludf.DUMMYFUNCTION("""COMPUTED_VALUE"""),"SIAI-MARCHETTI")</f>
        <v>SIAI-MARCHETTI</v>
      </c>
      <c r="C2079" s="5" t="str">
        <f ca="1">IFERROR(__xludf.DUMMYFUNCTION("""COMPUTED_VALUE"""),"S-205-18F")</f>
        <v>S-205-18F</v>
      </c>
      <c r="D2079" s="5" t="str">
        <f ca="1">IFERROR(__xludf.DUMMYFUNCTION("""COMPUTED_VALUE"""),"LandPlane")</f>
        <v>LandPlane</v>
      </c>
      <c r="E2079" s="5" t="str">
        <f ca="1">IFERROR(__xludf.DUMMYFUNCTION("""COMPUTED_VALUE"""),"Piston")</f>
        <v>Piston</v>
      </c>
      <c r="F2079" s="5">
        <f ca="1">IFERROR(__xludf.DUMMYFUNCTION("""COMPUTED_VALUE"""),1)</f>
        <v>1</v>
      </c>
    </row>
    <row r="2080" spans="1:6" ht="15" customHeight="1" x14ac:dyDescent="0.2">
      <c r="A2080" s="5" t="str">
        <f ca="1">IFERROR(__xludf.DUMMYFUNCTION("""COMPUTED_VALUE"""),"S05R")</f>
        <v>S05R</v>
      </c>
      <c r="B2080" s="5" t="str">
        <f ca="1">IFERROR(__xludf.DUMMYFUNCTION("""COMPUTED_VALUE"""),"SIAI-MARCHETTI")</f>
        <v>SIAI-MARCHETTI</v>
      </c>
      <c r="C2080" s="5" t="str">
        <f ca="1">IFERROR(__xludf.DUMMYFUNCTION("""COMPUTED_VALUE"""),"S-205-18R")</f>
        <v>S-205-18R</v>
      </c>
      <c r="D2080" s="5" t="str">
        <f ca="1">IFERROR(__xludf.DUMMYFUNCTION("""COMPUTED_VALUE"""),"LandPlane")</f>
        <v>LandPlane</v>
      </c>
      <c r="E2080" s="5" t="str">
        <f ca="1">IFERROR(__xludf.DUMMYFUNCTION("""COMPUTED_VALUE"""),"Piston")</f>
        <v>Piston</v>
      </c>
      <c r="F2080" s="5">
        <f ca="1">IFERROR(__xludf.DUMMYFUNCTION("""COMPUTED_VALUE"""),1)</f>
        <v>1</v>
      </c>
    </row>
    <row r="2081" spans="1:6" ht="15" customHeight="1" x14ac:dyDescent="0.2">
      <c r="A2081" s="5" t="str">
        <f ca="1">IFERROR(__xludf.DUMMYFUNCTION("""COMPUTED_VALUE"""),"S1")</f>
        <v>S1</v>
      </c>
      <c r="B2081" s="5" t="str">
        <f ca="1">IFERROR(__xludf.DUMMYFUNCTION("""COMPUTED_VALUE"""),"INTERSTATE")</f>
        <v>INTERSTATE</v>
      </c>
      <c r="C2081" s="5" t="str">
        <f ca="1">IFERROR(__xludf.DUMMYFUNCTION("""COMPUTED_VALUE"""),"S-1 Cadet")</f>
        <v>S-1 Cadet</v>
      </c>
      <c r="D2081" s="5" t="str">
        <f ca="1">IFERROR(__xludf.DUMMYFUNCTION("""COMPUTED_VALUE"""),"LandPlane")</f>
        <v>LandPlane</v>
      </c>
      <c r="E2081" s="5" t="str">
        <f ca="1">IFERROR(__xludf.DUMMYFUNCTION("""COMPUTED_VALUE"""),"Piston")</f>
        <v>Piston</v>
      </c>
      <c r="F2081" s="5">
        <f ca="1">IFERROR(__xludf.DUMMYFUNCTION("""COMPUTED_VALUE"""),1)</f>
        <v>1</v>
      </c>
    </row>
    <row r="2082" spans="1:6" ht="15" customHeight="1" x14ac:dyDescent="0.2">
      <c r="A2082" s="5" t="str">
        <f ca="1">IFERROR(__xludf.DUMMYFUNCTION("""COMPUTED_VALUE"""),"S10")</f>
        <v>S10</v>
      </c>
      <c r="B2082" s="5" t="str">
        <f ca="1">IFERROR(__xludf.DUMMYFUNCTION("""COMPUTED_VALUE"""),"STINSON")</f>
        <v>STINSON</v>
      </c>
      <c r="C2082" s="5" t="str">
        <f ca="1">IFERROR(__xludf.DUMMYFUNCTION("""COMPUTED_VALUE"""),"10 Voyager")</f>
        <v>10 Voyager</v>
      </c>
      <c r="D2082" s="5" t="str">
        <f ca="1">IFERROR(__xludf.DUMMYFUNCTION("""COMPUTED_VALUE"""),"LandPlane")</f>
        <v>LandPlane</v>
      </c>
      <c r="E2082" s="5" t="str">
        <f ca="1">IFERROR(__xludf.DUMMYFUNCTION("""COMPUTED_VALUE"""),"Piston")</f>
        <v>Piston</v>
      </c>
      <c r="F2082" s="5">
        <f ca="1">IFERROR(__xludf.DUMMYFUNCTION("""COMPUTED_VALUE"""),1)</f>
        <v>1</v>
      </c>
    </row>
    <row r="2083" spans="1:6" ht="15" customHeight="1" x14ac:dyDescent="0.2">
      <c r="A2083" s="5" t="str">
        <f ca="1">IFERROR(__xludf.DUMMYFUNCTION("""COMPUTED_VALUE"""),"S107")</f>
        <v>S107</v>
      </c>
      <c r="B2083" s="5" t="str">
        <f ca="1">IFERROR(__xludf.DUMMYFUNCTION("""COMPUTED_VALUE"""),"SPRATT")</f>
        <v>SPRATT</v>
      </c>
      <c r="C2083" s="5" t="str">
        <f ca="1">IFERROR(__xludf.DUMMYFUNCTION("""COMPUTED_VALUE"""),"107")</f>
        <v>107</v>
      </c>
      <c r="D2083" s="5" t="str">
        <f ca="1">IFERROR(__xludf.DUMMYFUNCTION("""COMPUTED_VALUE"""),"SeaPlane")</f>
        <v>SeaPlane</v>
      </c>
      <c r="E2083" s="5" t="str">
        <f ca="1">IFERROR(__xludf.DUMMYFUNCTION("""COMPUTED_VALUE"""),"Piston")</f>
        <v>Piston</v>
      </c>
      <c r="F2083" s="5">
        <f ca="1">IFERROR(__xludf.DUMMYFUNCTION("""COMPUTED_VALUE"""),1)</f>
        <v>1</v>
      </c>
    </row>
    <row r="2084" spans="1:6" ht="15" customHeight="1" x14ac:dyDescent="0.2">
      <c r="A2084" s="5" t="str">
        <f ca="1">IFERROR(__xludf.DUMMYFUNCTION("""COMPUTED_VALUE"""),"S108")</f>
        <v>S108</v>
      </c>
      <c r="B2084" s="5" t="str">
        <f ca="1">IFERROR(__xludf.DUMMYFUNCTION("""COMPUTED_VALUE"""),"STINSON")</f>
        <v>STINSON</v>
      </c>
      <c r="C2084" s="5" t="str">
        <f ca="1">IFERROR(__xludf.DUMMYFUNCTION("""COMPUTED_VALUE"""),"108 Station Wagon")</f>
        <v>108 Station Wagon</v>
      </c>
      <c r="D2084" s="5" t="str">
        <f ca="1">IFERROR(__xludf.DUMMYFUNCTION("""COMPUTED_VALUE"""),"LandPlane")</f>
        <v>LandPlane</v>
      </c>
      <c r="E2084" s="5" t="str">
        <f ca="1">IFERROR(__xludf.DUMMYFUNCTION("""COMPUTED_VALUE"""),"Piston")</f>
        <v>Piston</v>
      </c>
      <c r="F2084" s="5">
        <f ca="1">IFERROR(__xludf.DUMMYFUNCTION("""COMPUTED_VALUE"""),1)</f>
        <v>1</v>
      </c>
    </row>
    <row r="2085" spans="1:6" ht="15" customHeight="1" x14ac:dyDescent="0.2">
      <c r="A2085" s="5" t="str">
        <f ca="1">IFERROR(__xludf.DUMMYFUNCTION("""COMPUTED_VALUE"""),"S10S")</f>
        <v>S10S</v>
      </c>
      <c r="B2085" s="5" t="str">
        <f ca="1">IFERROR(__xludf.DUMMYFUNCTION("""COMPUTED_VALUE"""),"STEMME")</f>
        <v>STEMME</v>
      </c>
      <c r="C2085" s="5" t="str">
        <f ca="1">IFERROR(__xludf.DUMMYFUNCTION("""COMPUTED_VALUE"""),"S-10 Chrysalis")</f>
        <v>S-10 Chrysalis</v>
      </c>
      <c r="D2085" s="5" t="str">
        <f ca="1">IFERROR(__xludf.DUMMYFUNCTION("""COMPUTED_VALUE"""),"LandPlane")</f>
        <v>LandPlane</v>
      </c>
      <c r="E2085" s="5" t="str">
        <f ca="1">IFERROR(__xludf.DUMMYFUNCTION("""COMPUTED_VALUE"""),"Piston")</f>
        <v>Piston</v>
      </c>
      <c r="F2085" s="5">
        <f ca="1">IFERROR(__xludf.DUMMYFUNCTION("""COMPUTED_VALUE"""),1)</f>
        <v>1</v>
      </c>
    </row>
    <row r="2086" spans="1:6" ht="15" customHeight="1" x14ac:dyDescent="0.2">
      <c r="A2086" s="5" t="str">
        <f ca="1">IFERROR(__xludf.DUMMYFUNCTION("""COMPUTED_VALUE"""),"S11")</f>
        <v>S11</v>
      </c>
      <c r="B2086" s="5" t="str">
        <f ca="1">IFERROR(__xludf.DUMMYFUNCTION("""COMPUTED_VALUE"""),"FOKKER")</f>
        <v>FOKKER</v>
      </c>
      <c r="C2086" s="5" t="str">
        <f ca="1">IFERROR(__xludf.DUMMYFUNCTION("""COMPUTED_VALUE"""),"S-11 Instructor")</f>
        <v>S-11 Instructor</v>
      </c>
      <c r="D2086" s="5" t="str">
        <f ca="1">IFERROR(__xludf.DUMMYFUNCTION("""COMPUTED_VALUE"""),"LandPlane")</f>
        <v>LandPlane</v>
      </c>
      <c r="E2086" s="5" t="str">
        <f ca="1">IFERROR(__xludf.DUMMYFUNCTION("""COMPUTED_VALUE"""),"Piston")</f>
        <v>Piston</v>
      </c>
      <c r="F2086" s="5">
        <f ca="1">IFERROR(__xludf.DUMMYFUNCTION("""COMPUTED_VALUE"""),1)</f>
        <v>1</v>
      </c>
    </row>
    <row r="2087" spans="1:6" ht="15" customHeight="1" x14ac:dyDescent="0.2">
      <c r="A2087" s="5" t="str">
        <f ca="1">IFERROR(__xludf.DUMMYFUNCTION("""COMPUTED_VALUE"""),"S12")</f>
        <v>S12</v>
      </c>
      <c r="B2087" s="5" t="str">
        <f ca="1">IFERROR(__xludf.DUMMYFUNCTION("""COMPUTED_VALUE"""),"SPENCER")</f>
        <v>SPENCER</v>
      </c>
      <c r="C2087" s="5" t="str">
        <f ca="1">IFERROR(__xludf.DUMMYFUNCTION("""COMPUTED_VALUE"""),"S-12 Air Car")</f>
        <v>S-12 Air Car</v>
      </c>
      <c r="D2087" s="5" t="str">
        <f ca="1">IFERROR(__xludf.DUMMYFUNCTION("""COMPUTED_VALUE"""),"Amphibian")</f>
        <v>Amphibian</v>
      </c>
      <c r="E2087" s="5" t="str">
        <f ca="1">IFERROR(__xludf.DUMMYFUNCTION("""COMPUTED_VALUE"""),"Piston")</f>
        <v>Piston</v>
      </c>
      <c r="F2087" s="5">
        <f ca="1">IFERROR(__xludf.DUMMYFUNCTION("""COMPUTED_VALUE"""),1)</f>
        <v>1</v>
      </c>
    </row>
    <row r="2088" spans="1:6" ht="15" customHeight="1" x14ac:dyDescent="0.2">
      <c r="A2088" s="5" t="str">
        <f ca="1">IFERROR(__xludf.DUMMYFUNCTION("""COMPUTED_VALUE"""),"S122")</f>
        <v>S122</v>
      </c>
      <c r="B2088" s="5" t="str">
        <f ca="1">IFERROR(__xludf.DUMMYFUNCTION("""COMPUTED_VALUE"""),"SKYLINE")</f>
        <v>SKYLINE</v>
      </c>
      <c r="C2088" s="5" t="str">
        <f ca="1">IFERROR(__xludf.DUMMYFUNCTION("""COMPUTED_VALUE"""),"SL-122  Pchelka")</f>
        <v>SL-122  Pchelka</v>
      </c>
      <c r="D2088" s="5" t="str">
        <f ca="1">IFERROR(__xludf.DUMMYFUNCTION("""COMPUTED_VALUE"""),"LandPlane")</f>
        <v>LandPlane</v>
      </c>
      <c r="E2088" s="5" t="str">
        <f ca="1">IFERROR(__xludf.DUMMYFUNCTION("""COMPUTED_VALUE"""),"Piston")</f>
        <v>Piston</v>
      </c>
      <c r="F2088" s="5">
        <f ca="1">IFERROR(__xludf.DUMMYFUNCTION("""COMPUTED_VALUE"""),2)</f>
        <v>2</v>
      </c>
    </row>
    <row r="2089" spans="1:6" ht="15" customHeight="1" x14ac:dyDescent="0.2">
      <c r="A2089" s="5" t="str">
        <f ca="1">IFERROR(__xludf.DUMMYFUNCTION("""COMPUTED_VALUE"""),"S12S")</f>
        <v>S12S</v>
      </c>
      <c r="B2089" s="5" t="str">
        <f ca="1">IFERROR(__xludf.DUMMYFUNCTION("""COMPUTED_VALUE"""),"STEMME")</f>
        <v>STEMME</v>
      </c>
      <c r="C2089" s="5" t="str">
        <f ca="1">IFERROR(__xludf.DUMMYFUNCTION("""COMPUTED_VALUE"""),"S-12 Twin Voyager")</f>
        <v>S-12 Twin Voyager</v>
      </c>
      <c r="D2089" s="5" t="str">
        <f ca="1">IFERROR(__xludf.DUMMYFUNCTION("""COMPUTED_VALUE"""),"LandPlane")</f>
        <v>LandPlane</v>
      </c>
      <c r="E2089" s="5" t="str">
        <f ca="1">IFERROR(__xludf.DUMMYFUNCTION("""COMPUTED_VALUE"""),"Piston")</f>
        <v>Piston</v>
      </c>
      <c r="F2089" s="5">
        <f ca="1">IFERROR(__xludf.DUMMYFUNCTION("""COMPUTED_VALUE"""),1)</f>
        <v>1</v>
      </c>
    </row>
    <row r="2090" spans="1:6" ht="15" customHeight="1" x14ac:dyDescent="0.2">
      <c r="A2090" s="5" t="str">
        <f ca="1">IFERROR(__xludf.DUMMYFUNCTION("""COMPUTED_VALUE"""),"S15S")</f>
        <v>S15S</v>
      </c>
      <c r="B2090" s="5" t="str">
        <f ca="1">IFERROR(__xludf.DUMMYFUNCTION("""COMPUTED_VALUE"""),"STEMME")</f>
        <v>STEMME</v>
      </c>
      <c r="C2090" s="5" t="str">
        <f ca="1">IFERROR(__xludf.DUMMYFUNCTION("""COMPUTED_VALUE"""),"S-15")</f>
        <v>S-15</v>
      </c>
      <c r="D2090" s="5" t="str">
        <f ca="1">IFERROR(__xludf.DUMMYFUNCTION("""COMPUTED_VALUE"""),"LandPlane")</f>
        <v>LandPlane</v>
      </c>
      <c r="E2090" s="5" t="str">
        <f ca="1">IFERROR(__xludf.DUMMYFUNCTION("""COMPUTED_VALUE"""),"Piston")</f>
        <v>Piston</v>
      </c>
      <c r="F2090" s="5">
        <f ca="1">IFERROR(__xludf.DUMMYFUNCTION("""COMPUTED_VALUE"""),1)</f>
        <v>1</v>
      </c>
    </row>
    <row r="2091" spans="1:6" ht="15" customHeight="1" x14ac:dyDescent="0.2">
      <c r="A2091" s="5" t="str">
        <f ca="1">IFERROR(__xludf.DUMMYFUNCTION("""COMPUTED_VALUE"""),"S15U")</f>
        <v>S15U</v>
      </c>
      <c r="B2091" s="5" t="str">
        <f ca="1">IFERROR(__xludf.DUMMYFUNCTION("""COMPUTED_VALUE"""),"STEMME")</f>
        <v>STEMME</v>
      </c>
      <c r="C2091" s="5" t="str">
        <f ca="1">IFERROR(__xludf.DUMMYFUNCTION("""COMPUTED_VALUE"""),"S-15 Patroller")</f>
        <v>S-15 Patroller</v>
      </c>
      <c r="D2091" s="5" t="str">
        <f ca="1">IFERROR(__xludf.DUMMYFUNCTION("""COMPUTED_VALUE"""),"LandPlane")</f>
        <v>LandPlane</v>
      </c>
      <c r="E2091" s="5" t="str">
        <f ca="1">IFERROR(__xludf.DUMMYFUNCTION("""COMPUTED_VALUE"""),"Piston")</f>
        <v>Piston</v>
      </c>
      <c r="F2091" s="5">
        <f ca="1">IFERROR(__xludf.DUMMYFUNCTION("""COMPUTED_VALUE"""),1)</f>
        <v>1</v>
      </c>
    </row>
    <row r="2092" spans="1:6" ht="15" customHeight="1" x14ac:dyDescent="0.2">
      <c r="A2092" s="5" t="str">
        <f ca="1">IFERROR(__xludf.DUMMYFUNCTION("""COMPUTED_VALUE"""),"S200")</f>
        <v>S200</v>
      </c>
      <c r="B2092" s="5" t="str">
        <f ca="1">IFERROR(__xludf.DUMMYFUNCTION("""COMPUTED_VALUE"""),"SIPA")</f>
        <v>SIPA</v>
      </c>
      <c r="C2092" s="5" t="str">
        <f ca="1">IFERROR(__xludf.DUMMYFUNCTION("""COMPUTED_VALUE"""),"S-200 Minijet")</f>
        <v>S-200 Minijet</v>
      </c>
      <c r="D2092" s="5" t="str">
        <f ca="1">IFERROR(__xludf.DUMMYFUNCTION("""COMPUTED_VALUE"""),"LandPlane")</f>
        <v>LandPlane</v>
      </c>
      <c r="E2092" s="5" t="str">
        <f ca="1">IFERROR(__xludf.DUMMYFUNCTION("""COMPUTED_VALUE"""),"Jet")</f>
        <v>Jet</v>
      </c>
      <c r="F2092" s="5">
        <f ca="1">IFERROR(__xludf.DUMMYFUNCTION("""COMPUTED_VALUE"""),1)</f>
        <v>1</v>
      </c>
    </row>
    <row r="2093" spans="1:6" ht="15" customHeight="1" x14ac:dyDescent="0.2">
      <c r="A2093" s="5" t="str">
        <f ca="1">IFERROR(__xludf.DUMMYFUNCTION("""COMPUTED_VALUE"""),"S202")</f>
        <v>S202</v>
      </c>
      <c r="B2093" s="5" t="str">
        <f ca="1">IFERROR(__xludf.DUMMYFUNCTION("""COMPUTED_VALUE"""),"SGAU")</f>
        <v>SGAU</v>
      </c>
      <c r="C2093" s="5" t="str">
        <f ca="1">IFERROR(__xludf.DUMMYFUNCTION("""COMPUTED_VALUE"""),"S-202")</f>
        <v>S-202</v>
      </c>
      <c r="D2093" s="5" t="str">
        <f ca="1">IFERROR(__xludf.DUMMYFUNCTION("""COMPUTED_VALUE"""),"Amphibian")</f>
        <v>Amphibian</v>
      </c>
      <c r="E2093" s="5" t="str">
        <f ca="1">IFERROR(__xludf.DUMMYFUNCTION("""COMPUTED_VALUE"""),"Piston")</f>
        <v>Piston</v>
      </c>
      <c r="F2093" s="5">
        <f ca="1">IFERROR(__xludf.DUMMYFUNCTION("""COMPUTED_VALUE"""),2)</f>
        <v>2</v>
      </c>
    </row>
    <row r="2094" spans="1:6" ht="15" customHeight="1" x14ac:dyDescent="0.2">
      <c r="A2094" s="5" t="str">
        <f ca="1">IFERROR(__xludf.DUMMYFUNCTION("""COMPUTED_VALUE"""),"S208")</f>
        <v>S208</v>
      </c>
      <c r="B2094" s="5" t="str">
        <f ca="1">IFERROR(__xludf.DUMMYFUNCTION("""COMPUTED_VALUE"""),"SIAI-MARCHETTI")</f>
        <v>SIAI-MARCHETTI</v>
      </c>
      <c r="C2094" s="5" t="str">
        <f ca="1">IFERROR(__xludf.DUMMYFUNCTION("""COMPUTED_VALUE"""),"S-208")</f>
        <v>S-208</v>
      </c>
      <c r="D2094" s="5" t="str">
        <f ca="1">IFERROR(__xludf.DUMMYFUNCTION("""COMPUTED_VALUE"""),"LandPlane")</f>
        <v>LandPlane</v>
      </c>
      <c r="E2094" s="5" t="str">
        <f ca="1">IFERROR(__xludf.DUMMYFUNCTION("""COMPUTED_VALUE"""),"Piston")</f>
        <v>Piston</v>
      </c>
      <c r="F2094" s="5">
        <f ca="1">IFERROR(__xludf.DUMMYFUNCTION("""COMPUTED_VALUE"""),1)</f>
        <v>1</v>
      </c>
    </row>
    <row r="2095" spans="1:6" ht="15" customHeight="1" x14ac:dyDescent="0.2">
      <c r="A2095" s="5" t="str">
        <f ca="1">IFERROR(__xludf.DUMMYFUNCTION("""COMPUTED_VALUE"""),"S21")</f>
        <v>S21</v>
      </c>
      <c r="B2095" s="5" t="str">
        <f ca="1">IFERROR(__xludf.DUMMYFUNCTION("""COMPUTED_VALUE"""),"MACDONALD")</f>
        <v>MACDONALD</v>
      </c>
      <c r="C2095" s="5" t="str">
        <f ca="1">IFERROR(__xludf.DUMMYFUNCTION("""COMPUTED_VALUE"""),"S-21")</f>
        <v>S-21</v>
      </c>
      <c r="D2095" s="5" t="str">
        <f ca="1">IFERROR(__xludf.DUMMYFUNCTION("""COMPUTED_VALUE"""),"LandPlane")</f>
        <v>LandPlane</v>
      </c>
      <c r="E2095" s="5" t="str">
        <f ca="1">IFERROR(__xludf.DUMMYFUNCTION("""COMPUTED_VALUE"""),"Piston")</f>
        <v>Piston</v>
      </c>
      <c r="F2095" s="5">
        <f ca="1">IFERROR(__xludf.DUMMYFUNCTION("""COMPUTED_VALUE"""),1)</f>
        <v>1</v>
      </c>
    </row>
    <row r="2096" spans="1:6" ht="15" customHeight="1" x14ac:dyDescent="0.2">
      <c r="A2096" s="5" t="str">
        <f ca="1">IFERROR(__xludf.DUMMYFUNCTION("""COMPUTED_VALUE"""),"S211")</f>
        <v>S211</v>
      </c>
      <c r="B2096" s="5" t="str">
        <f ca="1">IFERROR(__xludf.DUMMYFUNCTION("""COMPUTED_VALUE"""),"SIAI-MARCHETTI")</f>
        <v>SIAI-MARCHETTI</v>
      </c>
      <c r="C2096" s="5" t="str">
        <f ca="1">IFERROR(__xludf.DUMMYFUNCTION("""COMPUTED_VALUE"""),"S-211")</f>
        <v>S-211</v>
      </c>
      <c r="D2096" s="5" t="str">
        <f ca="1">IFERROR(__xludf.DUMMYFUNCTION("""COMPUTED_VALUE"""),"LandPlane")</f>
        <v>LandPlane</v>
      </c>
      <c r="E2096" s="5" t="str">
        <f ca="1">IFERROR(__xludf.DUMMYFUNCTION("""COMPUTED_VALUE"""),"Jet")</f>
        <v>Jet</v>
      </c>
      <c r="F2096" s="5">
        <f ca="1">IFERROR(__xludf.DUMMYFUNCTION("""COMPUTED_VALUE"""),1)</f>
        <v>1</v>
      </c>
    </row>
    <row r="2097" spans="1:6" ht="15" customHeight="1" x14ac:dyDescent="0.2">
      <c r="A2097" s="5" t="str">
        <f ca="1">IFERROR(__xludf.DUMMYFUNCTION("""COMPUTED_VALUE"""),"S223")</f>
        <v>S223</v>
      </c>
      <c r="B2097" s="5" t="str">
        <f ca="1">IFERROR(__xludf.DUMMYFUNCTION("""COMPUTED_VALUE"""),"MBB")</f>
        <v>MBB</v>
      </c>
      <c r="C2097" s="5" t="str">
        <f ca="1">IFERROR(__xludf.DUMMYFUNCTION("""COMPUTED_VALUE"""),"223 Flamingo")</f>
        <v>223 Flamingo</v>
      </c>
      <c r="D2097" s="5" t="str">
        <f ca="1">IFERROR(__xludf.DUMMYFUNCTION("""COMPUTED_VALUE"""),"LandPlane")</f>
        <v>LandPlane</v>
      </c>
      <c r="E2097" s="5" t="str">
        <f ca="1">IFERROR(__xludf.DUMMYFUNCTION("""COMPUTED_VALUE"""),"Piston")</f>
        <v>Piston</v>
      </c>
      <c r="F2097" s="5">
        <f ca="1">IFERROR(__xludf.DUMMYFUNCTION("""COMPUTED_VALUE"""),1)</f>
        <v>1</v>
      </c>
    </row>
    <row r="2098" spans="1:6" ht="15" customHeight="1" x14ac:dyDescent="0.2">
      <c r="A2098" s="5" t="str">
        <f ca="1">IFERROR(__xludf.DUMMYFUNCTION("""COMPUTED_VALUE"""),"S22T")</f>
        <v>S22T</v>
      </c>
      <c r="B2098" s="5" t="str">
        <f ca="1">IFERROR(__xludf.DUMMYFUNCTION("""COMPUTED_VALUE"""),"CIRRUS")</f>
        <v>CIRRUS</v>
      </c>
      <c r="C2098" s="5" t="str">
        <f ca="1">IFERROR(__xludf.DUMMYFUNCTION("""COMPUTED_VALUE"""),"SR-22 Turbo")</f>
        <v>SR-22 Turbo</v>
      </c>
      <c r="D2098" s="5" t="str">
        <f ca="1">IFERROR(__xludf.DUMMYFUNCTION("""COMPUTED_VALUE"""),"LandPlane")</f>
        <v>LandPlane</v>
      </c>
      <c r="E2098" s="5" t="str">
        <f ca="1">IFERROR(__xludf.DUMMYFUNCTION("""COMPUTED_VALUE"""),"Piston")</f>
        <v>Piston</v>
      </c>
      <c r="F2098" s="5">
        <f ca="1">IFERROR(__xludf.DUMMYFUNCTION("""COMPUTED_VALUE"""),1)</f>
        <v>1</v>
      </c>
    </row>
    <row r="2099" spans="1:6" ht="15" customHeight="1" x14ac:dyDescent="0.2">
      <c r="A2099" s="5" t="str">
        <f ca="1">IFERROR(__xludf.DUMMYFUNCTION("""COMPUTED_VALUE"""),"S274")</f>
        <v>S274</v>
      </c>
      <c r="B2099" s="5" t="str">
        <f ca="1">IFERROR(__xludf.DUMMYFUNCTION("""COMPUTED_VALUE"""),"IRGC")</f>
        <v>IRGC</v>
      </c>
      <c r="C2099" s="5" t="str">
        <f ca="1">IFERROR(__xludf.DUMMYFUNCTION("""COMPUTED_VALUE"""),"Shahed 274")</f>
        <v>Shahed 274</v>
      </c>
      <c r="D2099" s="5" t="str">
        <f ca="1">IFERROR(__xludf.DUMMYFUNCTION("""COMPUTED_VALUE"""),"Helicopter")</f>
        <v>Helicopter</v>
      </c>
      <c r="E2099" s="5" t="str">
        <f ca="1">IFERROR(__xludf.DUMMYFUNCTION("""COMPUTED_VALUE"""),"Turboprop/Turboshaft")</f>
        <v>Turboprop/Turboshaft</v>
      </c>
      <c r="F2099" s="5">
        <f ca="1">IFERROR(__xludf.DUMMYFUNCTION("""COMPUTED_VALUE"""),1)</f>
        <v>1</v>
      </c>
    </row>
    <row r="2100" spans="1:6" ht="15" customHeight="1" x14ac:dyDescent="0.2">
      <c r="A2100" s="5" t="str">
        <f ca="1">IFERROR(__xludf.DUMMYFUNCTION("""COMPUTED_VALUE"""),"S278")</f>
        <v>S278</v>
      </c>
      <c r="B2100" s="5" t="str">
        <f ca="1">IFERROR(__xludf.DUMMYFUNCTION("""COMPUTED_VALUE"""),"HESA")</f>
        <v>HESA</v>
      </c>
      <c r="C2100" s="5" t="str">
        <f ca="1">IFERROR(__xludf.DUMMYFUNCTION("""COMPUTED_VALUE"""),"Shahed 278")</f>
        <v>Shahed 278</v>
      </c>
      <c r="D2100" s="5" t="str">
        <f ca="1">IFERROR(__xludf.DUMMYFUNCTION("""COMPUTED_VALUE"""),"Helicopter")</f>
        <v>Helicopter</v>
      </c>
      <c r="E2100" s="5" t="str">
        <f ca="1">IFERROR(__xludf.DUMMYFUNCTION("""COMPUTED_VALUE"""),"Turboprop/Turboshaft")</f>
        <v>Turboprop/Turboshaft</v>
      </c>
      <c r="F2100" s="5">
        <f ca="1">IFERROR(__xludf.DUMMYFUNCTION("""COMPUTED_VALUE"""),1)</f>
        <v>1</v>
      </c>
    </row>
    <row r="2101" spans="1:6" ht="15" customHeight="1" x14ac:dyDescent="0.2">
      <c r="A2101" s="5" t="str">
        <f ca="1">IFERROR(__xludf.DUMMYFUNCTION("""COMPUTED_VALUE"""),"S285")</f>
        <v>S285</v>
      </c>
      <c r="B2101" s="5" t="str">
        <f ca="1">IFERROR(__xludf.DUMMYFUNCTION("""COMPUTED_VALUE"""),"HESA")</f>
        <v>HESA</v>
      </c>
      <c r="C2101" s="5" t="str">
        <f ca="1">IFERROR(__xludf.DUMMYFUNCTION("""COMPUTED_VALUE"""),"Shahed 285")</f>
        <v>Shahed 285</v>
      </c>
      <c r="D2101" s="5" t="str">
        <f ca="1">IFERROR(__xludf.DUMMYFUNCTION("""COMPUTED_VALUE"""),"Helicopter")</f>
        <v>Helicopter</v>
      </c>
      <c r="E2101" s="5" t="str">
        <f ca="1">IFERROR(__xludf.DUMMYFUNCTION("""COMPUTED_VALUE"""),"Turboprop/Turboshaft")</f>
        <v>Turboprop/Turboshaft</v>
      </c>
      <c r="F2101" s="5">
        <f ca="1">IFERROR(__xludf.DUMMYFUNCTION("""COMPUTED_VALUE"""),1)</f>
        <v>1</v>
      </c>
    </row>
    <row r="2102" spans="1:6" ht="15" customHeight="1" x14ac:dyDescent="0.2">
      <c r="A2102" s="5" t="str">
        <f ca="1">IFERROR(__xludf.DUMMYFUNCTION("""COMPUTED_VALUE"""),"S2P")</f>
        <v>S2P</v>
      </c>
      <c r="B2102" s="5" t="str">
        <f ca="1">IFERROR(__xludf.DUMMYFUNCTION("""COMPUTED_VALUE"""),"GRUMMAN")</f>
        <v>GRUMMAN</v>
      </c>
      <c r="C2102" s="5" t="str">
        <f ca="1">IFERROR(__xludf.DUMMYFUNCTION("""COMPUTED_VALUE"""),"S-2 Tracker")</f>
        <v>S-2 Tracker</v>
      </c>
      <c r="D2102" s="5" t="str">
        <f ca="1">IFERROR(__xludf.DUMMYFUNCTION("""COMPUTED_VALUE"""),"LandPlane")</f>
        <v>LandPlane</v>
      </c>
      <c r="E2102" s="5" t="str">
        <f ca="1">IFERROR(__xludf.DUMMYFUNCTION("""COMPUTED_VALUE"""),"Piston")</f>
        <v>Piston</v>
      </c>
      <c r="F2102" s="5">
        <f ca="1">IFERROR(__xludf.DUMMYFUNCTION("""COMPUTED_VALUE"""),2)</f>
        <v>2</v>
      </c>
    </row>
    <row r="2103" spans="1:6" ht="15" customHeight="1" x14ac:dyDescent="0.2">
      <c r="A2103" s="5" t="str">
        <f ca="1">IFERROR(__xludf.DUMMYFUNCTION("""COMPUTED_VALUE"""),"S2T")</f>
        <v>S2T</v>
      </c>
      <c r="B2103" s="5" t="str">
        <f ca="1">IFERROR(__xludf.DUMMYFUNCTION("""COMPUTED_VALUE"""),"GRUMMAN")</f>
        <v>GRUMMAN</v>
      </c>
      <c r="C2103" s="5" t="str">
        <f ca="1">IFERROR(__xludf.DUMMYFUNCTION("""COMPUTED_VALUE"""),"S-2 Turbo Tracker")</f>
        <v>S-2 Turbo Tracker</v>
      </c>
      <c r="D2103" s="5" t="str">
        <f ca="1">IFERROR(__xludf.DUMMYFUNCTION("""COMPUTED_VALUE"""),"LandPlane")</f>
        <v>LandPlane</v>
      </c>
      <c r="E2103" s="5" t="str">
        <f ca="1">IFERROR(__xludf.DUMMYFUNCTION("""COMPUTED_VALUE"""),"Turboprop/Turboshaft")</f>
        <v>Turboprop/Turboshaft</v>
      </c>
      <c r="F2103" s="5">
        <f ca="1">IFERROR(__xludf.DUMMYFUNCTION("""COMPUTED_VALUE"""),2)</f>
        <v>2</v>
      </c>
    </row>
    <row r="2104" spans="1:6" ht="15" customHeight="1" x14ac:dyDescent="0.2">
      <c r="A2104" s="5" t="str">
        <f ca="1">IFERROR(__xludf.DUMMYFUNCTION("""COMPUTED_VALUE"""),"S3")</f>
        <v>S3</v>
      </c>
      <c r="B2104" s="5" t="str">
        <f ca="1">IFERROR(__xludf.DUMMYFUNCTION("""COMPUTED_VALUE"""),"LOCKHEED")</f>
        <v>LOCKHEED</v>
      </c>
      <c r="C2104" s="5" t="str">
        <f ca="1">IFERROR(__xludf.DUMMYFUNCTION("""COMPUTED_VALUE"""),"S-3 Viking")</f>
        <v>S-3 Viking</v>
      </c>
      <c r="D2104" s="5" t="str">
        <f ca="1">IFERROR(__xludf.DUMMYFUNCTION("""COMPUTED_VALUE"""),"LandPlane")</f>
        <v>LandPlane</v>
      </c>
      <c r="E2104" s="5" t="str">
        <f ca="1">IFERROR(__xludf.DUMMYFUNCTION("""COMPUTED_VALUE"""),"Jet")</f>
        <v>Jet</v>
      </c>
      <c r="F2104" s="5">
        <f ca="1">IFERROR(__xludf.DUMMYFUNCTION("""COMPUTED_VALUE"""),2)</f>
        <v>2</v>
      </c>
    </row>
    <row r="2105" spans="1:6" ht="15" customHeight="1" x14ac:dyDescent="0.2">
      <c r="A2105" s="5" t="str">
        <f ca="1">IFERROR(__xludf.DUMMYFUNCTION("""COMPUTED_VALUE"""),"S330")</f>
        <v>S330</v>
      </c>
      <c r="B2105" s="5" t="str">
        <f ca="1">IFERROR(__xludf.DUMMYFUNCTION("""COMPUTED_VALUE"""),"SIKORSKY")</f>
        <v>SIKORSKY</v>
      </c>
      <c r="C2105" s="5" t="str">
        <f ca="1">IFERROR(__xludf.DUMMYFUNCTION("""COMPUTED_VALUE"""),"S-333")</f>
        <v>S-333</v>
      </c>
      <c r="D2105" s="5" t="str">
        <f ca="1">IFERROR(__xludf.DUMMYFUNCTION("""COMPUTED_VALUE"""),"Helicopter")</f>
        <v>Helicopter</v>
      </c>
      <c r="E2105" s="5" t="str">
        <f ca="1">IFERROR(__xludf.DUMMYFUNCTION("""COMPUTED_VALUE"""),"Turboprop/Turboshaft")</f>
        <v>Turboprop/Turboshaft</v>
      </c>
      <c r="F2105" s="5">
        <f ca="1">IFERROR(__xludf.DUMMYFUNCTION("""COMPUTED_VALUE"""),1)</f>
        <v>1</v>
      </c>
    </row>
    <row r="2106" spans="1:6" ht="15" customHeight="1" x14ac:dyDescent="0.2">
      <c r="A2106" s="5" t="str">
        <f ca="1">IFERROR(__xludf.DUMMYFUNCTION("""COMPUTED_VALUE"""),"S355")</f>
        <v>S355</v>
      </c>
      <c r="B2106" s="5" t="str">
        <f ca="1">IFERROR(__xludf.DUMMYFUNCTION("""COMPUTED_VALUE"""),"SCALED")</f>
        <v>SCALED</v>
      </c>
      <c r="C2106" s="5" t="str">
        <f ca="1">IFERROR(__xludf.DUMMYFUNCTION("""COMPUTED_VALUE"""),"355 Firebird")</f>
        <v>355 Firebird</v>
      </c>
      <c r="D2106" s="5" t="str">
        <f ca="1">IFERROR(__xludf.DUMMYFUNCTION("""COMPUTED_VALUE"""),"LandPlane")</f>
        <v>LandPlane</v>
      </c>
      <c r="E2106" s="5" t="str">
        <f ca="1">IFERROR(__xludf.DUMMYFUNCTION("""COMPUTED_VALUE"""),"Piston")</f>
        <v>Piston</v>
      </c>
      <c r="F2106" s="5">
        <f ca="1">IFERROR(__xludf.DUMMYFUNCTION("""COMPUTED_VALUE"""),1)</f>
        <v>1</v>
      </c>
    </row>
    <row r="2107" spans="1:6" ht="15" customHeight="1" x14ac:dyDescent="0.2">
      <c r="A2107" s="5" t="str">
        <f ca="1">IFERROR(__xludf.DUMMYFUNCTION("""COMPUTED_VALUE"""),"S360")</f>
        <v>S360</v>
      </c>
      <c r="B2107" s="5" t="str">
        <f ca="1">IFERROR(__xludf.DUMMYFUNCTION("""COMPUTED_VALUE"""),"AEROSPATIALE")</f>
        <v>AEROSPATIALE</v>
      </c>
      <c r="C2107" s="5" t="str">
        <f ca="1">IFERROR(__xludf.DUMMYFUNCTION("""COMPUTED_VALUE"""),"SA-360 Dauphin")</f>
        <v>SA-360 Dauphin</v>
      </c>
      <c r="D2107" s="5" t="str">
        <f ca="1">IFERROR(__xludf.DUMMYFUNCTION("""COMPUTED_VALUE"""),"Helicopter")</f>
        <v>Helicopter</v>
      </c>
      <c r="E2107" s="5" t="str">
        <f ca="1">IFERROR(__xludf.DUMMYFUNCTION("""COMPUTED_VALUE"""),"Turboprop/Turboshaft")</f>
        <v>Turboprop/Turboshaft</v>
      </c>
      <c r="F2107" s="5">
        <f ca="1">IFERROR(__xludf.DUMMYFUNCTION("""COMPUTED_VALUE"""),1)</f>
        <v>1</v>
      </c>
    </row>
    <row r="2108" spans="1:6" ht="15" customHeight="1" x14ac:dyDescent="0.2">
      <c r="A2108" s="5" t="str">
        <f ca="1">IFERROR(__xludf.DUMMYFUNCTION("""COMPUTED_VALUE"""),"S37")</f>
        <v>S37</v>
      </c>
      <c r="B2108" s="5" t="str">
        <f ca="1">IFERROR(__xludf.DUMMYFUNCTION("""COMPUTED_VALUE"""),"SUKHOI")</f>
        <v>SUKHOI</v>
      </c>
      <c r="C2108" s="5" t="str">
        <f ca="1">IFERROR(__xludf.DUMMYFUNCTION("""COMPUTED_VALUE"""),"S-37 Berkut")</f>
        <v>S-37 Berkut</v>
      </c>
      <c r="D2108" s="5" t="str">
        <f ca="1">IFERROR(__xludf.DUMMYFUNCTION("""COMPUTED_VALUE"""),"LandPlane")</f>
        <v>LandPlane</v>
      </c>
      <c r="E2108" s="5" t="str">
        <f ca="1">IFERROR(__xludf.DUMMYFUNCTION("""COMPUTED_VALUE"""),"Jet")</f>
        <v>Jet</v>
      </c>
      <c r="F2108" s="5">
        <f ca="1">IFERROR(__xludf.DUMMYFUNCTION("""COMPUTED_VALUE"""),2)</f>
        <v>2</v>
      </c>
    </row>
    <row r="2109" spans="1:6" ht="15" customHeight="1" x14ac:dyDescent="0.2">
      <c r="A2109" s="5" t="str">
        <f ca="1">IFERROR(__xludf.DUMMYFUNCTION("""COMPUTED_VALUE"""),"S38")</f>
        <v>S38</v>
      </c>
      <c r="B2109" s="5" t="str">
        <f ca="1">IFERROR(__xludf.DUMMYFUNCTION("""COMPUTED_VALUE"""),"SIKORSKY")</f>
        <v>SIKORSKY</v>
      </c>
      <c r="C2109" s="5" t="str">
        <f ca="1">IFERROR(__xludf.DUMMYFUNCTION("""COMPUTED_VALUE"""),"S-38 Replica")</f>
        <v>S-38 Replica</v>
      </c>
      <c r="D2109" s="5" t="str">
        <f ca="1">IFERROR(__xludf.DUMMYFUNCTION("""COMPUTED_VALUE"""),"Amphibian")</f>
        <v>Amphibian</v>
      </c>
      <c r="E2109" s="5" t="str">
        <f ca="1">IFERROR(__xludf.DUMMYFUNCTION("""COMPUTED_VALUE"""),"Piston")</f>
        <v>Piston</v>
      </c>
      <c r="F2109" s="5">
        <f ca="1">IFERROR(__xludf.DUMMYFUNCTION("""COMPUTED_VALUE"""),2)</f>
        <v>2</v>
      </c>
    </row>
    <row r="2110" spans="1:6" ht="15" customHeight="1" x14ac:dyDescent="0.2">
      <c r="A2110" s="5" t="str">
        <f ca="1">IFERROR(__xludf.DUMMYFUNCTION("""COMPUTED_VALUE"""),"S39")</f>
        <v>S39</v>
      </c>
      <c r="B2110" s="5" t="str">
        <f ca="1">IFERROR(__xludf.DUMMYFUNCTION("""COMPUTED_VALUE"""),"SIKORSKY")</f>
        <v>SIKORSKY</v>
      </c>
      <c r="C2110" s="5" t="str">
        <f ca="1">IFERROR(__xludf.DUMMYFUNCTION("""COMPUTED_VALUE"""),"S-39")</f>
        <v>S-39</v>
      </c>
      <c r="D2110" s="5" t="str">
        <f ca="1">IFERROR(__xludf.DUMMYFUNCTION("""COMPUTED_VALUE"""),"Amphibian")</f>
        <v>Amphibian</v>
      </c>
      <c r="E2110" s="5" t="str">
        <f ca="1">IFERROR(__xludf.DUMMYFUNCTION("""COMPUTED_VALUE"""),"Piston")</f>
        <v>Piston</v>
      </c>
      <c r="F2110" s="5">
        <f ca="1">IFERROR(__xludf.DUMMYFUNCTION("""COMPUTED_VALUE"""),1)</f>
        <v>1</v>
      </c>
    </row>
    <row r="2111" spans="1:6" ht="15" customHeight="1" x14ac:dyDescent="0.2">
      <c r="A2111" s="5" t="str">
        <f ca="1">IFERROR(__xludf.DUMMYFUNCTION("""COMPUTED_VALUE"""),"S4")</f>
        <v>S4</v>
      </c>
      <c r="B2111" s="5" t="str">
        <f ca="1">IFERROR(__xludf.DUMMYFUNCTION("""COMPUTED_VALUE"""),"ARCTIC")</f>
        <v>ARCTIC</v>
      </c>
      <c r="C2111" s="5" t="str">
        <f ca="1">IFERROR(__xludf.DUMMYFUNCTION("""COMPUTED_VALUE"""),"S-4 Privateer")</f>
        <v>S-4 Privateer</v>
      </c>
      <c r="D2111" s="5" t="str">
        <f ca="1">IFERROR(__xludf.DUMMYFUNCTION("""COMPUTED_VALUE"""),"LandPlane")</f>
        <v>LandPlane</v>
      </c>
      <c r="E2111" s="5" t="str">
        <f ca="1">IFERROR(__xludf.DUMMYFUNCTION("""COMPUTED_VALUE"""),"Piston")</f>
        <v>Piston</v>
      </c>
      <c r="F2111" s="5">
        <f ca="1">IFERROR(__xludf.DUMMYFUNCTION("""COMPUTED_VALUE"""),1)</f>
        <v>1</v>
      </c>
    </row>
    <row r="2112" spans="1:6" ht="15" customHeight="1" x14ac:dyDescent="0.2">
      <c r="A2112" s="5" t="str">
        <f ca="1">IFERROR(__xludf.DUMMYFUNCTION("""COMPUTED_VALUE"""),"S400")</f>
        <v>S400</v>
      </c>
      <c r="B2112" s="5" t="str">
        <f ca="1">IFERROR(__xludf.DUMMYFUNCTION("""COMPUTED_VALUE"""),"SGAU")</f>
        <v>SGAU</v>
      </c>
      <c r="C2112" s="5" t="str">
        <f ca="1">IFERROR(__xludf.DUMMYFUNCTION("""COMPUTED_VALUE"""),"S-400 Kapitan")</f>
        <v>S-400 Kapitan</v>
      </c>
      <c r="D2112" s="5" t="str">
        <f ca="1">IFERROR(__xludf.DUMMYFUNCTION("""COMPUTED_VALUE"""),"SeaPlane")</f>
        <v>SeaPlane</v>
      </c>
      <c r="E2112" s="5" t="str">
        <f ca="1">IFERROR(__xludf.DUMMYFUNCTION("""COMPUTED_VALUE"""),"Piston")</f>
        <v>Piston</v>
      </c>
      <c r="F2112" s="5">
        <f ca="1">IFERROR(__xludf.DUMMYFUNCTION("""COMPUTED_VALUE"""),2)</f>
        <v>2</v>
      </c>
    </row>
    <row r="2113" spans="1:6" ht="15" customHeight="1" x14ac:dyDescent="0.2">
      <c r="A2113" s="5" t="str">
        <f ca="1">IFERROR(__xludf.DUMMYFUNCTION("""COMPUTED_VALUE"""),"S434")</f>
        <v>S434</v>
      </c>
      <c r="B2113" s="5" t="str">
        <f ca="1">IFERROR(__xludf.DUMMYFUNCTION("""COMPUTED_VALUE"""),"SIKORSKY")</f>
        <v>SIKORSKY</v>
      </c>
      <c r="C2113" s="5" t="str">
        <f ca="1">IFERROR(__xludf.DUMMYFUNCTION("""COMPUTED_VALUE"""),"S-434")</f>
        <v>S-434</v>
      </c>
      <c r="D2113" s="5" t="str">
        <f ca="1">IFERROR(__xludf.DUMMYFUNCTION("""COMPUTED_VALUE"""),"Helicopter")</f>
        <v>Helicopter</v>
      </c>
      <c r="E2113" s="5" t="str">
        <f ca="1">IFERROR(__xludf.DUMMYFUNCTION("""COMPUTED_VALUE"""),"Turboprop/Turboshaft")</f>
        <v>Turboprop/Turboshaft</v>
      </c>
      <c r="F2113" s="5">
        <f ca="1">IFERROR(__xludf.DUMMYFUNCTION("""COMPUTED_VALUE"""),1)</f>
        <v>1</v>
      </c>
    </row>
    <row r="2114" spans="1:6" ht="15" customHeight="1" x14ac:dyDescent="0.2">
      <c r="A2114" s="5" t="str">
        <f ca="1">IFERROR(__xludf.DUMMYFUNCTION("""COMPUTED_VALUE"""),"S45")</f>
        <v>S45</v>
      </c>
      <c r="B2114" s="5" t="str">
        <f ca="1">IFERROR(__xludf.DUMMYFUNCTION("""COMPUTED_VALUE"""),"PARTENAIR")</f>
        <v>PARTENAIR</v>
      </c>
      <c r="C2114" s="5" t="str">
        <f ca="1">IFERROR(__xludf.DUMMYFUNCTION("""COMPUTED_VALUE"""),"S-45 Mystere")</f>
        <v>S-45 Mystere</v>
      </c>
      <c r="D2114" s="5" t="str">
        <f ca="1">IFERROR(__xludf.DUMMYFUNCTION("""COMPUTED_VALUE"""),"LandPlane")</f>
        <v>LandPlane</v>
      </c>
      <c r="E2114" s="5" t="str">
        <f ca="1">IFERROR(__xludf.DUMMYFUNCTION("""COMPUTED_VALUE"""),"Piston")</f>
        <v>Piston</v>
      </c>
      <c r="F2114" s="5">
        <f ca="1">IFERROR(__xludf.DUMMYFUNCTION("""COMPUTED_VALUE"""),1)</f>
        <v>1</v>
      </c>
    </row>
    <row r="2115" spans="1:6" ht="15" customHeight="1" x14ac:dyDescent="0.2">
      <c r="A2115" s="5" t="str">
        <f ca="1">IFERROR(__xludf.DUMMYFUNCTION("""COMPUTED_VALUE"""),"S450")</f>
        <v>S450</v>
      </c>
      <c r="B2115" s="5" t="str">
        <f ca="1">IFERROR(__xludf.DUMMYFUNCTION("""COMPUTED_VALUE"""),"AERO-EAST-EUROPE")</f>
        <v>AERO-EAST-EUROPE</v>
      </c>
      <c r="C2115" s="5" t="str">
        <f ca="1">IFERROR(__xludf.DUMMYFUNCTION("""COMPUTED_VALUE"""),"SILA-450")</f>
        <v>SILA-450</v>
      </c>
      <c r="D2115" s="5" t="str">
        <f ca="1">IFERROR(__xludf.DUMMYFUNCTION("""COMPUTED_VALUE"""),"LandPlane")</f>
        <v>LandPlane</v>
      </c>
      <c r="E2115" s="5" t="str">
        <f ca="1">IFERROR(__xludf.DUMMYFUNCTION("""COMPUTED_VALUE"""),"Piston")</f>
        <v>Piston</v>
      </c>
      <c r="F2115" s="5">
        <f ca="1">IFERROR(__xludf.DUMMYFUNCTION("""COMPUTED_VALUE"""),1)</f>
        <v>1</v>
      </c>
    </row>
    <row r="2116" spans="1:6" ht="15" customHeight="1" x14ac:dyDescent="0.2">
      <c r="A2116" s="5" t="str">
        <f ca="1">IFERROR(__xludf.DUMMYFUNCTION("""COMPUTED_VALUE"""),"S51")</f>
        <v>S51</v>
      </c>
      <c r="B2116" s="5" t="str">
        <f ca="1">IFERROR(__xludf.DUMMYFUNCTION("""COMPUTED_VALUE"""),"SIKORSKY")</f>
        <v>SIKORSKY</v>
      </c>
      <c r="C2116" s="5" t="str">
        <f ca="1">IFERROR(__xludf.DUMMYFUNCTION("""COMPUTED_VALUE"""),"S-51")</f>
        <v>S-51</v>
      </c>
      <c r="D2116" s="5" t="str">
        <f ca="1">IFERROR(__xludf.DUMMYFUNCTION("""COMPUTED_VALUE"""),"Helicopter")</f>
        <v>Helicopter</v>
      </c>
      <c r="E2116" s="5" t="str">
        <f ca="1">IFERROR(__xludf.DUMMYFUNCTION("""COMPUTED_VALUE"""),"Piston")</f>
        <v>Piston</v>
      </c>
      <c r="F2116" s="5">
        <f ca="1">IFERROR(__xludf.DUMMYFUNCTION("""COMPUTED_VALUE"""),1)</f>
        <v>1</v>
      </c>
    </row>
    <row r="2117" spans="1:6" ht="15" customHeight="1" x14ac:dyDescent="0.2">
      <c r="A2117" s="5" t="str">
        <f ca="1">IFERROR(__xludf.DUMMYFUNCTION("""COMPUTED_VALUE"""),"S51D")</f>
        <v>S51D</v>
      </c>
      <c r="B2117" s="5" t="str">
        <f ca="1">IFERROR(__xludf.DUMMYFUNCTION("""COMPUTED_VALUE"""),"STEWART (1)")</f>
        <v>STEWART (1)</v>
      </c>
      <c r="C2117" s="5" t="str">
        <f ca="1">IFERROR(__xludf.DUMMYFUNCTION("""COMPUTED_VALUE"""),"S-51D")</f>
        <v>S-51D</v>
      </c>
      <c r="D2117" s="5" t="str">
        <f ca="1">IFERROR(__xludf.DUMMYFUNCTION("""COMPUTED_VALUE"""),"LandPlane")</f>
        <v>LandPlane</v>
      </c>
      <c r="E2117" s="5" t="str">
        <f ca="1">IFERROR(__xludf.DUMMYFUNCTION("""COMPUTED_VALUE"""),"Piston")</f>
        <v>Piston</v>
      </c>
      <c r="F2117" s="5">
        <f ca="1">IFERROR(__xludf.DUMMYFUNCTION("""COMPUTED_VALUE"""),1)</f>
        <v>1</v>
      </c>
    </row>
    <row r="2118" spans="1:6" ht="15" customHeight="1" x14ac:dyDescent="0.2">
      <c r="A2118" s="5" t="str">
        <f ca="1">IFERROR(__xludf.DUMMYFUNCTION("""COMPUTED_VALUE"""),"S52")</f>
        <v>S52</v>
      </c>
      <c r="B2118" s="5" t="str">
        <f ca="1">IFERROR(__xludf.DUMMYFUNCTION("""COMPUTED_VALUE"""),"SIKORSKY")</f>
        <v>SIKORSKY</v>
      </c>
      <c r="C2118" s="5" t="str">
        <f ca="1">IFERROR(__xludf.DUMMYFUNCTION("""COMPUTED_VALUE"""),"S-52")</f>
        <v>S-52</v>
      </c>
      <c r="D2118" s="5" t="str">
        <f ca="1">IFERROR(__xludf.DUMMYFUNCTION("""COMPUTED_VALUE"""),"Helicopter")</f>
        <v>Helicopter</v>
      </c>
      <c r="E2118" s="5" t="str">
        <f ca="1">IFERROR(__xludf.DUMMYFUNCTION("""COMPUTED_VALUE"""),"Piston")</f>
        <v>Piston</v>
      </c>
      <c r="F2118" s="5">
        <f ca="1">IFERROR(__xludf.DUMMYFUNCTION("""COMPUTED_VALUE"""),1)</f>
        <v>1</v>
      </c>
    </row>
    <row r="2119" spans="1:6" ht="15" customHeight="1" x14ac:dyDescent="0.2">
      <c r="A2119" s="5" t="str">
        <f ca="1">IFERROR(__xludf.DUMMYFUNCTION("""COMPUTED_VALUE"""),"S55P")</f>
        <v>S55P</v>
      </c>
      <c r="B2119" s="5" t="str">
        <f ca="1">IFERROR(__xludf.DUMMYFUNCTION("""COMPUTED_VALUE"""),"SIKORSKY")</f>
        <v>SIKORSKY</v>
      </c>
      <c r="C2119" s="5" t="str">
        <f ca="1">IFERROR(__xludf.DUMMYFUNCTION("""COMPUTED_VALUE"""),"S-55")</f>
        <v>S-55</v>
      </c>
      <c r="D2119" s="5" t="str">
        <f ca="1">IFERROR(__xludf.DUMMYFUNCTION("""COMPUTED_VALUE"""),"Helicopter")</f>
        <v>Helicopter</v>
      </c>
      <c r="E2119" s="5" t="str">
        <f ca="1">IFERROR(__xludf.DUMMYFUNCTION("""COMPUTED_VALUE"""),"Piston")</f>
        <v>Piston</v>
      </c>
      <c r="F2119" s="5">
        <f ca="1">IFERROR(__xludf.DUMMYFUNCTION("""COMPUTED_VALUE"""),1)</f>
        <v>1</v>
      </c>
    </row>
    <row r="2120" spans="1:6" ht="15" customHeight="1" x14ac:dyDescent="0.2">
      <c r="A2120" s="5" t="str">
        <f ca="1">IFERROR(__xludf.DUMMYFUNCTION("""COMPUTED_VALUE"""),"S55T")</f>
        <v>S55T</v>
      </c>
      <c r="B2120" s="5" t="str">
        <f ca="1">IFERROR(__xludf.DUMMYFUNCTION("""COMPUTED_VALUE"""),"SIKORSKY")</f>
        <v>SIKORSKY</v>
      </c>
      <c r="C2120" s="5" t="str">
        <f ca="1">IFERROR(__xludf.DUMMYFUNCTION("""COMPUTED_VALUE"""),"S-55T")</f>
        <v>S-55T</v>
      </c>
      <c r="D2120" s="5" t="str">
        <f ca="1">IFERROR(__xludf.DUMMYFUNCTION("""COMPUTED_VALUE"""),"Helicopter")</f>
        <v>Helicopter</v>
      </c>
      <c r="E2120" s="5" t="str">
        <f ca="1">IFERROR(__xludf.DUMMYFUNCTION("""COMPUTED_VALUE"""),"Turboprop/Turboshaft")</f>
        <v>Turboprop/Turboshaft</v>
      </c>
      <c r="F2120" s="5">
        <f ca="1">IFERROR(__xludf.DUMMYFUNCTION("""COMPUTED_VALUE"""),1)</f>
        <v>1</v>
      </c>
    </row>
    <row r="2121" spans="1:6" ht="15" customHeight="1" x14ac:dyDescent="0.2">
      <c r="A2121" s="5" t="str">
        <f ca="1">IFERROR(__xludf.DUMMYFUNCTION("""COMPUTED_VALUE"""),"S58P")</f>
        <v>S58P</v>
      </c>
      <c r="B2121" s="5" t="str">
        <f ca="1">IFERROR(__xludf.DUMMYFUNCTION("""COMPUTED_VALUE"""),"SIKORSKY")</f>
        <v>SIKORSKY</v>
      </c>
      <c r="C2121" s="5" t="str">
        <f ca="1">IFERROR(__xludf.DUMMYFUNCTION("""COMPUTED_VALUE"""),"S-58")</f>
        <v>S-58</v>
      </c>
      <c r="D2121" s="5" t="str">
        <f ca="1">IFERROR(__xludf.DUMMYFUNCTION("""COMPUTED_VALUE"""),"Helicopter")</f>
        <v>Helicopter</v>
      </c>
      <c r="E2121" s="5" t="str">
        <f ca="1">IFERROR(__xludf.DUMMYFUNCTION("""COMPUTED_VALUE"""),"Piston")</f>
        <v>Piston</v>
      </c>
      <c r="F2121" s="5">
        <f ca="1">IFERROR(__xludf.DUMMYFUNCTION("""COMPUTED_VALUE"""),1)</f>
        <v>1</v>
      </c>
    </row>
    <row r="2122" spans="1:6" ht="15" customHeight="1" x14ac:dyDescent="0.2">
      <c r="A2122" s="5" t="str">
        <f ca="1">IFERROR(__xludf.DUMMYFUNCTION("""COMPUTED_VALUE"""),"S58T")</f>
        <v>S58T</v>
      </c>
      <c r="B2122" s="5" t="str">
        <f ca="1">IFERROR(__xludf.DUMMYFUNCTION("""COMPUTED_VALUE"""),"SIKORSKY")</f>
        <v>SIKORSKY</v>
      </c>
      <c r="C2122" s="5" t="str">
        <f ca="1">IFERROR(__xludf.DUMMYFUNCTION("""COMPUTED_VALUE"""),"S-58T")</f>
        <v>S-58T</v>
      </c>
      <c r="D2122" s="5" t="str">
        <f ca="1">IFERROR(__xludf.DUMMYFUNCTION("""COMPUTED_VALUE"""),"Helicopter")</f>
        <v>Helicopter</v>
      </c>
      <c r="E2122" s="5" t="str">
        <f ca="1">IFERROR(__xludf.DUMMYFUNCTION("""COMPUTED_VALUE"""),"Turboprop/Turboshaft")</f>
        <v>Turboprop/Turboshaft</v>
      </c>
      <c r="F2122" s="5">
        <f ca="1">IFERROR(__xludf.DUMMYFUNCTION("""COMPUTED_VALUE"""),1)</f>
        <v>1</v>
      </c>
    </row>
    <row r="2123" spans="1:6" ht="15" customHeight="1" x14ac:dyDescent="0.2">
      <c r="A2123" s="5" t="str">
        <f ca="1">IFERROR(__xludf.DUMMYFUNCTION("""COMPUTED_VALUE"""),"S6")</f>
        <v>S6</v>
      </c>
      <c r="B2123" s="5" t="str">
        <f ca="1">IFERROR(__xludf.DUMMYFUNCTION("""COMPUTED_VALUE"""),"STEMME")</f>
        <v>STEMME</v>
      </c>
      <c r="C2123" s="5" t="str">
        <f ca="1">IFERROR(__xludf.DUMMYFUNCTION("""COMPUTED_VALUE"""),"S-6")</f>
        <v>S-6</v>
      </c>
      <c r="D2123" s="5" t="str">
        <f ca="1">IFERROR(__xludf.DUMMYFUNCTION("""COMPUTED_VALUE"""),"LandPlane")</f>
        <v>LandPlane</v>
      </c>
      <c r="E2123" s="5" t="str">
        <f ca="1">IFERROR(__xludf.DUMMYFUNCTION("""COMPUTED_VALUE"""),"Piston")</f>
        <v>Piston</v>
      </c>
      <c r="F2123" s="5">
        <f ca="1">IFERROR(__xludf.DUMMYFUNCTION("""COMPUTED_VALUE"""),1)</f>
        <v>1</v>
      </c>
    </row>
    <row r="2124" spans="1:6" ht="15" customHeight="1" x14ac:dyDescent="0.2">
      <c r="A2124" s="5" t="str">
        <f ca="1">IFERROR(__xludf.DUMMYFUNCTION("""COMPUTED_VALUE"""),"S601")</f>
        <v>S601</v>
      </c>
      <c r="B2124" s="5" t="str">
        <f ca="1">IFERROR(__xludf.DUMMYFUNCTION("""COMPUTED_VALUE"""),"AEROSPATIALE")</f>
        <v>AEROSPATIALE</v>
      </c>
      <c r="C2124" s="5" t="str">
        <f ca="1">IFERROR(__xludf.DUMMYFUNCTION("""COMPUTED_VALUE"""),"SN-601 Corvette")</f>
        <v>SN-601 Corvette</v>
      </c>
      <c r="D2124" s="5" t="str">
        <f ca="1">IFERROR(__xludf.DUMMYFUNCTION("""COMPUTED_VALUE"""),"LandPlane")</f>
        <v>LandPlane</v>
      </c>
      <c r="E2124" s="5" t="str">
        <f ca="1">IFERROR(__xludf.DUMMYFUNCTION("""COMPUTED_VALUE"""),"Jet")</f>
        <v>Jet</v>
      </c>
      <c r="F2124" s="5">
        <f ca="1">IFERROR(__xludf.DUMMYFUNCTION("""COMPUTED_VALUE"""),2)</f>
        <v>2</v>
      </c>
    </row>
    <row r="2125" spans="1:6" ht="15" customHeight="1" x14ac:dyDescent="0.2">
      <c r="A2125" s="5" t="str">
        <f ca="1">IFERROR(__xludf.DUMMYFUNCTION("""COMPUTED_VALUE"""),"S61")</f>
        <v>S61</v>
      </c>
      <c r="B2125" s="5" t="str">
        <f ca="1">IFERROR(__xludf.DUMMYFUNCTION("""COMPUTED_VALUE"""),"SIKORSKY")</f>
        <v>SIKORSKY</v>
      </c>
      <c r="C2125" s="5" t="str">
        <f ca="1">IFERROR(__xludf.DUMMYFUNCTION("""COMPUTED_VALUE"""),"S-61A")</f>
        <v>S-61A</v>
      </c>
      <c r="D2125" s="5" t="str">
        <f ca="1">IFERROR(__xludf.DUMMYFUNCTION("""COMPUTED_VALUE"""),"Helicopter")</f>
        <v>Helicopter</v>
      </c>
      <c r="E2125" s="5" t="str">
        <f ca="1">IFERROR(__xludf.DUMMYFUNCTION("""COMPUTED_VALUE"""),"Turboprop/Turboshaft")</f>
        <v>Turboprop/Turboshaft</v>
      </c>
      <c r="F2125" s="5">
        <f ca="1">IFERROR(__xludf.DUMMYFUNCTION("""COMPUTED_VALUE"""),2)</f>
        <v>2</v>
      </c>
    </row>
    <row r="2126" spans="1:6" ht="15" customHeight="1" x14ac:dyDescent="0.2">
      <c r="A2126" s="5" t="str">
        <f ca="1">IFERROR(__xludf.DUMMYFUNCTION("""COMPUTED_VALUE"""),"S61R")</f>
        <v>S61R</v>
      </c>
      <c r="B2126" s="5" t="str">
        <f ca="1">IFERROR(__xludf.DUMMYFUNCTION("""COMPUTED_VALUE"""),"SIKORSKY")</f>
        <v>SIKORSKY</v>
      </c>
      <c r="C2126" s="5" t="str">
        <f ca="1">IFERROR(__xludf.DUMMYFUNCTION("""COMPUTED_VALUE"""),"S-61R")</f>
        <v>S-61R</v>
      </c>
      <c r="D2126" s="5" t="str">
        <f ca="1">IFERROR(__xludf.DUMMYFUNCTION("""COMPUTED_VALUE"""),"Helicopter")</f>
        <v>Helicopter</v>
      </c>
      <c r="E2126" s="5" t="str">
        <f ca="1">IFERROR(__xludf.DUMMYFUNCTION("""COMPUTED_VALUE"""),"Turboprop/Turboshaft")</f>
        <v>Turboprop/Turboshaft</v>
      </c>
      <c r="F2126" s="5">
        <f ca="1">IFERROR(__xludf.DUMMYFUNCTION("""COMPUTED_VALUE"""),2)</f>
        <v>2</v>
      </c>
    </row>
    <row r="2127" spans="1:6" ht="15" customHeight="1" x14ac:dyDescent="0.2">
      <c r="A2127" s="5" t="str">
        <f ca="1">IFERROR(__xludf.DUMMYFUNCTION("""COMPUTED_VALUE"""),"S62")</f>
        <v>S62</v>
      </c>
      <c r="B2127" s="5" t="str">
        <f ca="1">IFERROR(__xludf.DUMMYFUNCTION("""COMPUTED_VALUE"""),"SIKORSKY")</f>
        <v>SIKORSKY</v>
      </c>
      <c r="C2127" s="5" t="str">
        <f ca="1">IFERROR(__xludf.DUMMYFUNCTION("""COMPUTED_VALUE"""),"S-62")</f>
        <v>S-62</v>
      </c>
      <c r="D2127" s="5" t="str">
        <f ca="1">IFERROR(__xludf.DUMMYFUNCTION("""COMPUTED_VALUE"""),"Helicopter")</f>
        <v>Helicopter</v>
      </c>
      <c r="E2127" s="5" t="str">
        <f ca="1">IFERROR(__xludf.DUMMYFUNCTION("""COMPUTED_VALUE"""),"Turboprop/Turboshaft")</f>
        <v>Turboprop/Turboshaft</v>
      </c>
      <c r="F2127" s="5">
        <f ca="1">IFERROR(__xludf.DUMMYFUNCTION("""COMPUTED_VALUE"""),1)</f>
        <v>1</v>
      </c>
    </row>
    <row r="2128" spans="1:6" ht="15" customHeight="1" x14ac:dyDescent="0.2">
      <c r="A2128" s="5" t="str">
        <f ca="1">IFERROR(__xludf.DUMMYFUNCTION("""COMPUTED_VALUE"""),"S64")</f>
        <v>S64</v>
      </c>
      <c r="B2128" s="5" t="str">
        <f ca="1">IFERROR(__xludf.DUMMYFUNCTION("""COMPUTED_VALUE"""),"SIKORSKY")</f>
        <v>SIKORSKY</v>
      </c>
      <c r="C2128" s="5" t="str">
        <f ca="1">IFERROR(__xludf.DUMMYFUNCTION("""COMPUTED_VALUE"""),"S-64 Skycrane")</f>
        <v>S-64 Skycrane</v>
      </c>
      <c r="D2128" s="5" t="str">
        <f ca="1">IFERROR(__xludf.DUMMYFUNCTION("""COMPUTED_VALUE"""),"Helicopter")</f>
        <v>Helicopter</v>
      </c>
      <c r="E2128" s="5" t="str">
        <f ca="1">IFERROR(__xludf.DUMMYFUNCTION("""COMPUTED_VALUE"""),"Turboprop/Turboshaft")</f>
        <v>Turboprop/Turboshaft</v>
      </c>
      <c r="F2128" s="5">
        <f ca="1">IFERROR(__xludf.DUMMYFUNCTION("""COMPUTED_VALUE"""),2)</f>
        <v>2</v>
      </c>
    </row>
    <row r="2129" spans="1:6" ht="15" customHeight="1" x14ac:dyDescent="0.2">
      <c r="A2129" s="5" t="str">
        <f ca="1">IFERROR(__xludf.DUMMYFUNCTION("""COMPUTED_VALUE"""),"S65C")</f>
        <v>S65C</v>
      </c>
      <c r="B2129" s="5" t="str">
        <f ca="1">IFERROR(__xludf.DUMMYFUNCTION("""COMPUTED_VALUE"""),"AEROSPATIALE")</f>
        <v>AEROSPATIALE</v>
      </c>
      <c r="C2129" s="5" t="str">
        <f ca="1">IFERROR(__xludf.DUMMYFUNCTION("""COMPUTED_VALUE"""),"SA-365C Dauphin 2")</f>
        <v>SA-365C Dauphin 2</v>
      </c>
      <c r="D2129" s="5" t="str">
        <f ca="1">IFERROR(__xludf.DUMMYFUNCTION("""COMPUTED_VALUE"""),"Helicopter")</f>
        <v>Helicopter</v>
      </c>
      <c r="E2129" s="5" t="str">
        <f ca="1">IFERROR(__xludf.DUMMYFUNCTION("""COMPUTED_VALUE"""),"Turboprop/Turboshaft")</f>
        <v>Turboprop/Turboshaft</v>
      </c>
      <c r="F2129" s="5">
        <f ca="1">IFERROR(__xludf.DUMMYFUNCTION("""COMPUTED_VALUE"""),2)</f>
        <v>2</v>
      </c>
    </row>
    <row r="2130" spans="1:6" ht="15" customHeight="1" x14ac:dyDescent="0.2">
      <c r="A2130" s="5" t="str">
        <f ca="1">IFERROR(__xludf.DUMMYFUNCTION("""COMPUTED_VALUE"""),"S76")</f>
        <v>S76</v>
      </c>
      <c r="B2130" s="5" t="str">
        <f ca="1">IFERROR(__xludf.DUMMYFUNCTION("""COMPUTED_VALUE"""),"SIKORSKY")</f>
        <v>SIKORSKY</v>
      </c>
      <c r="C2130" s="5" t="str">
        <f ca="1">IFERROR(__xludf.DUMMYFUNCTION("""COMPUTED_VALUE"""),"S-76")</f>
        <v>S-76</v>
      </c>
      <c r="D2130" s="5" t="str">
        <f ca="1">IFERROR(__xludf.DUMMYFUNCTION("""COMPUTED_VALUE"""),"Helicopter")</f>
        <v>Helicopter</v>
      </c>
      <c r="E2130" s="5" t="str">
        <f ca="1">IFERROR(__xludf.DUMMYFUNCTION("""COMPUTED_VALUE"""),"Turboprop/Turboshaft")</f>
        <v>Turboprop/Turboshaft</v>
      </c>
      <c r="F2130" s="5">
        <f ca="1">IFERROR(__xludf.DUMMYFUNCTION("""COMPUTED_VALUE"""),2)</f>
        <v>2</v>
      </c>
    </row>
    <row r="2131" spans="1:6" ht="15" customHeight="1" x14ac:dyDescent="0.2">
      <c r="A2131" s="5" t="str">
        <f ca="1">IFERROR(__xludf.DUMMYFUNCTION("""COMPUTED_VALUE"""),"S900")</f>
        <v>S900</v>
      </c>
      <c r="B2131" s="5" t="str">
        <f ca="1">IFERROR(__xludf.DUMMYFUNCTION("""COMPUTED_VALUE"""),"SIPA")</f>
        <v>SIPA</v>
      </c>
      <c r="C2131" s="5" t="str">
        <f ca="1">IFERROR(__xludf.DUMMYFUNCTION("""COMPUTED_VALUE"""),"S-901")</f>
        <v>S-901</v>
      </c>
      <c r="D2131" s="5" t="str">
        <f ca="1">IFERROR(__xludf.DUMMYFUNCTION("""COMPUTED_VALUE"""),"LandPlane")</f>
        <v>LandPlane</v>
      </c>
      <c r="E2131" s="5" t="str">
        <f ca="1">IFERROR(__xludf.DUMMYFUNCTION("""COMPUTED_VALUE"""),"Piston")</f>
        <v>Piston</v>
      </c>
      <c r="F2131" s="5">
        <f ca="1">IFERROR(__xludf.DUMMYFUNCTION("""COMPUTED_VALUE"""),1)</f>
        <v>1</v>
      </c>
    </row>
    <row r="2132" spans="1:6" ht="15" customHeight="1" x14ac:dyDescent="0.2">
      <c r="A2132" s="5" t="str">
        <f ca="1">IFERROR(__xludf.DUMMYFUNCTION("""COMPUTED_VALUE"""),"S92")</f>
        <v>S92</v>
      </c>
      <c r="B2132" s="5" t="str">
        <f ca="1">IFERROR(__xludf.DUMMYFUNCTION("""COMPUTED_VALUE"""),"SIKORSKY")</f>
        <v>SIKORSKY</v>
      </c>
      <c r="C2132" s="5" t="str">
        <f ca="1">IFERROR(__xludf.DUMMYFUNCTION("""COMPUTED_VALUE"""),"S-92 Helibus")</f>
        <v>S-92 Helibus</v>
      </c>
      <c r="D2132" s="5" t="str">
        <f ca="1">IFERROR(__xludf.DUMMYFUNCTION("""COMPUTED_VALUE"""),"Helicopter")</f>
        <v>Helicopter</v>
      </c>
      <c r="E2132" s="5" t="str">
        <f ca="1">IFERROR(__xludf.DUMMYFUNCTION("""COMPUTED_VALUE"""),"Turboprop/Turboshaft")</f>
        <v>Turboprop/Turboshaft</v>
      </c>
      <c r="F2132" s="5">
        <f ca="1">IFERROR(__xludf.DUMMYFUNCTION("""COMPUTED_VALUE"""),2)</f>
        <v>2</v>
      </c>
    </row>
    <row r="2133" spans="1:6" ht="15" customHeight="1" x14ac:dyDescent="0.2">
      <c r="A2133" s="5" t="str">
        <f ca="1">IFERROR(__xludf.DUMMYFUNCTION("""COMPUTED_VALUE"""),"S97")</f>
        <v>S97</v>
      </c>
      <c r="B2133" s="5" t="str">
        <f ca="1">IFERROR(__xludf.DUMMYFUNCTION("""COMPUTED_VALUE"""),"SIKORSKY")</f>
        <v>SIKORSKY</v>
      </c>
      <c r="C2133" s="5" t="str">
        <f ca="1">IFERROR(__xludf.DUMMYFUNCTION("""COMPUTED_VALUE"""),"S-97 Raider")</f>
        <v>S-97 Raider</v>
      </c>
      <c r="D2133" s="5" t="str">
        <f ca="1">IFERROR(__xludf.DUMMYFUNCTION("""COMPUTED_VALUE"""),"Helicopter")</f>
        <v>Helicopter</v>
      </c>
      <c r="E2133" s="5" t="str">
        <f ca="1">IFERROR(__xludf.DUMMYFUNCTION("""COMPUTED_VALUE"""),"Turboprop/Turboshaft")</f>
        <v>Turboprop/Turboshaft</v>
      </c>
      <c r="F2133" s="5">
        <f ca="1">IFERROR(__xludf.DUMMYFUNCTION("""COMPUTED_VALUE"""),1)</f>
        <v>1</v>
      </c>
    </row>
    <row r="2134" spans="1:6" ht="15" customHeight="1" x14ac:dyDescent="0.2">
      <c r="A2134" s="5" t="str">
        <f ca="1">IFERROR(__xludf.DUMMYFUNCTION("""COMPUTED_VALUE"""),"SA02")</f>
        <v>SA02</v>
      </c>
      <c r="B2134" s="5" t="str">
        <f ca="1">IFERROR(__xludf.DUMMYFUNCTION("""COMPUTED_VALUE"""),"K &amp; S")</f>
        <v>K &amp; S</v>
      </c>
      <c r="C2134" s="5" t="str">
        <f ca="1">IFERROR(__xludf.DUMMYFUNCTION("""COMPUTED_VALUE"""),"SA-102.5 Cavalier")</f>
        <v>SA-102.5 Cavalier</v>
      </c>
      <c r="D2134" s="5" t="str">
        <f ca="1">IFERROR(__xludf.DUMMYFUNCTION("""COMPUTED_VALUE"""),"LandPlane")</f>
        <v>LandPlane</v>
      </c>
      <c r="E2134" s="5" t="str">
        <f ca="1">IFERROR(__xludf.DUMMYFUNCTION("""COMPUTED_VALUE"""),"Piston")</f>
        <v>Piston</v>
      </c>
      <c r="F2134" s="5">
        <f ca="1">IFERROR(__xludf.DUMMYFUNCTION("""COMPUTED_VALUE"""),1)</f>
        <v>1</v>
      </c>
    </row>
    <row r="2135" spans="1:6" ht="15" customHeight="1" x14ac:dyDescent="0.2">
      <c r="A2135" s="5" t="str">
        <f ca="1">IFERROR(__xludf.DUMMYFUNCTION("""COMPUTED_VALUE"""),"SA03")</f>
        <v>SA03</v>
      </c>
      <c r="B2135" s="5" t="str">
        <f ca="1">IFERROR(__xludf.DUMMYFUNCTION("""COMPUTED_VALUE"""),"K &amp; S")</f>
        <v>K &amp; S</v>
      </c>
      <c r="C2135" s="5" t="str">
        <f ca="1">IFERROR(__xludf.DUMMYFUNCTION("""COMPUTED_VALUE"""),"SA-103 Cavalier")</f>
        <v>SA-103 Cavalier</v>
      </c>
      <c r="D2135" s="5" t="str">
        <f ca="1">IFERROR(__xludf.DUMMYFUNCTION("""COMPUTED_VALUE"""),"LandPlane")</f>
        <v>LandPlane</v>
      </c>
      <c r="E2135" s="5" t="str">
        <f ca="1">IFERROR(__xludf.DUMMYFUNCTION("""COMPUTED_VALUE"""),"Piston")</f>
        <v>Piston</v>
      </c>
      <c r="F2135" s="5">
        <f ca="1">IFERROR(__xludf.DUMMYFUNCTION("""COMPUTED_VALUE"""),1)</f>
        <v>1</v>
      </c>
    </row>
    <row r="2136" spans="1:6" ht="15" customHeight="1" x14ac:dyDescent="0.2">
      <c r="A2136" s="5" t="str">
        <f ca="1">IFERROR(__xludf.DUMMYFUNCTION("""COMPUTED_VALUE"""),"SA04")</f>
        <v>SA04</v>
      </c>
      <c r="B2136" s="5" t="str">
        <f ca="1">IFERROR(__xludf.DUMMYFUNCTION("""COMPUTED_VALUE"""),"K &amp; S")</f>
        <v>K &amp; S</v>
      </c>
      <c r="C2136" s="5" t="str">
        <f ca="1">IFERROR(__xludf.DUMMYFUNCTION("""COMPUTED_VALUE"""),"SA-104 Cavalier")</f>
        <v>SA-104 Cavalier</v>
      </c>
      <c r="D2136" s="5" t="str">
        <f ca="1">IFERROR(__xludf.DUMMYFUNCTION("""COMPUTED_VALUE"""),"LandPlane")</f>
        <v>LandPlane</v>
      </c>
      <c r="E2136" s="5" t="str">
        <f ca="1">IFERROR(__xludf.DUMMYFUNCTION("""COMPUTED_VALUE"""),"Piston")</f>
        <v>Piston</v>
      </c>
      <c r="F2136" s="5">
        <f ca="1">IFERROR(__xludf.DUMMYFUNCTION("""COMPUTED_VALUE"""),1)</f>
        <v>1</v>
      </c>
    </row>
    <row r="2137" spans="1:6" ht="15" customHeight="1" x14ac:dyDescent="0.2">
      <c r="A2137" s="5" t="str">
        <f ca="1">IFERROR(__xludf.DUMMYFUNCTION("""COMPUTED_VALUE"""),"SA05")</f>
        <v>SA05</v>
      </c>
      <c r="B2137" s="5" t="str">
        <f ca="1">IFERROR(__xludf.DUMMYFUNCTION("""COMPUTED_VALUE"""),"K &amp; S")</f>
        <v>K &amp; S</v>
      </c>
      <c r="C2137" s="5" t="str">
        <f ca="1">IFERROR(__xludf.DUMMYFUNCTION("""COMPUTED_VALUE"""),"SA-105 Super Cavalier")</f>
        <v>SA-105 Super Cavalier</v>
      </c>
      <c r="D2137" s="5" t="str">
        <f ca="1">IFERROR(__xludf.DUMMYFUNCTION("""COMPUTED_VALUE"""),"LandPlane")</f>
        <v>LandPlane</v>
      </c>
      <c r="E2137" s="5" t="str">
        <f ca="1">IFERROR(__xludf.DUMMYFUNCTION("""COMPUTED_VALUE"""),"Piston")</f>
        <v>Piston</v>
      </c>
      <c r="F2137" s="5">
        <f ca="1">IFERROR(__xludf.DUMMYFUNCTION("""COMPUTED_VALUE"""),1)</f>
        <v>1</v>
      </c>
    </row>
    <row r="2138" spans="1:6" ht="15" customHeight="1" x14ac:dyDescent="0.2">
      <c r="A2138" s="5" t="str">
        <f ca="1">IFERROR(__xludf.DUMMYFUNCTION("""COMPUTED_VALUE"""),"SA10")</f>
        <v>SA10</v>
      </c>
      <c r="B2138" s="5" t="str">
        <f ca="1">IFERROR(__xludf.DUMMYFUNCTION("""COMPUTED_VALUE"""),"STOLP")</f>
        <v>STOLP</v>
      </c>
      <c r="C2138" s="5" t="str">
        <f ca="1">IFERROR(__xludf.DUMMYFUNCTION("""COMPUTED_VALUE"""),"SA-100 Starduster")</f>
        <v>SA-100 Starduster</v>
      </c>
      <c r="D2138" s="5" t="str">
        <f ca="1">IFERROR(__xludf.DUMMYFUNCTION("""COMPUTED_VALUE"""),"LandPlane")</f>
        <v>LandPlane</v>
      </c>
      <c r="E2138" s="5" t="str">
        <f ca="1">IFERROR(__xludf.DUMMYFUNCTION("""COMPUTED_VALUE"""),"Piston")</f>
        <v>Piston</v>
      </c>
      <c r="F2138" s="5">
        <f ca="1">IFERROR(__xludf.DUMMYFUNCTION("""COMPUTED_VALUE"""),1)</f>
        <v>1</v>
      </c>
    </row>
    <row r="2139" spans="1:6" ht="15" customHeight="1" x14ac:dyDescent="0.2">
      <c r="A2139" s="5" t="str">
        <f ca="1">IFERROR(__xludf.DUMMYFUNCTION("""COMPUTED_VALUE"""),"SA11")</f>
        <v>SA11</v>
      </c>
      <c r="B2139" s="5" t="str">
        <f ca="1">IFERROR(__xludf.DUMMYFUNCTION("""COMPUTED_VALUE"""),"STITS")</f>
        <v>STITS</v>
      </c>
      <c r="C2139" s="5" t="str">
        <f ca="1">IFERROR(__xludf.DUMMYFUNCTION("""COMPUTED_VALUE"""),"SA-11 Playmate")</f>
        <v>SA-11 Playmate</v>
      </c>
      <c r="D2139" s="5" t="str">
        <f ca="1">IFERROR(__xludf.DUMMYFUNCTION("""COMPUTED_VALUE"""),"LandPlane")</f>
        <v>LandPlane</v>
      </c>
      <c r="E2139" s="5" t="str">
        <f ca="1">IFERROR(__xludf.DUMMYFUNCTION("""COMPUTED_VALUE"""),"Piston")</f>
        <v>Piston</v>
      </c>
      <c r="F2139" s="5">
        <f ca="1">IFERROR(__xludf.DUMMYFUNCTION("""COMPUTED_VALUE"""),1)</f>
        <v>1</v>
      </c>
    </row>
    <row r="2140" spans="1:6" ht="15" customHeight="1" x14ac:dyDescent="0.2">
      <c r="A2140" s="5" t="str">
        <f ca="1">IFERROR(__xludf.DUMMYFUNCTION("""COMPUTED_VALUE"""),"SA2")</f>
        <v>SA2</v>
      </c>
      <c r="B2140" s="5" t="str">
        <f ca="1">IFERROR(__xludf.DUMMYFUNCTION("""COMPUTED_VALUE"""),"ICP")</f>
        <v>ICP</v>
      </c>
      <c r="C2140" s="5" t="str">
        <f ca="1">IFERROR(__xludf.DUMMYFUNCTION("""COMPUTED_VALUE"""),"SA-2 Rampage")</f>
        <v>SA-2 Rampage</v>
      </c>
      <c r="D2140" s="5" t="str">
        <f ca="1">IFERROR(__xludf.DUMMYFUNCTION("""COMPUTED_VALUE"""),"LandPlane")</f>
        <v>LandPlane</v>
      </c>
      <c r="E2140" s="5" t="str">
        <f ca="1">IFERROR(__xludf.DUMMYFUNCTION("""COMPUTED_VALUE"""),"Piston")</f>
        <v>Piston</v>
      </c>
      <c r="F2140" s="5">
        <f ca="1">IFERROR(__xludf.DUMMYFUNCTION("""COMPUTED_VALUE"""),1)</f>
        <v>1</v>
      </c>
    </row>
    <row r="2141" spans="1:6" ht="15" customHeight="1" x14ac:dyDescent="0.2">
      <c r="A2141" s="5" t="str">
        <f ca="1">IFERROR(__xludf.DUMMYFUNCTION("""COMPUTED_VALUE"""),"SA20")</f>
        <v>SA20</v>
      </c>
      <c r="B2141" s="5" t="str">
        <f ca="1">IFERROR(__xludf.DUMMYFUNCTION("""COMPUTED_VALUE"""),"BERIEV")</f>
        <v>BERIEV</v>
      </c>
      <c r="C2141" s="5" t="str">
        <f ca="1">IFERROR(__xludf.DUMMYFUNCTION("""COMPUTED_VALUE"""),"SA-20")</f>
        <v>SA-20</v>
      </c>
      <c r="D2141" s="5" t="str">
        <f ca="1">IFERROR(__xludf.DUMMYFUNCTION("""COMPUTED_VALUE"""),"Amphibian")</f>
        <v>Amphibian</v>
      </c>
      <c r="E2141" s="5" t="str">
        <f ca="1">IFERROR(__xludf.DUMMYFUNCTION("""COMPUTED_VALUE"""),"Piston")</f>
        <v>Piston</v>
      </c>
      <c r="F2141" s="5">
        <f ca="1">IFERROR(__xludf.DUMMYFUNCTION("""COMPUTED_VALUE"""),1)</f>
        <v>1</v>
      </c>
    </row>
    <row r="2142" spans="1:6" ht="15" customHeight="1" x14ac:dyDescent="0.2">
      <c r="A2142" s="5" t="str">
        <f ca="1">IFERROR(__xludf.DUMMYFUNCTION("""COMPUTED_VALUE"""),"SA3")</f>
        <v>SA3</v>
      </c>
      <c r="B2142" s="5" t="str">
        <f ca="1">IFERROR(__xludf.DUMMYFUNCTION("""COMPUTED_VALUE"""),"STITS")</f>
        <v>STITS</v>
      </c>
      <c r="C2142" s="5" t="str">
        <f ca="1">IFERROR(__xludf.DUMMYFUNCTION("""COMPUTED_VALUE"""),"SA-3 Playboy")</f>
        <v>SA-3 Playboy</v>
      </c>
      <c r="D2142" s="5" t="str">
        <f ca="1">IFERROR(__xludf.DUMMYFUNCTION("""COMPUTED_VALUE"""),"LandPlane")</f>
        <v>LandPlane</v>
      </c>
      <c r="E2142" s="5" t="str">
        <f ca="1">IFERROR(__xludf.DUMMYFUNCTION("""COMPUTED_VALUE"""),"Piston")</f>
        <v>Piston</v>
      </c>
      <c r="F2142" s="5">
        <f ca="1">IFERROR(__xludf.DUMMYFUNCTION("""COMPUTED_VALUE"""),1)</f>
        <v>1</v>
      </c>
    </row>
    <row r="2143" spans="1:6" ht="15" customHeight="1" x14ac:dyDescent="0.2">
      <c r="A2143" s="5" t="str">
        <f ca="1">IFERROR(__xludf.DUMMYFUNCTION("""COMPUTED_VALUE"""),"SA30")</f>
        <v>SA30</v>
      </c>
      <c r="B2143" s="5" t="str">
        <f ca="1">IFERROR(__xludf.DUMMYFUNCTION("""COMPUTED_VALUE"""),"STOLP")</f>
        <v>STOLP</v>
      </c>
      <c r="C2143" s="5" t="str">
        <f ca="1">IFERROR(__xludf.DUMMYFUNCTION("""COMPUTED_VALUE"""),"SA-300 Starduster Too")</f>
        <v>SA-300 Starduster Too</v>
      </c>
      <c r="D2143" s="5" t="str">
        <f ca="1">IFERROR(__xludf.DUMMYFUNCTION("""COMPUTED_VALUE"""),"LandPlane")</f>
        <v>LandPlane</v>
      </c>
      <c r="E2143" s="5" t="str">
        <f ca="1">IFERROR(__xludf.DUMMYFUNCTION("""COMPUTED_VALUE"""),"Piston")</f>
        <v>Piston</v>
      </c>
      <c r="F2143" s="5">
        <f ca="1">IFERROR(__xludf.DUMMYFUNCTION("""COMPUTED_VALUE"""),1)</f>
        <v>1</v>
      </c>
    </row>
    <row r="2144" spans="1:6" ht="15" customHeight="1" x14ac:dyDescent="0.2">
      <c r="A2144" s="5" t="str">
        <f ca="1">IFERROR(__xludf.DUMMYFUNCTION("""COMPUTED_VALUE"""),"SA37")</f>
        <v>SA37</v>
      </c>
      <c r="B2144" s="5" t="str">
        <f ca="1">IFERROR(__xludf.DUMMYFUNCTION("""COMPUTED_VALUE"""),"SCHWEIZER")</f>
        <v>SCHWEIZER</v>
      </c>
      <c r="C2144" s="5" t="str">
        <f ca="1">IFERROR(__xludf.DUMMYFUNCTION("""COMPUTED_VALUE"""),"SA-2-37 Condor")</f>
        <v>SA-2-37 Condor</v>
      </c>
      <c r="D2144" s="5" t="str">
        <f ca="1">IFERROR(__xludf.DUMMYFUNCTION("""COMPUTED_VALUE"""),"LandPlane")</f>
        <v>LandPlane</v>
      </c>
      <c r="E2144" s="5" t="str">
        <f ca="1">IFERROR(__xludf.DUMMYFUNCTION("""COMPUTED_VALUE"""),"Piston")</f>
        <v>Piston</v>
      </c>
      <c r="F2144" s="5">
        <f ca="1">IFERROR(__xludf.DUMMYFUNCTION("""COMPUTED_VALUE"""),1)</f>
        <v>1</v>
      </c>
    </row>
    <row r="2145" spans="1:6" ht="15" customHeight="1" x14ac:dyDescent="0.2">
      <c r="A2145" s="5" t="str">
        <f ca="1">IFERROR(__xludf.DUMMYFUNCTION("""COMPUTED_VALUE"""),"SA38")</f>
        <v>SA38</v>
      </c>
      <c r="B2145" s="5" t="str">
        <f ca="1">IFERROR(__xludf.DUMMYFUNCTION("""COMPUTED_VALUE"""),"SCHWEIZER")</f>
        <v>SCHWEIZER</v>
      </c>
      <c r="C2145" s="5" t="str">
        <f ca="1">IFERROR(__xludf.DUMMYFUNCTION("""COMPUTED_VALUE"""),"SA-2-38A Twin Condor")</f>
        <v>SA-2-38A Twin Condor</v>
      </c>
      <c r="D2145" s="5" t="str">
        <f ca="1">IFERROR(__xludf.DUMMYFUNCTION("""COMPUTED_VALUE"""),"LandPlane")</f>
        <v>LandPlane</v>
      </c>
      <c r="E2145" s="5" t="str">
        <f ca="1">IFERROR(__xludf.DUMMYFUNCTION("""COMPUTED_VALUE"""),"Piston")</f>
        <v>Piston</v>
      </c>
      <c r="F2145" s="5">
        <f ca="1">IFERROR(__xludf.DUMMYFUNCTION("""COMPUTED_VALUE"""),2)</f>
        <v>2</v>
      </c>
    </row>
    <row r="2146" spans="1:6" ht="15" customHeight="1" x14ac:dyDescent="0.2">
      <c r="A2146" s="5" t="str">
        <f ca="1">IFERROR(__xludf.DUMMYFUNCTION("""COMPUTED_VALUE"""),"SA50")</f>
        <v>SA50</v>
      </c>
      <c r="B2146" s="5" t="str">
        <f ca="1">IFERROR(__xludf.DUMMYFUNCTION("""COMPUTED_VALUE"""),"STOLP")</f>
        <v>STOLP</v>
      </c>
      <c r="C2146" s="5" t="str">
        <f ca="1">IFERROR(__xludf.DUMMYFUNCTION("""COMPUTED_VALUE"""),"SA-500 Starlet")</f>
        <v>SA-500 Starlet</v>
      </c>
      <c r="D2146" s="5" t="str">
        <f ca="1">IFERROR(__xludf.DUMMYFUNCTION("""COMPUTED_VALUE"""),"LandPlane")</f>
        <v>LandPlane</v>
      </c>
      <c r="E2146" s="5" t="str">
        <f ca="1">IFERROR(__xludf.DUMMYFUNCTION("""COMPUTED_VALUE"""),"Piston")</f>
        <v>Piston</v>
      </c>
      <c r="F2146" s="5">
        <f ca="1">IFERROR(__xludf.DUMMYFUNCTION("""COMPUTED_VALUE"""),1)</f>
        <v>1</v>
      </c>
    </row>
    <row r="2147" spans="1:6" ht="15" customHeight="1" x14ac:dyDescent="0.2">
      <c r="A2147" s="5" t="str">
        <f ca="1">IFERROR(__xludf.DUMMYFUNCTION("""COMPUTED_VALUE"""),"SA6")</f>
        <v>SA6</v>
      </c>
      <c r="B2147" s="5" t="str">
        <f ca="1">IFERROR(__xludf.DUMMYFUNCTION("""COMPUTED_VALUE"""),"STITS")</f>
        <v>STITS</v>
      </c>
      <c r="C2147" s="5" t="str">
        <f ca="1">IFERROR(__xludf.DUMMYFUNCTION("""COMPUTED_VALUE"""),"SA-6 Flut-R-Bug")</f>
        <v>SA-6 Flut-R-Bug</v>
      </c>
      <c r="D2147" s="5" t="str">
        <f ca="1">IFERROR(__xludf.DUMMYFUNCTION("""COMPUTED_VALUE"""),"LandPlane")</f>
        <v>LandPlane</v>
      </c>
      <c r="E2147" s="5" t="str">
        <f ca="1">IFERROR(__xludf.DUMMYFUNCTION("""COMPUTED_VALUE"""),"Piston")</f>
        <v>Piston</v>
      </c>
      <c r="F2147" s="5">
        <f ca="1">IFERROR(__xludf.DUMMYFUNCTION("""COMPUTED_VALUE"""),1)</f>
        <v>1</v>
      </c>
    </row>
    <row r="2148" spans="1:6" ht="15" customHeight="1" x14ac:dyDescent="0.2">
      <c r="A2148" s="5" t="str">
        <f ca="1">IFERROR(__xludf.DUMMYFUNCTION("""COMPUTED_VALUE"""),"SA6E")</f>
        <v>SA6E</v>
      </c>
      <c r="B2148" s="5" t="str">
        <f ca="1">IFERROR(__xludf.DUMMYFUNCTION("""COMPUTED_VALUE"""),"SREYA")</f>
        <v>SREYA</v>
      </c>
      <c r="C2148" s="5" t="str">
        <f ca="1">IFERROR(__xludf.DUMMYFUNCTION("""COMPUTED_VALUE"""),"SA-6 Envoy")</f>
        <v>SA-6 Envoy</v>
      </c>
      <c r="D2148" s="5" t="str">
        <f ca="1">IFERROR(__xludf.DUMMYFUNCTION("""COMPUTED_VALUE"""),"LandPlane")</f>
        <v>LandPlane</v>
      </c>
      <c r="E2148" s="5" t="str">
        <f ca="1">IFERROR(__xludf.DUMMYFUNCTION("""COMPUTED_VALUE"""),"Turboprop/Turboshaft")</f>
        <v>Turboprop/Turboshaft</v>
      </c>
      <c r="F2148" s="5">
        <f ca="1">IFERROR(__xludf.DUMMYFUNCTION("""COMPUTED_VALUE"""),1)</f>
        <v>1</v>
      </c>
    </row>
    <row r="2149" spans="1:6" ht="15" customHeight="1" x14ac:dyDescent="0.2">
      <c r="A2149" s="5" t="str">
        <f ca="1">IFERROR(__xludf.DUMMYFUNCTION("""COMPUTED_VALUE"""),"SA7")</f>
        <v>SA7</v>
      </c>
      <c r="B2149" s="5" t="str">
        <f ca="1">IFERROR(__xludf.DUMMYFUNCTION("""COMPUTED_VALUE"""),"STITS")</f>
        <v>STITS</v>
      </c>
      <c r="C2149" s="5" t="str">
        <f ca="1">IFERROR(__xludf.DUMMYFUNCTION("""COMPUTED_VALUE"""),"SA-7 Sky-Coupe")</f>
        <v>SA-7 Sky-Coupe</v>
      </c>
      <c r="D2149" s="5" t="str">
        <f ca="1">IFERROR(__xludf.DUMMYFUNCTION("""COMPUTED_VALUE"""),"LandPlane")</f>
        <v>LandPlane</v>
      </c>
      <c r="E2149" s="5" t="str">
        <f ca="1">IFERROR(__xludf.DUMMYFUNCTION("""COMPUTED_VALUE"""),"Piston")</f>
        <v>Piston</v>
      </c>
      <c r="F2149" s="5">
        <f ca="1">IFERROR(__xludf.DUMMYFUNCTION("""COMPUTED_VALUE"""),1)</f>
        <v>1</v>
      </c>
    </row>
    <row r="2150" spans="1:6" ht="15" customHeight="1" x14ac:dyDescent="0.2">
      <c r="A2150" s="5" t="str">
        <f ca="1">IFERROR(__xludf.DUMMYFUNCTION("""COMPUTED_VALUE"""),"SA70")</f>
        <v>SA70</v>
      </c>
      <c r="B2150" s="5" t="str">
        <f ca="1">IFERROR(__xludf.DUMMYFUNCTION("""COMPUTED_VALUE"""),"STOLP")</f>
        <v>STOLP</v>
      </c>
      <c r="C2150" s="5" t="str">
        <f ca="1">IFERROR(__xludf.DUMMYFUNCTION("""COMPUTED_VALUE"""),"SA-700 Acroduster")</f>
        <v>SA-700 Acroduster</v>
      </c>
      <c r="D2150" s="5" t="str">
        <f ca="1">IFERROR(__xludf.DUMMYFUNCTION("""COMPUTED_VALUE"""),"LandPlane")</f>
        <v>LandPlane</v>
      </c>
      <c r="E2150" s="5" t="str">
        <f ca="1">IFERROR(__xludf.DUMMYFUNCTION("""COMPUTED_VALUE"""),"Piston")</f>
        <v>Piston</v>
      </c>
      <c r="F2150" s="5">
        <f ca="1">IFERROR(__xludf.DUMMYFUNCTION("""COMPUTED_VALUE"""),1)</f>
        <v>1</v>
      </c>
    </row>
    <row r="2151" spans="1:6" ht="15" customHeight="1" x14ac:dyDescent="0.2">
      <c r="A2151" s="5" t="str">
        <f ca="1">IFERROR(__xludf.DUMMYFUNCTION("""COMPUTED_VALUE"""),"SA75")</f>
        <v>SA75</v>
      </c>
      <c r="B2151" s="5" t="str">
        <f ca="1">IFERROR(__xludf.DUMMYFUNCTION("""COMPUTED_VALUE"""),"STOLP")</f>
        <v>STOLP</v>
      </c>
      <c r="C2151" s="5" t="str">
        <f ca="1">IFERROR(__xludf.DUMMYFUNCTION("""COMPUTED_VALUE"""),"SA-750 Acroduster Too")</f>
        <v>SA-750 Acroduster Too</v>
      </c>
      <c r="D2151" s="5" t="str">
        <f ca="1">IFERROR(__xludf.DUMMYFUNCTION("""COMPUTED_VALUE"""),"LandPlane")</f>
        <v>LandPlane</v>
      </c>
      <c r="E2151" s="5" t="str">
        <f ca="1">IFERROR(__xludf.DUMMYFUNCTION("""COMPUTED_VALUE"""),"Piston")</f>
        <v>Piston</v>
      </c>
      <c r="F2151" s="5">
        <f ca="1">IFERROR(__xludf.DUMMYFUNCTION("""COMPUTED_VALUE"""),1)</f>
        <v>1</v>
      </c>
    </row>
    <row r="2152" spans="1:6" ht="15" customHeight="1" x14ac:dyDescent="0.2">
      <c r="A2152" s="5" t="str">
        <f ca="1">IFERROR(__xludf.DUMMYFUNCTION("""COMPUTED_VALUE"""),"SA8T")</f>
        <v>SA8T</v>
      </c>
      <c r="B2152" s="5" t="str">
        <f ca="1">IFERROR(__xludf.DUMMYFUNCTION("""COMPUTED_VALUE"""),"SCHWEIZER")</f>
        <v>SCHWEIZER</v>
      </c>
      <c r="C2152" s="5" t="str">
        <f ca="1">IFERROR(__xludf.DUMMYFUNCTION("""COMPUTED_VALUE"""),"SA-2-38B Twin Condor")</f>
        <v>SA-2-38B Twin Condor</v>
      </c>
      <c r="D2152" s="5" t="str">
        <f ca="1">IFERROR(__xludf.DUMMYFUNCTION("""COMPUTED_VALUE"""),"LandPlane")</f>
        <v>LandPlane</v>
      </c>
      <c r="E2152" s="5" t="str">
        <f ca="1">IFERROR(__xludf.DUMMYFUNCTION("""COMPUTED_VALUE"""),"Turboprop/Turboshaft")</f>
        <v>Turboprop/Turboshaft</v>
      </c>
      <c r="F2152" s="5">
        <f ca="1">IFERROR(__xludf.DUMMYFUNCTION("""COMPUTED_VALUE"""),2)</f>
        <v>2</v>
      </c>
    </row>
    <row r="2153" spans="1:6" ht="15" customHeight="1" x14ac:dyDescent="0.2">
      <c r="A2153" s="5" t="str">
        <f ca="1">IFERROR(__xludf.DUMMYFUNCTION("""COMPUTED_VALUE"""),"SAB2")</f>
        <v>SAB2</v>
      </c>
      <c r="B2153" s="5" t="str">
        <f ca="1">IFERROR(__xludf.DUMMYFUNCTION("""COMPUTED_VALUE"""),"ARNET PEREYRA")</f>
        <v>ARNET PEREYRA</v>
      </c>
      <c r="C2153" s="5" t="str">
        <f ca="1">IFERROR(__xludf.DUMMYFUNCTION("""COMPUTED_VALUE"""),"Sabre 2")</f>
        <v>Sabre 2</v>
      </c>
      <c r="D2153" s="5" t="str">
        <f ca="1">IFERROR(__xludf.DUMMYFUNCTION("""COMPUTED_VALUE"""),"LandPlane")</f>
        <v>LandPlane</v>
      </c>
      <c r="E2153" s="5" t="str">
        <f ca="1">IFERROR(__xludf.DUMMYFUNCTION("""COMPUTED_VALUE"""),"Piston")</f>
        <v>Piston</v>
      </c>
      <c r="F2153" s="5">
        <f ca="1">IFERROR(__xludf.DUMMYFUNCTION("""COMPUTED_VALUE"""),1)</f>
        <v>1</v>
      </c>
    </row>
    <row r="2154" spans="1:6" ht="15" customHeight="1" x14ac:dyDescent="0.2">
      <c r="A2154" s="5" t="str">
        <f ca="1">IFERROR(__xludf.DUMMYFUNCTION("""COMPUTED_VALUE"""),"SABA")</f>
        <v>SABA</v>
      </c>
      <c r="B2154" s="5" t="str">
        <f ca="1">IFERROR(__xludf.DUMMYFUNCTION("""COMPUTED_VALUE"""),"PARAVAR PARS")</f>
        <v>PARAVAR PARS</v>
      </c>
      <c r="C2154" s="5" t="str">
        <f ca="1">IFERROR(__xludf.DUMMYFUNCTION("""COMPUTED_VALUE"""),"Saba")</f>
        <v>Saba</v>
      </c>
      <c r="D2154" s="5" t="str">
        <f ca="1">IFERROR(__xludf.DUMMYFUNCTION("""COMPUTED_VALUE"""),"LandPlane")</f>
        <v>LandPlane</v>
      </c>
      <c r="E2154" s="5" t="str">
        <f ca="1">IFERROR(__xludf.DUMMYFUNCTION("""COMPUTED_VALUE"""),"Piston")</f>
        <v>Piston</v>
      </c>
      <c r="F2154" s="5">
        <f ca="1">IFERROR(__xludf.DUMMYFUNCTION("""COMPUTED_VALUE"""),1)</f>
        <v>1</v>
      </c>
    </row>
    <row r="2155" spans="1:6" ht="15" customHeight="1" x14ac:dyDescent="0.2">
      <c r="A2155" s="5" t="str">
        <f ca="1">IFERROR(__xludf.DUMMYFUNCTION("""COMPUTED_VALUE"""),"SACE")</f>
        <v>SACE</v>
      </c>
      <c r="B2155" s="5" t="str">
        <f ca="1">IFERROR(__xludf.DUMMYFUNCTION("""COMPUTED_VALUE"""),"POBER")</f>
        <v>POBER</v>
      </c>
      <c r="C2155" s="5" t="str">
        <f ca="1">IFERROR(__xludf.DUMMYFUNCTION("""COMPUTED_VALUE"""),"Super Ace")</f>
        <v>Super Ace</v>
      </c>
      <c r="D2155" s="5" t="str">
        <f ca="1">IFERROR(__xludf.DUMMYFUNCTION("""COMPUTED_VALUE"""),"LandPlane")</f>
        <v>LandPlane</v>
      </c>
      <c r="E2155" s="5" t="str">
        <f ca="1">IFERROR(__xludf.DUMMYFUNCTION("""COMPUTED_VALUE"""),"Piston")</f>
        <v>Piston</v>
      </c>
      <c r="F2155" s="5">
        <f ca="1">IFERROR(__xludf.DUMMYFUNCTION("""COMPUTED_VALUE"""),1)</f>
        <v>1</v>
      </c>
    </row>
    <row r="2156" spans="1:6" ht="15" customHeight="1" x14ac:dyDescent="0.2">
      <c r="A2156" s="5" t="str">
        <f ca="1">IFERROR(__xludf.DUMMYFUNCTION("""COMPUTED_VALUE"""),"SACR")</f>
        <v>SACR</v>
      </c>
      <c r="B2156" s="5" t="str">
        <f ca="1">IFERROR(__xludf.DUMMYFUNCTION("""COMPUTED_VALUE"""),"SMITH (3)")</f>
        <v>SMITH (3)</v>
      </c>
      <c r="C2156" s="5" t="str">
        <f ca="1">IFERROR(__xludf.DUMMYFUNCTION("""COMPUTED_VALUE"""),"Acro Advanced")</f>
        <v>Acro Advanced</v>
      </c>
      <c r="D2156" s="5" t="str">
        <f ca="1">IFERROR(__xludf.DUMMYFUNCTION("""COMPUTED_VALUE"""),"LandPlane")</f>
        <v>LandPlane</v>
      </c>
      <c r="E2156" s="5" t="str">
        <f ca="1">IFERROR(__xludf.DUMMYFUNCTION("""COMPUTED_VALUE"""),"Piston")</f>
        <v>Piston</v>
      </c>
      <c r="F2156" s="5">
        <f ca="1">IFERROR(__xludf.DUMMYFUNCTION("""COMPUTED_VALUE"""),1)</f>
        <v>1</v>
      </c>
    </row>
    <row r="2157" spans="1:6" ht="15" customHeight="1" x14ac:dyDescent="0.2">
      <c r="A2157" s="5" t="str">
        <f ca="1">IFERROR(__xludf.DUMMYFUNCTION("""COMPUTED_VALUE"""),"SAFF")</f>
        <v>SAFF</v>
      </c>
      <c r="B2157" s="5" t="str">
        <f ca="1">IFERROR(__xludf.DUMMYFUNCTION("""COMPUTED_VALUE"""),"HALSTED")</f>
        <v>HALSTED</v>
      </c>
      <c r="C2157" s="5" t="str">
        <f ca="1">IFERROR(__xludf.DUMMYFUNCTION("""COMPUTED_VALUE"""),"Saffire")</f>
        <v>Saffire</v>
      </c>
      <c r="D2157" s="5" t="str">
        <f ca="1">IFERROR(__xludf.DUMMYFUNCTION("""COMPUTED_VALUE"""),"LandPlane")</f>
        <v>LandPlane</v>
      </c>
      <c r="E2157" s="5" t="str">
        <f ca="1">IFERROR(__xludf.DUMMYFUNCTION("""COMPUTED_VALUE"""),"Piston")</f>
        <v>Piston</v>
      </c>
      <c r="F2157" s="5">
        <f ca="1">IFERROR(__xludf.DUMMYFUNCTION("""COMPUTED_VALUE"""),1)</f>
        <v>1</v>
      </c>
    </row>
    <row r="2158" spans="1:6" ht="15" customHeight="1" x14ac:dyDescent="0.2">
      <c r="A2158" s="5" t="str">
        <f ca="1">IFERROR(__xludf.DUMMYFUNCTION("""COMPUTED_VALUE"""),"SAH1")</f>
        <v>SAH1</v>
      </c>
      <c r="B2158" s="5" t="str">
        <f ca="1">IFERROR(__xludf.DUMMYFUNCTION("""COMPUTED_VALUE"""),"TRAGO MILLS")</f>
        <v>TRAGO MILLS</v>
      </c>
      <c r="C2158" s="5" t="str">
        <f ca="1">IFERROR(__xludf.DUMMYFUNCTION("""COMPUTED_VALUE"""),"SAH-1")</f>
        <v>SAH-1</v>
      </c>
      <c r="D2158" s="5" t="str">
        <f ca="1">IFERROR(__xludf.DUMMYFUNCTION("""COMPUTED_VALUE"""),"LandPlane")</f>
        <v>LandPlane</v>
      </c>
      <c r="E2158" s="5" t="str">
        <f ca="1">IFERROR(__xludf.DUMMYFUNCTION("""COMPUTED_VALUE"""),"Piston")</f>
        <v>Piston</v>
      </c>
      <c r="F2158" s="5">
        <f ca="1">IFERROR(__xludf.DUMMYFUNCTION("""COMPUTED_VALUE"""),1)</f>
        <v>1</v>
      </c>
    </row>
    <row r="2159" spans="1:6" ht="15" customHeight="1" x14ac:dyDescent="0.2">
      <c r="A2159" s="5" t="str">
        <f ca="1">IFERROR(__xludf.DUMMYFUNCTION("""COMPUTED_VALUE"""),"SAKO")</f>
        <v>SAKO</v>
      </c>
      <c r="B2159" s="5" t="str">
        <f ca="1">IFERROR(__xludf.DUMMYFUNCTION("""COMPUTED_VALUE"""),"RANS")</f>
        <v>RANS</v>
      </c>
      <c r="C2159" s="5" t="str">
        <f ca="1">IFERROR(__xludf.DUMMYFUNCTION("""COMPUTED_VALUE"""),"S-10 Sakota")</f>
        <v>S-10 Sakota</v>
      </c>
      <c r="D2159" s="5" t="str">
        <f ca="1">IFERROR(__xludf.DUMMYFUNCTION("""COMPUTED_VALUE"""),"LandPlane")</f>
        <v>LandPlane</v>
      </c>
      <c r="E2159" s="5" t="str">
        <f ca="1">IFERROR(__xludf.DUMMYFUNCTION("""COMPUTED_VALUE"""),"Piston")</f>
        <v>Piston</v>
      </c>
      <c r="F2159" s="5">
        <f ca="1">IFERROR(__xludf.DUMMYFUNCTION("""COMPUTED_VALUE"""),1)</f>
        <v>1</v>
      </c>
    </row>
    <row r="2160" spans="1:6" ht="15" customHeight="1" x14ac:dyDescent="0.2">
      <c r="A2160" s="5" t="str">
        <f ca="1">IFERROR(__xludf.DUMMYFUNCTION("""COMPUTED_VALUE"""),"SALB")</f>
        <v>SALB</v>
      </c>
      <c r="B2160" s="5" t="str">
        <f ca="1">IFERROR(__xludf.DUMMYFUNCTION("""COMPUTED_VALUE"""),"SKYGEAR")</f>
        <v>SKYGEAR</v>
      </c>
      <c r="C2160" s="5" t="str">
        <f ca="1">IFERROR(__xludf.DUMMYFUNCTION("""COMPUTED_VALUE"""),"Albatross")</f>
        <v>Albatross</v>
      </c>
      <c r="D2160" s="5" t="str">
        <f ca="1">IFERROR(__xludf.DUMMYFUNCTION("""COMPUTED_VALUE"""),"LandPlane")</f>
        <v>LandPlane</v>
      </c>
      <c r="E2160" s="5" t="str">
        <f ca="1">IFERROR(__xludf.DUMMYFUNCTION("""COMPUTED_VALUE"""),"Piston")</f>
        <v>Piston</v>
      </c>
      <c r="F2160" s="5">
        <f ca="1">IFERROR(__xludf.DUMMYFUNCTION("""COMPUTED_VALUE"""),1)</f>
        <v>1</v>
      </c>
    </row>
    <row r="2161" spans="1:6" ht="15" customHeight="1" x14ac:dyDescent="0.2">
      <c r="A2161" s="5" t="str">
        <f ca="1">IFERROR(__xludf.DUMMYFUNCTION("""COMPUTED_VALUE"""),"SAM")</f>
        <v>SAM</v>
      </c>
      <c r="B2161" s="5" t="str">
        <f ca="1">IFERROR(__xludf.DUMMYFUNCTION("""COMPUTED_VALUE"""),"SAM AIRCRAFT")</f>
        <v>SAM AIRCRAFT</v>
      </c>
      <c r="C2161" s="5" t="str">
        <f ca="1">IFERROR(__xludf.DUMMYFUNCTION("""COMPUTED_VALUE"""),"Sam")</f>
        <v>Sam</v>
      </c>
      <c r="D2161" s="5" t="str">
        <f ca="1">IFERROR(__xludf.DUMMYFUNCTION("""COMPUTED_VALUE"""),"LandPlane")</f>
        <v>LandPlane</v>
      </c>
      <c r="E2161" s="5" t="str">
        <f ca="1">IFERROR(__xludf.DUMMYFUNCTION("""COMPUTED_VALUE"""),"Piston")</f>
        <v>Piston</v>
      </c>
      <c r="F2161" s="5">
        <f ca="1">IFERROR(__xludf.DUMMYFUNCTION("""COMPUTED_VALUE"""),1)</f>
        <v>1</v>
      </c>
    </row>
    <row r="2162" spans="1:6" ht="15" customHeight="1" x14ac:dyDescent="0.2">
      <c r="A2162" s="5" t="str">
        <f ca="1">IFERROR(__xludf.DUMMYFUNCTION("""COMPUTED_VALUE"""),"SAND")</f>
        <v>SAND</v>
      </c>
      <c r="B2162" s="5" t="str">
        <f ca="1">IFERROR(__xludf.DUMMYFUNCTION("""COMPUTED_VALUE"""),"SHORT")</f>
        <v>SHORT</v>
      </c>
      <c r="C2162" s="5" t="str">
        <f ca="1">IFERROR(__xludf.DUMMYFUNCTION("""COMPUTED_VALUE"""),"S-25 Sandringham")</f>
        <v>S-25 Sandringham</v>
      </c>
      <c r="D2162" s="5" t="str">
        <f ca="1">IFERROR(__xludf.DUMMYFUNCTION("""COMPUTED_VALUE"""),"SeaPlane")</f>
        <v>SeaPlane</v>
      </c>
      <c r="E2162" s="5" t="str">
        <f ca="1">IFERROR(__xludf.DUMMYFUNCTION("""COMPUTED_VALUE"""),"Piston")</f>
        <v>Piston</v>
      </c>
      <c r="F2162" s="5">
        <f ca="1">IFERROR(__xludf.DUMMYFUNCTION("""COMPUTED_VALUE"""),4)</f>
        <v>4</v>
      </c>
    </row>
    <row r="2163" spans="1:6" ht="15" customHeight="1" x14ac:dyDescent="0.2">
      <c r="A2163" s="5" t="str">
        <f ca="1">IFERROR(__xludf.DUMMYFUNCTION("""COMPUTED_VALUE"""),"SAPH")</f>
        <v>SAPH</v>
      </c>
      <c r="B2163" s="5" t="str">
        <f ca="1">IFERROR(__xludf.DUMMYFUNCTION("""COMPUTED_VALUE"""),"PIEL")</f>
        <v>PIEL</v>
      </c>
      <c r="C2163" s="5" t="str">
        <f ca="1">IFERROR(__xludf.DUMMYFUNCTION("""COMPUTED_VALUE"""),"CP-1320 Saphir")</f>
        <v>CP-1320 Saphir</v>
      </c>
      <c r="D2163" s="5" t="str">
        <f ca="1">IFERROR(__xludf.DUMMYFUNCTION("""COMPUTED_VALUE"""),"LandPlane")</f>
        <v>LandPlane</v>
      </c>
      <c r="E2163" s="5" t="str">
        <f ca="1">IFERROR(__xludf.DUMMYFUNCTION("""COMPUTED_VALUE"""),"Piston")</f>
        <v>Piston</v>
      </c>
      <c r="F2163" s="5">
        <f ca="1">IFERROR(__xludf.DUMMYFUNCTION("""COMPUTED_VALUE"""),1)</f>
        <v>1</v>
      </c>
    </row>
    <row r="2164" spans="1:6" ht="15" customHeight="1" x14ac:dyDescent="0.2">
      <c r="A2164" s="5" t="str">
        <f ca="1">IFERROR(__xludf.DUMMYFUNCTION("""COMPUTED_VALUE"""),"SASH")</f>
        <v>SASH</v>
      </c>
      <c r="B2164" s="5" t="str">
        <f ca="1">IFERROR(__xludf.DUMMYFUNCTION("""COMPUTED_VALUE"""),"SHARK AIRCRAFT")</f>
        <v>SHARK AIRCRAFT</v>
      </c>
      <c r="C2164" s="5" t="str">
        <f ca="1">IFERROR(__xludf.DUMMYFUNCTION("""COMPUTED_VALUE"""),"Shark")</f>
        <v>Shark</v>
      </c>
      <c r="D2164" s="5" t="str">
        <f ca="1">IFERROR(__xludf.DUMMYFUNCTION("""COMPUTED_VALUE"""),"LandPlane")</f>
        <v>LandPlane</v>
      </c>
      <c r="E2164" s="5" t="str">
        <f ca="1">IFERROR(__xludf.DUMMYFUNCTION("""COMPUTED_VALUE"""),"Piston")</f>
        <v>Piston</v>
      </c>
      <c r="F2164" s="5">
        <f ca="1">IFERROR(__xludf.DUMMYFUNCTION("""COMPUTED_VALUE"""),2)</f>
        <v>2</v>
      </c>
    </row>
    <row r="2165" spans="1:6" ht="15" customHeight="1" x14ac:dyDescent="0.2">
      <c r="A2165" s="5" t="str">
        <f ca="1">IFERROR(__xludf.DUMMYFUNCTION("""COMPUTED_VALUE"""),"SASP")</f>
        <v>SASP</v>
      </c>
      <c r="B2165" s="5" t="str">
        <f ca="1">IFERROR(__xludf.DUMMYFUNCTION("""COMPUTED_VALUE"""),"SUPERMARINE AIRCRAFT")</f>
        <v>SUPERMARINE AIRCRAFT</v>
      </c>
      <c r="C2165" s="5" t="str">
        <f ca="1">IFERROR(__xludf.DUMMYFUNCTION("""COMPUTED_VALUE"""),"Spitfire Mk25")</f>
        <v>Spitfire Mk25</v>
      </c>
      <c r="D2165" s="5" t="str">
        <f ca="1">IFERROR(__xludf.DUMMYFUNCTION("""COMPUTED_VALUE"""),"LandPlane")</f>
        <v>LandPlane</v>
      </c>
      <c r="E2165" s="5" t="str">
        <f ca="1">IFERROR(__xludf.DUMMYFUNCTION("""COMPUTED_VALUE"""),"Piston")</f>
        <v>Piston</v>
      </c>
      <c r="F2165" s="5">
        <f ca="1">IFERROR(__xludf.DUMMYFUNCTION("""COMPUTED_VALUE"""),1)</f>
        <v>1</v>
      </c>
    </row>
    <row r="2166" spans="1:6" ht="14.25" customHeight="1" x14ac:dyDescent="0.2">
      <c r="A2166" s="5" t="str">
        <f ca="1">IFERROR(__xludf.DUMMYFUNCTION("""COMPUTED_VALUE"""),"SASY")</f>
        <v>SASY</v>
      </c>
      <c r="B2166" s="5" t="str">
        <f ca="1">IFERROR(__xludf.DUMMYFUNCTION("""COMPUTED_VALUE"""),"PROTECH")</f>
        <v>PROTECH</v>
      </c>
      <c r="C2166" s="5" t="str">
        <f ca="1">IFERROR(__xludf.DUMMYFUNCTION("""COMPUTED_VALUE"""),"PT-2 Sassy")</f>
        <v>PT-2 Sassy</v>
      </c>
      <c r="D2166" s="5" t="str">
        <f ca="1">IFERROR(__xludf.DUMMYFUNCTION("""COMPUTED_VALUE"""),"LandPlane")</f>
        <v>LandPlane</v>
      </c>
      <c r="E2166" s="5" t="str">
        <f ca="1">IFERROR(__xludf.DUMMYFUNCTION("""COMPUTED_VALUE"""),"Piston")</f>
        <v>Piston</v>
      </c>
      <c r="F2166" s="5">
        <f ca="1">IFERROR(__xludf.DUMMYFUNCTION("""COMPUTED_VALUE"""),1)</f>
        <v>1</v>
      </c>
    </row>
    <row r="2167" spans="1:6" ht="15" customHeight="1" x14ac:dyDescent="0.2">
      <c r="A2167" s="5" t="str">
        <f ca="1">IFERROR(__xludf.DUMMYFUNCTION("""COMPUTED_VALUE"""),"SATA")</f>
        <v>SATA</v>
      </c>
      <c r="B2167" s="5" t="str">
        <f ca="1">IFERROR(__xludf.DUMMYFUNCTION("""COMPUTED_VALUE"""),"HISPANO")</f>
        <v>HISPANO</v>
      </c>
      <c r="C2167" s="5" t="str">
        <f ca="1">IFERROR(__xludf.DUMMYFUNCTION("""COMPUTED_VALUE"""),"HA-200 Saeta")</f>
        <v>HA-200 Saeta</v>
      </c>
      <c r="D2167" s="5" t="str">
        <f ca="1">IFERROR(__xludf.DUMMYFUNCTION("""COMPUTED_VALUE"""),"LandPlane")</f>
        <v>LandPlane</v>
      </c>
      <c r="E2167" s="5" t="str">
        <f ca="1">IFERROR(__xludf.DUMMYFUNCTION("""COMPUTED_VALUE"""),"Jet")</f>
        <v>Jet</v>
      </c>
      <c r="F2167" s="5">
        <f ca="1">IFERROR(__xludf.DUMMYFUNCTION("""COMPUTED_VALUE"""),2)</f>
        <v>2</v>
      </c>
    </row>
    <row r="2168" spans="1:6" ht="15" customHeight="1" x14ac:dyDescent="0.2">
      <c r="A2168" s="5" t="str">
        <f ca="1">IFERROR(__xludf.DUMMYFUNCTION("""COMPUTED_VALUE"""),"SAVA")</f>
        <v>SAVA</v>
      </c>
      <c r="B2168" s="5" t="str">
        <f ca="1">IFERROR(__xludf.DUMMYFUNCTION("""COMPUTED_VALUE"""),"SADLER")</f>
        <v>SADLER</v>
      </c>
      <c r="C2168" s="5" t="str">
        <f ca="1">IFERROR(__xludf.DUMMYFUNCTION("""COMPUTED_VALUE"""),"Vampire")</f>
        <v>Vampire</v>
      </c>
      <c r="D2168" s="5" t="str">
        <f ca="1">IFERROR(__xludf.DUMMYFUNCTION("""COMPUTED_VALUE"""),"LandPlane")</f>
        <v>LandPlane</v>
      </c>
      <c r="E2168" s="5" t="str">
        <f ca="1">IFERROR(__xludf.DUMMYFUNCTION("""COMPUTED_VALUE"""),"Piston")</f>
        <v>Piston</v>
      </c>
      <c r="F2168" s="5">
        <f ca="1">IFERROR(__xludf.DUMMYFUNCTION("""COMPUTED_VALUE"""),1)</f>
        <v>1</v>
      </c>
    </row>
    <row r="2169" spans="1:6" ht="15" customHeight="1" x14ac:dyDescent="0.2">
      <c r="A2169" s="5" t="str">
        <f ca="1">IFERROR(__xludf.DUMMYFUNCTION("""COMPUTED_VALUE"""),"SAVG")</f>
        <v>SAVG</v>
      </c>
      <c r="B2169" s="5" t="str">
        <f ca="1">IFERROR(__xludf.DUMMYFUNCTION("""COMPUTED_VALUE"""),"ALMS")</f>
        <v>ALMS</v>
      </c>
      <c r="C2169" s="5" t="str">
        <f ca="1">IFERROR(__xludf.DUMMYFUNCTION("""COMPUTED_VALUE"""),"Callao")</f>
        <v>Callao</v>
      </c>
      <c r="D2169" s="5" t="str">
        <f ca="1">IFERROR(__xludf.DUMMYFUNCTION("""COMPUTED_VALUE"""),"LandPlane")</f>
        <v>LandPlane</v>
      </c>
      <c r="E2169" s="5" t="str">
        <f ca="1">IFERROR(__xludf.DUMMYFUNCTION("""COMPUTED_VALUE"""),"Piston")</f>
        <v>Piston</v>
      </c>
      <c r="F2169" s="5">
        <f ca="1">IFERROR(__xludf.DUMMYFUNCTION("""COMPUTED_VALUE"""),1)</f>
        <v>1</v>
      </c>
    </row>
    <row r="2170" spans="1:6" ht="15" customHeight="1" x14ac:dyDescent="0.2">
      <c r="A2170" s="5" t="str">
        <f ca="1">IFERROR(__xludf.DUMMYFUNCTION("""COMPUTED_VALUE"""),"SAVG")</f>
        <v>SAVG</v>
      </c>
      <c r="B2170" s="5" t="str">
        <f ca="1">IFERROR(__xludf.DUMMYFUNCTION("""COMPUTED_VALUE"""),"RUSSO")</f>
        <v>RUSSO</v>
      </c>
      <c r="C2170" s="5" t="str">
        <f ca="1">IFERROR(__xludf.DUMMYFUNCTION("""COMPUTED_VALUE"""),"Savage")</f>
        <v>Savage</v>
      </c>
      <c r="D2170" s="5" t="str">
        <f ca="1">IFERROR(__xludf.DUMMYFUNCTION("""COMPUTED_VALUE"""),"LandPlane")</f>
        <v>LandPlane</v>
      </c>
      <c r="E2170" s="5" t="str">
        <f ca="1">IFERROR(__xludf.DUMMYFUNCTION("""COMPUTED_VALUE"""),"Piston")</f>
        <v>Piston</v>
      </c>
      <c r="F2170" s="5">
        <f ca="1">IFERROR(__xludf.DUMMYFUNCTION("""COMPUTED_VALUE"""),1)</f>
        <v>1</v>
      </c>
    </row>
    <row r="2171" spans="1:6" ht="15" customHeight="1" x14ac:dyDescent="0.2">
      <c r="A2171" s="5" t="str">
        <f ca="1">IFERROR(__xludf.DUMMYFUNCTION("""COMPUTED_VALUE"""),"SAVG")</f>
        <v>SAVG</v>
      </c>
      <c r="B2171" s="5" t="str">
        <f ca="1">IFERROR(__xludf.DUMMYFUNCTION("""COMPUTED_VALUE"""),"ZLIN AVIATION")</f>
        <v>ZLIN AVIATION</v>
      </c>
      <c r="C2171" s="5" t="str">
        <f ca="1">IFERROR(__xludf.DUMMYFUNCTION("""COMPUTED_VALUE"""),"Savage")</f>
        <v>Savage</v>
      </c>
      <c r="D2171" s="5" t="str">
        <f ca="1">IFERROR(__xludf.DUMMYFUNCTION("""COMPUTED_VALUE"""),"LandPlane")</f>
        <v>LandPlane</v>
      </c>
      <c r="E2171" s="5" t="str">
        <f ca="1">IFERROR(__xludf.DUMMYFUNCTION("""COMPUTED_VALUE"""),"Piston")</f>
        <v>Piston</v>
      </c>
      <c r="F2171" s="5">
        <f ca="1">IFERROR(__xludf.DUMMYFUNCTION("""COMPUTED_VALUE"""),1)</f>
        <v>1</v>
      </c>
    </row>
    <row r="2172" spans="1:6" ht="15" customHeight="1" x14ac:dyDescent="0.2">
      <c r="A2172" s="5" t="str">
        <f ca="1">IFERROR(__xludf.DUMMYFUNCTION("""COMPUTED_VALUE"""),"SB05")</f>
        <v>SB05</v>
      </c>
      <c r="B2172" s="5" t="str">
        <f ca="1">IFERROR(__xludf.DUMMYFUNCTION("""COMPUTED_VALUE"""),"SAAB")</f>
        <v>SAAB</v>
      </c>
      <c r="C2172" s="5" t="str">
        <f ca="1">IFERROR(__xludf.DUMMYFUNCTION("""COMPUTED_VALUE"""),"105")</f>
        <v>105</v>
      </c>
      <c r="D2172" s="5" t="str">
        <f ca="1">IFERROR(__xludf.DUMMYFUNCTION("""COMPUTED_VALUE"""),"LandPlane")</f>
        <v>LandPlane</v>
      </c>
      <c r="E2172" s="5" t="str">
        <f ca="1">IFERROR(__xludf.DUMMYFUNCTION("""COMPUTED_VALUE"""),"Jet")</f>
        <v>Jet</v>
      </c>
      <c r="F2172" s="5">
        <f ca="1">IFERROR(__xludf.DUMMYFUNCTION("""COMPUTED_VALUE"""),2)</f>
        <v>2</v>
      </c>
    </row>
    <row r="2173" spans="1:6" ht="15" customHeight="1" x14ac:dyDescent="0.2">
      <c r="A2173" s="5" t="str">
        <f ca="1">IFERROR(__xludf.DUMMYFUNCTION("""COMPUTED_VALUE"""),"SB20")</f>
        <v>SB20</v>
      </c>
      <c r="B2173" s="5" t="str">
        <f ca="1">IFERROR(__xludf.DUMMYFUNCTION("""COMPUTED_VALUE"""),"SAAB")</f>
        <v>SAAB</v>
      </c>
      <c r="C2173" s="5" t="str">
        <f ca="1">IFERROR(__xludf.DUMMYFUNCTION("""COMPUTED_VALUE"""),"2000")</f>
        <v>2000</v>
      </c>
      <c r="D2173" s="5" t="str">
        <f ca="1">IFERROR(__xludf.DUMMYFUNCTION("""COMPUTED_VALUE"""),"LandPlane")</f>
        <v>LandPlane</v>
      </c>
      <c r="E2173" s="5" t="str">
        <f ca="1">IFERROR(__xludf.DUMMYFUNCTION("""COMPUTED_VALUE"""),"Turboprop/Turboshaft")</f>
        <v>Turboprop/Turboshaft</v>
      </c>
      <c r="F2173" s="5">
        <f ca="1">IFERROR(__xludf.DUMMYFUNCTION("""COMPUTED_VALUE"""),2)</f>
        <v>2</v>
      </c>
    </row>
    <row r="2174" spans="1:6" ht="15" customHeight="1" x14ac:dyDescent="0.2">
      <c r="A2174" s="5" t="str">
        <f ca="1">IFERROR(__xludf.DUMMYFUNCTION("""COMPUTED_VALUE"""),"SB29")</f>
        <v>SB29</v>
      </c>
      <c r="B2174" s="5" t="str">
        <f ca="1">IFERROR(__xludf.DUMMYFUNCTION("""COMPUTED_VALUE"""),"SAAB")</f>
        <v>SAAB</v>
      </c>
      <c r="C2174" s="5" t="str">
        <f ca="1">IFERROR(__xludf.DUMMYFUNCTION("""COMPUTED_VALUE"""),"29")</f>
        <v>29</v>
      </c>
      <c r="D2174" s="5" t="str">
        <f ca="1">IFERROR(__xludf.DUMMYFUNCTION("""COMPUTED_VALUE"""),"LandPlane")</f>
        <v>LandPlane</v>
      </c>
      <c r="E2174" s="5" t="str">
        <f ca="1">IFERROR(__xludf.DUMMYFUNCTION("""COMPUTED_VALUE"""),"Jet")</f>
        <v>Jet</v>
      </c>
      <c r="F2174" s="5">
        <f ca="1">IFERROR(__xludf.DUMMYFUNCTION("""COMPUTED_VALUE"""),1)</f>
        <v>1</v>
      </c>
    </row>
    <row r="2175" spans="1:6" ht="15" customHeight="1" x14ac:dyDescent="0.2">
      <c r="A2175" s="5" t="str">
        <f ca="1">IFERROR(__xludf.DUMMYFUNCTION("""COMPUTED_VALUE"""),"SB32")</f>
        <v>SB32</v>
      </c>
      <c r="B2175" s="5" t="str">
        <f ca="1">IFERROR(__xludf.DUMMYFUNCTION("""COMPUTED_VALUE"""),"SAAB")</f>
        <v>SAAB</v>
      </c>
      <c r="C2175" s="5" t="str">
        <f ca="1">IFERROR(__xludf.DUMMYFUNCTION("""COMPUTED_VALUE"""),"32 Lansen")</f>
        <v>32 Lansen</v>
      </c>
      <c r="D2175" s="5" t="str">
        <f ca="1">IFERROR(__xludf.DUMMYFUNCTION("""COMPUTED_VALUE"""),"LandPlane")</f>
        <v>LandPlane</v>
      </c>
      <c r="E2175" s="5" t="str">
        <f ca="1">IFERROR(__xludf.DUMMYFUNCTION("""COMPUTED_VALUE"""),"Jet")</f>
        <v>Jet</v>
      </c>
      <c r="F2175" s="5">
        <f ca="1">IFERROR(__xludf.DUMMYFUNCTION("""COMPUTED_VALUE"""),1)</f>
        <v>1</v>
      </c>
    </row>
    <row r="2176" spans="1:6" ht="15" customHeight="1" x14ac:dyDescent="0.2">
      <c r="A2176" s="5" t="str">
        <f ca="1">IFERROR(__xludf.DUMMYFUNCTION("""COMPUTED_VALUE"""),"SB35")</f>
        <v>SB35</v>
      </c>
      <c r="B2176" s="5" t="str">
        <f ca="1">IFERROR(__xludf.DUMMYFUNCTION("""COMPUTED_VALUE"""),"SAAB")</f>
        <v>SAAB</v>
      </c>
      <c r="C2176" s="5" t="str">
        <f ca="1">IFERROR(__xludf.DUMMYFUNCTION("""COMPUTED_VALUE"""),"35 Draken")</f>
        <v>35 Draken</v>
      </c>
      <c r="D2176" s="5" t="str">
        <f ca="1">IFERROR(__xludf.DUMMYFUNCTION("""COMPUTED_VALUE"""),"LandPlane")</f>
        <v>LandPlane</v>
      </c>
      <c r="E2176" s="5" t="str">
        <f ca="1">IFERROR(__xludf.DUMMYFUNCTION("""COMPUTED_VALUE"""),"Jet")</f>
        <v>Jet</v>
      </c>
      <c r="F2176" s="5">
        <f ca="1">IFERROR(__xludf.DUMMYFUNCTION("""COMPUTED_VALUE"""),1)</f>
        <v>1</v>
      </c>
    </row>
    <row r="2177" spans="1:6" ht="15" customHeight="1" x14ac:dyDescent="0.2">
      <c r="A2177" s="5" t="str">
        <f ca="1">IFERROR(__xludf.DUMMYFUNCTION("""COMPUTED_VALUE"""),"SB37")</f>
        <v>SB37</v>
      </c>
      <c r="B2177" s="5" t="str">
        <f ca="1">IFERROR(__xludf.DUMMYFUNCTION("""COMPUTED_VALUE"""),"SAAB")</f>
        <v>SAAB</v>
      </c>
      <c r="C2177" s="5" t="str">
        <f ca="1">IFERROR(__xludf.DUMMYFUNCTION("""COMPUTED_VALUE"""),"37 Viggen")</f>
        <v>37 Viggen</v>
      </c>
      <c r="D2177" s="5" t="str">
        <f ca="1">IFERROR(__xludf.DUMMYFUNCTION("""COMPUTED_VALUE"""),"LandPlane")</f>
        <v>LandPlane</v>
      </c>
      <c r="E2177" s="5" t="str">
        <f ca="1">IFERROR(__xludf.DUMMYFUNCTION("""COMPUTED_VALUE"""),"Jet")</f>
        <v>Jet</v>
      </c>
      <c r="F2177" s="5">
        <f ca="1">IFERROR(__xludf.DUMMYFUNCTION("""COMPUTED_VALUE"""),1)</f>
        <v>1</v>
      </c>
    </row>
    <row r="2178" spans="1:6" ht="15" customHeight="1" x14ac:dyDescent="0.2">
      <c r="A2178" s="5" t="str">
        <f ca="1">IFERROR(__xludf.DUMMYFUNCTION("""COMPUTED_VALUE"""),"SB39")</f>
        <v>SB39</v>
      </c>
      <c r="B2178" s="5" t="str">
        <f ca="1">IFERROR(__xludf.DUMMYFUNCTION("""COMPUTED_VALUE"""),"SAAB")</f>
        <v>SAAB</v>
      </c>
      <c r="C2178" s="5" t="str">
        <f ca="1">IFERROR(__xludf.DUMMYFUNCTION("""COMPUTED_VALUE"""),"39 Gripen")</f>
        <v>39 Gripen</v>
      </c>
      <c r="D2178" s="5" t="str">
        <f ca="1">IFERROR(__xludf.DUMMYFUNCTION("""COMPUTED_VALUE"""),"LandPlane")</f>
        <v>LandPlane</v>
      </c>
      <c r="E2178" s="5" t="str">
        <f ca="1">IFERROR(__xludf.DUMMYFUNCTION("""COMPUTED_VALUE"""),"Jet")</f>
        <v>Jet</v>
      </c>
      <c r="F2178" s="5">
        <f ca="1">IFERROR(__xludf.DUMMYFUNCTION("""COMPUTED_VALUE"""),1)</f>
        <v>1</v>
      </c>
    </row>
    <row r="2179" spans="1:6" ht="15" customHeight="1" x14ac:dyDescent="0.2">
      <c r="A2179" s="5" t="str">
        <f ca="1">IFERROR(__xludf.DUMMYFUNCTION("""COMPUTED_VALUE"""),"SB7")</f>
        <v>SB7</v>
      </c>
      <c r="B2179" s="5" t="str">
        <f ca="1">IFERROR(__xludf.DUMMYFUNCTION("""COMPUTED_VALUE"""),"SEABIRD")</f>
        <v>SEABIRD</v>
      </c>
      <c r="C2179" s="5" t="str">
        <f ca="1">IFERROR(__xludf.DUMMYFUNCTION("""COMPUTED_VALUE"""),"SB-7 Seeker")</f>
        <v>SB-7 Seeker</v>
      </c>
      <c r="D2179" s="5" t="str">
        <f ca="1">IFERROR(__xludf.DUMMYFUNCTION("""COMPUTED_VALUE"""),"LandPlane")</f>
        <v>LandPlane</v>
      </c>
      <c r="E2179" s="5" t="str">
        <f ca="1">IFERROR(__xludf.DUMMYFUNCTION("""COMPUTED_VALUE"""),"Piston")</f>
        <v>Piston</v>
      </c>
      <c r="F2179" s="5">
        <f ca="1">IFERROR(__xludf.DUMMYFUNCTION("""COMPUTED_VALUE"""),1)</f>
        <v>1</v>
      </c>
    </row>
    <row r="2180" spans="1:6" ht="15" customHeight="1" x14ac:dyDescent="0.2">
      <c r="A2180" s="5" t="str">
        <f ca="1">IFERROR(__xludf.DUMMYFUNCTION("""COMPUTED_VALUE"""),"SB91")</f>
        <v>SB91</v>
      </c>
      <c r="B2180" s="5" t="str">
        <f ca="1">IFERROR(__xludf.DUMMYFUNCTION("""COMPUTED_VALUE"""),"SAAB")</f>
        <v>SAAB</v>
      </c>
      <c r="C2180" s="5" t="str">
        <f ca="1">IFERROR(__xludf.DUMMYFUNCTION("""COMPUTED_VALUE"""),"91 Safir")</f>
        <v>91 Safir</v>
      </c>
      <c r="D2180" s="5" t="str">
        <f ca="1">IFERROR(__xludf.DUMMYFUNCTION("""COMPUTED_VALUE"""),"LandPlane")</f>
        <v>LandPlane</v>
      </c>
      <c r="E2180" s="5" t="str">
        <f ca="1">IFERROR(__xludf.DUMMYFUNCTION("""COMPUTED_VALUE"""),"Piston")</f>
        <v>Piston</v>
      </c>
      <c r="F2180" s="5">
        <f ca="1">IFERROR(__xludf.DUMMYFUNCTION("""COMPUTED_VALUE"""),1)</f>
        <v>1</v>
      </c>
    </row>
    <row r="2181" spans="1:6" ht="15" customHeight="1" x14ac:dyDescent="0.2">
      <c r="A2181" s="5" t="str">
        <f ca="1">IFERROR(__xludf.DUMMYFUNCTION("""COMPUTED_VALUE"""),"SBD")</f>
        <v>SBD</v>
      </c>
      <c r="B2181" s="5" t="str">
        <f ca="1">IFERROR(__xludf.DUMMYFUNCTION("""COMPUTED_VALUE"""),"DOUGLAS")</f>
        <v>DOUGLAS</v>
      </c>
      <c r="C2181" s="5" t="str">
        <f ca="1">IFERROR(__xludf.DUMMYFUNCTION("""COMPUTED_VALUE"""),"SBD Dauntless")</f>
        <v>SBD Dauntless</v>
      </c>
      <c r="D2181" s="5" t="str">
        <f ca="1">IFERROR(__xludf.DUMMYFUNCTION("""COMPUTED_VALUE"""),"LandPlane")</f>
        <v>LandPlane</v>
      </c>
      <c r="E2181" s="5" t="str">
        <f ca="1">IFERROR(__xludf.DUMMYFUNCTION("""COMPUTED_VALUE"""),"Piston")</f>
        <v>Piston</v>
      </c>
      <c r="F2181" s="5">
        <f ca="1">IFERROR(__xludf.DUMMYFUNCTION("""COMPUTED_VALUE"""),1)</f>
        <v>1</v>
      </c>
    </row>
    <row r="2182" spans="1:6" ht="15" customHeight="1" x14ac:dyDescent="0.2">
      <c r="A2182" s="5" t="str">
        <f ca="1">IFERROR(__xludf.DUMMYFUNCTION("""COMPUTED_VALUE"""),"SBLS")</f>
        <v>SBLS</v>
      </c>
      <c r="B2182" s="5" t="str">
        <f ca="1">IFERROR(__xludf.DUMMYFUNCTION("""COMPUTED_VALUE"""),"SLIPSTREAM")</f>
        <v>SLIPSTREAM</v>
      </c>
      <c r="C2182" s="5" t="str">
        <f ca="1">IFERROR(__xludf.DUMMYFUNCTION("""COMPUTED_VALUE"""),"SkyBlaster")</f>
        <v>SkyBlaster</v>
      </c>
      <c r="D2182" s="5" t="str">
        <f ca="1">IFERROR(__xludf.DUMMYFUNCTION("""COMPUTED_VALUE"""),"LandPlane")</f>
        <v>LandPlane</v>
      </c>
      <c r="E2182" s="5" t="str">
        <f ca="1">IFERROR(__xludf.DUMMYFUNCTION("""COMPUTED_VALUE"""),"Piston")</f>
        <v>Piston</v>
      </c>
      <c r="F2182" s="5">
        <f ca="1">IFERROR(__xludf.DUMMYFUNCTION("""COMPUTED_VALUE"""),2)</f>
        <v>2</v>
      </c>
    </row>
    <row r="2183" spans="1:6" ht="15" customHeight="1" x14ac:dyDescent="0.2">
      <c r="A2183" s="5" t="str">
        <f ca="1">IFERROR(__xludf.DUMMYFUNCTION("""COMPUTED_VALUE"""),"SBM3")</f>
        <v>SBM3</v>
      </c>
      <c r="B2183" s="5" t="str">
        <f ca="1">IFERROR(__xludf.DUMMYFUNCTION("""COMPUTED_VALUE"""),"E &amp; K")</f>
        <v>E &amp; K</v>
      </c>
      <c r="C2183" s="5" t="str">
        <f ca="1">IFERROR(__xludf.DUMMYFUNCTION("""COMPUTED_VALUE"""),"SBM-03 Kos")</f>
        <v>SBM-03 Kos</v>
      </c>
      <c r="D2183" s="5" t="str">
        <f ca="1">IFERROR(__xludf.DUMMYFUNCTION("""COMPUTED_VALUE"""),"LandPlane")</f>
        <v>LandPlane</v>
      </c>
      <c r="E2183" s="5" t="str">
        <f ca="1">IFERROR(__xludf.DUMMYFUNCTION("""COMPUTED_VALUE"""),"Piston")</f>
        <v>Piston</v>
      </c>
      <c r="F2183" s="5">
        <f ca="1">IFERROR(__xludf.DUMMYFUNCTION("""COMPUTED_VALUE"""),1)</f>
        <v>1</v>
      </c>
    </row>
    <row r="2184" spans="1:6" ht="15" customHeight="1" x14ac:dyDescent="0.2">
      <c r="A2184" s="5" t="str">
        <f ca="1">IFERROR(__xludf.DUMMYFUNCTION("""COMPUTED_VALUE"""),"SBOY")</f>
        <v>SBOY</v>
      </c>
      <c r="B2184" s="5" t="str">
        <f ca="1">IFERROR(__xludf.DUMMYFUNCTION("""COMPUTED_VALUE"""),"INTERPLANE")</f>
        <v>INTERPLANE</v>
      </c>
      <c r="C2184" s="5" t="str">
        <f ca="1">IFERROR(__xludf.DUMMYFUNCTION("""COMPUTED_VALUE"""),"Skyboy")</f>
        <v>Skyboy</v>
      </c>
      <c r="D2184" s="5" t="str">
        <f ca="1">IFERROR(__xludf.DUMMYFUNCTION("""COMPUTED_VALUE"""),"LandPlane")</f>
        <v>LandPlane</v>
      </c>
      <c r="E2184" s="5" t="str">
        <f ca="1">IFERROR(__xludf.DUMMYFUNCTION("""COMPUTED_VALUE"""),"Piston")</f>
        <v>Piston</v>
      </c>
      <c r="F2184" s="5">
        <f ca="1">IFERROR(__xludf.DUMMYFUNCTION("""COMPUTED_VALUE"""),1)</f>
        <v>1</v>
      </c>
    </row>
    <row r="2185" spans="1:6" ht="15" customHeight="1" x14ac:dyDescent="0.2">
      <c r="A2185" s="5" t="str">
        <f ca="1">IFERROR(__xludf.DUMMYFUNCTION("""COMPUTED_VALUE"""),"SBR1")</f>
        <v>SBR1</v>
      </c>
      <c r="B2185" s="5" t="str">
        <f ca="1">IFERROR(__xludf.DUMMYFUNCTION("""COMPUTED_VALUE"""),"NORTH AMERICAN")</f>
        <v>NORTH AMERICAN</v>
      </c>
      <c r="C2185" s="5" t="str">
        <f ca="1">IFERROR(__xludf.DUMMYFUNCTION("""COMPUTED_VALUE"""),"Sabreliner")</f>
        <v>Sabreliner</v>
      </c>
      <c r="D2185" s="5" t="str">
        <f ca="1">IFERROR(__xludf.DUMMYFUNCTION("""COMPUTED_VALUE"""),"LandPlane")</f>
        <v>LandPlane</v>
      </c>
      <c r="E2185" s="5" t="str">
        <f ca="1">IFERROR(__xludf.DUMMYFUNCTION("""COMPUTED_VALUE"""),"Jet")</f>
        <v>Jet</v>
      </c>
      <c r="F2185" s="5">
        <f ca="1">IFERROR(__xludf.DUMMYFUNCTION("""COMPUTED_VALUE"""),2)</f>
        <v>2</v>
      </c>
    </row>
    <row r="2186" spans="1:6" ht="15" customHeight="1" x14ac:dyDescent="0.2">
      <c r="A2186" s="5" t="str">
        <f ca="1">IFERROR(__xludf.DUMMYFUNCTION("""COMPUTED_VALUE"""),"SBR2")</f>
        <v>SBR2</v>
      </c>
      <c r="B2186" s="5" t="str">
        <f ca="1">IFERROR(__xludf.DUMMYFUNCTION("""COMPUTED_VALUE"""),"ROCKWELL")</f>
        <v>ROCKWELL</v>
      </c>
      <c r="C2186" s="5" t="str">
        <f ca="1">IFERROR(__xludf.DUMMYFUNCTION("""COMPUTED_VALUE"""),"Sabre 80")</f>
        <v>Sabre 80</v>
      </c>
      <c r="D2186" s="5" t="str">
        <f ca="1">IFERROR(__xludf.DUMMYFUNCTION("""COMPUTED_VALUE"""),"LandPlane")</f>
        <v>LandPlane</v>
      </c>
      <c r="E2186" s="5" t="str">
        <f ca="1">IFERROR(__xludf.DUMMYFUNCTION("""COMPUTED_VALUE"""),"Jet")</f>
        <v>Jet</v>
      </c>
      <c r="F2186" s="5">
        <f ca="1">IFERROR(__xludf.DUMMYFUNCTION("""COMPUTED_VALUE"""),2)</f>
        <v>2</v>
      </c>
    </row>
    <row r="2187" spans="1:6" ht="15" customHeight="1" x14ac:dyDescent="0.2">
      <c r="A2187" s="5" t="str">
        <f ca="1">IFERROR(__xludf.DUMMYFUNCTION("""COMPUTED_VALUE"""),"SC01")</f>
        <v>SC01</v>
      </c>
      <c r="B2187" s="5" t="str">
        <f ca="1">IFERROR(__xludf.DUMMYFUNCTION("""COMPUTED_VALUE"""),"GYROFLUG")</f>
        <v>GYROFLUG</v>
      </c>
      <c r="C2187" s="5" t="str">
        <f ca="1">IFERROR(__xludf.DUMMYFUNCTION("""COMPUTED_VALUE"""),"SC-01 Speed Canard")</f>
        <v>SC-01 Speed Canard</v>
      </c>
      <c r="D2187" s="5" t="str">
        <f ca="1">IFERROR(__xludf.DUMMYFUNCTION("""COMPUTED_VALUE"""),"LandPlane")</f>
        <v>LandPlane</v>
      </c>
      <c r="E2187" s="5" t="str">
        <f ca="1">IFERROR(__xludf.DUMMYFUNCTION("""COMPUTED_VALUE"""),"Piston")</f>
        <v>Piston</v>
      </c>
      <c r="F2187" s="5">
        <f ca="1">IFERROR(__xludf.DUMMYFUNCTION("""COMPUTED_VALUE"""),1)</f>
        <v>1</v>
      </c>
    </row>
    <row r="2188" spans="1:6" ht="15" customHeight="1" x14ac:dyDescent="0.2">
      <c r="A2188" s="5" t="str">
        <f ca="1">IFERROR(__xludf.DUMMYFUNCTION("""COMPUTED_VALUE"""),"SC7")</f>
        <v>SC7</v>
      </c>
      <c r="B2188" s="5" t="str">
        <f ca="1">IFERROR(__xludf.DUMMYFUNCTION("""COMPUTED_VALUE"""),"SHORT")</f>
        <v>SHORT</v>
      </c>
      <c r="C2188" s="5" t="str">
        <f ca="1">IFERROR(__xludf.DUMMYFUNCTION("""COMPUTED_VALUE"""),"SC-7 Skyvan")</f>
        <v>SC-7 Skyvan</v>
      </c>
      <c r="D2188" s="5" t="str">
        <f ca="1">IFERROR(__xludf.DUMMYFUNCTION("""COMPUTED_VALUE"""),"LandPlane")</f>
        <v>LandPlane</v>
      </c>
      <c r="E2188" s="5" t="str">
        <f ca="1">IFERROR(__xludf.DUMMYFUNCTION("""COMPUTED_VALUE"""),"Turboprop/Turboshaft")</f>
        <v>Turboprop/Turboshaft</v>
      </c>
      <c r="F2188" s="5">
        <f ca="1">IFERROR(__xludf.DUMMYFUNCTION("""COMPUTED_VALUE"""),2)</f>
        <v>2</v>
      </c>
    </row>
    <row r="2189" spans="1:6" ht="15" customHeight="1" x14ac:dyDescent="0.2">
      <c r="A2189" s="5" t="str">
        <f ca="1">IFERROR(__xludf.DUMMYFUNCTION("""COMPUTED_VALUE"""),"SCAM")</f>
        <v>SCAM</v>
      </c>
      <c r="B2189" s="5" t="str">
        <f ca="1">IFERROR(__xludf.DUMMYFUNCTION("""COMPUTED_VALUE"""),"AEROSPORT")</f>
        <v>AEROSPORT</v>
      </c>
      <c r="C2189" s="5" t="str">
        <f ca="1">IFERROR(__xludf.DUMMYFUNCTION("""COMPUTED_VALUE"""),"Scamp")</f>
        <v>Scamp</v>
      </c>
      <c r="D2189" s="5" t="str">
        <f ca="1">IFERROR(__xludf.DUMMYFUNCTION("""COMPUTED_VALUE"""),"LandPlane")</f>
        <v>LandPlane</v>
      </c>
      <c r="E2189" s="5" t="str">
        <f ca="1">IFERROR(__xludf.DUMMYFUNCTION("""COMPUTED_VALUE"""),"Piston")</f>
        <v>Piston</v>
      </c>
      <c r="F2189" s="5">
        <f ca="1">IFERROR(__xludf.DUMMYFUNCTION("""COMPUTED_VALUE"""),1)</f>
        <v>1</v>
      </c>
    </row>
    <row r="2190" spans="1:6" ht="15" customHeight="1" x14ac:dyDescent="0.2">
      <c r="A2190" s="5" t="str">
        <f ca="1">IFERROR(__xludf.DUMMYFUNCTION("""COMPUTED_VALUE"""),"SCEP")</f>
        <v>SCEP</v>
      </c>
      <c r="B2190" s="5" t="str">
        <f ca="1">IFERROR(__xludf.DUMMYFUNCTION("""COMPUTED_VALUE"""),"SLIPSTREAM")</f>
        <v>SLIPSTREAM</v>
      </c>
      <c r="C2190" s="5" t="str">
        <f ca="1">IFERROR(__xludf.DUMMYFUNCTION("""COMPUTED_VALUE"""),"Scepter")</f>
        <v>Scepter</v>
      </c>
      <c r="D2190" s="5" t="str">
        <f ca="1">IFERROR(__xludf.DUMMYFUNCTION("""COMPUTED_VALUE"""),"LandPlane")</f>
        <v>LandPlane</v>
      </c>
      <c r="E2190" s="5" t="str">
        <f ca="1">IFERROR(__xludf.DUMMYFUNCTION("""COMPUTED_VALUE"""),"Piston")</f>
        <v>Piston</v>
      </c>
      <c r="F2190" s="5">
        <f ca="1">IFERROR(__xludf.DUMMYFUNCTION("""COMPUTED_VALUE"""),1)</f>
        <v>1</v>
      </c>
    </row>
    <row r="2191" spans="1:6" ht="15" customHeight="1" x14ac:dyDescent="0.2">
      <c r="A2191" s="5" t="str">
        <f ca="1">IFERROR(__xludf.DUMMYFUNCTION("""COMPUTED_VALUE"""),"SCII")</f>
        <v>SCII</v>
      </c>
      <c r="B2191" s="5" t="str">
        <f ca="1">IFERROR(__xludf.DUMMYFUNCTION("""COMPUTED_VALUE"""),"SPORT COPTER")</f>
        <v>SPORT COPTER</v>
      </c>
      <c r="C2191" s="5" t="str">
        <f ca="1">IFERROR(__xludf.DUMMYFUNCTION("""COMPUTED_VALUE"""),"SportCopter 2")</f>
        <v>SportCopter 2</v>
      </c>
      <c r="D2191" s="5" t="str">
        <f ca="1">IFERROR(__xludf.DUMMYFUNCTION("""COMPUTED_VALUE"""),"Gyrocopter")</f>
        <v>Gyrocopter</v>
      </c>
      <c r="E2191" s="5" t="str">
        <f ca="1">IFERROR(__xludf.DUMMYFUNCTION("""COMPUTED_VALUE"""),"Piston")</f>
        <v>Piston</v>
      </c>
      <c r="F2191" s="5">
        <f ca="1">IFERROR(__xludf.DUMMYFUNCTION("""COMPUTED_VALUE"""),1)</f>
        <v>1</v>
      </c>
    </row>
    <row r="2192" spans="1:6" ht="15" customHeight="1" x14ac:dyDescent="0.2">
      <c r="A2192" s="5" t="str">
        <f ca="1">IFERROR(__xludf.DUMMYFUNCTION("""COMPUTED_VALUE"""),"SCOM")</f>
        <v>SCOM</v>
      </c>
      <c r="B2192" s="5" t="str">
        <f ca="1">IFERROR(__xludf.DUMMYFUNCTION("""COMPUTED_VALUE"""),"AIRDALE")</f>
        <v>AIRDALE</v>
      </c>
      <c r="C2192" s="5" t="str">
        <f ca="1">IFERROR(__xludf.DUMMYFUNCTION("""COMPUTED_VALUE"""),"Comet")</f>
        <v>Comet</v>
      </c>
      <c r="D2192" s="5" t="str">
        <f ca="1">IFERROR(__xludf.DUMMYFUNCTION("""COMPUTED_VALUE"""),"LandPlane")</f>
        <v>LandPlane</v>
      </c>
      <c r="E2192" s="5" t="str">
        <f ca="1">IFERROR(__xludf.DUMMYFUNCTION("""COMPUTED_VALUE"""),"Piston")</f>
        <v>Piston</v>
      </c>
      <c r="F2192" s="5">
        <f ca="1">IFERROR(__xludf.DUMMYFUNCTION("""COMPUTED_VALUE"""),1)</f>
        <v>1</v>
      </c>
    </row>
    <row r="2193" spans="1:6" ht="15" customHeight="1" x14ac:dyDescent="0.2">
      <c r="A2193" s="5" t="str">
        <f ca="1">IFERROR(__xludf.DUMMYFUNCTION("""COMPUTED_VALUE"""),"SCOR")</f>
        <v>SCOR</v>
      </c>
      <c r="B2193" s="5" t="str">
        <f ca="1">IFERROR(__xludf.DUMMYFUNCTION("""COMPUTED_VALUE"""),"ROTORWAY")</f>
        <v>ROTORWAY</v>
      </c>
      <c r="C2193" s="5" t="str">
        <f ca="1">IFERROR(__xludf.DUMMYFUNCTION("""COMPUTED_VALUE"""),"Scorpion")</f>
        <v>Scorpion</v>
      </c>
      <c r="D2193" s="5" t="str">
        <f ca="1">IFERROR(__xludf.DUMMYFUNCTION("""COMPUTED_VALUE"""),"Helicopter")</f>
        <v>Helicopter</v>
      </c>
      <c r="E2193" s="5" t="str">
        <f ca="1">IFERROR(__xludf.DUMMYFUNCTION("""COMPUTED_VALUE"""),"Piston")</f>
        <v>Piston</v>
      </c>
      <c r="F2193" s="5">
        <f ca="1">IFERROR(__xludf.DUMMYFUNCTION("""COMPUTED_VALUE"""),1)</f>
        <v>1</v>
      </c>
    </row>
    <row r="2194" spans="1:6" ht="15" customHeight="1" x14ac:dyDescent="0.2">
      <c r="A2194" s="5" t="str">
        <f ca="1">IFERROR(__xludf.DUMMYFUNCTION("""COMPUTED_VALUE"""),"SCOU")</f>
        <v>SCOU</v>
      </c>
      <c r="B2194" s="5" t="str">
        <f ca="1">IFERROR(__xludf.DUMMYFUNCTION("""COMPUTED_VALUE"""),"WESTLAND")</f>
        <v>WESTLAND</v>
      </c>
      <c r="C2194" s="5" t="str">
        <f ca="1">IFERROR(__xludf.DUMMYFUNCTION("""COMPUTED_VALUE"""),"Scout")</f>
        <v>Scout</v>
      </c>
      <c r="D2194" s="5" t="str">
        <f ca="1">IFERROR(__xludf.DUMMYFUNCTION("""COMPUTED_VALUE"""),"Helicopter")</f>
        <v>Helicopter</v>
      </c>
      <c r="E2194" s="5" t="str">
        <f ca="1">IFERROR(__xludf.DUMMYFUNCTION("""COMPUTED_VALUE"""),"Turboprop/Turboshaft")</f>
        <v>Turboprop/Turboshaft</v>
      </c>
      <c r="F2194" s="5">
        <f ca="1">IFERROR(__xludf.DUMMYFUNCTION("""COMPUTED_VALUE"""),1)</f>
        <v>1</v>
      </c>
    </row>
    <row r="2195" spans="1:6" ht="15" customHeight="1" x14ac:dyDescent="0.2">
      <c r="A2195" s="5" t="str">
        <f ca="1">IFERROR(__xludf.DUMMYFUNCTION("""COMPUTED_VALUE"""),"SCRO")</f>
        <v>SCRO</v>
      </c>
      <c r="B2195" s="5" t="str">
        <f ca="1">IFERROR(__xludf.DUMMYFUNCTION("""COMPUTED_VALUE"""),"AKAFLIEG MUNCHEN")</f>
        <v>AKAFLIEG MUNCHEN</v>
      </c>
      <c r="C2195" s="5" t="str">
        <f ca="1">IFERROR(__xludf.DUMMYFUNCTION("""COMPUTED_VALUE"""),"Mü-30 Schlacro")</f>
        <v>Mü-30 Schlacro</v>
      </c>
      <c r="D2195" s="5" t="str">
        <f ca="1">IFERROR(__xludf.DUMMYFUNCTION("""COMPUTED_VALUE"""),"LandPlane")</f>
        <v>LandPlane</v>
      </c>
      <c r="E2195" s="5" t="str">
        <f ca="1">IFERROR(__xludf.DUMMYFUNCTION("""COMPUTED_VALUE"""),"Piston")</f>
        <v>Piston</v>
      </c>
      <c r="F2195" s="5">
        <f ca="1">IFERROR(__xludf.DUMMYFUNCTION("""COMPUTED_VALUE"""),1)</f>
        <v>1</v>
      </c>
    </row>
    <row r="2196" spans="1:6" ht="15" customHeight="1" x14ac:dyDescent="0.2">
      <c r="A2196" s="5" t="str">
        <f ca="1">IFERROR(__xludf.DUMMYFUNCTION("""COMPUTED_VALUE"""),"SCTR")</f>
        <v>SCTR</v>
      </c>
      <c r="B2196" s="5" t="str">
        <f ca="1">IFERROR(__xludf.DUMMYFUNCTION("""COMPUTED_VALUE"""),"FLAGLOR")</f>
        <v>FLAGLOR</v>
      </c>
      <c r="C2196" s="5" t="str">
        <f ca="1">IFERROR(__xludf.DUMMYFUNCTION("""COMPUTED_VALUE"""),"Scooter")</f>
        <v>Scooter</v>
      </c>
      <c r="D2196" s="5" t="str">
        <f ca="1">IFERROR(__xludf.DUMMYFUNCTION("""COMPUTED_VALUE"""),"LandPlane")</f>
        <v>LandPlane</v>
      </c>
      <c r="E2196" s="5" t="str">
        <f ca="1">IFERROR(__xludf.DUMMYFUNCTION("""COMPUTED_VALUE"""),"Piston")</f>
        <v>Piston</v>
      </c>
      <c r="F2196" s="5">
        <f ca="1">IFERROR(__xludf.DUMMYFUNCTION("""COMPUTED_VALUE"""),1)</f>
        <v>1</v>
      </c>
    </row>
    <row r="2197" spans="1:6" ht="15" customHeight="1" x14ac:dyDescent="0.2">
      <c r="A2197" s="5" t="str">
        <f ca="1">IFERROR(__xludf.DUMMYFUNCTION("""COMPUTED_VALUE"""),"SCUB")</f>
        <v>SCUB</v>
      </c>
      <c r="B2197" s="5" t="str">
        <f ca="1">IFERROR(__xludf.DUMMYFUNCTION("""COMPUTED_VALUE"""),"AERO KUHLMANN")</f>
        <v>AERO KUHLMANN</v>
      </c>
      <c r="C2197" s="5" t="str">
        <f ca="1">IFERROR(__xludf.DUMMYFUNCTION("""COMPUTED_VALUE"""),"Scub")</f>
        <v>Scub</v>
      </c>
      <c r="D2197" s="5" t="str">
        <f ca="1">IFERROR(__xludf.DUMMYFUNCTION("""COMPUTED_VALUE"""),"LandPlane")</f>
        <v>LandPlane</v>
      </c>
      <c r="E2197" s="5" t="str">
        <f ca="1">IFERROR(__xludf.DUMMYFUNCTION("""COMPUTED_VALUE"""),"Piston")</f>
        <v>Piston</v>
      </c>
      <c r="F2197" s="5">
        <f ca="1">IFERROR(__xludf.DUMMYFUNCTION("""COMPUTED_VALUE"""),1)</f>
        <v>1</v>
      </c>
    </row>
    <row r="2198" spans="1:6" ht="15" customHeight="1" x14ac:dyDescent="0.2">
      <c r="A2198" s="5" t="str">
        <f ca="1">IFERROR(__xludf.DUMMYFUNCTION("""COMPUTED_VALUE"""),"SCW1")</f>
        <v>SCW1</v>
      </c>
      <c r="B2198" s="5" t="str">
        <f ca="1">IFERROR(__xludf.DUMMYFUNCTION("""COMPUTED_VALUE"""),"SCWAL")</f>
        <v>SCWAL</v>
      </c>
      <c r="C2198" s="5" t="str">
        <f ca="1">IFERROR(__xludf.DUMMYFUNCTION("""COMPUTED_VALUE"""),"101")</f>
        <v>101</v>
      </c>
      <c r="D2198" s="5" t="str">
        <f ca="1">IFERROR(__xludf.DUMMYFUNCTION("""COMPUTED_VALUE"""),"LandPlane")</f>
        <v>LandPlane</v>
      </c>
      <c r="E2198" s="5" t="str">
        <f ca="1">IFERROR(__xludf.DUMMYFUNCTION("""COMPUTED_VALUE"""),"Piston")</f>
        <v>Piston</v>
      </c>
      <c r="F2198" s="5">
        <f ca="1">IFERROR(__xludf.DUMMYFUNCTION("""COMPUTED_VALUE"""),1)</f>
        <v>1</v>
      </c>
    </row>
    <row r="2199" spans="1:6" ht="15" customHeight="1" x14ac:dyDescent="0.2">
      <c r="A2199" s="5" t="str">
        <f ca="1">IFERROR(__xludf.DUMMYFUNCTION("""COMPUTED_VALUE"""),"SD26")</f>
        <v>SD26</v>
      </c>
      <c r="B2199" s="5" t="str">
        <f ca="1">IFERROR(__xludf.DUMMYFUNCTION("""COMPUTED_VALUE"""),"SKYDANCER")</f>
        <v>SKYDANCER</v>
      </c>
      <c r="C2199" s="5" t="str">
        <f ca="1">IFERROR(__xludf.DUMMYFUNCTION("""COMPUTED_VALUE"""),"SD-260")</f>
        <v>SD-260</v>
      </c>
      <c r="D2199" s="5" t="str">
        <f ca="1">IFERROR(__xludf.DUMMYFUNCTION("""COMPUTED_VALUE"""),"LandPlane")</f>
        <v>LandPlane</v>
      </c>
      <c r="E2199" s="5" t="str">
        <f ca="1">IFERROR(__xludf.DUMMYFUNCTION("""COMPUTED_VALUE"""),"Piston")</f>
        <v>Piston</v>
      </c>
      <c r="F2199" s="5">
        <f ca="1">IFERROR(__xludf.DUMMYFUNCTION("""COMPUTED_VALUE"""),1)</f>
        <v>1</v>
      </c>
    </row>
    <row r="2200" spans="1:6" ht="15" customHeight="1" x14ac:dyDescent="0.2">
      <c r="A2200" s="5" t="str">
        <f ca="1">IFERROR(__xludf.DUMMYFUNCTION("""COMPUTED_VALUE"""),"SD4")</f>
        <v>SD4</v>
      </c>
      <c r="B2200" s="5" t="str">
        <f ca="1">IFERROR(__xludf.DUMMYFUNCTION("""COMPUTED_VALUE"""),"TOMARK")</f>
        <v>TOMARK</v>
      </c>
      <c r="C2200" s="5" t="str">
        <f ca="1">IFERROR(__xludf.DUMMYFUNCTION("""COMPUTED_VALUE"""),"SD-4 Viper")</f>
        <v>SD-4 Viper</v>
      </c>
      <c r="D2200" s="5" t="str">
        <f ca="1">IFERROR(__xludf.DUMMYFUNCTION("""COMPUTED_VALUE"""),"LandPlane")</f>
        <v>LandPlane</v>
      </c>
      <c r="E2200" s="5" t="str">
        <f ca="1">IFERROR(__xludf.DUMMYFUNCTION("""COMPUTED_VALUE"""),"Piston")</f>
        <v>Piston</v>
      </c>
      <c r="F2200" s="5">
        <f ca="1">IFERROR(__xludf.DUMMYFUNCTION("""COMPUTED_VALUE"""),1)</f>
        <v>1</v>
      </c>
    </row>
    <row r="2201" spans="1:6" ht="15" customHeight="1" x14ac:dyDescent="0.2">
      <c r="A2201" s="5" t="str">
        <f ca="1">IFERROR(__xludf.DUMMYFUNCTION("""COMPUTED_VALUE"""),"SDUS")</f>
        <v>SDUS</v>
      </c>
      <c r="B2201" s="5" t="str">
        <f ca="1">IFERROR(__xludf.DUMMYFUNCTION("""COMPUTED_VALUE"""),"STOLP")</f>
        <v>STOLP</v>
      </c>
      <c r="C2201" s="5" t="str">
        <f ca="1">IFERROR(__xludf.DUMMYFUNCTION("""COMPUTED_VALUE"""),"Super Starduster")</f>
        <v>Super Starduster</v>
      </c>
      <c r="D2201" s="5" t="str">
        <f ca="1">IFERROR(__xludf.DUMMYFUNCTION("""COMPUTED_VALUE"""),"LandPlane")</f>
        <v>LandPlane</v>
      </c>
      <c r="E2201" s="5" t="str">
        <f ca="1">IFERROR(__xludf.DUMMYFUNCTION("""COMPUTED_VALUE"""),"Piston")</f>
        <v>Piston</v>
      </c>
      <c r="F2201" s="5">
        <f ca="1">IFERROR(__xludf.DUMMYFUNCTION("""COMPUTED_VALUE"""),1)</f>
        <v>1</v>
      </c>
    </row>
    <row r="2202" spans="1:6" ht="15" customHeight="1" x14ac:dyDescent="0.2">
      <c r="A2202" s="5" t="str">
        <f ca="1">IFERROR(__xludf.DUMMYFUNCTION("""COMPUTED_VALUE"""),"SE5A")</f>
        <v>SE5A</v>
      </c>
      <c r="B2202" s="5" t="str">
        <f ca="1">IFERROR(__xludf.DUMMYFUNCTION("""COMPUTED_VALUE"""),"RAF")</f>
        <v>RAF</v>
      </c>
      <c r="C2202" s="5" t="str">
        <f ca="1">IFERROR(__xludf.DUMMYFUNCTION("""COMPUTED_VALUE"""),"SE-5A Replica")</f>
        <v>SE-5A Replica</v>
      </c>
      <c r="D2202" s="5" t="str">
        <f ca="1">IFERROR(__xludf.DUMMYFUNCTION("""COMPUTED_VALUE"""),"LandPlane")</f>
        <v>LandPlane</v>
      </c>
      <c r="E2202" s="5" t="str">
        <f ca="1">IFERROR(__xludf.DUMMYFUNCTION("""COMPUTED_VALUE"""),"Piston")</f>
        <v>Piston</v>
      </c>
      <c r="F2202" s="5">
        <f ca="1">IFERROR(__xludf.DUMMYFUNCTION("""COMPUTED_VALUE"""),1)</f>
        <v>1</v>
      </c>
    </row>
    <row r="2203" spans="1:6" ht="15" customHeight="1" x14ac:dyDescent="0.2">
      <c r="A2203" s="5" t="str">
        <f ca="1">IFERROR(__xludf.DUMMYFUNCTION("""COMPUTED_VALUE"""),"SEAT")</f>
        <v>SEAT</v>
      </c>
      <c r="B2203" s="5" t="str">
        <f ca="1">IFERROR(__xludf.DUMMYFUNCTION("""COMPUTED_VALUE"""),"SEAWIND")</f>
        <v>SEAWIND</v>
      </c>
      <c r="C2203" s="5" t="str">
        <f ca="1">IFERROR(__xludf.DUMMYFUNCTION("""COMPUTED_VALUE"""),"Turbine Seawind")</f>
        <v>Turbine Seawind</v>
      </c>
      <c r="D2203" s="5" t="str">
        <f ca="1">IFERROR(__xludf.DUMMYFUNCTION("""COMPUTED_VALUE"""),"Amphibian")</f>
        <v>Amphibian</v>
      </c>
      <c r="E2203" s="5" t="str">
        <f ca="1">IFERROR(__xludf.DUMMYFUNCTION("""COMPUTED_VALUE"""),"Turboprop/Turboshaft")</f>
        <v>Turboprop/Turboshaft</v>
      </c>
      <c r="F2203" s="5">
        <f ca="1">IFERROR(__xludf.DUMMYFUNCTION("""COMPUTED_VALUE"""),1)</f>
        <v>1</v>
      </c>
    </row>
    <row r="2204" spans="1:6" ht="15" customHeight="1" x14ac:dyDescent="0.2">
      <c r="A2204" s="5" t="str">
        <f ca="1">IFERROR(__xludf.DUMMYFUNCTION("""COMPUTED_VALUE"""),"SEAW")</f>
        <v>SEAW</v>
      </c>
      <c r="B2204" s="5" t="str">
        <f ca="1">IFERROR(__xludf.DUMMYFUNCTION("""COMPUTED_VALUE"""),"SEAWIND")</f>
        <v>SEAWIND</v>
      </c>
      <c r="C2204" s="5" t="str">
        <f ca="1">IFERROR(__xludf.DUMMYFUNCTION("""COMPUTED_VALUE"""),"Seawind")</f>
        <v>Seawind</v>
      </c>
      <c r="D2204" s="5" t="str">
        <f ca="1">IFERROR(__xludf.DUMMYFUNCTION("""COMPUTED_VALUE"""),"Amphibian")</f>
        <v>Amphibian</v>
      </c>
      <c r="E2204" s="5" t="str">
        <f ca="1">IFERROR(__xludf.DUMMYFUNCTION("""COMPUTED_VALUE"""),"Piston")</f>
        <v>Piston</v>
      </c>
      <c r="F2204" s="5">
        <f ca="1">IFERROR(__xludf.DUMMYFUNCTION("""COMPUTED_VALUE"""),1)</f>
        <v>1</v>
      </c>
    </row>
    <row r="2205" spans="1:6" ht="15" customHeight="1" x14ac:dyDescent="0.2">
      <c r="A2205" s="5" t="str">
        <f ca="1">IFERROR(__xludf.DUMMYFUNCTION("""COMPUTED_VALUE"""),"SERA")</f>
        <v>SERA</v>
      </c>
      <c r="B2205" s="5" t="str">
        <f ca="1">IFERROR(__xludf.DUMMYFUNCTION("""COMPUTED_VALUE"""),"SERVOPLANT")</f>
        <v>SERVOPLANT</v>
      </c>
      <c r="C2205" s="5" t="str">
        <f ca="1">IFERROR(__xludf.DUMMYFUNCTION("""COMPUTED_VALUE"""),"Aerocraft")</f>
        <v>Aerocraft</v>
      </c>
      <c r="D2205" s="5" t="str">
        <f ca="1">IFERROR(__xludf.DUMMYFUNCTION("""COMPUTED_VALUE"""),"LandPlane")</f>
        <v>LandPlane</v>
      </c>
      <c r="E2205" s="5" t="str">
        <f ca="1">IFERROR(__xludf.DUMMYFUNCTION("""COMPUTED_VALUE"""),"Piston")</f>
        <v>Piston</v>
      </c>
      <c r="F2205" s="5">
        <f ca="1">IFERROR(__xludf.DUMMYFUNCTION("""COMPUTED_VALUE"""),1)</f>
        <v>1</v>
      </c>
    </row>
    <row r="2206" spans="1:6" ht="15" customHeight="1" x14ac:dyDescent="0.2">
      <c r="A2206" s="5" t="str">
        <f ca="1">IFERROR(__xludf.DUMMYFUNCTION("""COMPUTED_VALUE"""),"SF2")</f>
        <v>SF2</v>
      </c>
      <c r="B2206" s="5" t="str">
        <f ca="1">IFERROR(__xludf.DUMMYFUNCTION("""COMPUTED_VALUE"""),"VIKING (1)")</f>
        <v>VIKING (1)</v>
      </c>
      <c r="C2206" s="5" t="str">
        <f ca="1">IFERROR(__xludf.DUMMYFUNCTION("""COMPUTED_VALUE"""),"SF-2 Cygnet")</f>
        <v>SF-2 Cygnet</v>
      </c>
      <c r="D2206" s="5" t="str">
        <f ca="1">IFERROR(__xludf.DUMMYFUNCTION("""COMPUTED_VALUE"""),"LandPlane")</f>
        <v>LandPlane</v>
      </c>
      <c r="E2206" s="5" t="str">
        <f ca="1">IFERROR(__xludf.DUMMYFUNCTION("""COMPUTED_VALUE"""),"Piston")</f>
        <v>Piston</v>
      </c>
      <c r="F2206" s="5">
        <f ca="1">IFERROR(__xludf.DUMMYFUNCTION("""COMPUTED_VALUE"""),1)</f>
        <v>1</v>
      </c>
    </row>
    <row r="2207" spans="1:6" ht="15" customHeight="1" x14ac:dyDescent="0.2">
      <c r="A2207" s="5" t="str">
        <f ca="1">IFERROR(__xludf.DUMMYFUNCTION("""COMPUTED_VALUE"""),"SF23")</f>
        <v>SF23</v>
      </c>
      <c r="B2207" s="5" t="str">
        <f ca="1">IFERROR(__xludf.DUMMYFUNCTION("""COMPUTED_VALUE"""),"SCHEIBE")</f>
        <v>SCHEIBE</v>
      </c>
      <c r="C2207" s="5" t="str">
        <f ca="1">IFERROR(__xludf.DUMMYFUNCTION("""COMPUTED_VALUE"""),"SF-23 Sperling")</f>
        <v>SF-23 Sperling</v>
      </c>
      <c r="D2207" s="5" t="str">
        <f ca="1">IFERROR(__xludf.DUMMYFUNCTION("""COMPUTED_VALUE"""),"LandPlane")</f>
        <v>LandPlane</v>
      </c>
      <c r="E2207" s="5" t="str">
        <f ca="1">IFERROR(__xludf.DUMMYFUNCTION("""COMPUTED_VALUE"""),"Piston")</f>
        <v>Piston</v>
      </c>
      <c r="F2207" s="5">
        <f ca="1">IFERROR(__xludf.DUMMYFUNCTION("""COMPUTED_VALUE"""),1)</f>
        <v>1</v>
      </c>
    </row>
    <row r="2208" spans="1:6" ht="15" customHeight="1" x14ac:dyDescent="0.2">
      <c r="A2208" s="5" t="str">
        <f ca="1">IFERROR(__xludf.DUMMYFUNCTION("""COMPUTED_VALUE"""),"SF24")</f>
        <v>SF24</v>
      </c>
      <c r="B2208" s="5" t="str">
        <f ca="1">IFERROR(__xludf.DUMMYFUNCTION("""COMPUTED_VALUE"""),"SCHEIBE")</f>
        <v>SCHEIBE</v>
      </c>
      <c r="C2208" s="5" t="str">
        <f ca="1">IFERROR(__xludf.DUMMYFUNCTION("""COMPUTED_VALUE"""),"SF-24 Motorspatz")</f>
        <v>SF-24 Motorspatz</v>
      </c>
      <c r="D2208" s="5" t="str">
        <f ca="1">IFERROR(__xludf.DUMMYFUNCTION("""COMPUTED_VALUE"""),"LandPlane")</f>
        <v>LandPlane</v>
      </c>
      <c r="E2208" s="5" t="str">
        <f ca="1">IFERROR(__xludf.DUMMYFUNCTION("""COMPUTED_VALUE"""),"Piston")</f>
        <v>Piston</v>
      </c>
      <c r="F2208" s="5">
        <f ca="1">IFERROR(__xludf.DUMMYFUNCTION("""COMPUTED_VALUE"""),1)</f>
        <v>1</v>
      </c>
    </row>
    <row r="2209" spans="1:6" ht="15" customHeight="1" x14ac:dyDescent="0.2">
      <c r="A2209" s="5" t="str">
        <f ca="1">IFERROR(__xludf.DUMMYFUNCTION("""COMPUTED_VALUE"""),"SF25")</f>
        <v>SF25</v>
      </c>
      <c r="B2209" s="5" t="str">
        <f ca="1">IFERROR(__xludf.DUMMYFUNCTION("""COMPUTED_VALUE"""),"SCHEIBE")</f>
        <v>SCHEIBE</v>
      </c>
      <c r="C2209" s="5" t="str">
        <f ca="1">IFERROR(__xludf.DUMMYFUNCTION("""COMPUTED_VALUE"""),"SF-25 Falke")</f>
        <v>SF-25 Falke</v>
      </c>
      <c r="D2209" s="5" t="str">
        <f ca="1">IFERROR(__xludf.DUMMYFUNCTION("""COMPUTED_VALUE"""),"LandPlane")</f>
        <v>LandPlane</v>
      </c>
      <c r="E2209" s="5" t="str">
        <f ca="1">IFERROR(__xludf.DUMMYFUNCTION("""COMPUTED_VALUE"""),"Piston")</f>
        <v>Piston</v>
      </c>
      <c r="F2209" s="5">
        <f ca="1">IFERROR(__xludf.DUMMYFUNCTION("""COMPUTED_VALUE"""),1)</f>
        <v>1</v>
      </c>
    </row>
    <row r="2210" spans="1:6" ht="15" customHeight="1" x14ac:dyDescent="0.2">
      <c r="A2210" s="5" t="str">
        <f ca="1">IFERROR(__xludf.DUMMYFUNCTION("""COMPUTED_VALUE"""),"SF27")</f>
        <v>SF27</v>
      </c>
      <c r="B2210" s="5" t="str">
        <f ca="1">IFERROR(__xludf.DUMMYFUNCTION("""COMPUTED_VALUE"""),"SCHEIBE")</f>
        <v>SCHEIBE</v>
      </c>
      <c r="C2210" s="5" t="str">
        <f ca="1">IFERROR(__xludf.DUMMYFUNCTION("""COMPUTED_VALUE"""),"SF-27M")</f>
        <v>SF-27M</v>
      </c>
      <c r="D2210" s="5" t="str">
        <f ca="1">IFERROR(__xludf.DUMMYFUNCTION("""COMPUTED_VALUE"""),"LandPlane")</f>
        <v>LandPlane</v>
      </c>
      <c r="E2210" s="5" t="str">
        <f ca="1">IFERROR(__xludf.DUMMYFUNCTION("""COMPUTED_VALUE"""),"Piston")</f>
        <v>Piston</v>
      </c>
      <c r="F2210" s="5">
        <f ca="1">IFERROR(__xludf.DUMMYFUNCTION("""COMPUTED_VALUE"""),1)</f>
        <v>1</v>
      </c>
    </row>
    <row r="2211" spans="1:6" ht="15" customHeight="1" x14ac:dyDescent="0.2">
      <c r="A2211" s="5" t="str">
        <f ca="1">IFERROR(__xludf.DUMMYFUNCTION("""COMPUTED_VALUE"""),"SF28")</f>
        <v>SF28</v>
      </c>
      <c r="B2211" s="5" t="str">
        <f ca="1">IFERROR(__xludf.DUMMYFUNCTION("""COMPUTED_VALUE"""),"SCHEIBE")</f>
        <v>SCHEIBE</v>
      </c>
      <c r="C2211" s="5" t="str">
        <f ca="1">IFERROR(__xludf.DUMMYFUNCTION("""COMPUTED_VALUE"""),"SF-28 Tandem Falke")</f>
        <v>SF-28 Tandem Falke</v>
      </c>
      <c r="D2211" s="5" t="str">
        <f ca="1">IFERROR(__xludf.DUMMYFUNCTION("""COMPUTED_VALUE"""),"LandPlane")</f>
        <v>LandPlane</v>
      </c>
      <c r="E2211" s="5" t="str">
        <f ca="1">IFERROR(__xludf.DUMMYFUNCTION("""COMPUTED_VALUE"""),"Piston")</f>
        <v>Piston</v>
      </c>
      <c r="F2211" s="5">
        <f ca="1">IFERROR(__xludf.DUMMYFUNCTION("""COMPUTED_VALUE"""),1)</f>
        <v>1</v>
      </c>
    </row>
    <row r="2212" spans="1:6" ht="15" customHeight="1" x14ac:dyDescent="0.2">
      <c r="A2212" s="5" t="str">
        <f ca="1">IFERROR(__xludf.DUMMYFUNCTION("""COMPUTED_VALUE"""),"SF31")</f>
        <v>SF31</v>
      </c>
      <c r="B2212" s="5" t="str">
        <f ca="1">IFERROR(__xludf.DUMMYFUNCTION("""COMPUTED_VALUE"""),"SPORTAVIA-PUTZER")</f>
        <v>SPORTAVIA-PUTZER</v>
      </c>
      <c r="C2212" s="5" t="str">
        <f ca="1">IFERROR(__xludf.DUMMYFUNCTION("""COMPUTED_VALUE"""),"SFS-31 Milan")</f>
        <v>SFS-31 Milan</v>
      </c>
      <c r="D2212" s="5" t="str">
        <f ca="1">IFERROR(__xludf.DUMMYFUNCTION("""COMPUTED_VALUE"""),"LandPlane")</f>
        <v>LandPlane</v>
      </c>
      <c r="E2212" s="5" t="str">
        <f ca="1">IFERROR(__xludf.DUMMYFUNCTION("""COMPUTED_VALUE"""),"Piston")</f>
        <v>Piston</v>
      </c>
      <c r="F2212" s="5">
        <f ca="1">IFERROR(__xludf.DUMMYFUNCTION("""COMPUTED_VALUE"""),1)</f>
        <v>1</v>
      </c>
    </row>
    <row r="2213" spans="1:6" ht="15" customHeight="1" x14ac:dyDescent="0.2">
      <c r="A2213" s="5" t="str">
        <f ca="1">IFERROR(__xludf.DUMMYFUNCTION("""COMPUTED_VALUE"""),"SF32")</f>
        <v>SF32</v>
      </c>
      <c r="B2213" s="5" t="str">
        <f ca="1">IFERROR(__xludf.DUMMYFUNCTION("""COMPUTED_VALUE"""),"SCHEIBE")</f>
        <v>SCHEIBE</v>
      </c>
      <c r="C2213" s="5" t="str">
        <f ca="1">IFERROR(__xludf.DUMMYFUNCTION("""COMPUTED_VALUE"""),"SF-32")</f>
        <v>SF-32</v>
      </c>
      <c r="D2213" s="5" t="str">
        <f ca="1">IFERROR(__xludf.DUMMYFUNCTION("""COMPUTED_VALUE"""),"LandPlane")</f>
        <v>LandPlane</v>
      </c>
      <c r="E2213" s="5" t="str">
        <f ca="1">IFERROR(__xludf.DUMMYFUNCTION("""COMPUTED_VALUE"""),"Piston")</f>
        <v>Piston</v>
      </c>
      <c r="F2213" s="5">
        <f ca="1">IFERROR(__xludf.DUMMYFUNCTION("""COMPUTED_VALUE"""),1)</f>
        <v>1</v>
      </c>
    </row>
    <row r="2214" spans="1:6" ht="15" customHeight="1" x14ac:dyDescent="0.2">
      <c r="A2214" s="5" t="str">
        <f ca="1">IFERROR(__xludf.DUMMYFUNCTION("""COMPUTED_VALUE"""),"SF34")</f>
        <v>SF34</v>
      </c>
      <c r="B2214" s="5" t="str">
        <f ca="1">IFERROR(__xludf.DUMMYFUNCTION("""COMPUTED_VALUE"""),"SAAB")</f>
        <v>SAAB</v>
      </c>
      <c r="C2214" s="5" t="str">
        <f ca="1">IFERROR(__xludf.DUMMYFUNCTION("""COMPUTED_VALUE"""),"340")</f>
        <v>340</v>
      </c>
      <c r="D2214" s="5" t="str">
        <f ca="1">IFERROR(__xludf.DUMMYFUNCTION("""COMPUTED_VALUE"""),"LandPlane")</f>
        <v>LandPlane</v>
      </c>
      <c r="E2214" s="5" t="str">
        <f ca="1">IFERROR(__xludf.DUMMYFUNCTION("""COMPUTED_VALUE"""),"Turboprop/Turboshaft")</f>
        <v>Turboprop/Turboshaft</v>
      </c>
      <c r="F2214" s="5">
        <f ca="1">IFERROR(__xludf.DUMMYFUNCTION("""COMPUTED_VALUE"""),2)</f>
        <v>2</v>
      </c>
    </row>
    <row r="2215" spans="1:6" ht="15" customHeight="1" x14ac:dyDescent="0.2">
      <c r="A2215" s="5" t="str">
        <f ca="1">IFERROR(__xludf.DUMMYFUNCTION("""COMPUTED_VALUE"""),"SF35")</f>
        <v>SF35</v>
      </c>
      <c r="B2215" s="5" t="str">
        <f ca="1">IFERROR(__xludf.DUMMYFUNCTION("""COMPUTED_VALUE"""),"SCHEIBE")</f>
        <v>SCHEIBE</v>
      </c>
      <c r="C2215" s="5" t="str">
        <f ca="1">IFERROR(__xludf.DUMMYFUNCTION("""COMPUTED_VALUE"""),"SF-35")</f>
        <v>SF-35</v>
      </c>
      <c r="D2215" s="5" t="str">
        <f ca="1">IFERROR(__xludf.DUMMYFUNCTION("""COMPUTED_VALUE"""),"LandPlane")</f>
        <v>LandPlane</v>
      </c>
      <c r="E2215" s="5" t="str">
        <f ca="1">IFERROR(__xludf.DUMMYFUNCTION("""COMPUTED_VALUE"""),"Piston")</f>
        <v>Piston</v>
      </c>
      <c r="F2215" s="5">
        <f ca="1">IFERROR(__xludf.DUMMYFUNCTION("""COMPUTED_VALUE"""),1)</f>
        <v>1</v>
      </c>
    </row>
    <row r="2216" spans="1:6" ht="15" customHeight="1" x14ac:dyDescent="0.2">
      <c r="A2216" s="5" t="str">
        <f ca="1">IFERROR(__xludf.DUMMYFUNCTION("""COMPUTED_VALUE"""),"SF36")</f>
        <v>SF36</v>
      </c>
      <c r="B2216" s="5" t="str">
        <f ca="1">IFERROR(__xludf.DUMMYFUNCTION("""COMPUTED_VALUE"""),"SCHEIBE")</f>
        <v>SCHEIBE</v>
      </c>
      <c r="C2216" s="5" t="str">
        <f ca="1">IFERROR(__xludf.DUMMYFUNCTION("""COMPUTED_VALUE"""),"SF-36")</f>
        <v>SF-36</v>
      </c>
      <c r="D2216" s="5" t="str">
        <f ca="1">IFERROR(__xludf.DUMMYFUNCTION("""COMPUTED_VALUE"""),"LandPlane")</f>
        <v>LandPlane</v>
      </c>
      <c r="E2216" s="5" t="str">
        <f ca="1">IFERROR(__xludf.DUMMYFUNCTION("""COMPUTED_VALUE"""),"Piston")</f>
        <v>Piston</v>
      </c>
      <c r="F2216" s="5">
        <f ca="1">IFERROR(__xludf.DUMMYFUNCTION("""COMPUTED_VALUE"""),1)</f>
        <v>1</v>
      </c>
    </row>
    <row r="2217" spans="1:6" ht="15" customHeight="1" x14ac:dyDescent="0.2">
      <c r="A2217" s="5" t="str">
        <f ca="1">IFERROR(__xludf.DUMMYFUNCTION("""COMPUTED_VALUE"""),"SF50")</f>
        <v>SF50</v>
      </c>
      <c r="B2217" s="5" t="str">
        <f ca="1">IFERROR(__xludf.DUMMYFUNCTION("""COMPUTED_VALUE"""),"CIRRUS")</f>
        <v>CIRRUS</v>
      </c>
      <c r="C2217" s="5" t="str">
        <f ca="1">IFERROR(__xludf.DUMMYFUNCTION("""COMPUTED_VALUE"""),"SF-50 Vision")</f>
        <v>SF-50 Vision</v>
      </c>
      <c r="D2217" s="5" t="str">
        <f ca="1">IFERROR(__xludf.DUMMYFUNCTION("""COMPUTED_VALUE"""),"LandPlane")</f>
        <v>LandPlane</v>
      </c>
      <c r="E2217" s="5" t="str">
        <f ca="1">IFERROR(__xludf.DUMMYFUNCTION("""COMPUTED_VALUE"""),"Jet")</f>
        <v>Jet</v>
      </c>
      <c r="F2217" s="5">
        <f ca="1">IFERROR(__xludf.DUMMYFUNCTION("""COMPUTED_VALUE"""),1)</f>
        <v>1</v>
      </c>
    </row>
    <row r="2218" spans="1:6" ht="15" customHeight="1" x14ac:dyDescent="0.2">
      <c r="A2218" s="5" t="str">
        <f ca="1">IFERROR(__xludf.DUMMYFUNCTION("""COMPUTED_VALUE"""),"SG37")</f>
        <v>SG37</v>
      </c>
      <c r="B2218" s="5" t="str">
        <f ca="1">IFERROR(__xludf.DUMMYFUNCTION("""COMPUTED_VALUE"""),"SCHWEIZER")</f>
        <v>SCHWEIZER</v>
      </c>
      <c r="C2218" s="5" t="str">
        <f ca="1">IFERROR(__xludf.DUMMYFUNCTION("""COMPUTED_VALUE"""),"SGM-2-37")</f>
        <v>SGM-2-37</v>
      </c>
      <c r="D2218" s="5" t="str">
        <f ca="1">IFERROR(__xludf.DUMMYFUNCTION("""COMPUTED_VALUE"""),"LandPlane")</f>
        <v>LandPlane</v>
      </c>
      <c r="E2218" s="5" t="str">
        <f ca="1">IFERROR(__xludf.DUMMYFUNCTION("""COMPUTED_VALUE"""),"Piston")</f>
        <v>Piston</v>
      </c>
      <c r="F2218" s="5">
        <f ca="1">IFERROR(__xludf.DUMMYFUNCTION("""COMPUTED_VALUE"""),1)</f>
        <v>1</v>
      </c>
    </row>
    <row r="2219" spans="1:6" ht="15" customHeight="1" x14ac:dyDescent="0.2">
      <c r="A2219" s="5" t="str">
        <f ca="1">IFERROR(__xludf.DUMMYFUNCTION("""COMPUTED_VALUE"""),"SG70")</f>
        <v>SG70</v>
      </c>
      <c r="B2219" s="5" t="str">
        <f ca="1">IFERROR(__xludf.DUMMYFUNCTION("""COMPUTED_VALUE"""),"GLASS")</f>
        <v>GLASS</v>
      </c>
      <c r="C2219" s="5" t="str">
        <f ca="1">IFERROR(__xludf.DUMMYFUNCTION("""COMPUTED_VALUE"""),"SG-70 STOLGlass")</f>
        <v>SG-70 STOLGlass</v>
      </c>
      <c r="D2219" s="5" t="str">
        <f ca="1">IFERROR(__xludf.DUMMYFUNCTION("""COMPUTED_VALUE"""),"LandPlane")</f>
        <v>LandPlane</v>
      </c>
      <c r="E2219" s="5" t="str">
        <f ca="1">IFERROR(__xludf.DUMMYFUNCTION("""COMPUTED_VALUE"""),"Piston")</f>
        <v>Piston</v>
      </c>
      <c r="F2219" s="5">
        <f ca="1">IFERROR(__xludf.DUMMYFUNCTION("""COMPUTED_VALUE"""),1)</f>
        <v>1</v>
      </c>
    </row>
    <row r="2220" spans="1:6" ht="15" customHeight="1" x14ac:dyDescent="0.2">
      <c r="A2220" s="5" t="str">
        <f ca="1">IFERROR(__xludf.DUMMYFUNCTION("""COMPUTED_VALUE"""),"SG92")</f>
        <v>SG92</v>
      </c>
      <c r="B2220" s="5" t="str">
        <f ca="1">IFERROR(__xludf.DUMMYFUNCTION("""COMPUTED_VALUE"""),"TECHNOAVIA")</f>
        <v>TECHNOAVIA</v>
      </c>
      <c r="C2220" s="5" t="str">
        <f ca="1">IFERROR(__xludf.DUMMYFUNCTION("""COMPUTED_VALUE"""),"SMG-92 Turbo Finist")</f>
        <v>SMG-92 Turbo Finist</v>
      </c>
      <c r="D2220" s="5" t="str">
        <f ca="1">IFERROR(__xludf.DUMMYFUNCTION("""COMPUTED_VALUE"""),"LandPlane")</f>
        <v>LandPlane</v>
      </c>
      <c r="E2220" s="5" t="str">
        <f ca="1">IFERROR(__xludf.DUMMYFUNCTION("""COMPUTED_VALUE"""),"Turboprop/Turboshaft")</f>
        <v>Turboprop/Turboshaft</v>
      </c>
      <c r="F2220" s="5">
        <f ca="1">IFERROR(__xludf.DUMMYFUNCTION("""COMPUTED_VALUE"""),1)</f>
        <v>1</v>
      </c>
    </row>
    <row r="2221" spans="1:6" ht="15" customHeight="1" x14ac:dyDescent="0.2">
      <c r="A2221" s="5" t="str">
        <f ca="1">IFERROR(__xludf.DUMMYFUNCTION("""COMPUTED_VALUE"""),"SGRA")</f>
        <v>SGRA</v>
      </c>
      <c r="B2221" s="5" t="str">
        <f ca="1">IFERROR(__xludf.DUMMYFUNCTION("""COMPUTED_VALUE"""),"SG AVIATION")</f>
        <v>SG AVIATION</v>
      </c>
      <c r="C2221" s="5" t="str">
        <f ca="1">IFERROR(__xludf.DUMMYFUNCTION("""COMPUTED_VALUE"""),"Rally")</f>
        <v>Rally</v>
      </c>
      <c r="D2221" s="5" t="str">
        <f ca="1">IFERROR(__xludf.DUMMYFUNCTION("""COMPUTED_VALUE"""),"LandPlane")</f>
        <v>LandPlane</v>
      </c>
      <c r="E2221" s="5" t="str">
        <f ca="1">IFERROR(__xludf.DUMMYFUNCTION("""COMPUTED_VALUE"""),"Piston")</f>
        <v>Piston</v>
      </c>
      <c r="F2221" s="5">
        <f ca="1">IFERROR(__xludf.DUMMYFUNCTION("""COMPUTED_VALUE"""),1)</f>
        <v>1</v>
      </c>
    </row>
    <row r="2222" spans="1:6" ht="15" customHeight="1" x14ac:dyDescent="0.2">
      <c r="A2222" s="5" t="str">
        <f ca="1">IFERROR(__xludf.DUMMYFUNCTION("""COMPUTED_VALUE"""),"SGUP")</f>
        <v>SGUP</v>
      </c>
      <c r="B2222" s="5" t="str">
        <f ca="1">IFERROR(__xludf.DUMMYFUNCTION("""COMPUTED_VALUE"""),"AERO SPACELINES")</f>
        <v>AERO SPACELINES</v>
      </c>
      <c r="C2222" s="5" t="str">
        <f ca="1">IFERROR(__xludf.DUMMYFUNCTION("""COMPUTED_VALUE"""),"377SGT Super Guppy")</f>
        <v>377SGT Super Guppy</v>
      </c>
      <c r="D2222" s="5" t="str">
        <f ca="1">IFERROR(__xludf.DUMMYFUNCTION("""COMPUTED_VALUE"""),"LandPlane")</f>
        <v>LandPlane</v>
      </c>
      <c r="E2222" s="5" t="str">
        <f ca="1">IFERROR(__xludf.DUMMYFUNCTION("""COMPUTED_VALUE"""),"Turboprop/Turboshaft")</f>
        <v>Turboprop/Turboshaft</v>
      </c>
      <c r="F2222" s="5">
        <f ca="1">IFERROR(__xludf.DUMMYFUNCTION("""COMPUTED_VALUE"""),4)</f>
        <v>4</v>
      </c>
    </row>
    <row r="2223" spans="1:6" ht="15" customHeight="1" x14ac:dyDescent="0.2">
      <c r="A2223" s="5" t="str">
        <f ca="1">IFERROR(__xludf.DUMMYFUNCTION("""COMPUTED_VALUE"""),"SH33")</f>
        <v>SH33</v>
      </c>
      <c r="B2223" s="5" t="str">
        <f ca="1">IFERROR(__xludf.DUMMYFUNCTION("""COMPUTED_VALUE"""),"SHORT")</f>
        <v>SHORT</v>
      </c>
      <c r="C2223" s="5" t="str">
        <f ca="1">IFERROR(__xludf.DUMMYFUNCTION("""COMPUTED_VALUE"""),"330")</f>
        <v>330</v>
      </c>
      <c r="D2223" s="5" t="str">
        <f ca="1">IFERROR(__xludf.DUMMYFUNCTION("""COMPUTED_VALUE"""),"LandPlane")</f>
        <v>LandPlane</v>
      </c>
      <c r="E2223" s="5" t="str">
        <f ca="1">IFERROR(__xludf.DUMMYFUNCTION("""COMPUTED_VALUE"""),"Turboprop/Turboshaft")</f>
        <v>Turboprop/Turboshaft</v>
      </c>
      <c r="F2223" s="5">
        <f ca="1">IFERROR(__xludf.DUMMYFUNCTION("""COMPUTED_VALUE"""),2)</f>
        <v>2</v>
      </c>
    </row>
    <row r="2224" spans="1:6" ht="15" customHeight="1" x14ac:dyDescent="0.2">
      <c r="A2224" s="5" t="str">
        <f ca="1">IFERROR(__xludf.DUMMYFUNCTION("""COMPUTED_VALUE"""),"SH36")</f>
        <v>SH36</v>
      </c>
      <c r="B2224" s="5" t="str">
        <f ca="1">IFERROR(__xludf.DUMMYFUNCTION("""COMPUTED_VALUE"""),"SHORT")</f>
        <v>SHORT</v>
      </c>
      <c r="C2224" s="5" t="str">
        <f ca="1">IFERROR(__xludf.DUMMYFUNCTION("""COMPUTED_VALUE"""),"360")</f>
        <v>360</v>
      </c>
      <c r="D2224" s="5" t="str">
        <f ca="1">IFERROR(__xludf.DUMMYFUNCTION("""COMPUTED_VALUE"""),"LandPlane")</f>
        <v>LandPlane</v>
      </c>
      <c r="E2224" s="5" t="str">
        <f ca="1">IFERROR(__xludf.DUMMYFUNCTION("""COMPUTED_VALUE"""),"Turboprop/Turboshaft")</f>
        <v>Turboprop/Turboshaft</v>
      </c>
      <c r="F2224" s="5">
        <f ca="1">IFERROR(__xludf.DUMMYFUNCTION("""COMPUTED_VALUE"""),2)</f>
        <v>2</v>
      </c>
    </row>
    <row r="2225" spans="1:6" ht="15" customHeight="1" x14ac:dyDescent="0.2">
      <c r="A2225" s="5" t="str">
        <f ca="1">IFERROR(__xludf.DUMMYFUNCTION("""COMPUTED_VALUE"""),"SH4")</f>
        <v>SH4</v>
      </c>
      <c r="B2225" s="5" t="str">
        <f ca="1">IFERROR(__xludf.DUMMYFUNCTION("""COMPUTED_VALUE"""),"SILVERCRAFT")</f>
        <v>SILVERCRAFT</v>
      </c>
      <c r="C2225" s="5" t="str">
        <f ca="1">IFERROR(__xludf.DUMMYFUNCTION("""COMPUTED_VALUE"""),"SH-4")</f>
        <v>SH-4</v>
      </c>
      <c r="D2225" s="5" t="str">
        <f ca="1">IFERROR(__xludf.DUMMYFUNCTION("""COMPUTED_VALUE"""),"Helicopter")</f>
        <v>Helicopter</v>
      </c>
      <c r="E2225" s="5" t="str">
        <f ca="1">IFERROR(__xludf.DUMMYFUNCTION("""COMPUTED_VALUE"""),"Piston")</f>
        <v>Piston</v>
      </c>
      <c r="F2225" s="5">
        <f ca="1">IFERROR(__xludf.DUMMYFUNCTION("""COMPUTED_VALUE"""),1)</f>
        <v>1</v>
      </c>
    </row>
    <row r="2226" spans="1:6" ht="15" customHeight="1" x14ac:dyDescent="0.2">
      <c r="A2226" s="5" t="str">
        <f ca="1">IFERROR(__xludf.DUMMYFUNCTION("""COMPUTED_VALUE"""),"SH5")</f>
        <v>SH5</v>
      </c>
      <c r="B2226" s="5" t="str">
        <f ca="1">IFERROR(__xludf.DUMMYFUNCTION("""COMPUTED_VALUE"""),"HARBIN")</f>
        <v>HARBIN</v>
      </c>
      <c r="C2226" s="5" t="str">
        <f ca="1">IFERROR(__xludf.DUMMYFUNCTION("""COMPUTED_VALUE"""),"PS-5")</f>
        <v>PS-5</v>
      </c>
      <c r="D2226" s="5" t="str">
        <f ca="1">IFERROR(__xludf.DUMMYFUNCTION("""COMPUTED_VALUE"""),"SeaPlane")</f>
        <v>SeaPlane</v>
      </c>
      <c r="E2226" s="5" t="str">
        <f ca="1">IFERROR(__xludf.DUMMYFUNCTION("""COMPUTED_VALUE"""),"Turboprop/Turboshaft")</f>
        <v>Turboprop/Turboshaft</v>
      </c>
      <c r="F2226" s="5">
        <f ca="1">IFERROR(__xludf.DUMMYFUNCTION("""COMPUTED_VALUE"""),4)</f>
        <v>4</v>
      </c>
    </row>
    <row r="2227" spans="1:6" ht="15" customHeight="1" x14ac:dyDescent="0.2">
      <c r="A2227" s="5" t="str">
        <f ca="1">IFERROR(__xludf.DUMMYFUNCTION("""COMPUTED_VALUE"""),"SH5")</f>
        <v>SH5</v>
      </c>
      <c r="B2227" s="5" t="str">
        <f ca="1">IFERROR(__xludf.DUMMYFUNCTION("""COMPUTED_VALUE"""),"HARBIN")</f>
        <v>HARBIN</v>
      </c>
      <c r="C2227" s="5" t="str">
        <f ca="1">IFERROR(__xludf.DUMMYFUNCTION("""COMPUTED_VALUE"""),"SH-5")</f>
        <v>SH-5</v>
      </c>
      <c r="D2227" s="5" t="str">
        <f ca="1">IFERROR(__xludf.DUMMYFUNCTION("""COMPUTED_VALUE"""),"SeaPlane")</f>
        <v>SeaPlane</v>
      </c>
      <c r="E2227" s="5" t="str">
        <f ca="1">IFERROR(__xludf.DUMMYFUNCTION("""COMPUTED_VALUE"""),"Turboprop/Turboshaft")</f>
        <v>Turboprop/Turboshaft</v>
      </c>
      <c r="F2227" s="5">
        <f ca="1">IFERROR(__xludf.DUMMYFUNCTION("""COMPUTED_VALUE"""),4)</f>
        <v>4</v>
      </c>
    </row>
    <row r="2228" spans="1:6" ht="15" customHeight="1" x14ac:dyDescent="0.2">
      <c r="A2228" s="5" t="str">
        <f ca="1">IFERROR(__xludf.DUMMYFUNCTION("""COMPUTED_VALUE"""),"SHAC")</f>
        <v>SHAC</v>
      </c>
      <c r="B2228" s="5" t="str">
        <f ca="1">IFERROR(__xludf.DUMMYFUNCTION("""COMPUTED_VALUE"""),"AVRO")</f>
        <v>AVRO</v>
      </c>
      <c r="C2228" s="5" t="str">
        <f ca="1">IFERROR(__xludf.DUMMYFUNCTION("""COMPUTED_VALUE"""),"696 Shackleton")</f>
        <v>696 Shackleton</v>
      </c>
      <c r="D2228" s="5" t="str">
        <f ca="1">IFERROR(__xludf.DUMMYFUNCTION("""COMPUTED_VALUE"""),"LandPlane")</f>
        <v>LandPlane</v>
      </c>
      <c r="E2228" s="5" t="str">
        <f ca="1">IFERROR(__xludf.DUMMYFUNCTION("""COMPUTED_VALUE"""),"Piston")</f>
        <v>Piston</v>
      </c>
      <c r="F2228" s="5">
        <f ca="1">IFERROR(__xludf.DUMMYFUNCTION("""COMPUTED_VALUE"""),4)</f>
        <v>4</v>
      </c>
    </row>
    <row r="2229" spans="1:6" ht="15" customHeight="1" x14ac:dyDescent="0.2">
      <c r="A2229" s="5" t="str">
        <f ca="1">IFERROR(__xludf.DUMMYFUNCTION("""COMPUTED_VALUE"""),"SHAK")</f>
        <v>SHAK</v>
      </c>
      <c r="B2229" s="5" t="str">
        <f ca="1">IFERROR(__xludf.DUMMYFUNCTION("""COMPUTED_VALUE"""),"FREEDOM MASTER")</f>
        <v>FREEDOM MASTER</v>
      </c>
      <c r="C2229" s="5" t="str">
        <f ca="1">IFERROR(__xludf.DUMMYFUNCTION("""COMPUTED_VALUE"""),"FM-2 Air Shark")</f>
        <v>FM-2 Air Shark</v>
      </c>
      <c r="D2229" s="5" t="str">
        <f ca="1">IFERROR(__xludf.DUMMYFUNCTION("""COMPUTED_VALUE"""),"Amphibian")</f>
        <v>Amphibian</v>
      </c>
      <c r="E2229" s="5" t="str">
        <f ca="1">IFERROR(__xludf.DUMMYFUNCTION("""COMPUTED_VALUE"""),"Piston")</f>
        <v>Piston</v>
      </c>
      <c r="F2229" s="5">
        <f ca="1">IFERROR(__xludf.DUMMYFUNCTION("""COMPUTED_VALUE"""),1)</f>
        <v>1</v>
      </c>
    </row>
    <row r="2230" spans="1:6" ht="15" customHeight="1" x14ac:dyDescent="0.2">
      <c r="A2230" s="5" t="str">
        <f ca="1">IFERROR(__xludf.DUMMYFUNCTION("""COMPUTED_VALUE"""),"SHAW")</f>
        <v>SHAW</v>
      </c>
      <c r="B2230" s="5" t="str">
        <f ca="1">IFERROR(__xludf.DUMMYFUNCTION("""COMPUTED_VALUE"""),"HAWKER")</f>
        <v>HAWKER</v>
      </c>
      <c r="C2230" s="5" t="str">
        <f ca="1">IFERROR(__xludf.DUMMYFUNCTION("""COMPUTED_VALUE"""),"Sea Hawk")</f>
        <v>Sea Hawk</v>
      </c>
      <c r="D2230" s="5" t="str">
        <f ca="1">IFERROR(__xludf.DUMMYFUNCTION("""COMPUTED_VALUE"""),"LandPlane")</f>
        <v>LandPlane</v>
      </c>
      <c r="E2230" s="5" t="str">
        <f ca="1">IFERROR(__xludf.DUMMYFUNCTION("""COMPUTED_VALUE"""),"Jet")</f>
        <v>Jet</v>
      </c>
      <c r="F2230" s="5">
        <f ca="1">IFERROR(__xludf.DUMMYFUNCTION("""COMPUTED_VALUE"""),1)</f>
        <v>1</v>
      </c>
    </row>
    <row r="2231" spans="1:6" ht="15" customHeight="1" x14ac:dyDescent="0.2">
      <c r="A2231" s="5" t="str">
        <f ca="1">IFERROR(__xludf.DUMMYFUNCTION("""COMPUTED_VALUE"""),"SHEA")</f>
        <v>SHEA</v>
      </c>
      <c r="B2231" s="5" t="str">
        <f ca="1">IFERROR(__xludf.DUMMYFUNCTION("""COMPUTED_VALUE"""),"SEAFLIGHT")</f>
        <v>SEAFLIGHT</v>
      </c>
      <c r="C2231" s="5" t="str">
        <f ca="1">IFERROR(__xludf.DUMMYFUNCTION("""COMPUTED_VALUE"""),"Shearwater")</f>
        <v>Shearwater</v>
      </c>
      <c r="D2231" s="5" t="str">
        <f ca="1">IFERROR(__xludf.DUMMYFUNCTION("""COMPUTED_VALUE"""),"Amphibian")</f>
        <v>Amphibian</v>
      </c>
      <c r="E2231" s="5" t="str">
        <f ca="1">IFERROR(__xludf.DUMMYFUNCTION("""COMPUTED_VALUE"""),"Piston")</f>
        <v>Piston</v>
      </c>
      <c r="F2231" s="5">
        <f ca="1">IFERROR(__xludf.DUMMYFUNCTION("""COMPUTED_VALUE"""),1)</f>
        <v>1</v>
      </c>
    </row>
    <row r="2232" spans="1:6" ht="15" customHeight="1" x14ac:dyDescent="0.2">
      <c r="A2232" s="5" t="str">
        <f ca="1">IFERROR(__xludf.DUMMYFUNCTION("""COMPUTED_VALUE"""),"SHEK")</f>
        <v>SHEK</v>
      </c>
      <c r="B2232" s="5" t="str">
        <f ca="1">IFERROR(__xludf.DUMMYFUNCTION("""COMPUTED_VALUE"""),"RANS")</f>
        <v>RANS</v>
      </c>
      <c r="C2232" s="5" t="str">
        <f ca="1">IFERROR(__xludf.DUMMYFUNCTION("""COMPUTED_VALUE"""),"S-16 Shekari")</f>
        <v>S-16 Shekari</v>
      </c>
      <c r="D2232" s="5" t="str">
        <f ca="1">IFERROR(__xludf.DUMMYFUNCTION("""COMPUTED_VALUE"""),"LandPlane")</f>
        <v>LandPlane</v>
      </c>
      <c r="E2232" s="5" t="str">
        <f ca="1">IFERROR(__xludf.DUMMYFUNCTION("""COMPUTED_VALUE"""),"Piston")</f>
        <v>Piston</v>
      </c>
      <c r="F2232" s="5">
        <f ca="1">IFERROR(__xludf.DUMMYFUNCTION("""COMPUTED_VALUE"""),1)</f>
        <v>1</v>
      </c>
    </row>
    <row r="2233" spans="1:6" ht="15" customHeight="1" x14ac:dyDescent="0.2">
      <c r="A2233" s="5" t="str">
        <f ca="1">IFERROR(__xludf.DUMMYFUNCTION("""COMPUTED_VALUE"""),"SHOE")</f>
        <v>SHOE</v>
      </c>
      <c r="B2233" s="5" t="str">
        <f ca="1">IFERROR(__xludf.DUMMYFUNCTION("""COMPUTED_VALUE"""),"MERCURY")</f>
        <v>MERCURY</v>
      </c>
      <c r="C2233" s="5" t="str">
        <f ca="1">IFERROR(__xludf.DUMMYFUNCTION("""COMPUTED_VALUE"""),"Shoestring")</f>
        <v>Shoestring</v>
      </c>
      <c r="D2233" s="5" t="str">
        <f ca="1">IFERROR(__xludf.DUMMYFUNCTION("""COMPUTED_VALUE"""),"LandPlane")</f>
        <v>LandPlane</v>
      </c>
      <c r="E2233" s="5" t="str">
        <f ca="1">IFERROR(__xludf.DUMMYFUNCTION("""COMPUTED_VALUE"""),"Piston")</f>
        <v>Piston</v>
      </c>
      <c r="F2233" s="5">
        <f ca="1">IFERROR(__xludf.DUMMYFUNCTION("""COMPUTED_VALUE"""),1)</f>
        <v>1</v>
      </c>
    </row>
    <row r="2234" spans="1:6" ht="15" customHeight="1" x14ac:dyDescent="0.2">
      <c r="A2234" s="5" t="str">
        <f ca="1">IFERROR(__xludf.DUMMYFUNCTION("""COMPUTED_VALUE"""),"SHOP")</f>
        <v>SHOP</v>
      </c>
      <c r="B2234" s="5" t="str">
        <f ca="1">IFERROR(__xludf.DUMMYFUNCTION("""COMPUTED_VALUE"""),"SALVAY-STARK")</f>
        <v>SALVAY-STARK</v>
      </c>
      <c r="C2234" s="5" t="str">
        <f ca="1">IFERROR(__xludf.DUMMYFUNCTION("""COMPUTED_VALUE"""),"Skyhopper")</f>
        <v>Skyhopper</v>
      </c>
      <c r="D2234" s="5" t="str">
        <f ca="1">IFERROR(__xludf.DUMMYFUNCTION("""COMPUTED_VALUE"""),"LandPlane")</f>
        <v>LandPlane</v>
      </c>
      <c r="E2234" s="5" t="str">
        <f ca="1">IFERROR(__xludf.DUMMYFUNCTION("""COMPUTED_VALUE"""),"Piston")</f>
        <v>Piston</v>
      </c>
      <c r="F2234" s="5">
        <f ca="1">IFERROR(__xludf.DUMMYFUNCTION("""COMPUTED_VALUE"""),1)</f>
        <v>1</v>
      </c>
    </row>
    <row r="2235" spans="1:6" ht="15" customHeight="1" x14ac:dyDescent="0.2">
      <c r="A2235" s="5" t="str">
        <f ca="1">IFERROR(__xludf.DUMMYFUNCTION("""COMPUTED_VALUE"""),"SHOR")</f>
        <v>SHOR</v>
      </c>
      <c r="B2235" s="5" t="str">
        <f ca="1">IFERROR(__xludf.DUMMYFUNCTION("""COMPUTED_VALUE"""),"HIGHER CLASS")</f>
        <v>HIGHER CLASS</v>
      </c>
      <c r="C2235" s="5" t="str">
        <f ca="1">IFERROR(__xludf.DUMMYFUNCTION("""COMPUTED_VALUE"""),"Super Hornet")</f>
        <v>Super Hornet</v>
      </c>
      <c r="D2235" s="5" t="str">
        <f ca="1">IFERROR(__xludf.DUMMYFUNCTION("""COMPUTED_VALUE"""),"LandPlane")</f>
        <v>LandPlane</v>
      </c>
      <c r="E2235" s="5" t="str">
        <f ca="1">IFERROR(__xludf.DUMMYFUNCTION("""COMPUTED_VALUE"""),"Piston")</f>
        <v>Piston</v>
      </c>
      <c r="F2235" s="5">
        <f ca="1">IFERROR(__xludf.DUMMYFUNCTION("""COMPUTED_VALUE"""),1)</f>
        <v>1</v>
      </c>
    </row>
    <row r="2236" spans="1:6" ht="15" customHeight="1" x14ac:dyDescent="0.2">
      <c r="A2236" s="5" t="str">
        <f ca="1">IFERROR(__xludf.DUMMYFUNCTION("""COMPUTED_VALUE"""),"SHRK")</f>
        <v>SHRK</v>
      </c>
      <c r="B2236" s="5" t="str">
        <f ca="1">IFERROR(__xludf.DUMMYFUNCTION("""COMPUTED_VALUE"""),"SHARK AERO")</f>
        <v>SHARK AERO</v>
      </c>
      <c r="C2236" s="5" t="str">
        <f ca="1">IFERROR(__xludf.DUMMYFUNCTION("""COMPUTED_VALUE"""),"Shark")</f>
        <v>Shark</v>
      </c>
      <c r="D2236" s="5" t="str">
        <f ca="1">IFERROR(__xludf.DUMMYFUNCTION("""COMPUTED_VALUE"""),"LandPlane")</f>
        <v>LandPlane</v>
      </c>
      <c r="E2236" s="5" t="str">
        <f ca="1">IFERROR(__xludf.DUMMYFUNCTION("""COMPUTED_VALUE"""),"Piston")</f>
        <v>Piston</v>
      </c>
      <c r="F2236" s="5">
        <f ca="1">IFERROR(__xludf.DUMMYFUNCTION("""COMPUTED_VALUE"""),1)</f>
        <v>1</v>
      </c>
    </row>
    <row r="2237" spans="1:6" ht="15" customHeight="1" x14ac:dyDescent="0.2">
      <c r="A2237" s="5" t="str">
        <f ca="1">IFERROR(__xludf.DUMMYFUNCTION("""COMPUTED_VALUE"""),"SHRT")</f>
        <v>SHRT</v>
      </c>
      <c r="B2237" s="5" t="str">
        <f ca="1">IFERROR(__xludf.DUMMYFUNCTION("""COMPUTED_VALUE"""),"SHERPA")</f>
        <v>SHERPA</v>
      </c>
      <c r="C2237" s="5" t="str">
        <f ca="1">IFERROR(__xludf.DUMMYFUNCTION("""COMPUTED_VALUE"""),"Sherpa K-650T")</f>
        <v>Sherpa K-650T</v>
      </c>
      <c r="D2237" s="5" t="str">
        <f ca="1">IFERROR(__xludf.DUMMYFUNCTION("""COMPUTED_VALUE"""),"LandPlane")</f>
        <v>LandPlane</v>
      </c>
      <c r="E2237" s="5" t="str">
        <f ca="1">IFERROR(__xludf.DUMMYFUNCTION("""COMPUTED_VALUE"""),"Turboprop/Turboshaft")</f>
        <v>Turboprop/Turboshaft</v>
      </c>
      <c r="F2237" s="5">
        <f ca="1">IFERROR(__xludf.DUMMYFUNCTION("""COMPUTED_VALUE"""),1)</f>
        <v>1</v>
      </c>
    </row>
    <row r="2238" spans="1:6" ht="15" customHeight="1" x14ac:dyDescent="0.2">
      <c r="A2238" s="5" t="str">
        <f ca="1">IFERROR(__xludf.DUMMYFUNCTION("""COMPUTED_VALUE"""),"SIDE")</f>
        <v>SIDE</v>
      </c>
      <c r="B2238" s="5" t="str">
        <f ca="1">IFERROR(__xludf.DUMMYFUNCTION("""COMPUTED_VALUE"""),"SMYTH")</f>
        <v>SMYTH</v>
      </c>
      <c r="C2238" s="5" t="str">
        <f ca="1">IFERROR(__xludf.DUMMYFUNCTION("""COMPUTED_VALUE"""),"Sidewinder")</f>
        <v>Sidewinder</v>
      </c>
      <c r="D2238" s="5" t="str">
        <f ca="1">IFERROR(__xludf.DUMMYFUNCTION("""COMPUTED_VALUE"""),"LandPlane")</f>
        <v>LandPlane</v>
      </c>
      <c r="E2238" s="5" t="str">
        <f ca="1">IFERROR(__xludf.DUMMYFUNCTION("""COMPUTED_VALUE"""),"Piston")</f>
        <v>Piston</v>
      </c>
      <c r="F2238" s="5">
        <f ca="1">IFERROR(__xludf.DUMMYFUNCTION("""COMPUTED_VALUE"""),1)</f>
        <v>1</v>
      </c>
    </row>
    <row r="2239" spans="1:6" ht="15" customHeight="1" x14ac:dyDescent="0.2">
      <c r="A2239" s="5" t="str">
        <f ca="1">IFERROR(__xludf.DUMMYFUNCTION("""COMPUTED_VALUE"""),"SIGM")</f>
        <v>SIGM</v>
      </c>
      <c r="B2239" s="5" t="str">
        <f ca="1">IFERROR(__xludf.DUMMYFUNCTION("""COMPUTED_VALUE"""),"ELITAR")</f>
        <v>ELITAR</v>
      </c>
      <c r="C2239" s="5" t="str">
        <f ca="1">IFERROR(__xludf.DUMMYFUNCTION("""COMPUTED_VALUE"""),"Sigma")</f>
        <v>Sigma</v>
      </c>
      <c r="D2239" s="5" t="str">
        <f ca="1">IFERROR(__xludf.DUMMYFUNCTION("""COMPUTED_VALUE"""),"LandPlane")</f>
        <v>LandPlane</v>
      </c>
      <c r="E2239" s="5" t="str">
        <f ca="1">IFERROR(__xludf.DUMMYFUNCTION("""COMPUTED_VALUE"""),"Piston")</f>
        <v>Piston</v>
      </c>
      <c r="F2239" s="5">
        <f ca="1">IFERROR(__xludf.DUMMYFUNCTION("""COMPUTED_VALUE"""),1)</f>
        <v>1</v>
      </c>
    </row>
    <row r="2240" spans="1:6" ht="15" customHeight="1" x14ac:dyDescent="0.2">
      <c r="A2240" s="5" t="str">
        <f ca="1">IFERROR(__xludf.DUMMYFUNCTION("""COMPUTED_VALUE"""),"SILH")</f>
        <v>SILH</v>
      </c>
      <c r="B2240" s="5" t="str">
        <f ca="1">IFERROR(__xludf.DUMMYFUNCTION("""COMPUTED_VALUE"""),"SILHOUETTE")</f>
        <v>SILHOUETTE</v>
      </c>
      <c r="C2240" s="5" t="str">
        <f ca="1">IFERROR(__xludf.DUMMYFUNCTION("""COMPUTED_VALUE"""),"SA-60 Silhouette")</f>
        <v>SA-60 Silhouette</v>
      </c>
      <c r="D2240" s="5" t="str">
        <f ca="1">IFERROR(__xludf.DUMMYFUNCTION("""COMPUTED_VALUE"""),"LandPlane")</f>
        <v>LandPlane</v>
      </c>
      <c r="E2240" s="5" t="str">
        <f ca="1">IFERROR(__xludf.DUMMYFUNCTION("""COMPUTED_VALUE"""),"Piston")</f>
        <v>Piston</v>
      </c>
      <c r="F2240" s="5">
        <f ca="1">IFERROR(__xludf.DUMMYFUNCTION("""COMPUTED_VALUE"""),1)</f>
        <v>1</v>
      </c>
    </row>
    <row r="2241" spans="1:6" ht="15" customHeight="1" x14ac:dyDescent="0.2">
      <c r="A2241" s="5" t="str">
        <f ca="1">IFERROR(__xludf.DUMMYFUNCTION("""COMPUTED_VALUE"""),"SIR2")</f>
        <v>SIR2</v>
      </c>
      <c r="B2241" s="5" t="str">
        <f ca="1">IFERROR(__xludf.DUMMYFUNCTION("""COMPUTED_VALUE"""),"RHEIN")</f>
        <v>RHEIN</v>
      </c>
      <c r="C2241" s="5" t="str">
        <f ca="1">IFERROR(__xludf.DUMMYFUNCTION("""COMPUTED_VALUE"""),"Sirius 2")</f>
        <v>Sirius 2</v>
      </c>
      <c r="D2241" s="5" t="str">
        <f ca="1">IFERROR(__xludf.DUMMYFUNCTION("""COMPUTED_VALUE"""),"LandPlane")</f>
        <v>LandPlane</v>
      </c>
      <c r="E2241" s="5" t="str">
        <f ca="1">IFERROR(__xludf.DUMMYFUNCTION("""COMPUTED_VALUE"""),"Piston")</f>
        <v>Piston</v>
      </c>
      <c r="F2241" s="5">
        <f ca="1">IFERROR(__xludf.DUMMYFUNCTION("""COMPUTED_VALUE"""),1)</f>
        <v>1</v>
      </c>
    </row>
    <row r="2242" spans="1:6" ht="15" customHeight="1" x14ac:dyDescent="0.2">
      <c r="A2242" s="5" t="str">
        <f ca="1">IFERROR(__xludf.DUMMYFUNCTION("""COMPUTED_VALUE"""),"SIRA")</f>
        <v>SIRA</v>
      </c>
      <c r="B2242" s="5" t="str">
        <f ca="1">IFERROR(__xludf.DUMMYFUNCTION("""COMPUTED_VALUE"""),"TECNAM")</f>
        <v>TECNAM</v>
      </c>
      <c r="C2242" s="5" t="str">
        <f ca="1">IFERROR(__xludf.DUMMYFUNCTION("""COMPUTED_VALUE"""),"P-2002 Sierra")</f>
        <v>P-2002 Sierra</v>
      </c>
      <c r="D2242" s="5" t="str">
        <f ca="1">IFERROR(__xludf.DUMMYFUNCTION("""COMPUTED_VALUE"""),"LandPlane")</f>
        <v>LandPlane</v>
      </c>
      <c r="E2242" s="5" t="str">
        <f ca="1">IFERROR(__xludf.DUMMYFUNCTION("""COMPUTED_VALUE"""),"Piston")</f>
        <v>Piston</v>
      </c>
      <c r="F2242" s="5">
        <f ca="1">IFERROR(__xludf.DUMMYFUNCTION("""COMPUTED_VALUE"""),1)</f>
        <v>1</v>
      </c>
    </row>
    <row r="2243" spans="1:6" ht="15" customHeight="1" x14ac:dyDescent="0.2">
      <c r="A2243" s="5" t="str">
        <f ca="1">IFERROR(__xludf.DUMMYFUNCTION("""COMPUTED_VALUE"""),"SJ30")</f>
        <v>SJ30</v>
      </c>
      <c r="B2243" s="5" t="str">
        <f ca="1">IFERROR(__xludf.DUMMYFUNCTION("""COMPUTED_VALUE"""),"SINO SWEARINGEN")</f>
        <v>SINO SWEARINGEN</v>
      </c>
      <c r="C2243" s="5" t="str">
        <f ca="1">IFERROR(__xludf.DUMMYFUNCTION("""COMPUTED_VALUE"""),"SJ-30")</f>
        <v>SJ-30</v>
      </c>
      <c r="D2243" s="5" t="str">
        <f ca="1">IFERROR(__xludf.DUMMYFUNCTION("""COMPUTED_VALUE"""),"LandPlane")</f>
        <v>LandPlane</v>
      </c>
      <c r="E2243" s="5" t="str">
        <f ca="1">IFERROR(__xludf.DUMMYFUNCTION("""COMPUTED_VALUE"""),"Jet")</f>
        <v>Jet</v>
      </c>
      <c r="F2243" s="5">
        <f ca="1">IFERROR(__xludf.DUMMYFUNCTION("""COMPUTED_VALUE"""),2)</f>
        <v>2</v>
      </c>
    </row>
    <row r="2244" spans="1:6" ht="15" customHeight="1" x14ac:dyDescent="0.2">
      <c r="A2244" s="5" t="str">
        <f ca="1">IFERROR(__xludf.DUMMYFUNCTION("""COMPUTED_VALUE"""),"SK10")</f>
        <v>SK10</v>
      </c>
      <c r="B2244" s="5" t="str">
        <f ca="1">IFERROR(__xludf.DUMMYFUNCTION("""COMPUTED_VALUE"""),"SKYETON")</f>
        <v>SKYETON</v>
      </c>
      <c r="C2244" s="5" t="str">
        <f ca="1">IFERROR(__xludf.DUMMYFUNCTION("""COMPUTED_VALUE"""),"K-10 Swift")</f>
        <v>K-10 Swift</v>
      </c>
      <c r="D2244" s="5" t="str">
        <f ca="1">IFERROR(__xludf.DUMMYFUNCTION("""COMPUTED_VALUE"""),"LandPlane")</f>
        <v>LandPlane</v>
      </c>
      <c r="E2244" s="5" t="str">
        <f ca="1">IFERROR(__xludf.DUMMYFUNCTION("""COMPUTED_VALUE"""),"Piston")</f>
        <v>Piston</v>
      </c>
      <c r="F2244" s="5">
        <f ca="1">IFERROR(__xludf.DUMMYFUNCTION("""COMPUTED_VALUE"""),1)</f>
        <v>1</v>
      </c>
    </row>
    <row r="2245" spans="1:6" ht="15" customHeight="1" x14ac:dyDescent="0.2">
      <c r="A2245" s="5" t="str">
        <f ca="1">IFERROR(__xludf.DUMMYFUNCTION("""COMPUTED_VALUE"""),"SK70")</f>
        <v>SK70</v>
      </c>
      <c r="B2245" s="5" t="str">
        <f ca="1">IFERROR(__xludf.DUMMYFUNCTION("""COMPUTED_VALUE"""),"STARKRAFT")</f>
        <v>STARKRAFT</v>
      </c>
      <c r="C2245" s="5" t="str">
        <f ca="1">IFERROR(__xludf.DUMMYFUNCTION("""COMPUTED_VALUE"""),"SK-700")</f>
        <v>SK-700</v>
      </c>
      <c r="D2245" s="5" t="str">
        <f ca="1">IFERROR(__xludf.DUMMYFUNCTION("""COMPUTED_VALUE"""),"LandPlane")</f>
        <v>LandPlane</v>
      </c>
      <c r="E2245" s="5" t="str">
        <f ca="1">IFERROR(__xludf.DUMMYFUNCTION("""COMPUTED_VALUE"""),"Piston")</f>
        <v>Piston</v>
      </c>
      <c r="F2245" s="5">
        <f ca="1">IFERROR(__xludf.DUMMYFUNCTION("""COMPUTED_VALUE"""),2)</f>
        <v>2</v>
      </c>
    </row>
    <row r="2246" spans="1:6" ht="15" customHeight="1" x14ac:dyDescent="0.2">
      <c r="A2246" s="5" t="str">
        <f ca="1">IFERROR(__xludf.DUMMYFUNCTION("""COMPUTED_VALUE"""),"SKAR")</f>
        <v>SKAR</v>
      </c>
      <c r="B2246" s="5" t="str">
        <f ca="1">IFERROR(__xludf.DUMMYFUNCTION("""COMPUTED_VALUE"""),"III")</f>
        <v>III</v>
      </c>
      <c r="C2246" s="5" t="str">
        <f ca="1">IFERROR(__xludf.DUMMYFUNCTION("""COMPUTED_VALUE"""),"Sky Arrow")</f>
        <v>Sky Arrow</v>
      </c>
      <c r="D2246" s="5" t="str">
        <f ca="1">IFERROR(__xludf.DUMMYFUNCTION("""COMPUTED_VALUE"""),"LandPlane")</f>
        <v>LandPlane</v>
      </c>
      <c r="E2246" s="5" t="str">
        <f ca="1">IFERROR(__xludf.DUMMYFUNCTION("""COMPUTED_VALUE"""),"Piston")</f>
        <v>Piston</v>
      </c>
      <c r="F2246" s="5">
        <f ca="1">IFERROR(__xludf.DUMMYFUNCTION("""COMPUTED_VALUE"""),1)</f>
        <v>1</v>
      </c>
    </row>
    <row r="2247" spans="1:6" ht="15" customHeight="1" x14ac:dyDescent="0.2">
      <c r="A2247" s="5" t="str">
        <f ca="1">IFERROR(__xludf.DUMMYFUNCTION("""COMPUTED_VALUE"""),"SKIF")</f>
        <v>SKIF</v>
      </c>
      <c r="B2247" s="5" t="str">
        <f ca="1">IFERROR(__xludf.DUMMYFUNCTION("""COMPUTED_VALUE"""),"AEROLITES")</f>
        <v>AEROLITES</v>
      </c>
      <c r="C2247" s="5" t="str">
        <f ca="1">IFERROR(__xludf.DUMMYFUNCTION("""COMPUTED_VALUE"""),"AeroSkiff")</f>
        <v>AeroSkiff</v>
      </c>
      <c r="D2247" s="5" t="str">
        <f ca="1">IFERROR(__xludf.DUMMYFUNCTION("""COMPUTED_VALUE"""),"Amphibian")</f>
        <v>Amphibian</v>
      </c>
      <c r="E2247" s="5" t="str">
        <f ca="1">IFERROR(__xludf.DUMMYFUNCTION("""COMPUTED_VALUE"""),"Piston")</f>
        <v>Piston</v>
      </c>
      <c r="F2247" s="5">
        <f ca="1">IFERROR(__xludf.DUMMYFUNCTION("""COMPUTED_VALUE"""),1)</f>
        <v>1</v>
      </c>
    </row>
    <row r="2248" spans="1:6" ht="15" customHeight="1" x14ac:dyDescent="0.2">
      <c r="A2248" s="5" t="str">
        <f ca="1">IFERROR(__xludf.DUMMYFUNCTION("""COMPUTED_VALUE"""),"SKIM")</f>
        <v>SKIM</v>
      </c>
      <c r="B2248" s="5" t="str">
        <f ca="1">IFERROR(__xludf.DUMMYFUNCTION("""COMPUTED_VALUE"""),"COLONIAL")</f>
        <v>COLONIAL</v>
      </c>
      <c r="C2248" s="5" t="str">
        <f ca="1">IFERROR(__xludf.DUMMYFUNCTION("""COMPUTED_VALUE"""),"C-1 Skimmer")</f>
        <v>C-1 Skimmer</v>
      </c>
      <c r="D2248" s="5" t="str">
        <f ca="1">IFERROR(__xludf.DUMMYFUNCTION("""COMPUTED_VALUE"""),"Amphibian")</f>
        <v>Amphibian</v>
      </c>
      <c r="E2248" s="5" t="str">
        <f ca="1">IFERROR(__xludf.DUMMYFUNCTION("""COMPUTED_VALUE"""),"Piston")</f>
        <v>Piston</v>
      </c>
      <c r="F2248" s="5">
        <f ca="1">IFERROR(__xludf.DUMMYFUNCTION("""COMPUTED_VALUE"""),1)</f>
        <v>1</v>
      </c>
    </row>
    <row r="2249" spans="1:6" ht="15" customHeight="1" x14ac:dyDescent="0.2">
      <c r="A2249" s="5" t="str">
        <f ca="1">IFERROR(__xludf.DUMMYFUNCTION("""COMPUTED_VALUE"""),"SKRA")</f>
        <v>SKRA</v>
      </c>
      <c r="B2249" s="5" t="str">
        <f ca="1">IFERROR(__xludf.DUMMYFUNCTION("""COMPUTED_VALUE"""),"BEST OFF")</f>
        <v>BEST OFF</v>
      </c>
      <c r="C2249" s="5" t="str">
        <f ca="1">IFERROR(__xludf.DUMMYFUNCTION("""COMPUTED_VALUE"""),"Sky Ranger")</f>
        <v>Sky Ranger</v>
      </c>
      <c r="D2249" s="5" t="str">
        <f ca="1">IFERROR(__xludf.DUMMYFUNCTION("""COMPUTED_VALUE"""),"LandPlane")</f>
        <v>LandPlane</v>
      </c>
      <c r="E2249" s="5" t="str">
        <f ca="1">IFERROR(__xludf.DUMMYFUNCTION("""COMPUTED_VALUE"""),"Piston")</f>
        <v>Piston</v>
      </c>
      <c r="F2249" s="5">
        <f ca="1">IFERROR(__xludf.DUMMYFUNCTION("""COMPUTED_VALUE"""),1)</f>
        <v>1</v>
      </c>
    </row>
    <row r="2250" spans="1:6" ht="15" customHeight="1" x14ac:dyDescent="0.2">
      <c r="A2250" s="5" t="str">
        <f ca="1">IFERROR(__xludf.DUMMYFUNCTION("""COMPUTED_VALUE"""),"SKYC")</f>
        <v>SKYC</v>
      </c>
      <c r="B2250" s="5" t="str">
        <f ca="1">IFERROR(__xludf.DUMMYFUNCTION("""COMPUTED_VALUE"""),"OMA SUD")</f>
        <v>OMA SUD</v>
      </c>
      <c r="C2250" s="5" t="str">
        <f ca="1">IFERROR(__xludf.DUMMYFUNCTION("""COMPUTED_VALUE"""),"Skycar")</f>
        <v>Skycar</v>
      </c>
      <c r="D2250" s="5" t="str">
        <f ca="1">IFERROR(__xludf.DUMMYFUNCTION("""COMPUTED_VALUE"""),"LandPlane")</f>
        <v>LandPlane</v>
      </c>
      <c r="E2250" s="5" t="str">
        <f ca="1">IFERROR(__xludf.DUMMYFUNCTION("""COMPUTED_VALUE"""),"Piston")</f>
        <v>Piston</v>
      </c>
      <c r="F2250" s="5">
        <f ca="1">IFERROR(__xludf.DUMMYFUNCTION("""COMPUTED_VALUE"""),2)</f>
        <v>2</v>
      </c>
    </row>
    <row r="2251" spans="1:6" ht="15" customHeight="1" x14ac:dyDescent="0.2">
      <c r="A2251" s="5" t="str">
        <f ca="1">IFERROR(__xludf.DUMMYFUNCTION("""COMPUTED_VALUE"""),"SKYO")</f>
        <v>SKYO</v>
      </c>
      <c r="B2251" s="5" t="str">
        <f ca="1">IFERROR(__xludf.DUMMYFUNCTION("""COMPUTED_VALUE"""),"SKYOTE AEROMARINE")</f>
        <v>SKYOTE AEROMARINE</v>
      </c>
      <c r="C2251" s="5" t="str">
        <f ca="1">IFERROR(__xludf.DUMMYFUNCTION("""COMPUTED_VALUE"""),"Skyote")</f>
        <v>Skyote</v>
      </c>
      <c r="D2251" s="5" t="str">
        <f ca="1">IFERROR(__xludf.DUMMYFUNCTION("""COMPUTED_VALUE"""),"LandPlane")</f>
        <v>LandPlane</v>
      </c>
      <c r="E2251" s="5" t="str">
        <f ca="1">IFERROR(__xludf.DUMMYFUNCTION("""COMPUTED_VALUE"""),"Piston")</f>
        <v>Piston</v>
      </c>
      <c r="F2251" s="5">
        <f ca="1">IFERROR(__xludf.DUMMYFUNCTION("""COMPUTED_VALUE"""),1)</f>
        <v>1</v>
      </c>
    </row>
    <row r="2252" spans="1:6" ht="15" customHeight="1" x14ac:dyDescent="0.2">
      <c r="A2252" s="5" t="str">
        <f ca="1">IFERROR(__xludf.DUMMYFUNCTION("""COMPUTED_VALUE"""),"SKYR")</f>
        <v>SKYR</v>
      </c>
      <c r="B2252" s="5" t="str">
        <f ca="1">IFERROR(__xludf.DUMMYFUNCTION("""COMPUTED_VALUE"""),"REARWIN")</f>
        <v>REARWIN</v>
      </c>
      <c r="C2252" s="5" t="str">
        <f ca="1">IFERROR(__xludf.DUMMYFUNCTION("""COMPUTED_VALUE"""),"Skyranger")</f>
        <v>Skyranger</v>
      </c>
      <c r="D2252" s="5" t="str">
        <f ca="1">IFERROR(__xludf.DUMMYFUNCTION("""COMPUTED_VALUE"""),"LandPlane")</f>
        <v>LandPlane</v>
      </c>
      <c r="E2252" s="5" t="str">
        <f ca="1">IFERROR(__xludf.DUMMYFUNCTION("""COMPUTED_VALUE"""),"Piston")</f>
        <v>Piston</v>
      </c>
      <c r="F2252" s="5">
        <f ca="1">IFERROR(__xludf.DUMMYFUNCTION("""COMPUTED_VALUE"""),1)</f>
        <v>1</v>
      </c>
    </row>
    <row r="2253" spans="1:6" ht="15" customHeight="1" x14ac:dyDescent="0.2">
      <c r="A2253" s="5" t="str">
        <f ca="1">IFERROR(__xludf.DUMMYFUNCTION("""COMPUTED_VALUE"""),"SL1")</f>
        <v>SL1</v>
      </c>
      <c r="B2253" s="5" t="str">
        <f ca="1">IFERROR(__xludf.DUMMYFUNCTION("""COMPUTED_VALUE"""),"STAR-LITE")</f>
        <v>STAR-LITE</v>
      </c>
      <c r="C2253" s="5" t="str">
        <f ca="1">IFERROR(__xludf.DUMMYFUNCTION("""COMPUTED_VALUE"""),"SL-1 Star-Lite")</f>
        <v>SL-1 Star-Lite</v>
      </c>
      <c r="D2253" s="5" t="str">
        <f ca="1">IFERROR(__xludf.DUMMYFUNCTION("""COMPUTED_VALUE"""),"LandPlane")</f>
        <v>LandPlane</v>
      </c>
      <c r="E2253" s="5" t="str">
        <f ca="1">IFERROR(__xludf.DUMMYFUNCTION("""COMPUTED_VALUE"""),"Piston")</f>
        <v>Piston</v>
      </c>
      <c r="F2253" s="5">
        <f ca="1">IFERROR(__xludf.DUMMYFUNCTION("""COMPUTED_VALUE"""),1)</f>
        <v>1</v>
      </c>
    </row>
    <row r="2254" spans="1:6" ht="15" customHeight="1" x14ac:dyDescent="0.2">
      <c r="A2254" s="5" t="str">
        <f ca="1">IFERROR(__xludf.DUMMYFUNCTION("""COMPUTED_VALUE"""),"SL39")</f>
        <v>SL39</v>
      </c>
      <c r="B2254" s="5" t="str">
        <f ca="1">IFERROR(__xludf.DUMMYFUNCTION("""COMPUTED_VALUE"""),"MAPO")</f>
        <v>MAPO</v>
      </c>
      <c r="C2254" s="5" t="str">
        <f ca="1">IFERROR(__xludf.DUMMYFUNCTION("""COMPUTED_VALUE"""),"SL-39")</f>
        <v>SL-39</v>
      </c>
      <c r="D2254" s="5" t="str">
        <f ca="1">IFERROR(__xludf.DUMMYFUNCTION("""COMPUTED_VALUE"""),"LandPlane")</f>
        <v>LandPlane</v>
      </c>
      <c r="E2254" s="5" t="str">
        <f ca="1">IFERROR(__xludf.DUMMYFUNCTION("""COMPUTED_VALUE"""),"Piston")</f>
        <v>Piston</v>
      </c>
      <c r="F2254" s="5">
        <f ca="1">IFERROR(__xludf.DUMMYFUNCTION("""COMPUTED_VALUE"""),1)</f>
        <v>1</v>
      </c>
    </row>
    <row r="2255" spans="1:6" ht="15" customHeight="1" x14ac:dyDescent="0.2">
      <c r="A2255" s="5" t="str">
        <f ca="1">IFERROR(__xludf.DUMMYFUNCTION("""COMPUTED_VALUE"""),"SL90")</f>
        <v>SL90</v>
      </c>
      <c r="B2255" s="5" t="str">
        <f ca="1">IFERROR(__xludf.DUMMYFUNCTION("""COMPUTED_VALUE"""),"AVIOTECHNICA")</f>
        <v>AVIOTECHNICA</v>
      </c>
      <c r="C2255" s="5" t="str">
        <f ca="1">IFERROR(__xludf.DUMMYFUNCTION("""COMPUTED_VALUE"""),"SL-90 Leshii")</f>
        <v>SL-90 Leshii</v>
      </c>
      <c r="D2255" s="5" t="str">
        <f ca="1">IFERROR(__xludf.DUMMYFUNCTION("""COMPUTED_VALUE"""),"LandPlane")</f>
        <v>LandPlane</v>
      </c>
      <c r="E2255" s="5" t="str">
        <f ca="1">IFERROR(__xludf.DUMMYFUNCTION("""COMPUTED_VALUE"""),"Piston")</f>
        <v>Piston</v>
      </c>
      <c r="F2255" s="5">
        <f ca="1">IFERROR(__xludf.DUMMYFUNCTION("""COMPUTED_VALUE"""),1)</f>
        <v>1</v>
      </c>
    </row>
    <row r="2256" spans="1:6" ht="15" customHeight="1" x14ac:dyDescent="0.2">
      <c r="A2256" s="5" t="str">
        <f ca="1">IFERROR(__xludf.DUMMYFUNCTION("""COMPUTED_VALUE"""),"SLCH")</f>
        <v>SLCH</v>
      </c>
      <c r="B2256" s="5" t="str">
        <f ca="1">IFERROR(__xludf.DUMMYFUNCTION("""COMPUTED_VALUE"""),"SCALED")</f>
        <v>SCALED</v>
      </c>
      <c r="C2256" s="5" t="str">
        <f ca="1">IFERROR(__xludf.DUMMYFUNCTION("""COMPUTED_VALUE"""),"351 Stratolaunch")</f>
        <v>351 Stratolaunch</v>
      </c>
      <c r="D2256" s="5" t="str">
        <f ca="1">IFERROR(__xludf.DUMMYFUNCTION("""COMPUTED_VALUE"""),"LandPlane")</f>
        <v>LandPlane</v>
      </c>
      <c r="E2256" s="5" t="str">
        <f ca="1">IFERROR(__xludf.DUMMYFUNCTION("""COMPUTED_VALUE"""),"Jet")</f>
        <v>Jet</v>
      </c>
      <c r="F2256" s="5">
        <f ca="1">IFERROR(__xludf.DUMMYFUNCTION("""COMPUTED_VALUE"""),6)</f>
        <v>6</v>
      </c>
    </row>
    <row r="2257" spans="1:6" ht="15" customHeight="1" x14ac:dyDescent="0.2">
      <c r="A2257" s="5" t="str">
        <f ca="1">IFERROR(__xludf.DUMMYFUNCTION("""COMPUTED_VALUE"""),"SLG2")</f>
        <v>SLG2</v>
      </c>
      <c r="B2257" s="5" t="str">
        <f ca="1">IFERROR(__xludf.DUMMYFUNCTION("""COMPUTED_VALUE"""),"SLING AIRCRAFT")</f>
        <v>SLING AIRCRAFT</v>
      </c>
      <c r="C2257" s="5" t="str">
        <f ca="1">IFERROR(__xludf.DUMMYFUNCTION("""COMPUTED_VALUE"""),"Sling 2")</f>
        <v>Sling 2</v>
      </c>
      <c r="D2257" s="5" t="str">
        <f ca="1">IFERROR(__xludf.DUMMYFUNCTION("""COMPUTED_VALUE"""),"LandPlane")</f>
        <v>LandPlane</v>
      </c>
      <c r="E2257" s="5" t="str">
        <f ca="1">IFERROR(__xludf.DUMMYFUNCTION("""COMPUTED_VALUE"""),"Piston")</f>
        <v>Piston</v>
      </c>
      <c r="F2257" s="5">
        <f ca="1">IFERROR(__xludf.DUMMYFUNCTION("""COMPUTED_VALUE"""),1)</f>
        <v>1</v>
      </c>
    </row>
    <row r="2258" spans="1:6" ht="15" customHeight="1" x14ac:dyDescent="0.2">
      <c r="A2258" s="5" t="str">
        <f ca="1">IFERROR(__xludf.DUMMYFUNCTION("""COMPUTED_VALUE"""),"SLG4")</f>
        <v>SLG4</v>
      </c>
      <c r="B2258" s="5" t="str">
        <f ca="1">IFERROR(__xludf.DUMMYFUNCTION("""COMPUTED_VALUE"""),"AIRPLANE FACTORY")</f>
        <v>AIRPLANE FACTORY</v>
      </c>
      <c r="C2258" s="5" t="str">
        <f ca="1">IFERROR(__xludf.DUMMYFUNCTION("""COMPUTED_VALUE"""),"Sling 4")</f>
        <v>Sling 4</v>
      </c>
      <c r="D2258" s="5" t="str">
        <f ca="1">IFERROR(__xludf.DUMMYFUNCTION("""COMPUTED_VALUE"""),"LandPlane")</f>
        <v>LandPlane</v>
      </c>
      <c r="E2258" s="5" t="str">
        <f ca="1">IFERROR(__xludf.DUMMYFUNCTION("""COMPUTED_VALUE"""),"Piston")</f>
        <v>Piston</v>
      </c>
      <c r="F2258" s="5">
        <f ca="1">IFERROR(__xludf.DUMMYFUNCTION("""COMPUTED_VALUE"""),1)</f>
        <v>1</v>
      </c>
    </row>
    <row r="2259" spans="1:6" ht="15" customHeight="1" x14ac:dyDescent="0.2">
      <c r="A2259" s="5" t="str">
        <f ca="1">IFERROR(__xludf.DUMMYFUNCTION("""COMPUTED_VALUE"""),"SLH4")</f>
        <v>SLH4</v>
      </c>
      <c r="B2259" s="5" t="str">
        <f ca="1">IFERROR(__xludf.DUMMYFUNCTION("""COMPUTED_VALUE"""),"SLING AIRCRAFT")</f>
        <v>SLING AIRCRAFT</v>
      </c>
      <c r="C2259" s="5" t="str">
        <f ca="1">IFERROR(__xludf.DUMMYFUNCTION("""COMPUTED_VALUE"""),"Sling 4 High Wing")</f>
        <v>Sling 4 High Wing</v>
      </c>
      <c r="D2259" s="5" t="str">
        <f ca="1">IFERROR(__xludf.DUMMYFUNCTION("""COMPUTED_VALUE"""),"LandPlane")</f>
        <v>LandPlane</v>
      </c>
      <c r="E2259" s="5" t="str">
        <f ca="1">IFERROR(__xludf.DUMMYFUNCTION("""COMPUTED_VALUE"""),"Piston")</f>
        <v>Piston</v>
      </c>
      <c r="F2259" s="5">
        <f ca="1">IFERROR(__xludf.DUMMYFUNCTION("""COMPUTED_VALUE"""),1)</f>
        <v>1</v>
      </c>
    </row>
    <row r="2260" spans="1:6" ht="15" customHeight="1" x14ac:dyDescent="0.2">
      <c r="A2260" s="5" t="str">
        <f ca="1">IFERROR(__xludf.DUMMYFUNCTION("""COMPUTED_VALUE"""),"SLK3")</f>
        <v>SLK3</v>
      </c>
      <c r="B2260" s="5" t="str">
        <f ca="1">IFERROR(__xludf.DUMMYFUNCTION("""COMPUTED_VALUE"""),"SLICK")</f>
        <v>SLICK</v>
      </c>
      <c r="C2260" s="5" t="str">
        <f ca="1">IFERROR(__xludf.DUMMYFUNCTION("""COMPUTED_VALUE"""),"360")</f>
        <v>360</v>
      </c>
      <c r="D2260" s="5" t="str">
        <f ca="1">IFERROR(__xludf.DUMMYFUNCTION("""COMPUTED_VALUE"""),"LandPlane")</f>
        <v>LandPlane</v>
      </c>
      <c r="E2260" s="5" t="str">
        <f ca="1">IFERROR(__xludf.DUMMYFUNCTION("""COMPUTED_VALUE"""),"Piston")</f>
        <v>Piston</v>
      </c>
      <c r="F2260" s="5">
        <f ca="1">IFERROR(__xludf.DUMMYFUNCTION("""COMPUTED_VALUE"""),1)</f>
        <v>1</v>
      </c>
    </row>
    <row r="2261" spans="1:6" ht="15" customHeight="1" x14ac:dyDescent="0.2">
      <c r="A2261" s="5" t="str">
        <f ca="1">IFERROR(__xludf.DUMMYFUNCTION("""COMPUTED_VALUE"""),"SLK5")</f>
        <v>SLK5</v>
      </c>
      <c r="B2261" s="5" t="str">
        <f ca="1">IFERROR(__xludf.DUMMYFUNCTION("""COMPUTED_VALUE"""),"SLICK")</f>
        <v>SLICK</v>
      </c>
      <c r="C2261" s="5" t="str">
        <f ca="1">IFERROR(__xludf.DUMMYFUNCTION("""COMPUTED_VALUE"""),"540")</f>
        <v>540</v>
      </c>
      <c r="D2261" s="5" t="str">
        <f ca="1">IFERROR(__xludf.DUMMYFUNCTION("""COMPUTED_VALUE"""),"LandPlane")</f>
        <v>LandPlane</v>
      </c>
      <c r="E2261" s="5" t="str">
        <f ca="1">IFERROR(__xludf.DUMMYFUNCTION("""COMPUTED_VALUE"""),"Piston")</f>
        <v>Piston</v>
      </c>
      <c r="F2261" s="5">
        <f ca="1">IFERROR(__xludf.DUMMYFUNCTION("""COMPUTED_VALUE"""),1)</f>
        <v>1</v>
      </c>
    </row>
    <row r="2262" spans="1:6" ht="15" customHeight="1" x14ac:dyDescent="0.2">
      <c r="A2262" s="5" t="str">
        <f ca="1">IFERROR(__xludf.DUMMYFUNCTION("""COMPUTED_VALUE"""),"SM01")</f>
        <v>SM01</v>
      </c>
      <c r="B2262" s="5" t="str">
        <f ca="1">IFERROR(__xludf.DUMMYFUNCTION("""COMPUTED_VALUE"""),"STERN-MALLICK")</f>
        <v>STERN-MALLICK</v>
      </c>
      <c r="C2262" s="5" t="str">
        <f ca="1">IFERROR(__xludf.DUMMYFUNCTION("""COMPUTED_VALUE"""),"SM-01 Vega")</f>
        <v>SM-01 Vega</v>
      </c>
      <c r="D2262" s="5" t="str">
        <f ca="1">IFERROR(__xludf.DUMMYFUNCTION("""COMPUTED_VALUE"""),"LandPlane")</f>
        <v>LandPlane</v>
      </c>
      <c r="E2262" s="5" t="str">
        <f ca="1">IFERROR(__xludf.DUMMYFUNCTION("""COMPUTED_VALUE"""),"Piston")</f>
        <v>Piston</v>
      </c>
      <c r="F2262" s="5">
        <f ca="1">IFERROR(__xludf.DUMMYFUNCTION("""COMPUTED_VALUE"""),1)</f>
        <v>1</v>
      </c>
    </row>
    <row r="2263" spans="1:6" ht="15" customHeight="1" x14ac:dyDescent="0.2">
      <c r="A2263" s="5" t="str">
        <f ca="1">IFERROR(__xludf.DUMMYFUNCTION("""COMPUTED_VALUE"""),"SM19")</f>
        <v>SM19</v>
      </c>
      <c r="B2263" s="5" t="str">
        <f ca="1">IFERROR(__xludf.DUMMYFUNCTION("""COMPUTED_VALUE"""),"SIAI-MARCHETTI")</f>
        <v>SIAI-MARCHETTI</v>
      </c>
      <c r="C2263" s="5" t="str">
        <f ca="1">IFERROR(__xludf.DUMMYFUNCTION("""COMPUTED_VALUE"""),"SM-1019")</f>
        <v>SM-1019</v>
      </c>
      <c r="D2263" s="5" t="str">
        <f ca="1">IFERROR(__xludf.DUMMYFUNCTION("""COMPUTED_VALUE"""),"LandPlane")</f>
        <v>LandPlane</v>
      </c>
      <c r="E2263" s="5" t="str">
        <f ca="1">IFERROR(__xludf.DUMMYFUNCTION("""COMPUTED_VALUE"""),"Turboprop/Turboshaft")</f>
        <v>Turboprop/Turboshaft</v>
      </c>
      <c r="F2263" s="5">
        <f ca="1">IFERROR(__xludf.DUMMYFUNCTION("""COMPUTED_VALUE"""),1)</f>
        <v>1</v>
      </c>
    </row>
    <row r="2264" spans="1:6" ht="15" customHeight="1" x14ac:dyDescent="0.2">
      <c r="A2264" s="5" t="str">
        <f ca="1">IFERROR(__xludf.DUMMYFUNCTION("""COMPUTED_VALUE"""),"SM20")</f>
        <v>SM20</v>
      </c>
      <c r="B2264" s="5" t="str">
        <f ca="1">IFERROR(__xludf.DUMMYFUNCTION("""COMPUTED_VALUE"""),"TECHNOAVIA")</f>
        <v>TECHNOAVIA</v>
      </c>
      <c r="C2264" s="5" t="str">
        <f ca="1">IFERROR(__xludf.DUMMYFUNCTION("""COMPUTED_VALUE"""),"SM-2000")</f>
        <v>SM-2000</v>
      </c>
      <c r="D2264" s="5" t="str">
        <f ca="1">IFERROR(__xludf.DUMMYFUNCTION("""COMPUTED_VALUE"""),"LandPlane")</f>
        <v>LandPlane</v>
      </c>
      <c r="E2264" s="5" t="str">
        <f ca="1">IFERROR(__xludf.DUMMYFUNCTION("""COMPUTED_VALUE"""),"Turboprop/Turboshaft")</f>
        <v>Turboprop/Turboshaft</v>
      </c>
      <c r="F2264" s="5">
        <f ca="1">IFERROR(__xludf.DUMMYFUNCTION("""COMPUTED_VALUE"""),1)</f>
        <v>1</v>
      </c>
    </row>
    <row r="2265" spans="1:6" ht="15" customHeight="1" x14ac:dyDescent="0.2">
      <c r="A2265" s="5" t="str">
        <f ca="1">IFERROR(__xludf.DUMMYFUNCTION("""COMPUTED_VALUE"""),"SM60")</f>
        <v>SM60</v>
      </c>
      <c r="B2265" s="5" t="str">
        <f ca="1">IFERROR(__xludf.DUMMYFUNCTION("""COMPUTED_VALUE"""),"STINSON")</f>
        <v>STINSON</v>
      </c>
      <c r="C2265" s="5" t="str">
        <f ca="1">IFERROR(__xludf.DUMMYFUNCTION("""COMPUTED_VALUE"""),"SM-6000 Tri-Motor")</f>
        <v>SM-6000 Tri-Motor</v>
      </c>
      <c r="D2265" s="5" t="str">
        <f ca="1">IFERROR(__xludf.DUMMYFUNCTION("""COMPUTED_VALUE"""),"LandPlane")</f>
        <v>LandPlane</v>
      </c>
      <c r="E2265" s="5" t="str">
        <f ca="1">IFERROR(__xludf.DUMMYFUNCTION("""COMPUTED_VALUE"""),"Piston")</f>
        <v>Piston</v>
      </c>
      <c r="F2265" s="5">
        <f ca="1">IFERROR(__xludf.DUMMYFUNCTION("""COMPUTED_VALUE"""),3)</f>
        <v>3</v>
      </c>
    </row>
    <row r="2266" spans="1:6" ht="15" customHeight="1" x14ac:dyDescent="0.2">
      <c r="A2266" s="5" t="str">
        <f ca="1">IFERROR(__xludf.DUMMYFUNCTION("""COMPUTED_VALUE"""),"SM92")</f>
        <v>SM92</v>
      </c>
      <c r="B2266" s="5" t="str">
        <f ca="1">IFERROR(__xludf.DUMMYFUNCTION("""COMPUTED_VALUE"""),"MORAVAN")</f>
        <v>MORAVAN</v>
      </c>
      <c r="C2266" s="5" t="str">
        <f ca="1">IFERROR(__xludf.DUMMYFUNCTION("""COMPUTED_VALUE"""),"Zlin Z-400 Rhino")</f>
        <v>Zlin Z-400 Rhino</v>
      </c>
      <c r="D2266" s="5" t="str">
        <f ca="1">IFERROR(__xludf.DUMMYFUNCTION("""COMPUTED_VALUE"""),"LandPlane")</f>
        <v>LandPlane</v>
      </c>
      <c r="E2266" s="5" t="str">
        <f ca="1">IFERROR(__xludf.DUMMYFUNCTION("""COMPUTED_VALUE"""),"Piston")</f>
        <v>Piston</v>
      </c>
      <c r="F2266" s="5">
        <f ca="1">IFERROR(__xludf.DUMMYFUNCTION("""COMPUTED_VALUE"""),1)</f>
        <v>1</v>
      </c>
    </row>
    <row r="2267" spans="1:6" ht="15" customHeight="1" x14ac:dyDescent="0.2">
      <c r="A2267" s="5" t="str">
        <f ca="1">IFERROR(__xludf.DUMMYFUNCTION("""COMPUTED_VALUE"""),"SMAX")</f>
        <v>SMAX</v>
      </c>
      <c r="B2267" s="5" t="str">
        <f ca="1">IFERROR(__xludf.DUMMYFUNCTION("""COMPUTED_VALUE"""),"AIRMAX")</f>
        <v>AIRMAX</v>
      </c>
      <c r="C2267" s="5" t="str">
        <f ca="1">IFERROR(__xludf.DUMMYFUNCTION("""COMPUTED_VALUE"""),"M-22 SeaMax")</f>
        <v>M-22 SeaMax</v>
      </c>
      <c r="D2267" s="5" t="str">
        <f ca="1">IFERROR(__xludf.DUMMYFUNCTION("""COMPUTED_VALUE"""),"Amphibian")</f>
        <v>Amphibian</v>
      </c>
      <c r="E2267" s="5" t="str">
        <f ca="1">IFERROR(__xludf.DUMMYFUNCTION("""COMPUTED_VALUE"""),"Piston")</f>
        <v>Piston</v>
      </c>
      <c r="F2267" s="5">
        <f ca="1">IFERROR(__xludf.DUMMYFUNCTION("""COMPUTED_VALUE"""),1)</f>
        <v>1</v>
      </c>
    </row>
    <row r="2268" spans="1:6" ht="15" customHeight="1" x14ac:dyDescent="0.2">
      <c r="A2268" s="5" t="str">
        <f ca="1">IFERROR(__xludf.DUMMYFUNCTION("""COMPUTED_VALUE"""),"SMB2")</f>
        <v>SMB2</v>
      </c>
      <c r="B2268" s="5" t="str">
        <f ca="1">IFERROR(__xludf.DUMMYFUNCTION("""COMPUTED_VALUE"""),"DASSAULT")</f>
        <v>DASSAULT</v>
      </c>
      <c r="C2268" s="5" t="str">
        <f ca="1">IFERROR(__xludf.DUMMYFUNCTION("""COMPUTED_VALUE"""),"Super Mystère B2")</f>
        <v>Super Mystère B2</v>
      </c>
      <c r="D2268" s="5" t="str">
        <f ca="1">IFERROR(__xludf.DUMMYFUNCTION("""COMPUTED_VALUE"""),"LandPlane")</f>
        <v>LandPlane</v>
      </c>
      <c r="E2268" s="5" t="str">
        <f ca="1">IFERROR(__xludf.DUMMYFUNCTION("""COMPUTED_VALUE"""),"Jet")</f>
        <v>Jet</v>
      </c>
      <c r="F2268" s="5">
        <f ca="1">IFERROR(__xludf.DUMMYFUNCTION("""COMPUTED_VALUE"""),1)</f>
        <v>1</v>
      </c>
    </row>
    <row r="2269" spans="1:6" ht="15" customHeight="1" x14ac:dyDescent="0.2">
      <c r="A2269" s="5" t="str">
        <f ca="1">IFERROR(__xludf.DUMMYFUNCTION("""COMPUTED_VALUE"""),"SNAD")</f>
        <v>SNAD</v>
      </c>
      <c r="B2269" s="5" t="str">
        <f ca="1">IFERROR(__xludf.DUMMYFUNCTION("""COMPUTED_VALUE"""),"CALUMET")</f>
        <v>CALUMET</v>
      </c>
      <c r="C2269" s="5" t="str">
        <f ca="1">IFERROR(__xludf.DUMMYFUNCTION("""COMPUTED_VALUE"""),"636 Snobird Adventurer")</f>
        <v>636 Snobird Adventurer</v>
      </c>
      <c r="D2269" s="5" t="str">
        <f ca="1">IFERROR(__xludf.DUMMYFUNCTION("""COMPUTED_VALUE"""),"Gyrocopter")</f>
        <v>Gyrocopter</v>
      </c>
      <c r="E2269" s="5" t="str">
        <f ca="1">IFERROR(__xludf.DUMMYFUNCTION("""COMPUTED_VALUE"""),"Piston")</f>
        <v>Piston</v>
      </c>
      <c r="F2269" s="5">
        <f ca="1">IFERROR(__xludf.DUMMYFUNCTION("""COMPUTED_VALUE"""),1)</f>
        <v>1</v>
      </c>
    </row>
    <row r="2270" spans="1:6" ht="15" customHeight="1" x14ac:dyDescent="0.2">
      <c r="A2270" s="5" t="str">
        <f ca="1">IFERROR(__xludf.DUMMYFUNCTION("""COMPUTED_VALUE"""),"SNAP")</f>
        <v>SNAP</v>
      </c>
      <c r="B2270" s="5" t="str">
        <f ca="1">IFERROR(__xludf.DUMMYFUNCTION("""COMPUTED_VALUE"""),"DALLAIR")</f>
        <v>DALLAIR</v>
      </c>
      <c r="C2270" s="5" t="str">
        <f ca="1">IFERROR(__xludf.DUMMYFUNCTION("""COMPUTED_VALUE"""),"FR-01 Snap")</f>
        <v>FR-01 Snap</v>
      </c>
      <c r="D2270" s="5" t="str">
        <f ca="1">IFERROR(__xludf.DUMMYFUNCTION("""COMPUTED_VALUE"""),"LandPlane")</f>
        <v>LandPlane</v>
      </c>
      <c r="E2270" s="5" t="str">
        <f ca="1">IFERROR(__xludf.DUMMYFUNCTION("""COMPUTED_VALUE"""),"Piston")</f>
        <v>Piston</v>
      </c>
      <c r="F2270" s="5">
        <f ca="1">IFERROR(__xludf.DUMMYFUNCTION("""COMPUTED_VALUE"""),1)</f>
        <v>1</v>
      </c>
    </row>
    <row r="2271" spans="1:6" ht="15" customHeight="1" x14ac:dyDescent="0.2">
      <c r="A2271" s="5" t="str">
        <f ca="1">IFERROR(__xludf.DUMMYFUNCTION("""COMPUTED_VALUE"""),"SNGY")</f>
        <v>SNGY</v>
      </c>
      <c r="B2271" s="5" t="str">
        <f ca="1">IFERROR(__xludf.DUMMYFUNCTION("""COMPUTED_VALUE"""),"CIAC")</f>
        <v>CIAC</v>
      </c>
      <c r="C2271" s="5" t="str">
        <f ca="1">IFERROR(__xludf.DUMMYFUNCTION("""COMPUTED_VALUE"""),"Synergy")</f>
        <v>Synergy</v>
      </c>
      <c r="D2271" s="5" t="str">
        <f ca="1">IFERROR(__xludf.DUMMYFUNCTION("""COMPUTED_VALUE"""),"LandPlane")</f>
        <v>LandPlane</v>
      </c>
      <c r="E2271" s="5" t="str">
        <f ca="1">IFERROR(__xludf.DUMMYFUNCTION("""COMPUTED_VALUE"""),"Piston")</f>
        <v>Piston</v>
      </c>
      <c r="F2271" s="5">
        <f ca="1">IFERROR(__xludf.DUMMYFUNCTION("""COMPUTED_VALUE"""),1)</f>
        <v>1</v>
      </c>
    </row>
    <row r="2272" spans="1:6" ht="15" customHeight="1" x14ac:dyDescent="0.2">
      <c r="A2272" s="5" t="str">
        <f ca="1">IFERROR(__xludf.DUMMYFUNCTION("""COMPUTED_VALUE"""),"SNOS")</f>
        <v>SNOS</v>
      </c>
      <c r="B2272" s="5" t="str">
        <f ca="1">IFERROR(__xludf.DUMMYFUNCTION("""COMPUTED_VALUE"""),"VSR")</f>
        <v>VSR</v>
      </c>
      <c r="C2272" s="5" t="str">
        <f ca="1">IFERROR(__xludf.DUMMYFUNCTION("""COMPUTED_VALUE"""),"SR-1 Snoshoo")</f>
        <v>SR-1 Snoshoo</v>
      </c>
      <c r="D2272" s="5" t="str">
        <f ca="1">IFERROR(__xludf.DUMMYFUNCTION("""COMPUTED_VALUE"""),"LandPlane")</f>
        <v>LandPlane</v>
      </c>
      <c r="E2272" s="5" t="str">
        <f ca="1">IFERROR(__xludf.DUMMYFUNCTION("""COMPUTED_VALUE"""),"Piston")</f>
        <v>Piston</v>
      </c>
      <c r="F2272" s="5">
        <f ca="1">IFERROR(__xludf.DUMMYFUNCTION("""COMPUTED_VALUE"""),1)</f>
        <v>1</v>
      </c>
    </row>
    <row r="2273" spans="1:6" ht="15" customHeight="1" x14ac:dyDescent="0.2">
      <c r="A2273" s="5" t="str">
        <f ca="1">IFERROR(__xludf.DUMMYFUNCTION("""COMPUTED_VALUE"""),"SNS2")</f>
        <v>SNS2</v>
      </c>
      <c r="B2273" s="5" t="str">
        <f ca="1">IFERROR(__xludf.DUMMYFUNCTION("""COMPUTED_VALUE"""),"SORRELL")</f>
        <v>SORRELL</v>
      </c>
      <c r="C2273" s="5" t="str">
        <f ca="1">IFERROR(__xludf.DUMMYFUNCTION("""COMPUTED_VALUE"""),"SNS-2 Guppy")</f>
        <v>SNS-2 Guppy</v>
      </c>
      <c r="D2273" s="5" t="str">
        <f ca="1">IFERROR(__xludf.DUMMYFUNCTION("""COMPUTED_VALUE"""),"LandPlane")</f>
        <v>LandPlane</v>
      </c>
      <c r="E2273" s="5" t="str">
        <f ca="1">IFERROR(__xludf.DUMMYFUNCTION("""COMPUTED_VALUE"""),"Piston")</f>
        <v>Piston</v>
      </c>
      <c r="F2273" s="5">
        <f ca="1">IFERROR(__xludf.DUMMYFUNCTION("""COMPUTED_VALUE"""),1)</f>
        <v>1</v>
      </c>
    </row>
    <row r="2274" spans="1:6" ht="15" customHeight="1" x14ac:dyDescent="0.2">
      <c r="A2274" s="5" t="str">
        <f ca="1">IFERROR(__xludf.DUMMYFUNCTION("""COMPUTED_VALUE"""),"SNS7")</f>
        <v>SNS7</v>
      </c>
      <c r="B2274" s="5" t="str">
        <f ca="1">IFERROR(__xludf.DUMMYFUNCTION("""COMPUTED_VALUE"""),"SORRELL")</f>
        <v>SORRELL</v>
      </c>
      <c r="C2274" s="5" t="str">
        <f ca="1">IFERROR(__xludf.DUMMYFUNCTION("""COMPUTED_VALUE"""),"SNS-7 Hiperbipe")</f>
        <v>SNS-7 Hiperbipe</v>
      </c>
      <c r="D2274" s="5" t="str">
        <f ca="1">IFERROR(__xludf.DUMMYFUNCTION("""COMPUTED_VALUE"""),"LandPlane")</f>
        <v>LandPlane</v>
      </c>
      <c r="E2274" s="5" t="str">
        <f ca="1">IFERROR(__xludf.DUMMYFUNCTION("""COMPUTED_VALUE"""),"Piston")</f>
        <v>Piston</v>
      </c>
      <c r="F2274" s="5">
        <f ca="1">IFERROR(__xludf.DUMMYFUNCTION("""COMPUTED_VALUE"""),1)</f>
        <v>1</v>
      </c>
    </row>
    <row r="2275" spans="1:6" ht="15" customHeight="1" x14ac:dyDescent="0.2">
      <c r="A2275" s="5" t="str">
        <f ca="1">IFERROR(__xludf.DUMMYFUNCTION("""COMPUTED_VALUE"""),"SNS9")</f>
        <v>SNS9</v>
      </c>
      <c r="B2275" s="5" t="str">
        <f ca="1">IFERROR(__xludf.DUMMYFUNCTION("""COMPUTED_VALUE"""),"SORRELL")</f>
        <v>SORRELL</v>
      </c>
      <c r="C2275" s="5" t="str">
        <f ca="1">IFERROR(__xludf.DUMMYFUNCTION("""COMPUTED_VALUE"""),"SNS-9 EXP-2")</f>
        <v>SNS-9 EXP-2</v>
      </c>
      <c r="D2275" s="5" t="str">
        <f ca="1">IFERROR(__xludf.DUMMYFUNCTION("""COMPUTED_VALUE"""),"LandPlane")</f>
        <v>LandPlane</v>
      </c>
      <c r="E2275" s="5" t="str">
        <f ca="1">IFERROR(__xludf.DUMMYFUNCTION("""COMPUTED_VALUE"""),"Piston")</f>
        <v>Piston</v>
      </c>
      <c r="F2275" s="5">
        <f ca="1">IFERROR(__xludf.DUMMYFUNCTION("""COMPUTED_VALUE"""),1)</f>
        <v>1</v>
      </c>
    </row>
    <row r="2276" spans="1:6" ht="15" customHeight="1" x14ac:dyDescent="0.2">
      <c r="A2276" s="5" t="str">
        <f ca="1">IFERROR(__xludf.DUMMYFUNCTION("""COMPUTED_VALUE"""),"SNTA")</f>
        <v>SNTA</v>
      </c>
      <c r="B2276" s="5" t="str">
        <f ca="1">IFERROR(__xludf.DUMMYFUNCTION("""COMPUTED_VALUE"""),"AIRSPORT")</f>
        <v>AIRSPORT</v>
      </c>
      <c r="C2276" s="5" t="str">
        <f ca="1">IFERROR(__xludf.DUMMYFUNCTION("""COMPUTED_VALUE"""),"Sonata")</f>
        <v>Sonata</v>
      </c>
      <c r="D2276" s="5" t="str">
        <f ca="1">IFERROR(__xludf.DUMMYFUNCTION("""COMPUTED_VALUE"""),"LandPlane")</f>
        <v>LandPlane</v>
      </c>
      <c r="E2276" s="5" t="str">
        <f ca="1">IFERROR(__xludf.DUMMYFUNCTION("""COMPUTED_VALUE"""),"Piston")</f>
        <v>Piston</v>
      </c>
      <c r="F2276" s="5">
        <f ca="1">IFERROR(__xludf.DUMMYFUNCTION("""COMPUTED_VALUE"""),1)</f>
        <v>1</v>
      </c>
    </row>
    <row r="2277" spans="1:6" ht="15" customHeight="1" x14ac:dyDescent="0.2">
      <c r="A2277" s="5" t="str">
        <f ca="1">IFERROR(__xludf.DUMMYFUNCTION("""COMPUTED_VALUE"""),"SOK2")</f>
        <v>SOK2</v>
      </c>
      <c r="B2277" s="5" t="str">
        <f ca="1">IFERROR(__xludf.DUMMYFUNCTION("""COMPUTED_VALUE"""),"SOKO")</f>
        <v>SOKO</v>
      </c>
      <c r="C2277" s="5" t="str">
        <f ca="1">IFERROR(__xludf.DUMMYFUNCTION("""COMPUTED_VALUE"""),"2")</f>
        <v>2</v>
      </c>
      <c r="D2277" s="5" t="str">
        <f ca="1">IFERROR(__xludf.DUMMYFUNCTION("""COMPUTED_VALUE"""),"LandPlane")</f>
        <v>LandPlane</v>
      </c>
      <c r="E2277" s="5" t="str">
        <f ca="1">IFERROR(__xludf.DUMMYFUNCTION("""COMPUTED_VALUE"""),"Piston")</f>
        <v>Piston</v>
      </c>
      <c r="F2277" s="5">
        <f ca="1">IFERROR(__xludf.DUMMYFUNCTION("""COMPUTED_VALUE"""),1)</f>
        <v>1</v>
      </c>
    </row>
    <row r="2278" spans="1:6" ht="15" customHeight="1" x14ac:dyDescent="0.2">
      <c r="A2278" s="5" t="str">
        <f ca="1">IFERROR(__xludf.DUMMYFUNCTION("""COMPUTED_VALUE"""),"SOKL")</f>
        <v>SOKL</v>
      </c>
      <c r="B2278" s="5" t="str">
        <f ca="1">IFERROR(__xludf.DUMMYFUNCTION("""COMPUTED_VALUE"""),"MRAZ")</f>
        <v>MRAZ</v>
      </c>
      <c r="C2278" s="5" t="str">
        <f ca="1">IFERROR(__xludf.DUMMYFUNCTION("""COMPUTED_VALUE"""),"M-1 Sokol")</f>
        <v>M-1 Sokol</v>
      </c>
      <c r="D2278" s="5" t="str">
        <f ca="1">IFERROR(__xludf.DUMMYFUNCTION("""COMPUTED_VALUE"""),"LandPlane")</f>
        <v>LandPlane</v>
      </c>
      <c r="E2278" s="5" t="str">
        <f ca="1">IFERROR(__xludf.DUMMYFUNCTION("""COMPUTED_VALUE"""),"Piston")</f>
        <v>Piston</v>
      </c>
      <c r="F2278" s="5">
        <f ca="1">IFERROR(__xludf.DUMMYFUNCTION("""COMPUTED_VALUE"""),1)</f>
        <v>1</v>
      </c>
    </row>
    <row r="2279" spans="1:6" ht="15" customHeight="1" x14ac:dyDescent="0.2">
      <c r="A2279" s="5" t="str">
        <f ca="1">IFERROR(__xludf.DUMMYFUNCTION("""COMPUTED_VALUE"""),"SOL1")</f>
        <v>SOL1</v>
      </c>
      <c r="B2279" s="5" t="str">
        <f ca="1">IFERROR(__xludf.DUMMYFUNCTION("""COMPUTED_VALUE"""),"SOLAR IMPULSE")</f>
        <v>SOLAR IMPULSE</v>
      </c>
      <c r="C2279" s="5" t="str">
        <f ca="1">IFERROR(__xludf.DUMMYFUNCTION("""COMPUTED_VALUE"""),"1")</f>
        <v>1</v>
      </c>
      <c r="D2279" s="5" t="str">
        <f ca="1">IFERROR(__xludf.DUMMYFUNCTION("""COMPUTED_VALUE"""),"LandPlane")</f>
        <v>LandPlane</v>
      </c>
      <c r="E2279" s="5" t="str">
        <f ca="1">IFERROR(__xludf.DUMMYFUNCTION("""COMPUTED_VALUE"""),"Electric")</f>
        <v>Electric</v>
      </c>
      <c r="F2279" s="5">
        <f ca="1">IFERROR(__xludf.DUMMYFUNCTION("""COMPUTED_VALUE"""),4)</f>
        <v>4</v>
      </c>
    </row>
    <row r="2280" spans="1:6" ht="15" customHeight="1" x14ac:dyDescent="0.2">
      <c r="A2280" s="5" t="str">
        <f ca="1">IFERROR(__xludf.DUMMYFUNCTION("""COMPUTED_VALUE"""),"SOL2")</f>
        <v>SOL2</v>
      </c>
      <c r="B2280" s="5" t="str">
        <f ca="1">IFERROR(__xludf.DUMMYFUNCTION("""COMPUTED_VALUE"""),"SOLAR IMPULSE")</f>
        <v>SOLAR IMPULSE</v>
      </c>
      <c r="C2280" s="5" t="str">
        <f ca="1">IFERROR(__xludf.DUMMYFUNCTION("""COMPUTED_VALUE"""),"2")</f>
        <v>2</v>
      </c>
      <c r="D2280" s="5" t="str">
        <f ca="1">IFERROR(__xludf.DUMMYFUNCTION("""COMPUTED_VALUE"""),"LandPlane")</f>
        <v>LandPlane</v>
      </c>
      <c r="E2280" s="5" t="str">
        <f ca="1">IFERROR(__xludf.DUMMYFUNCTION("""COMPUTED_VALUE"""),"Electric")</f>
        <v>Electric</v>
      </c>
      <c r="F2280" s="5">
        <f ca="1">IFERROR(__xludf.DUMMYFUNCTION("""COMPUTED_VALUE"""),4)</f>
        <v>4</v>
      </c>
    </row>
    <row r="2281" spans="1:6" ht="15" customHeight="1" x14ac:dyDescent="0.2">
      <c r="A2281" s="5" t="str">
        <f ca="1">IFERROR(__xludf.DUMMYFUNCTION("""COMPUTED_VALUE"""),"SOLI")</f>
        <v>SOLI</v>
      </c>
      <c r="B2281" s="5" t="str">
        <f ca="1">IFERROR(__xludf.DUMMYFUNCTION("""COMPUTED_VALUE"""),"RUTAN")</f>
        <v>RUTAN</v>
      </c>
      <c r="C2281" s="5" t="str">
        <f ca="1">IFERROR(__xludf.DUMMYFUNCTION("""COMPUTED_VALUE"""),"77 Solitaire")</f>
        <v>77 Solitaire</v>
      </c>
      <c r="D2281" s="5" t="str">
        <f ca="1">IFERROR(__xludf.DUMMYFUNCTION("""COMPUTED_VALUE"""),"LandPlane")</f>
        <v>LandPlane</v>
      </c>
      <c r="E2281" s="5" t="str">
        <f ca="1">IFERROR(__xludf.DUMMYFUNCTION("""COMPUTED_VALUE"""),"Piston")</f>
        <v>Piston</v>
      </c>
      <c r="F2281" s="5">
        <f ca="1">IFERROR(__xludf.DUMMYFUNCTION("""COMPUTED_VALUE"""),1)</f>
        <v>1</v>
      </c>
    </row>
    <row r="2282" spans="1:6" ht="15" customHeight="1" x14ac:dyDescent="0.2">
      <c r="A2282" s="5" t="str">
        <f ca="1">IFERROR(__xludf.DUMMYFUNCTION("""COMPUTED_VALUE"""),"SONX")</f>
        <v>SONX</v>
      </c>
      <c r="B2282" s="5" t="str">
        <f ca="1">IFERROR(__xludf.DUMMYFUNCTION("""COMPUTED_VALUE"""),"SONEX")</f>
        <v>SONEX</v>
      </c>
      <c r="C2282" s="5" t="str">
        <f ca="1">IFERROR(__xludf.DUMMYFUNCTION("""COMPUTED_VALUE"""),"Sonex")</f>
        <v>Sonex</v>
      </c>
      <c r="D2282" s="5" t="str">
        <f ca="1">IFERROR(__xludf.DUMMYFUNCTION("""COMPUTED_VALUE"""),"LandPlane")</f>
        <v>LandPlane</v>
      </c>
      <c r="E2282" s="5" t="str">
        <f ca="1">IFERROR(__xludf.DUMMYFUNCTION("""COMPUTED_VALUE"""),"Piston")</f>
        <v>Piston</v>
      </c>
      <c r="F2282" s="5">
        <f ca="1">IFERROR(__xludf.DUMMYFUNCTION("""COMPUTED_VALUE"""),1)</f>
        <v>1</v>
      </c>
    </row>
    <row r="2283" spans="1:6" ht="15" customHeight="1" x14ac:dyDescent="0.2">
      <c r="A2283" s="5" t="str">
        <f ca="1">IFERROR(__xludf.DUMMYFUNCTION("""COMPUTED_VALUE"""),"SORA")</f>
        <v>SORA</v>
      </c>
      <c r="B2283" s="5" t="str">
        <f ca="1">IFERROR(__xludf.DUMMYFUNCTION("""COMPUTED_VALUE"""),"ACS")</f>
        <v>ACS</v>
      </c>
      <c r="C2283" s="5" t="str">
        <f ca="1">IFERROR(__xludf.DUMMYFUNCTION("""COMPUTED_VALUE"""),"ACS-100 Sora")</f>
        <v>ACS-100 Sora</v>
      </c>
      <c r="D2283" s="5" t="str">
        <f ca="1">IFERROR(__xludf.DUMMYFUNCTION("""COMPUTED_VALUE"""),"LandPlane")</f>
        <v>LandPlane</v>
      </c>
      <c r="E2283" s="5" t="str">
        <f ca="1">IFERROR(__xludf.DUMMYFUNCTION("""COMPUTED_VALUE"""),"Piston")</f>
        <v>Piston</v>
      </c>
      <c r="F2283" s="5">
        <f ca="1">IFERROR(__xludf.DUMMYFUNCTION("""COMPUTED_VALUE"""),1)</f>
        <v>1</v>
      </c>
    </row>
    <row r="2284" spans="1:6" ht="15" customHeight="1" x14ac:dyDescent="0.2">
      <c r="A2284" s="5" t="str">
        <f ca="1">IFERROR(__xludf.DUMMYFUNCTION("""COMPUTED_VALUE"""),"SP20")</f>
        <v>SP20</v>
      </c>
      <c r="B2284" s="5" t="str">
        <f ca="1">IFERROR(__xludf.DUMMYFUNCTION("""COMPUTED_VALUE"""),"LANSHE")</f>
        <v>LANSHE</v>
      </c>
      <c r="C2284" s="5" t="str">
        <f ca="1">IFERROR(__xludf.DUMMYFUNCTION("""COMPUTED_VALUE"""),"SP-26")</f>
        <v>SP-26</v>
      </c>
      <c r="D2284" s="5" t="str">
        <f ca="1">IFERROR(__xludf.DUMMYFUNCTION("""COMPUTED_VALUE"""),"LandPlane")</f>
        <v>LandPlane</v>
      </c>
      <c r="E2284" s="5" t="str">
        <f ca="1">IFERROR(__xludf.DUMMYFUNCTION("""COMPUTED_VALUE"""),"Piston")</f>
        <v>Piston</v>
      </c>
      <c r="F2284" s="5">
        <f ca="1">IFERROR(__xludf.DUMMYFUNCTION("""COMPUTED_VALUE"""),1)</f>
        <v>1</v>
      </c>
    </row>
    <row r="2285" spans="1:6" ht="15" customHeight="1" x14ac:dyDescent="0.2">
      <c r="A2285" s="5" t="str">
        <f ca="1">IFERROR(__xludf.DUMMYFUNCTION("""COMPUTED_VALUE"""),"SP20")</f>
        <v>SP20</v>
      </c>
      <c r="B2285" s="5" t="str">
        <f ca="1">IFERROR(__xludf.DUMMYFUNCTION("""COMPUTED_VALUE"""),"MICCO")</f>
        <v>MICCO</v>
      </c>
      <c r="C2285" s="5" t="str">
        <f ca="1">IFERROR(__xludf.DUMMYFUNCTION("""COMPUTED_VALUE"""),"SP-20")</f>
        <v>SP-20</v>
      </c>
      <c r="D2285" s="5" t="str">
        <f ca="1">IFERROR(__xludf.DUMMYFUNCTION("""COMPUTED_VALUE"""),"LandPlane")</f>
        <v>LandPlane</v>
      </c>
      <c r="E2285" s="5" t="str">
        <f ca="1">IFERROR(__xludf.DUMMYFUNCTION("""COMPUTED_VALUE"""),"Piston")</f>
        <v>Piston</v>
      </c>
      <c r="F2285" s="5">
        <f ca="1">IFERROR(__xludf.DUMMYFUNCTION("""COMPUTED_VALUE"""),1)</f>
        <v>1</v>
      </c>
    </row>
    <row r="2286" spans="1:6" ht="15" customHeight="1" x14ac:dyDescent="0.2">
      <c r="A2286" s="5" t="str">
        <f ca="1">IFERROR(__xludf.DUMMYFUNCTION("""COMPUTED_VALUE"""),"SP33")</f>
        <v>SP33</v>
      </c>
      <c r="B2286" s="5" t="str">
        <f ca="1">IFERROR(__xludf.DUMMYFUNCTION("""COMPUTED_VALUE"""),"SPECTRUM")</f>
        <v>SPECTRUM</v>
      </c>
      <c r="C2286" s="5" t="str">
        <f ca="1">IFERROR(__xludf.DUMMYFUNCTION("""COMPUTED_VALUE"""),"S-33 Independence")</f>
        <v>S-33 Independence</v>
      </c>
      <c r="D2286" s="5" t="str">
        <f ca="1">IFERROR(__xludf.DUMMYFUNCTION("""COMPUTED_VALUE"""),"LandPlane")</f>
        <v>LandPlane</v>
      </c>
      <c r="E2286" s="5" t="str">
        <f ca="1">IFERROR(__xludf.DUMMYFUNCTION("""COMPUTED_VALUE"""),"Jet")</f>
        <v>Jet</v>
      </c>
      <c r="F2286" s="5">
        <f ca="1">IFERROR(__xludf.DUMMYFUNCTION("""COMPUTED_VALUE"""),2)</f>
        <v>2</v>
      </c>
    </row>
    <row r="2287" spans="1:6" ht="15" customHeight="1" x14ac:dyDescent="0.2">
      <c r="A2287" s="5" t="str">
        <f ca="1">IFERROR(__xludf.DUMMYFUNCTION("""COMPUTED_VALUE"""),"SP55")</f>
        <v>SP55</v>
      </c>
      <c r="B2287" s="5" t="str">
        <f ca="1">IFERROR(__xludf.DUMMYFUNCTION("""COMPUTED_VALUE"""),"TECHNOAVIA")</f>
        <v>TECHNOAVIA</v>
      </c>
      <c r="C2287" s="5" t="str">
        <f ca="1">IFERROR(__xludf.DUMMYFUNCTION("""COMPUTED_VALUE"""),"SP-55")</f>
        <v>SP-55</v>
      </c>
      <c r="D2287" s="5" t="str">
        <f ca="1">IFERROR(__xludf.DUMMYFUNCTION("""COMPUTED_VALUE"""),"LandPlane")</f>
        <v>LandPlane</v>
      </c>
      <c r="E2287" s="5" t="str">
        <f ca="1">IFERROR(__xludf.DUMMYFUNCTION("""COMPUTED_VALUE"""),"Piston")</f>
        <v>Piston</v>
      </c>
      <c r="F2287" s="5">
        <f ca="1">IFERROR(__xludf.DUMMYFUNCTION("""COMPUTED_VALUE"""),1)</f>
        <v>1</v>
      </c>
    </row>
    <row r="2288" spans="1:6" ht="15" customHeight="1" x14ac:dyDescent="0.2">
      <c r="A2288" s="5" t="str">
        <f ca="1">IFERROR(__xludf.DUMMYFUNCTION("""COMPUTED_VALUE"""),"SP6E")</f>
        <v>SP6E</v>
      </c>
      <c r="B2288" s="5" t="str">
        <f ca="1">IFERROR(__xludf.DUMMYFUNCTION("""COMPUTED_VALUE"""),"SAUSER")</f>
        <v>SAUSER</v>
      </c>
      <c r="C2288" s="5" t="str">
        <f ca="1">IFERROR(__xludf.DUMMYFUNCTION("""COMPUTED_VALUE"""),"P-6E Replica")</f>
        <v>P-6E Replica</v>
      </c>
      <c r="D2288" s="5" t="str">
        <f ca="1">IFERROR(__xludf.DUMMYFUNCTION("""COMPUTED_VALUE"""),"LandPlane")</f>
        <v>LandPlane</v>
      </c>
      <c r="E2288" s="5" t="str">
        <f ca="1">IFERROR(__xludf.DUMMYFUNCTION("""COMPUTED_VALUE"""),"Piston")</f>
        <v>Piston</v>
      </c>
      <c r="F2288" s="5">
        <f ca="1">IFERROR(__xludf.DUMMYFUNCTION("""COMPUTED_VALUE"""),1)</f>
        <v>1</v>
      </c>
    </row>
    <row r="2289" spans="1:6" ht="15" customHeight="1" x14ac:dyDescent="0.2">
      <c r="A2289" s="5" t="str">
        <f ca="1">IFERROR(__xludf.DUMMYFUNCTION("""COMPUTED_VALUE"""),"SP7")</f>
        <v>SP7</v>
      </c>
      <c r="B2289" s="5" t="str">
        <f ca="1">IFERROR(__xludf.DUMMYFUNCTION("""COMPUTED_VALUE"""),"SPARTAN")</f>
        <v>SPARTAN</v>
      </c>
      <c r="C2289" s="5" t="str">
        <f ca="1">IFERROR(__xludf.DUMMYFUNCTION("""COMPUTED_VALUE"""),"7 Executive")</f>
        <v>7 Executive</v>
      </c>
      <c r="D2289" s="5" t="str">
        <f ca="1">IFERROR(__xludf.DUMMYFUNCTION("""COMPUTED_VALUE"""),"LandPlane")</f>
        <v>LandPlane</v>
      </c>
      <c r="E2289" s="5" t="str">
        <f ca="1">IFERROR(__xludf.DUMMYFUNCTION("""COMPUTED_VALUE"""),"Piston")</f>
        <v>Piston</v>
      </c>
      <c r="F2289" s="5">
        <f ca="1">IFERROR(__xludf.DUMMYFUNCTION("""COMPUTED_VALUE"""),1)</f>
        <v>1</v>
      </c>
    </row>
    <row r="2290" spans="1:6" ht="15" customHeight="1" x14ac:dyDescent="0.2">
      <c r="A2290" s="5" t="str">
        <f ca="1">IFERROR(__xludf.DUMMYFUNCTION("""COMPUTED_VALUE"""),"SP91")</f>
        <v>SP91</v>
      </c>
      <c r="B2290" s="5" t="str">
        <f ca="1">IFERROR(__xludf.DUMMYFUNCTION("""COMPUTED_VALUE"""),"TECHNOAVIA")</f>
        <v>TECHNOAVIA</v>
      </c>
      <c r="C2290" s="5" t="str">
        <f ca="1">IFERROR(__xludf.DUMMYFUNCTION("""COMPUTED_VALUE"""),"SP-91 Slava")</f>
        <v>SP-91 Slava</v>
      </c>
      <c r="D2290" s="5" t="str">
        <f ca="1">IFERROR(__xludf.DUMMYFUNCTION("""COMPUTED_VALUE"""),"LandPlane")</f>
        <v>LandPlane</v>
      </c>
      <c r="E2290" s="5" t="str">
        <f ca="1">IFERROR(__xludf.DUMMYFUNCTION("""COMPUTED_VALUE"""),"Piston")</f>
        <v>Piston</v>
      </c>
      <c r="F2290" s="5">
        <f ca="1">IFERROR(__xludf.DUMMYFUNCTION("""COMPUTED_VALUE"""),1)</f>
        <v>1</v>
      </c>
    </row>
    <row r="2291" spans="1:6" ht="15" customHeight="1" x14ac:dyDescent="0.2">
      <c r="A2291" s="5" t="str">
        <f ca="1">IFERROR(__xludf.DUMMYFUNCTION("""COMPUTED_VALUE"""),"SP95")</f>
        <v>SP95</v>
      </c>
      <c r="B2291" s="5" t="str">
        <f ca="1">IFERROR(__xludf.DUMMYFUNCTION("""COMPUTED_VALUE"""),"TECHNOAVIA")</f>
        <v>TECHNOAVIA</v>
      </c>
      <c r="C2291" s="5" t="str">
        <f ca="1">IFERROR(__xludf.DUMMYFUNCTION("""COMPUTED_VALUE"""),"SP-95")</f>
        <v>SP-95</v>
      </c>
      <c r="D2291" s="5" t="str">
        <f ca="1">IFERROR(__xludf.DUMMYFUNCTION("""COMPUTED_VALUE"""),"LandPlane")</f>
        <v>LandPlane</v>
      </c>
      <c r="E2291" s="5" t="str">
        <f ca="1">IFERROR(__xludf.DUMMYFUNCTION("""COMPUTED_VALUE"""),"Piston")</f>
        <v>Piston</v>
      </c>
      <c r="F2291" s="5">
        <f ca="1">IFERROR(__xludf.DUMMYFUNCTION("""COMPUTED_VALUE"""),1)</f>
        <v>1</v>
      </c>
    </row>
    <row r="2292" spans="1:6" ht="15" customHeight="1" x14ac:dyDescent="0.2">
      <c r="A2292" s="5" t="str">
        <f ca="1">IFERROR(__xludf.DUMMYFUNCTION("""COMPUTED_VALUE"""),"SPA2")</f>
        <v>SPA2</v>
      </c>
      <c r="B2292" s="5" t="str">
        <f ca="1">IFERROR(__xludf.DUMMYFUNCTION("""COMPUTED_VALUE"""),"STARK-TREFETHEN")</f>
        <v>STARK-TREFETHEN</v>
      </c>
      <c r="C2292" s="5" t="str">
        <f ca="1">IFERROR(__xludf.DUMMYFUNCTION("""COMPUTED_VALUE"""),"Sport-Aire 2")</f>
        <v>Sport-Aire 2</v>
      </c>
      <c r="D2292" s="5" t="str">
        <f ca="1">IFERROR(__xludf.DUMMYFUNCTION("""COMPUTED_VALUE"""),"LandPlane")</f>
        <v>LandPlane</v>
      </c>
      <c r="E2292" s="5" t="str">
        <f ca="1">IFERROR(__xludf.DUMMYFUNCTION("""COMPUTED_VALUE"""),"Piston")</f>
        <v>Piston</v>
      </c>
      <c r="F2292" s="5">
        <f ca="1">IFERROR(__xludf.DUMMYFUNCTION("""COMPUTED_VALUE"""),1)</f>
        <v>1</v>
      </c>
    </row>
    <row r="2293" spans="1:6" ht="15" customHeight="1" x14ac:dyDescent="0.2">
      <c r="A2293" s="5" t="str">
        <f ca="1">IFERROR(__xludf.DUMMYFUNCTION("""COMPUTED_VALUE"""),"SPAR")</f>
        <v>SPAR</v>
      </c>
      <c r="B2293" s="5" t="str">
        <f ca="1">IFERROR(__xludf.DUMMYFUNCTION("""COMPUTED_VALUE"""),"III")</f>
        <v>III</v>
      </c>
      <c r="C2293" s="5" t="str">
        <f ca="1">IFERROR(__xludf.DUMMYFUNCTION("""COMPUTED_VALUE"""),"Speed Arrow")</f>
        <v>Speed Arrow</v>
      </c>
      <c r="D2293" s="5" t="str">
        <f ca="1">IFERROR(__xludf.DUMMYFUNCTION("""COMPUTED_VALUE"""),"LandPlane")</f>
        <v>LandPlane</v>
      </c>
      <c r="E2293" s="5" t="str">
        <f ca="1">IFERROR(__xludf.DUMMYFUNCTION("""COMPUTED_VALUE"""),"Piston")</f>
        <v>Piston</v>
      </c>
      <c r="F2293" s="5">
        <f ca="1">IFERROR(__xludf.DUMMYFUNCTION("""COMPUTED_VALUE"""),1)</f>
        <v>1</v>
      </c>
    </row>
    <row r="2294" spans="1:6" ht="15" customHeight="1" x14ac:dyDescent="0.2">
      <c r="A2294" s="5" t="str">
        <f ca="1">IFERROR(__xludf.DUMMYFUNCTION("""COMPUTED_VALUE"""),"SPC2")</f>
        <v>SPC2</v>
      </c>
      <c r="B2294" s="5" t="str">
        <f ca="1">IFERROR(__xludf.DUMMYFUNCTION("""COMPUTED_VALUE"""),"SPECTER")</f>
        <v>SPECTER</v>
      </c>
      <c r="C2294" s="5" t="str">
        <f ca="1">IFERROR(__xludf.DUMMYFUNCTION("""COMPUTED_VALUE"""),"Specter 2")</f>
        <v>Specter 2</v>
      </c>
      <c r="D2294" s="5" t="str">
        <f ca="1">IFERROR(__xludf.DUMMYFUNCTION("""COMPUTED_VALUE"""),"LandPlane")</f>
        <v>LandPlane</v>
      </c>
      <c r="E2294" s="5" t="str">
        <f ca="1">IFERROR(__xludf.DUMMYFUNCTION("""COMPUTED_VALUE"""),"Piston")</f>
        <v>Piston</v>
      </c>
      <c r="F2294" s="5">
        <f ca="1">IFERROR(__xludf.DUMMYFUNCTION("""COMPUTED_VALUE"""),1)</f>
        <v>1</v>
      </c>
    </row>
    <row r="2295" spans="1:6" ht="15" customHeight="1" x14ac:dyDescent="0.2">
      <c r="A2295" s="5" t="str">
        <f ca="1">IFERROR(__xludf.DUMMYFUNCTION("""COMPUTED_VALUE"""),"SPDR")</f>
        <v>SPDR</v>
      </c>
      <c r="B2295" s="5" t="str">
        <f ca="1">IFERROR(__xludf.DUMMYFUNCTION("""COMPUTED_VALUE"""),"REARWIN")</f>
        <v>REARWIN</v>
      </c>
      <c r="C2295" s="5" t="str">
        <f ca="1">IFERROR(__xludf.DUMMYFUNCTION("""COMPUTED_VALUE"""),"6000 Speedster")</f>
        <v>6000 Speedster</v>
      </c>
      <c r="D2295" s="5" t="str">
        <f ca="1">IFERROR(__xludf.DUMMYFUNCTION("""COMPUTED_VALUE"""),"LandPlane")</f>
        <v>LandPlane</v>
      </c>
      <c r="E2295" s="5" t="str">
        <f ca="1">IFERROR(__xludf.DUMMYFUNCTION("""COMPUTED_VALUE"""),"Piston")</f>
        <v>Piston</v>
      </c>
      <c r="F2295" s="5">
        <f ca="1">IFERROR(__xludf.DUMMYFUNCTION("""COMPUTED_VALUE"""),1)</f>
        <v>1</v>
      </c>
    </row>
    <row r="2296" spans="1:6" ht="15" customHeight="1" x14ac:dyDescent="0.2">
      <c r="A2296" s="5" t="str">
        <f ca="1">IFERROR(__xludf.DUMMYFUNCTION("""COMPUTED_VALUE"""),"SPEL")</f>
        <v>SPEL</v>
      </c>
      <c r="B2296" s="5" t="str">
        <f ca="1">IFERROR(__xludf.DUMMYFUNCTION("""COMPUTED_VALUE"""),"LOEHLE")</f>
        <v>LOEHLE</v>
      </c>
      <c r="C2296" s="5" t="str">
        <f ca="1">IFERROR(__xludf.DUMMYFUNCTION("""COMPUTED_VALUE"""),"Spitfire Elite")</f>
        <v>Spitfire Elite</v>
      </c>
      <c r="D2296" s="5" t="str">
        <f ca="1">IFERROR(__xludf.DUMMYFUNCTION("""COMPUTED_VALUE"""),"LandPlane")</f>
        <v>LandPlane</v>
      </c>
      <c r="E2296" s="5" t="str">
        <f ca="1">IFERROR(__xludf.DUMMYFUNCTION("""COMPUTED_VALUE"""),"Piston")</f>
        <v>Piston</v>
      </c>
      <c r="F2296" s="5">
        <f ca="1">IFERROR(__xludf.DUMMYFUNCTION("""COMPUTED_VALUE"""),1)</f>
        <v>1</v>
      </c>
    </row>
    <row r="2297" spans="1:6" ht="15" customHeight="1" x14ac:dyDescent="0.2">
      <c r="A2297" s="5" t="str">
        <f ca="1">IFERROR(__xludf.DUMMYFUNCTION("""COMPUTED_VALUE"""),"SPGY")</f>
        <v>SPGY</v>
      </c>
      <c r="B2297" s="5" t="str">
        <f ca="1">IFERROR(__xludf.DUMMYFUNCTION("""COMPUTED_VALUE"""),"AIRCRAFT DESIGNS")</f>
        <v>AIRCRAFT DESIGNS</v>
      </c>
      <c r="C2297" s="5" t="str">
        <f ca="1">IFERROR(__xludf.DUMMYFUNCTION("""COMPUTED_VALUE"""),"Sportster Gyro")</f>
        <v>Sportster Gyro</v>
      </c>
      <c r="D2297" s="5" t="str">
        <f ca="1">IFERROR(__xludf.DUMMYFUNCTION("""COMPUTED_VALUE"""),"Gyrocopter")</f>
        <v>Gyrocopter</v>
      </c>
      <c r="E2297" s="5" t="str">
        <f ca="1">IFERROR(__xludf.DUMMYFUNCTION("""COMPUTED_VALUE"""),"Piston")</f>
        <v>Piston</v>
      </c>
      <c r="F2297" s="5">
        <f ca="1">IFERROR(__xludf.DUMMYFUNCTION("""COMPUTED_VALUE"""),1)</f>
        <v>1</v>
      </c>
    </row>
    <row r="2298" spans="1:6" ht="15" customHeight="1" x14ac:dyDescent="0.2">
      <c r="A2298" s="5" t="str">
        <f ca="1">IFERROR(__xludf.DUMMYFUNCTION("""COMPUTED_VALUE"""),"SPHA")</f>
        <v>SPHA</v>
      </c>
      <c r="B2298" s="5" t="str">
        <f ca="1">IFERROR(__xludf.DUMMYFUNCTION("""COMPUTED_VALUE"""),"AMERICAN AUTOGYRO")</f>
        <v>AMERICAN AUTOGYRO</v>
      </c>
      <c r="C2298" s="5" t="str">
        <f ca="1">IFERROR(__xludf.DUMMYFUNCTION("""COMPUTED_VALUE"""),"SparrowHawk")</f>
        <v>SparrowHawk</v>
      </c>
      <c r="D2298" s="5" t="str">
        <f ca="1">IFERROR(__xludf.DUMMYFUNCTION("""COMPUTED_VALUE"""),"Gyrocopter")</f>
        <v>Gyrocopter</v>
      </c>
      <c r="E2298" s="5" t="str">
        <f ca="1">IFERROR(__xludf.DUMMYFUNCTION("""COMPUTED_VALUE"""),"Piston")</f>
        <v>Piston</v>
      </c>
      <c r="F2298" s="5">
        <f ca="1">IFERROR(__xludf.DUMMYFUNCTION("""COMPUTED_VALUE"""),1)</f>
        <v>1</v>
      </c>
    </row>
    <row r="2299" spans="1:6" ht="15" customHeight="1" x14ac:dyDescent="0.2">
      <c r="A2299" s="5" t="str">
        <f ca="1">IFERROR(__xludf.DUMMYFUNCTION("""COMPUTED_VALUE"""),"SPIR")</f>
        <v>SPIR</v>
      </c>
      <c r="B2299" s="5" t="str">
        <f ca="1">IFERROR(__xludf.DUMMYFUNCTION("""COMPUTED_VALUE"""),"QUESTAIR")</f>
        <v>QUESTAIR</v>
      </c>
      <c r="C2299" s="5" t="str">
        <f ca="1">IFERROR(__xludf.DUMMYFUNCTION("""COMPUTED_VALUE"""),"Spirit")</f>
        <v>Spirit</v>
      </c>
      <c r="D2299" s="5" t="str">
        <f ca="1">IFERROR(__xludf.DUMMYFUNCTION("""COMPUTED_VALUE"""),"LandPlane")</f>
        <v>LandPlane</v>
      </c>
      <c r="E2299" s="5" t="str">
        <f ca="1">IFERROR(__xludf.DUMMYFUNCTION("""COMPUTED_VALUE"""),"Piston")</f>
        <v>Piston</v>
      </c>
      <c r="F2299" s="5">
        <f ca="1">IFERROR(__xludf.DUMMYFUNCTION("""COMPUTED_VALUE"""),1)</f>
        <v>1</v>
      </c>
    </row>
    <row r="2300" spans="1:6" ht="15" customHeight="1" x14ac:dyDescent="0.2">
      <c r="A2300" s="5" t="str">
        <f ca="1">IFERROR(__xludf.DUMMYFUNCTION("""COMPUTED_VALUE"""),"SPIT")</f>
        <v>SPIT</v>
      </c>
      <c r="B2300" s="5" t="str">
        <f ca="1">IFERROR(__xludf.DUMMYFUNCTION("""COMPUTED_VALUE"""),"SUPERMARINE")</f>
        <v>SUPERMARINE</v>
      </c>
      <c r="C2300" s="5" t="str">
        <f ca="1">IFERROR(__xludf.DUMMYFUNCTION("""COMPUTED_VALUE"""),"Spitfire")</f>
        <v>Spitfire</v>
      </c>
      <c r="D2300" s="5" t="str">
        <f ca="1">IFERROR(__xludf.DUMMYFUNCTION("""COMPUTED_VALUE"""),"LandPlane")</f>
        <v>LandPlane</v>
      </c>
      <c r="E2300" s="5" t="str">
        <f ca="1">IFERROR(__xludf.DUMMYFUNCTION("""COMPUTED_VALUE"""),"Piston")</f>
        <v>Piston</v>
      </c>
      <c r="F2300" s="5">
        <f ca="1">IFERROR(__xludf.DUMMYFUNCTION("""COMPUTED_VALUE"""),1)</f>
        <v>1</v>
      </c>
    </row>
    <row r="2301" spans="1:6" ht="15" customHeight="1" x14ac:dyDescent="0.2">
      <c r="A2301" s="5" t="str">
        <f ca="1">IFERROR(__xludf.DUMMYFUNCTION("""COMPUTED_VALUE"""),"SPOR")</f>
        <v>SPOR</v>
      </c>
      <c r="B2301" s="5" t="str">
        <f ca="1">IFERROR(__xludf.DUMMYFUNCTION("""COMPUTED_VALUE"""),"AMAX")</f>
        <v>AMAX</v>
      </c>
      <c r="C2301" s="5" t="str">
        <f ca="1">IFERROR(__xludf.DUMMYFUNCTION("""COMPUTED_VALUE"""),"Sport 1700")</f>
        <v>Sport 1700</v>
      </c>
      <c r="D2301" s="5" t="str">
        <f ca="1">IFERROR(__xludf.DUMMYFUNCTION("""COMPUTED_VALUE"""),"LandPlane")</f>
        <v>LandPlane</v>
      </c>
      <c r="E2301" s="5" t="str">
        <f ca="1">IFERROR(__xludf.DUMMYFUNCTION("""COMPUTED_VALUE"""),"Piston")</f>
        <v>Piston</v>
      </c>
      <c r="F2301" s="5">
        <f ca="1">IFERROR(__xludf.DUMMYFUNCTION("""COMPUTED_VALUE"""),1)</f>
        <v>1</v>
      </c>
    </row>
    <row r="2302" spans="1:6" ht="15" customHeight="1" x14ac:dyDescent="0.2">
      <c r="A2302" s="5" t="str">
        <f ca="1">IFERROR(__xludf.DUMMYFUNCTION("""COMPUTED_VALUE"""),"SPR2")</f>
        <v>SPR2</v>
      </c>
      <c r="B2302" s="5" t="str">
        <f ca="1">IFERROR(__xludf.DUMMYFUNCTION("""COMPUTED_VALUE"""),"CARLSON")</f>
        <v>CARLSON</v>
      </c>
      <c r="C2302" s="5" t="str">
        <f ca="1">IFERROR(__xludf.DUMMYFUNCTION("""COMPUTED_VALUE"""),"Sparrow 2")</f>
        <v>Sparrow 2</v>
      </c>
      <c r="D2302" s="5" t="str">
        <f ca="1">IFERROR(__xludf.DUMMYFUNCTION("""COMPUTED_VALUE"""),"LandPlane")</f>
        <v>LandPlane</v>
      </c>
      <c r="E2302" s="5" t="str">
        <f ca="1">IFERROR(__xludf.DUMMYFUNCTION("""COMPUTED_VALUE"""),"Piston")</f>
        <v>Piston</v>
      </c>
      <c r="F2302" s="5">
        <f ca="1">IFERROR(__xludf.DUMMYFUNCTION("""COMPUTED_VALUE"""),1)</f>
        <v>1</v>
      </c>
    </row>
    <row r="2303" spans="1:6" ht="15" customHeight="1" x14ac:dyDescent="0.2">
      <c r="A2303" s="5" t="str">
        <f ca="1">IFERROR(__xludf.DUMMYFUNCTION("""COMPUTED_VALUE"""),"SPRT")</f>
        <v>SPRT</v>
      </c>
      <c r="B2303" s="5" t="str">
        <f ca="1">IFERROR(__xludf.DUMMYFUNCTION("""COMPUTED_VALUE"""),"PRACTAVIA")</f>
        <v>PRACTAVIA</v>
      </c>
      <c r="C2303" s="5" t="str">
        <f ca="1">IFERROR(__xludf.DUMMYFUNCTION("""COMPUTED_VALUE"""),"Sprite")</f>
        <v>Sprite</v>
      </c>
      <c r="D2303" s="5" t="str">
        <f ca="1">IFERROR(__xludf.DUMMYFUNCTION("""COMPUTED_VALUE"""),"LandPlane")</f>
        <v>LandPlane</v>
      </c>
      <c r="E2303" s="5" t="str">
        <f ca="1">IFERROR(__xludf.DUMMYFUNCTION("""COMPUTED_VALUE"""),"Piston")</f>
        <v>Piston</v>
      </c>
      <c r="F2303" s="5">
        <f ca="1">IFERROR(__xludf.DUMMYFUNCTION("""COMPUTED_VALUE"""),1)</f>
        <v>1</v>
      </c>
    </row>
    <row r="2304" spans="1:6" ht="15" customHeight="1" x14ac:dyDescent="0.2">
      <c r="A2304" s="5" t="str">
        <f ca="1">IFERROR(__xludf.DUMMYFUNCTION("""COMPUTED_VALUE"""),"SPST")</f>
        <v>SPST</v>
      </c>
      <c r="B2304" s="5" t="str">
        <f ca="1">IFERROR(__xludf.DUMMYFUNCTION("""COMPUTED_VALUE"""),"GÖTAVERKEN")</f>
        <v>GÖTAVERKEN</v>
      </c>
      <c r="C2304" s="5" t="str">
        <f ca="1">IFERROR(__xludf.DUMMYFUNCTION("""COMPUTED_VALUE"""),"GV-38")</f>
        <v>GV-38</v>
      </c>
      <c r="D2304" s="5" t="str">
        <f ca="1">IFERROR(__xludf.DUMMYFUNCTION("""COMPUTED_VALUE"""),"LandPlane")</f>
        <v>LandPlane</v>
      </c>
      <c r="E2304" s="5" t="str">
        <f ca="1">IFERROR(__xludf.DUMMYFUNCTION("""COMPUTED_VALUE"""),"Piston")</f>
        <v>Piston</v>
      </c>
      <c r="F2304" s="5">
        <f ca="1">IFERROR(__xludf.DUMMYFUNCTION("""COMPUTED_VALUE"""),1)</f>
        <v>1</v>
      </c>
    </row>
    <row r="2305" spans="1:6" ht="15" customHeight="1" x14ac:dyDescent="0.2">
      <c r="A2305" s="5" t="str">
        <f ca="1">IFERROR(__xludf.DUMMYFUNCTION("""COMPUTED_VALUE"""),"SPST")</f>
        <v>SPST</v>
      </c>
      <c r="B2305" s="5" t="str">
        <f ca="1">IFERROR(__xludf.DUMMYFUNCTION("""COMPUTED_VALUE"""),"REARWIN")</f>
        <v>REARWIN</v>
      </c>
      <c r="C2305" s="5" t="str">
        <f ca="1">IFERROR(__xludf.DUMMYFUNCTION("""COMPUTED_VALUE"""),"Sportster")</f>
        <v>Sportster</v>
      </c>
      <c r="D2305" s="5" t="str">
        <f ca="1">IFERROR(__xludf.DUMMYFUNCTION("""COMPUTED_VALUE"""),"LandPlane")</f>
        <v>LandPlane</v>
      </c>
      <c r="E2305" s="5" t="str">
        <f ca="1">IFERROR(__xludf.DUMMYFUNCTION("""COMPUTED_VALUE"""),"Piston")</f>
        <v>Piston</v>
      </c>
      <c r="F2305" s="5">
        <f ca="1">IFERROR(__xludf.DUMMYFUNCTION("""COMPUTED_VALUE"""),1)</f>
        <v>1</v>
      </c>
    </row>
    <row r="2306" spans="1:6" ht="15" customHeight="1" x14ac:dyDescent="0.2">
      <c r="A2306" s="5" t="str">
        <f ca="1">IFERROR(__xludf.DUMMYFUNCTION("""COMPUTED_VALUE"""),"SPUP")</f>
        <v>SPUP</v>
      </c>
      <c r="B2306" s="5" t="str">
        <f ca="1">IFERROR(__xludf.DUMMYFUNCTION("""COMPUTED_VALUE"""),"SOPWITH")</f>
        <v>SOPWITH</v>
      </c>
      <c r="C2306" s="5" t="str">
        <f ca="1">IFERROR(__xludf.DUMMYFUNCTION("""COMPUTED_VALUE"""),"Pup")</f>
        <v>Pup</v>
      </c>
      <c r="D2306" s="5" t="str">
        <f ca="1">IFERROR(__xludf.DUMMYFUNCTION("""COMPUTED_VALUE"""),"LandPlane")</f>
        <v>LandPlane</v>
      </c>
      <c r="E2306" s="5" t="str">
        <f ca="1">IFERROR(__xludf.DUMMYFUNCTION("""COMPUTED_VALUE"""),"Piston")</f>
        <v>Piston</v>
      </c>
      <c r="F2306" s="5">
        <f ca="1">IFERROR(__xludf.DUMMYFUNCTION("""COMPUTED_VALUE"""),1)</f>
        <v>1</v>
      </c>
    </row>
    <row r="2307" spans="1:6" ht="15" customHeight="1" x14ac:dyDescent="0.2">
      <c r="A2307" s="5" t="str">
        <f ca="1">IFERROR(__xludf.DUMMYFUNCTION("""COMPUTED_VALUE"""),"SQ2T")</f>
        <v>SQ2T</v>
      </c>
      <c r="B2307" s="5" t="str">
        <f ca="1">IFERROR(__xludf.DUMMYFUNCTION("""COMPUTED_VALUE"""),"GLASSIC")</f>
        <v>GLASSIC</v>
      </c>
      <c r="C2307" s="5" t="str">
        <f ca="1">IFERROR(__xludf.DUMMYFUNCTION("""COMPUTED_VALUE"""),"SQ-2000")</f>
        <v>SQ-2000</v>
      </c>
      <c r="D2307" s="5" t="str">
        <f ca="1">IFERROR(__xludf.DUMMYFUNCTION("""COMPUTED_VALUE"""),"LandPlane")</f>
        <v>LandPlane</v>
      </c>
      <c r="E2307" s="5" t="str">
        <f ca="1">IFERROR(__xludf.DUMMYFUNCTION("""COMPUTED_VALUE"""),"Piston")</f>
        <v>Piston</v>
      </c>
      <c r="F2307" s="5">
        <f ca="1">IFERROR(__xludf.DUMMYFUNCTION("""COMPUTED_VALUE"""),1)</f>
        <v>1</v>
      </c>
    </row>
    <row r="2308" spans="1:6" ht="15" customHeight="1" x14ac:dyDescent="0.2">
      <c r="A2308" s="5" t="str">
        <f ca="1">IFERROR(__xludf.DUMMYFUNCTION("""COMPUTED_VALUE"""),"SQES")</f>
        <v>SQES</v>
      </c>
      <c r="B2308" s="5" t="str">
        <f ca="1">IFERROR(__xludf.DUMMYFUNCTION("""COMPUTED_VALUE"""),"SLIPSTREAM")</f>
        <v>SLIPSTREAM</v>
      </c>
      <c r="C2308" s="5" t="str">
        <f ca="1">IFERROR(__xludf.DUMMYFUNCTION("""COMPUTED_VALUE"""),"SkyQuest")</f>
        <v>SkyQuest</v>
      </c>
      <c r="D2308" s="5" t="str">
        <f ca="1">IFERROR(__xludf.DUMMYFUNCTION("""COMPUTED_VALUE"""),"LandPlane")</f>
        <v>LandPlane</v>
      </c>
      <c r="E2308" s="5" t="str">
        <f ca="1">IFERROR(__xludf.DUMMYFUNCTION("""COMPUTED_VALUE"""),"Piston")</f>
        <v>Piston</v>
      </c>
      <c r="F2308" s="5">
        <f ca="1">IFERROR(__xludf.DUMMYFUNCTION("""COMPUTED_VALUE"""),2)</f>
        <v>2</v>
      </c>
    </row>
    <row r="2309" spans="1:6" ht="15" customHeight="1" x14ac:dyDescent="0.2">
      <c r="A2309" s="5" t="str">
        <f ca="1">IFERROR(__xludf.DUMMYFUNCTION("""COMPUTED_VALUE"""),"SR01")</f>
        <v>SR01</v>
      </c>
      <c r="B2309" s="5" t="str">
        <f ca="1">IFERROR(__xludf.DUMMYFUNCTION("""COMPUTED_VALUE"""),"EURODISPLAY")</f>
        <v>EURODISPLAY</v>
      </c>
      <c r="C2309" s="5" t="str">
        <f ca="1">IFERROR(__xludf.DUMMYFUNCTION("""COMPUTED_VALUE"""),"SR-01 Magic")</f>
        <v>SR-01 Magic</v>
      </c>
      <c r="D2309" s="5" t="str">
        <f ca="1">IFERROR(__xludf.DUMMYFUNCTION("""COMPUTED_VALUE"""),"LandPlane")</f>
        <v>LandPlane</v>
      </c>
      <c r="E2309" s="5" t="str">
        <f ca="1">IFERROR(__xludf.DUMMYFUNCTION("""COMPUTED_VALUE"""),"Piston")</f>
        <v>Piston</v>
      </c>
      <c r="F2309" s="5">
        <f ca="1">IFERROR(__xludf.DUMMYFUNCTION("""COMPUTED_VALUE"""),1)</f>
        <v>1</v>
      </c>
    </row>
    <row r="2310" spans="1:6" ht="15" customHeight="1" x14ac:dyDescent="0.2">
      <c r="A2310" s="5" t="str">
        <f ca="1">IFERROR(__xludf.DUMMYFUNCTION("""COMPUTED_VALUE"""),"SR20")</f>
        <v>SR20</v>
      </c>
      <c r="B2310" s="5" t="str">
        <f ca="1">IFERROR(__xludf.DUMMYFUNCTION("""COMPUTED_VALUE"""),"CIRRUS")</f>
        <v>CIRRUS</v>
      </c>
      <c r="C2310" s="5" t="str">
        <f ca="1">IFERROR(__xludf.DUMMYFUNCTION("""COMPUTED_VALUE"""),"SR-20")</f>
        <v>SR-20</v>
      </c>
      <c r="D2310" s="5" t="str">
        <f ca="1">IFERROR(__xludf.DUMMYFUNCTION("""COMPUTED_VALUE"""),"LandPlane")</f>
        <v>LandPlane</v>
      </c>
      <c r="E2310" s="5" t="str">
        <f ca="1">IFERROR(__xludf.DUMMYFUNCTION("""COMPUTED_VALUE"""),"Piston")</f>
        <v>Piston</v>
      </c>
      <c r="F2310" s="5">
        <f ca="1">IFERROR(__xludf.DUMMYFUNCTION("""COMPUTED_VALUE"""),1)</f>
        <v>1</v>
      </c>
    </row>
    <row r="2311" spans="1:6" ht="15" customHeight="1" x14ac:dyDescent="0.2">
      <c r="A2311" s="5" t="str">
        <f ca="1">IFERROR(__xludf.DUMMYFUNCTION("""COMPUTED_VALUE"""),"SR22")</f>
        <v>SR22</v>
      </c>
      <c r="B2311" s="5" t="str">
        <f ca="1">IFERROR(__xludf.DUMMYFUNCTION("""COMPUTED_VALUE"""),"CIRRUS")</f>
        <v>CIRRUS</v>
      </c>
      <c r="C2311" s="5" t="str">
        <f ca="1">IFERROR(__xludf.DUMMYFUNCTION("""COMPUTED_VALUE"""),"SR-22")</f>
        <v>SR-22</v>
      </c>
      <c r="D2311" s="5" t="str">
        <f ca="1">IFERROR(__xludf.DUMMYFUNCTION("""COMPUTED_VALUE"""),"LandPlane")</f>
        <v>LandPlane</v>
      </c>
      <c r="E2311" s="5" t="str">
        <f ca="1">IFERROR(__xludf.DUMMYFUNCTION("""COMPUTED_VALUE"""),"Piston")</f>
        <v>Piston</v>
      </c>
      <c r="F2311" s="5">
        <f ca="1">IFERROR(__xludf.DUMMYFUNCTION("""COMPUTED_VALUE"""),1)</f>
        <v>1</v>
      </c>
    </row>
    <row r="2312" spans="1:6" ht="15" customHeight="1" x14ac:dyDescent="0.2">
      <c r="A2312" s="5" t="str">
        <f ca="1">IFERROR(__xludf.DUMMYFUNCTION("""COMPUTED_VALUE"""),"SRAC")</f>
        <v>SRAC</v>
      </c>
      <c r="B2312" s="5" t="str">
        <f ca="1">IFERROR(__xludf.DUMMYFUNCTION("""COMPUTED_VALUE"""),"SPORT RACER")</f>
        <v>SPORT RACER</v>
      </c>
      <c r="C2312" s="5" t="str">
        <f ca="1">IFERROR(__xludf.DUMMYFUNCTION("""COMPUTED_VALUE"""),"Sport Racer")</f>
        <v>Sport Racer</v>
      </c>
      <c r="D2312" s="5" t="str">
        <f ca="1">IFERROR(__xludf.DUMMYFUNCTION("""COMPUTED_VALUE"""),"LandPlane")</f>
        <v>LandPlane</v>
      </c>
      <c r="E2312" s="5" t="str">
        <f ca="1">IFERROR(__xludf.DUMMYFUNCTION("""COMPUTED_VALUE"""),"Piston")</f>
        <v>Piston</v>
      </c>
      <c r="F2312" s="5">
        <f ca="1">IFERROR(__xludf.DUMMYFUNCTION("""COMPUTED_VALUE"""),1)</f>
        <v>1</v>
      </c>
    </row>
    <row r="2313" spans="1:6" ht="15" customHeight="1" x14ac:dyDescent="0.2">
      <c r="A2313" s="5" t="str">
        <f ca="1">IFERROR(__xludf.DUMMYFUNCTION("""COMPUTED_VALUE"""),"SRAI")</f>
        <v>SRAI</v>
      </c>
      <c r="B2313" s="5" t="str">
        <f ca="1">IFERROR(__xludf.DUMMYFUNCTION("""COMPUTED_VALUE"""),"GREAT PLAINS")</f>
        <v>GREAT PLAINS</v>
      </c>
      <c r="C2313" s="5" t="str">
        <f ca="1">IFERROR(__xludf.DUMMYFUNCTION("""COMPUTED_VALUE"""),"Sonerai")</f>
        <v>Sonerai</v>
      </c>
      <c r="D2313" s="5" t="str">
        <f ca="1">IFERROR(__xludf.DUMMYFUNCTION("""COMPUTED_VALUE"""),"LandPlane")</f>
        <v>LandPlane</v>
      </c>
      <c r="E2313" s="5" t="str">
        <f ca="1">IFERROR(__xludf.DUMMYFUNCTION("""COMPUTED_VALUE"""),"Piston")</f>
        <v>Piston</v>
      </c>
      <c r="F2313" s="5">
        <f ca="1">IFERROR(__xludf.DUMMYFUNCTION("""COMPUTED_VALUE"""),1)</f>
        <v>1</v>
      </c>
    </row>
    <row r="2314" spans="1:6" ht="15" customHeight="1" x14ac:dyDescent="0.2">
      <c r="A2314" s="5" t="str">
        <f ca="1">IFERROR(__xludf.DUMMYFUNCTION("""COMPUTED_VALUE"""),"SRAS")</f>
        <v>SRAS</v>
      </c>
      <c r="B2314" s="5" t="str">
        <f ca="1">IFERROR(__xludf.DUMMYFUNCTION("""COMPUTED_VALUE"""),"D'APUZZO")</f>
        <v>D'APUZZO</v>
      </c>
      <c r="C2314" s="5" t="str">
        <f ca="1">IFERROR(__xludf.DUMMYFUNCTION("""COMPUTED_VALUE"""),"D-260 Senior Aero Sport")</f>
        <v>D-260 Senior Aero Sport</v>
      </c>
      <c r="D2314" s="5" t="str">
        <f ca="1">IFERROR(__xludf.DUMMYFUNCTION("""COMPUTED_VALUE"""),"LandPlane")</f>
        <v>LandPlane</v>
      </c>
      <c r="E2314" s="5" t="str">
        <f ca="1">IFERROR(__xludf.DUMMYFUNCTION("""COMPUTED_VALUE"""),"Piston")</f>
        <v>Piston</v>
      </c>
      <c r="F2314" s="5">
        <f ca="1">IFERROR(__xludf.DUMMYFUNCTION("""COMPUTED_VALUE"""),1)</f>
        <v>1</v>
      </c>
    </row>
    <row r="2315" spans="1:6" ht="15" customHeight="1" x14ac:dyDescent="0.2">
      <c r="A2315" s="5" t="str">
        <f ca="1">IFERROR(__xludf.DUMMYFUNCTION("""COMPUTED_VALUE"""),"SRAY")</f>
        <v>SRAY</v>
      </c>
      <c r="B2315" s="5" t="str">
        <f ca="1">IFERROR(__xludf.DUMMYFUNCTION("""COMPUTED_VALUE"""),"DORNIER")</f>
        <v>DORNIER</v>
      </c>
      <c r="C2315" s="5" t="str">
        <f ca="1">IFERROR(__xludf.DUMMYFUNCTION("""COMPUTED_VALUE"""),"S-Ray 007")</f>
        <v>S-Ray 007</v>
      </c>
      <c r="D2315" s="5" t="str">
        <f ca="1">IFERROR(__xludf.DUMMYFUNCTION("""COMPUTED_VALUE"""),"Amphibian")</f>
        <v>Amphibian</v>
      </c>
      <c r="E2315" s="5" t="str">
        <f ca="1">IFERROR(__xludf.DUMMYFUNCTION("""COMPUTED_VALUE"""),"Piston")</f>
        <v>Piston</v>
      </c>
      <c r="F2315" s="5">
        <f ca="1">IFERROR(__xludf.DUMMYFUNCTION("""COMPUTED_VALUE"""),1)</f>
        <v>1</v>
      </c>
    </row>
    <row r="2316" spans="1:6" ht="15" customHeight="1" x14ac:dyDescent="0.2">
      <c r="A2316" s="5" t="str">
        <f ca="1">IFERROR(__xludf.DUMMYFUNCTION("""COMPUTED_VALUE"""),"SREY")</f>
        <v>SREY</v>
      </c>
      <c r="B2316" s="5" t="str">
        <f ca="1">IFERROR(__xludf.DUMMYFUNCTION("""COMPUTED_VALUE"""),"PROGRESSIVE AERODYNE")</f>
        <v>PROGRESSIVE AERODYNE</v>
      </c>
      <c r="C2316" s="5" t="str">
        <f ca="1">IFERROR(__xludf.DUMMYFUNCTION("""COMPUTED_VALUE"""),"SeaRey")</f>
        <v>SeaRey</v>
      </c>
      <c r="D2316" s="5" t="str">
        <f ca="1">IFERROR(__xludf.DUMMYFUNCTION("""COMPUTED_VALUE"""),"Amphibian")</f>
        <v>Amphibian</v>
      </c>
      <c r="E2316" s="5" t="str">
        <f ca="1">IFERROR(__xludf.DUMMYFUNCTION("""COMPUTED_VALUE"""),"Piston")</f>
        <v>Piston</v>
      </c>
      <c r="F2316" s="5">
        <f ca="1">IFERROR(__xludf.DUMMYFUNCTION("""COMPUTED_VALUE"""),1)</f>
        <v>1</v>
      </c>
    </row>
    <row r="2317" spans="1:6" ht="15" customHeight="1" x14ac:dyDescent="0.2">
      <c r="A2317" s="5" t="str">
        <f ca="1">IFERROR(__xludf.DUMMYFUNCTION("""COMPUTED_VALUE"""),"SS2")</f>
        <v>SS2</v>
      </c>
      <c r="B2317" s="5" t="str">
        <f ca="1">IFERROR(__xludf.DUMMYFUNCTION("""COMPUTED_VALUE"""),"SCALED")</f>
        <v>SCALED</v>
      </c>
      <c r="C2317" s="5" t="str">
        <f ca="1">IFERROR(__xludf.DUMMYFUNCTION("""COMPUTED_VALUE"""),"339 Space Ship Two")</f>
        <v>339 Space Ship Two</v>
      </c>
      <c r="D2317" s="5" t="str">
        <f ca="1">IFERROR(__xludf.DUMMYFUNCTION("""COMPUTED_VALUE"""),"LandPlane")</f>
        <v>LandPlane</v>
      </c>
      <c r="E2317" s="5" t="str">
        <f ca="1">IFERROR(__xludf.DUMMYFUNCTION("""COMPUTED_VALUE"""),"Rocket")</f>
        <v>Rocket</v>
      </c>
      <c r="F2317" s="5">
        <f ca="1">IFERROR(__xludf.DUMMYFUNCTION("""COMPUTED_VALUE"""),1)</f>
        <v>1</v>
      </c>
    </row>
    <row r="2318" spans="1:6" ht="15" customHeight="1" x14ac:dyDescent="0.2">
      <c r="A2318" s="5" t="str">
        <f ca="1">IFERROR(__xludf.DUMMYFUNCTION("""COMPUTED_VALUE"""),"SS2P")</f>
        <v>SS2P</v>
      </c>
      <c r="B2318" s="5" t="str">
        <f ca="1">IFERROR(__xludf.DUMMYFUNCTION("""COMPUTED_VALUE"""),"AYRES")</f>
        <v>AYRES</v>
      </c>
      <c r="C2318" s="5" t="str">
        <f ca="1">IFERROR(__xludf.DUMMYFUNCTION("""COMPUTED_VALUE"""),"Thrush")</f>
        <v>Thrush</v>
      </c>
      <c r="D2318" s="5" t="str">
        <f ca="1">IFERROR(__xludf.DUMMYFUNCTION("""COMPUTED_VALUE"""),"LandPlane")</f>
        <v>LandPlane</v>
      </c>
      <c r="E2318" s="5" t="str">
        <f ca="1">IFERROR(__xludf.DUMMYFUNCTION("""COMPUTED_VALUE"""),"Piston")</f>
        <v>Piston</v>
      </c>
      <c r="F2318" s="5">
        <f ca="1">IFERROR(__xludf.DUMMYFUNCTION("""COMPUTED_VALUE"""),1)</f>
        <v>1</v>
      </c>
    </row>
    <row r="2319" spans="1:6" ht="15" customHeight="1" x14ac:dyDescent="0.2">
      <c r="A2319" s="5" t="str">
        <f ca="1">IFERROR(__xludf.DUMMYFUNCTION("""COMPUTED_VALUE"""),"SS2T")</f>
        <v>SS2T</v>
      </c>
      <c r="B2319" s="5" t="str">
        <f ca="1">IFERROR(__xludf.DUMMYFUNCTION("""COMPUTED_VALUE"""),"AYRES")</f>
        <v>AYRES</v>
      </c>
      <c r="C2319" s="5" t="str">
        <f ca="1">IFERROR(__xludf.DUMMYFUNCTION("""COMPUTED_VALUE"""),"Turbo Thrush (S-2R-G/T except T660)")</f>
        <v>Turbo Thrush (S-2R-G/T except T660)</v>
      </c>
      <c r="D2319" s="5" t="str">
        <f ca="1">IFERROR(__xludf.DUMMYFUNCTION("""COMPUTED_VALUE"""),"LandPlane")</f>
        <v>LandPlane</v>
      </c>
      <c r="E2319" s="5" t="str">
        <f ca="1">IFERROR(__xludf.DUMMYFUNCTION("""COMPUTED_VALUE"""),"Turboprop/Turboshaft")</f>
        <v>Turboprop/Turboshaft</v>
      </c>
      <c r="F2319" s="5">
        <f ca="1">IFERROR(__xludf.DUMMYFUNCTION("""COMPUTED_VALUE"""),1)</f>
        <v>1</v>
      </c>
    </row>
    <row r="2320" spans="1:6" ht="15" customHeight="1" x14ac:dyDescent="0.2">
      <c r="A2320" s="5" t="str">
        <f ca="1">IFERROR(__xludf.DUMMYFUNCTION("""COMPUTED_VALUE"""),"SSAB")</f>
        <v>SSAB</v>
      </c>
      <c r="B2320" s="5" t="str">
        <f ca="1">IFERROR(__xludf.DUMMYFUNCTION("""COMPUTED_VALUE"""),"NORTH AMERICAN")</f>
        <v>NORTH AMERICAN</v>
      </c>
      <c r="C2320" s="5" t="str">
        <f ca="1">IFERROR(__xludf.DUMMYFUNCTION("""COMPUTED_VALUE"""),"F-100 Super Sabre")</f>
        <v>F-100 Super Sabre</v>
      </c>
      <c r="D2320" s="5" t="str">
        <f ca="1">IFERROR(__xludf.DUMMYFUNCTION("""COMPUTED_VALUE"""),"LandPlane")</f>
        <v>LandPlane</v>
      </c>
      <c r="E2320" s="5" t="str">
        <f ca="1">IFERROR(__xludf.DUMMYFUNCTION("""COMPUTED_VALUE"""),"Jet")</f>
        <v>Jet</v>
      </c>
      <c r="F2320" s="5">
        <f ca="1">IFERROR(__xludf.DUMMYFUNCTION("""COMPUTED_VALUE"""),1)</f>
        <v>1</v>
      </c>
    </row>
    <row r="2321" spans="1:6" ht="15" customHeight="1" x14ac:dyDescent="0.2">
      <c r="A2321" s="5" t="str">
        <f ca="1">IFERROR(__xludf.DUMMYFUNCTION("""COMPUTED_VALUE"""),"SSC")</f>
        <v>SSC</v>
      </c>
      <c r="B2321" s="5" t="str">
        <f ca="1">IFERROR(__xludf.DUMMYFUNCTION("""COMPUTED_VALUE"""),"BUTTERFLY")</f>
        <v>BUTTERFLY</v>
      </c>
      <c r="C2321" s="5" t="str">
        <f ca="1">IFERROR(__xludf.DUMMYFUNCTION("""COMPUTED_VALUE"""),"Super Sky Cycle")</f>
        <v>Super Sky Cycle</v>
      </c>
      <c r="D2321" s="5" t="str">
        <f ca="1">IFERROR(__xludf.DUMMYFUNCTION("""COMPUTED_VALUE"""),"Gyrocopter")</f>
        <v>Gyrocopter</v>
      </c>
      <c r="E2321" s="5" t="str">
        <f ca="1">IFERROR(__xludf.DUMMYFUNCTION("""COMPUTED_VALUE"""),"Piston")</f>
        <v>Piston</v>
      </c>
      <c r="F2321" s="5">
        <f ca="1">IFERROR(__xludf.DUMMYFUNCTION("""COMPUTED_VALUE"""),1)</f>
        <v>1</v>
      </c>
    </row>
    <row r="2322" spans="1:6" ht="15" customHeight="1" x14ac:dyDescent="0.2">
      <c r="A2322" s="5" t="str">
        <f ca="1">IFERROR(__xludf.DUMMYFUNCTION("""COMPUTED_VALUE"""),"SSTM")</f>
        <v>SSTM</v>
      </c>
      <c r="B2322" s="5" t="str">
        <f ca="1">IFERROR(__xludf.DUMMYFUNCTION("""COMPUTED_VALUE"""),"SG AVIATION")</f>
        <v>SG AVIATION</v>
      </c>
      <c r="C2322" s="5" t="str">
        <f ca="1">IFERROR(__xludf.DUMMYFUNCTION("""COMPUTED_VALUE"""),"Sea Storm")</f>
        <v>Sea Storm</v>
      </c>
      <c r="D2322" s="5" t="str">
        <f ca="1">IFERROR(__xludf.DUMMYFUNCTION("""COMPUTED_VALUE"""),"Amphibian")</f>
        <v>Amphibian</v>
      </c>
      <c r="E2322" s="5" t="str">
        <f ca="1">IFERROR(__xludf.DUMMYFUNCTION("""COMPUTED_VALUE"""),"Piston")</f>
        <v>Piston</v>
      </c>
      <c r="F2322" s="5">
        <f ca="1">IFERROR(__xludf.DUMMYFUNCTION("""COMPUTED_VALUE"""),1)</f>
        <v>1</v>
      </c>
    </row>
    <row r="2323" spans="1:6" ht="15" customHeight="1" x14ac:dyDescent="0.2">
      <c r="A2323" s="5" t="str">
        <f ca="1">IFERROR(__xludf.DUMMYFUNCTION("""COMPUTED_VALUE"""),"ST1")</f>
        <v>ST1</v>
      </c>
      <c r="B2323" s="5" t="str">
        <f ca="1">IFERROR(__xludf.DUMMYFUNCTION("""COMPUTED_VALUE"""),"PHILLIPS")</f>
        <v>PHILLIPS</v>
      </c>
      <c r="C2323" s="5" t="str">
        <f ca="1">IFERROR(__xludf.DUMMYFUNCTION("""COMPUTED_VALUE"""),"ST-1 Speedtwin")</f>
        <v>ST-1 Speedtwin</v>
      </c>
      <c r="D2323" s="5" t="str">
        <f ca="1">IFERROR(__xludf.DUMMYFUNCTION("""COMPUTED_VALUE"""),"LandPlane")</f>
        <v>LandPlane</v>
      </c>
      <c r="E2323" s="5" t="str">
        <f ca="1">IFERROR(__xludf.DUMMYFUNCTION("""COMPUTED_VALUE"""),"Piston")</f>
        <v>Piston</v>
      </c>
      <c r="F2323" s="5">
        <f ca="1">IFERROR(__xludf.DUMMYFUNCTION("""COMPUTED_VALUE"""),2)</f>
        <v>2</v>
      </c>
    </row>
    <row r="2324" spans="1:6" ht="15" customHeight="1" x14ac:dyDescent="0.2">
      <c r="A2324" s="5" t="str">
        <f ca="1">IFERROR(__xludf.DUMMYFUNCTION("""COMPUTED_VALUE"""),"ST10")</f>
        <v>ST10</v>
      </c>
      <c r="B2324" s="5" t="str">
        <f ca="1">IFERROR(__xludf.DUMMYFUNCTION("""COMPUTED_VALUE"""),"SOCATA")</f>
        <v>SOCATA</v>
      </c>
      <c r="C2324" s="5" t="str">
        <f ca="1">IFERROR(__xludf.DUMMYFUNCTION("""COMPUTED_VALUE"""),"ST-10 Provence")</f>
        <v>ST-10 Provence</v>
      </c>
      <c r="D2324" s="5" t="str">
        <f ca="1">IFERROR(__xludf.DUMMYFUNCTION("""COMPUTED_VALUE"""),"LandPlane")</f>
        <v>LandPlane</v>
      </c>
      <c r="E2324" s="5" t="str">
        <f ca="1">IFERROR(__xludf.DUMMYFUNCTION("""COMPUTED_VALUE"""),"Piston")</f>
        <v>Piston</v>
      </c>
      <c r="F2324" s="5">
        <f ca="1">IFERROR(__xludf.DUMMYFUNCTION("""COMPUTED_VALUE"""),1)</f>
        <v>1</v>
      </c>
    </row>
    <row r="2325" spans="1:6" ht="15" customHeight="1" x14ac:dyDescent="0.2">
      <c r="A2325" s="5" t="str">
        <f ca="1">IFERROR(__xludf.DUMMYFUNCTION("""COMPUTED_VALUE"""),"ST3")</f>
        <v>ST3</v>
      </c>
      <c r="B2325" s="5" t="str">
        <f ca="1">IFERROR(__xludf.DUMMYFUNCTION("""COMPUTED_VALUE"""),"STEARMAN")</f>
        <v>STEARMAN</v>
      </c>
      <c r="C2325" s="5" t="str">
        <f ca="1">IFERROR(__xludf.DUMMYFUNCTION("""COMPUTED_VALUE"""),"C-3")</f>
        <v>C-3</v>
      </c>
      <c r="D2325" s="5" t="str">
        <f ca="1">IFERROR(__xludf.DUMMYFUNCTION("""COMPUTED_VALUE"""),"LandPlane")</f>
        <v>LandPlane</v>
      </c>
      <c r="E2325" s="5" t="str">
        <f ca="1">IFERROR(__xludf.DUMMYFUNCTION("""COMPUTED_VALUE"""),"Piston")</f>
        <v>Piston</v>
      </c>
      <c r="F2325" s="5">
        <f ca="1">IFERROR(__xludf.DUMMYFUNCTION("""COMPUTED_VALUE"""),1)</f>
        <v>1</v>
      </c>
    </row>
    <row r="2326" spans="1:6" ht="15" customHeight="1" x14ac:dyDescent="0.2">
      <c r="A2326" s="5" t="str">
        <f ca="1">IFERROR(__xludf.DUMMYFUNCTION("""COMPUTED_VALUE"""),"ST30")</f>
        <v>ST30</v>
      </c>
      <c r="B2326" s="5" t="str">
        <f ca="1">IFERROR(__xludf.DUMMYFUNCTION("""COMPUTED_VALUE"""),"STAUDACHER")</f>
        <v>STAUDACHER</v>
      </c>
      <c r="C2326" s="5" t="str">
        <f ca="1">IFERROR(__xludf.DUMMYFUNCTION("""COMPUTED_VALUE"""),"S-300")</f>
        <v>S-300</v>
      </c>
      <c r="D2326" s="5" t="str">
        <f ca="1">IFERROR(__xludf.DUMMYFUNCTION("""COMPUTED_VALUE"""),"LandPlane")</f>
        <v>LandPlane</v>
      </c>
      <c r="E2326" s="5" t="str">
        <f ca="1">IFERROR(__xludf.DUMMYFUNCTION("""COMPUTED_VALUE"""),"Piston")</f>
        <v>Piston</v>
      </c>
      <c r="F2326" s="5">
        <f ca="1">IFERROR(__xludf.DUMMYFUNCTION("""COMPUTED_VALUE"""),1)</f>
        <v>1</v>
      </c>
    </row>
    <row r="2327" spans="1:6" ht="15" customHeight="1" x14ac:dyDescent="0.2">
      <c r="A2327" s="5" t="str">
        <f ca="1">IFERROR(__xludf.DUMMYFUNCTION("""COMPUTED_VALUE"""),"ST4")</f>
        <v>ST4</v>
      </c>
      <c r="B2327" s="5" t="str">
        <f ca="1">IFERROR(__xludf.DUMMYFUNCTION("""COMPUTED_VALUE"""),"STEARMAN")</f>
        <v>STEARMAN</v>
      </c>
      <c r="C2327" s="5" t="str">
        <f ca="1">IFERROR(__xludf.DUMMYFUNCTION("""COMPUTED_VALUE"""),"4 Junior Speedmail")</f>
        <v>4 Junior Speedmail</v>
      </c>
      <c r="D2327" s="5" t="str">
        <f ca="1">IFERROR(__xludf.DUMMYFUNCTION("""COMPUTED_VALUE"""),"LandPlane")</f>
        <v>LandPlane</v>
      </c>
      <c r="E2327" s="5" t="str">
        <f ca="1">IFERROR(__xludf.DUMMYFUNCTION("""COMPUTED_VALUE"""),"Piston")</f>
        <v>Piston</v>
      </c>
      <c r="F2327" s="5">
        <f ca="1">IFERROR(__xludf.DUMMYFUNCTION("""COMPUTED_VALUE"""),1)</f>
        <v>1</v>
      </c>
    </row>
    <row r="2328" spans="1:6" ht="15" customHeight="1" x14ac:dyDescent="0.2">
      <c r="A2328" s="5" t="str">
        <f ca="1">IFERROR(__xludf.DUMMYFUNCTION("""COMPUTED_VALUE"""),"ST6")</f>
        <v>ST6</v>
      </c>
      <c r="B2328" s="5" t="str">
        <f ca="1">IFERROR(__xludf.DUMMYFUNCTION("""COMPUTED_VALUE"""),"STEARMAN")</f>
        <v>STEARMAN</v>
      </c>
      <c r="C2328" s="5" t="str">
        <f ca="1">IFERROR(__xludf.DUMMYFUNCTION("""COMPUTED_VALUE"""),"6 Cloudboy")</f>
        <v>6 Cloudboy</v>
      </c>
      <c r="D2328" s="5" t="str">
        <f ca="1">IFERROR(__xludf.DUMMYFUNCTION("""COMPUTED_VALUE"""),"LandPlane")</f>
        <v>LandPlane</v>
      </c>
      <c r="E2328" s="5" t="str">
        <f ca="1">IFERROR(__xludf.DUMMYFUNCTION("""COMPUTED_VALUE"""),"Piston")</f>
        <v>Piston</v>
      </c>
      <c r="F2328" s="5">
        <f ca="1">IFERROR(__xludf.DUMMYFUNCTION("""COMPUTED_VALUE"""),1)</f>
        <v>1</v>
      </c>
    </row>
    <row r="2329" spans="1:6" ht="15" customHeight="1" x14ac:dyDescent="0.2">
      <c r="A2329" s="5" t="str">
        <f ca="1">IFERROR(__xludf.DUMMYFUNCTION("""COMPUTED_VALUE"""),"ST60")</f>
        <v>ST60</v>
      </c>
      <c r="B2329" s="5" t="str">
        <f ca="1">IFERROR(__xludf.DUMMYFUNCTION("""COMPUTED_VALUE"""),"STAUDACHER")</f>
        <v>STAUDACHER</v>
      </c>
      <c r="C2329" s="5" t="str">
        <f ca="1">IFERROR(__xludf.DUMMYFUNCTION("""COMPUTED_VALUE"""),"S-600")</f>
        <v>S-600</v>
      </c>
      <c r="D2329" s="5" t="str">
        <f ca="1">IFERROR(__xludf.DUMMYFUNCTION("""COMPUTED_VALUE"""),"LandPlane")</f>
        <v>LandPlane</v>
      </c>
      <c r="E2329" s="5" t="str">
        <f ca="1">IFERROR(__xludf.DUMMYFUNCTION("""COMPUTED_VALUE"""),"Piston")</f>
        <v>Piston</v>
      </c>
      <c r="F2329" s="5">
        <f ca="1">IFERROR(__xludf.DUMMYFUNCTION("""COMPUTED_VALUE"""),1)</f>
        <v>1</v>
      </c>
    </row>
    <row r="2330" spans="1:6" ht="15" customHeight="1" x14ac:dyDescent="0.2">
      <c r="A2330" s="5" t="str">
        <f ca="1">IFERROR(__xludf.DUMMYFUNCTION("""COMPUTED_VALUE"""),"ST75")</f>
        <v>ST75</v>
      </c>
      <c r="B2330" s="5" t="str">
        <f ca="1">IFERROR(__xludf.DUMMYFUNCTION("""COMPUTED_VALUE"""),"STEARMAN")</f>
        <v>STEARMAN</v>
      </c>
      <c r="C2330" s="5" t="str">
        <f ca="1">IFERROR(__xludf.DUMMYFUNCTION("""COMPUTED_VALUE"""),"75 Kaydet")</f>
        <v>75 Kaydet</v>
      </c>
      <c r="D2330" s="5" t="str">
        <f ca="1">IFERROR(__xludf.DUMMYFUNCTION("""COMPUTED_VALUE"""),"LandPlane")</f>
        <v>LandPlane</v>
      </c>
      <c r="E2330" s="5" t="str">
        <f ca="1">IFERROR(__xludf.DUMMYFUNCTION("""COMPUTED_VALUE"""),"Piston")</f>
        <v>Piston</v>
      </c>
      <c r="F2330" s="5">
        <f ca="1">IFERROR(__xludf.DUMMYFUNCTION("""COMPUTED_VALUE"""),1)</f>
        <v>1</v>
      </c>
    </row>
    <row r="2331" spans="1:6" ht="15" customHeight="1" x14ac:dyDescent="0.2">
      <c r="A2331" s="5" t="str">
        <f ca="1">IFERROR(__xludf.DUMMYFUNCTION("""COMPUTED_VALUE"""),"ST87")</f>
        <v>ST87</v>
      </c>
      <c r="B2331" s="5" t="str">
        <f ca="1">IFERROR(__xludf.DUMMYFUNCTION("""COMPUTED_VALUE"""),"STERN")</f>
        <v>STERN</v>
      </c>
      <c r="C2331" s="5" t="str">
        <f ca="1">IFERROR(__xludf.DUMMYFUNCTION("""COMPUTED_VALUE"""),"ST-87 Europlane")</f>
        <v>ST-87 Europlane</v>
      </c>
      <c r="D2331" s="5" t="str">
        <f ca="1">IFERROR(__xludf.DUMMYFUNCTION("""COMPUTED_VALUE"""),"LandPlane")</f>
        <v>LandPlane</v>
      </c>
      <c r="E2331" s="5" t="str">
        <f ca="1">IFERROR(__xludf.DUMMYFUNCTION("""COMPUTED_VALUE"""),"Piston")</f>
        <v>Piston</v>
      </c>
      <c r="F2331" s="5">
        <f ca="1">IFERROR(__xludf.DUMMYFUNCTION("""COMPUTED_VALUE"""),1)</f>
        <v>1</v>
      </c>
    </row>
    <row r="2332" spans="1:6" ht="15" customHeight="1" x14ac:dyDescent="0.2">
      <c r="A2332" s="5" t="str">
        <f ca="1">IFERROR(__xludf.DUMMYFUNCTION("""COMPUTED_VALUE"""),"STAL")</f>
        <v>STAL</v>
      </c>
      <c r="B2332" s="5" t="str">
        <f ca="1">IFERROR(__xludf.DUMMYFUNCTION("""COMPUTED_VALUE"""),"AIRCRAFT DESIGNS")</f>
        <v>AIRCRAFT DESIGNS</v>
      </c>
      <c r="C2332" s="5" t="str">
        <f ca="1">IFERROR(__xludf.DUMMYFUNCTION("""COMPUTED_VALUE"""),"Stallion")</f>
        <v>Stallion</v>
      </c>
      <c r="D2332" s="5" t="str">
        <f ca="1">IFERROR(__xludf.DUMMYFUNCTION("""COMPUTED_VALUE"""),"LandPlane")</f>
        <v>LandPlane</v>
      </c>
      <c r="E2332" s="5" t="str">
        <f ca="1">IFERROR(__xludf.DUMMYFUNCTION("""COMPUTED_VALUE"""),"Piston")</f>
        <v>Piston</v>
      </c>
      <c r="F2332" s="5">
        <f ca="1">IFERROR(__xludf.DUMMYFUNCTION("""COMPUTED_VALUE"""),1)</f>
        <v>1</v>
      </c>
    </row>
    <row r="2333" spans="1:6" ht="15" customHeight="1" x14ac:dyDescent="0.2">
      <c r="A2333" s="5" t="str">
        <f ca="1">IFERROR(__xludf.DUMMYFUNCTION("""COMPUTED_VALUE"""),"STAR")</f>
        <v>STAR</v>
      </c>
      <c r="B2333" s="5" t="str">
        <f ca="1">IFERROR(__xludf.DUMMYFUNCTION("""COMPUTED_VALUE"""),"RAYTHEON")</f>
        <v>RAYTHEON</v>
      </c>
      <c r="C2333" s="5" t="str">
        <f ca="1">IFERROR(__xludf.DUMMYFUNCTION("""COMPUTED_VALUE"""),"2000 Starship")</f>
        <v>2000 Starship</v>
      </c>
      <c r="D2333" s="5" t="str">
        <f ca="1">IFERROR(__xludf.DUMMYFUNCTION("""COMPUTED_VALUE"""),"LandPlane")</f>
        <v>LandPlane</v>
      </c>
      <c r="E2333" s="5" t="str">
        <f ca="1">IFERROR(__xludf.DUMMYFUNCTION("""COMPUTED_VALUE"""),"Turboprop/Turboshaft")</f>
        <v>Turboprop/Turboshaft</v>
      </c>
      <c r="F2333" s="5">
        <f ca="1">IFERROR(__xludf.DUMMYFUNCTION("""COMPUTED_VALUE"""),2)</f>
        <v>2</v>
      </c>
    </row>
    <row r="2334" spans="1:6" ht="15" customHeight="1" x14ac:dyDescent="0.2">
      <c r="A2334" s="5" t="str">
        <f ca="1">IFERROR(__xludf.DUMMYFUNCTION("""COMPUTED_VALUE"""),"STAT")</f>
        <v>STAT</v>
      </c>
      <c r="B2334" s="5" t="str">
        <f ca="1">IFERROR(__xludf.DUMMYFUNCTION("""COMPUTED_VALUE"""),"AIRCRAFT DESIGNS")</f>
        <v>AIRCRAFT DESIGNS</v>
      </c>
      <c r="C2334" s="5" t="str">
        <f ca="1">IFERROR(__xludf.DUMMYFUNCTION("""COMPUTED_VALUE"""),"Turbine Stallion")</f>
        <v>Turbine Stallion</v>
      </c>
      <c r="D2334" s="5" t="str">
        <f ca="1">IFERROR(__xludf.DUMMYFUNCTION("""COMPUTED_VALUE"""),"LandPlane")</f>
        <v>LandPlane</v>
      </c>
      <c r="E2334" s="5" t="str">
        <f ca="1">IFERROR(__xludf.DUMMYFUNCTION("""COMPUTED_VALUE"""),"Turboprop/Turboshaft")</f>
        <v>Turboprop/Turboshaft</v>
      </c>
      <c r="F2334" s="5">
        <f ca="1">IFERROR(__xludf.DUMMYFUNCTION("""COMPUTED_VALUE"""),1)</f>
        <v>1</v>
      </c>
    </row>
    <row r="2335" spans="1:6" ht="15" customHeight="1" x14ac:dyDescent="0.2">
      <c r="A2335" s="5" t="str">
        <f ca="1">IFERROR(__xludf.DUMMYFUNCTION("""COMPUTED_VALUE"""),"STCH")</f>
        <v>STCH</v>
      </c>
      <c r="B2335" s="5" t="str">
        <f ca="1">IFERROR(__xludf.DUMMYFUNCTION("""COMPUTED_VALUE"""),"FLY SYNTHESIS")</f>
        <v>FLY SYNTHESIS</v>
      </c>
      <c r="C2335" s="5" t="str">
        <f ca="1">IFERROR(__xludf.DUMMYFUNCTION("""COMPUTED_VALUE"""),"Storch")</f>
        <v>Storch</v>
      </c>
      <c r="D2335" s="5" t="str">
        <f ca="1">IFERROR(__xludf.DUMMYFUNCTION("""COMPUTED_VALUE"""),"LandPlane")</f>
        <v>LandPlane</v>
      </c>
      <c r="E2335" s="5" t="str">
        <f ca="1">IFERROR(__xludf.DUMMYFUNCTION("""COMPUTED_VALUE"""),"Piston")</f>
        <v>Piston</v>
      </c>
      <c r="F2335" s="5">
        <f ca="1">IFERROR(__xludf.DUMMYFUNCTION("""COMPUTED_VALUE"""),1)</f>
        <v>1</v>
      </c>
    </row>
    <row r="2336" spans="1:6" ht="15" customHeight="1" x14ac:dyDescent="0.2">
      <c r="A2336" s="5" t="str">
        <f ca="1">IFERROR(__xludf.DUMMYFUNCTION("""COMPUTED_VALUE"""),"STFF")</f>
        <v>STFF</v>
      </c>
      <c r="B2336" s="5" t="str">
        <f ca="1">IFERROR(__xludf.DUMMYFUNCTION("""COMPUTED_VALUE"""),"STATLER")</f>
        <v>STATLER</v>
      </c>
      <c r="C2336" s="5" t="str">
        <f ca="1">IFERROR(__xludf.DUMMYFUNCTION("""COMPUTED_VALUE"""),"Firefly")</f>
        <v>Firefly</v>
      </c>
      <c r="D2336" s="5" t="str">
        <f ca="1">IFERROR(__xludf.DUMMYFUNCTION("""COMPUTED_VALUE"""),"LandPlane")</f>
        <v>LandPlane</v>
      </c>
      <c r="E2336" s="5" t="str">
        <f ca="1">IFERROR(__xludf.DUMMYFUNCTION("""COMPUTED_VALUE"""),"Piston")</f>
        <v>Piston</v>
      </c>
      <c r="F2336" s="5">
        <f ca="1">IFERROR(__xludf.DUMMYFUNCTION("""COMPUTED_VALUE"""),1)</f>
        <v>1</v>
      </c>
    </row>
    <row r="2337" spans="1:6" ht="15" customHeight="1" x14ac:dyDescent="0.2">
      <c r="A2337" s="5" t="str">
        <f ca="1">IFERROR(__xludf.DUMMYFUNCTION("""COMPUTED_VALUE"""),"STIL")</f>
        <v>STIL</v>
      </c>
      <c r="B2337" s="5" t="str">
        <f ca="1">IFERROR(__xludf.DUMMYFUNCTION("""COMPUTED_VALUE"""),"TERZI")</f>
        <v>TERZI</v>
      </c>
      <c r="C2337" s="5" t="str">
        <f ca="1">IFERROR(__xludf.DUMMYFUNCTION("""COMPUTED_VALUE"""),"T-9 Stiletto")</f>
        <v>T-9 Stiletto</v>
      </c>
      <c r="D2337" s="5" t="str">
        <f ca="1">IFERROR(__xludf.DUMMYFUNCTION("""COMPUTED_VALUE"""),"LandPlane")</f>
        <v>LandPlane</v>
      </c>
      <c r="E2337" s="5" t="str">
        <f ca="1">IFERROR(__xludf.DUMMYFUNCTION("""COMPUTED_VALUE"""),"Piston")</f>
        <v>Piston</v>
      </c>
      <c r="F2337" s="5">
        <f ca="1">IFERROR(__xludf.DUMMYFUNCTION("""COMPUTED_VALUE"""),1)</f>
        <v>1</v>
      </c>
    </row>
    <row r="2338" spans="1:6" ht="15" customHeight="1" x14ac:dyDescent="0.2">
      <c r="A2338" s="5" t="str">
        <f ca="1">IFERROR(__xludf.DUMMYFUNCTION("""COMPUTED_VALUE"""),"STLN")</f>
        <v>STLN</v>
      </c>
      <c r="B2338" s="5" t="str">
        <f ca="1">IFERROR(__xludf.DUMMYFUNCTION("""COMPUTED_VALUE"""),"HELIO")</f>
        <v>HELIO</v>
      </c>
      <c r="C2338" s="5" t="str">
        <f ca="1">IFERROR(__xludf.DUMMYFUNCTION("""COMPUTED_VALUE"""),"AU-24 Stallion")</f>
        <v>AU-24 Stallion</v>
      </c>
      <c r="D2338" s="5" t="str">
        <f ca="1">IFERROR(__xludf.DUMMYFUNCTION("""COMPUTED_VALUE"""),"LandPlane")</f>
        <v>LandPlane</v>
      </c>
      <c r="E2338" s="5" t="str">
        <f ca="1">IFERROR(__xludf.DUMMYFUNCTION("""COMPUTED_VALUE"""),"Turboprop/Turboshaft")</f>
        <v>Turboprop/Turboshaft</v>
      </c>
      <c r="F2338" s="5">
        <f ca="1">IFERROR(__xludf.DUMMYFUNCTION("""COMPUTED_VALUE"""),1)</f>
        <v>1</v>
      </c>
    </row>
    <row r="2339" spans="1:6" ht="15" customHeight="1" x14ac:dyDescent="0.2">
      <c r="A2339" s="5" t="str">
        <f ca="1">IFERROR(__xludf.DUMMYFUNCTION("""COMPUTED_VALUE"""),"STOR")</f>
        <v>STOR</v>
      </c>
      <c r="B2339" s="5" t="str">
        <f ca="1">IFERROR(__xludf.DUMMYFUNCTION("""COMPUTED_VALUE"""),"STORCH AVIATION")</f>
        <v>STORCH AVIATION</v>
      </c>
      <c r="C2339" s="5" t="str">
        <f ca="1">IFERROR(__xludf.DUMMYFUNCTION("""COMPUTED_VALUE"""),"SS-4 Storch")</f>
        <v>SS-4 Storch</v>
      </c>
      <c r="D2339" s="5" t="str">
        <f ca="1">IFERROR(__xludf.DUMMYFUNCTION("""COMPUTED_VALUE"""),"LandPlane")</f>
        <v>LandPlane</v>
      </c>
      <c r="E2339" s="5" t="str">
        <f ca="1">IFERROR(__xludf.DUMMYFUNCTION("""COMPUTED_VALUE"""),"Piston")</f>
        <v>Piston</v>
      </c>
      <c r="F2339" s="5">
        <f ca="1">IFERROR(__xludf.DUMMYFUNCTION("""COMPUTED_VALUE"""),1)</f>
        <v>1</v>
      </c>
    </row>
    <row r="2340" spans="1:6" ht="15" customHeight="1" x14ac:dyDescent="0.2">
      <c r="A2340" s="5" t="str">
        <f ca="1">IFERROR(__xludf.DUMMYFUNCTION("""COMPUTED_VALUE"""),"STR2")</f>
        <v>STR2</v>
      </c>
      <c r="B2340" s="5" t="str">
        <f ca="1">IFERROR(__xludf.DUMMYFUNCTION("""COMPUTED_VALUE"""),"STROJNIK")</f>
        <v>STROJNIK</v>
      </c>
      <c r="C2340" s="5" t="str">
        <f ca="1">IFERROR(__xludf.DUMMYFUNCTION("""COMPUTED_VALUE"""),"S-2")</f>
        <v>S-2</v>
      </c>
      <c r="D2340" s="5" t="str">
        <f ca="1">IFERROR(__xludf.DUMMYFUNCTION("""COMPUTED_VALUE"""),"LandPlane")</f>
        <v>LandPlane</v>
      </c>
      <c r="E2340" s="5" t="str">
        <f ca="1">IFERROR(__xludf.DUMMYFUNCTION("""COMPUTED_VALUE"""),"Piston")</f>
        <v>Piston</v>
      </c>
      <c r="F2340" s="5">
        <f ca="1">IFERROR(__xludf.DUMMYFUNCTION("""COMPUTED_VALUE"""),1)</f>
        <v>1</v>
      </c>
    </row>
    <row r="2341" spans="1:6" ht="15" customHeight="1" x14ac:dyDescent="0.2">
      <c r="A2341" s="5" t="str">
        <f ca="1">IFERROR(__xludf.DUMMYFUNCTION("""COMPUTED_VALUE"""),"STRA")</f>
        <v>STRA</v>
      </c>
      <c r="B2341" s="5" t="str">
        <f ca="1">IFERROR(__xludf.DUMMYFUNCTION("""COMPUTED_VALUE"""),"STRIPLIN")</f>
        <v>STRIPLIN</v>
      </c>
      <c r="C2341" s="5" t="str">
        <f ca="1">IFERROR(__xludf.DUMMYFUNCTION("""COMPUTED_VALUE"""),"Sky Ranger")</f>
        <v>Sky Ranger</v>
      </c>
      <c r="D2341" s="5" t="str">
        <f ca="1">IFERROR(__xludf.DUMMYFUNCTION("""COMPUTED_VALUE"""),"LandPlane")</f>
        <v>LandPlane</v>
      </c>
      <c r="E2341" s="5" t="str">
        <f ca="1">IFERROR(__xludf.DUMMYFUNCTION("""COMPUTED_VALUE"""),"Piston")</f>
        <v>Piston</v>
      </c>
      <c r="F2341" s="5">
        <f ca="1">IFERROR(__xludf.DUMMYFUNCTION("""COMPUTED_VALUE"""),1)</f>
        <v>1</v>
      </c>
    </row>
    <row r="2342" spans="1:6" ht="15" customHeight="1" x14ac:dyDescent="0.2">
      <c r="A2342" s="5" t="str">
        <f ca="1">IFERROR(__xludf.DUMMYFUNCTION("""COMPUTED_VALUE"""),"STRE")</f>
        <v>STRE</v>
      </c>
      <c r="B2342" s="5" t="str">
        <f ca="1">IFERROR(__xludf.DUMMYFUNCTION("""COMPUTED_VALUE"""),"TL ULTRALIGHT")</f>
        <v>TL ULTRALIGHT</v>
      </c>
      <c r="C2342" s="5" t="str">
        <f ca="1">IFERROR(__xludf.DUMMYFUNCTION("""COMPUTED_VALUE"""),"Stream")</f>
        <v>Stream</v>
      </c>
      <c r="D2342" s="5" t="str">
        <f ca="1">IFERROR(__xludf.DUMMYFUNCTION("""COMPUTED_VALUE"""),"LandPlane")</f>
        <v>LandPlane</v>
      </c>
      <c r="E2342" s="5" t="str">
        <f ca="1">IFERROR(__xludf.DUMMYFUNCTION("""COMPUTED_VALUE"""),"Piston")</f>
        <v>Piston</v>
      </c>
      <c r="F2342" s="5">
        <f ca="1">IFERROR(__xludf.DUMMYFUNCTION("""COMPUTED_VALUE"""),1)</f>
        <v>1</v>
      </c>
    </row>
    <row r="2343" spans="1:6" ht="15" customHeight="1" x14ac:dyDescent="0.2">
      <c r="A2343" s="5" t="str">
        <f ca="1">IFERROR(__xludf.DUMMYFUNCTION("""COMPUTED_VALUE"""),"STRI")</f>
        <v>STRI</v>
      </c>
      <c r="B2343" s="5" t="str">
        <f ca="1">IFERROR(__xludf.DUMMYFUNCTION("""COMPUTED_VALUE"""),"SOPWITH")</f>
        <v>SOPWITH</v>
      </c>
      <c r="C2343" s="5" t="str">
        <f ca="1">IFERROR(__xludf.DUMMYFUNCTION("""COMPUTED_VALUE"""),"Triplane Replica")</f>
        <v>Triplane Replica</v>
      </c>
      <c r="D2343" s="5" t="str">
        <f ca="1">IFERROR(__xludf.DUMMYFUNCTION("""COMPUTED_VALUE"""),"LandPlane")</f>
        <v>LandPlane</v>
      </c>
      <c r="E2343" s="5" t="str">
        <f ca="1">IFERROR(__xludf.DUMMYFUNCTION("""COMPUTED_VALUE"""),"Piston")</f>
        <v>Piston</v>
      </c>
      <c r="F2343" s="5">
        <f ca="1">IFERROR(__xludf.DUMMYFUNCTION("""COMPUTED_VALUE"""),1)</f>
        <v>1</v>
      </c>
    </row>
    <row r="2344" spans="1:6" ht="15" customHeight="1" x14ac:dyDescent="0.2">
      <c r="A2344" s="5" t="str">
        <f ca="1">IFERROR(__xludf.DUMMYFUNCTION("""COMPUTED_VALUE"""),"STRK")</f>
        <v>STRK</v>
      </c>
      <c r="B2344" s="5" t="str">
        <f ca="1">IFERROR(__xludf.DUMMYFUNCTION("""COMPUTED_VALUE"""),"BRITISH AEROSPACE")</f>
        <v>BRITISH AEROSPACE</v>
      </c>
      <c r="C2344" s="5" t="str">
        <f ca="1">IFERROR(__xludf.DUMMYFUNCTION("""COMPUTED_VALUE"""),"BAC-167 Strikemaster")</f>
        <v>BAC-167 Strikemaster</v>
      </c>
      <c r="D2344" s="5" t="str">
        <f ca="1">IFERROR(__xludf.DUMMYFUNCTION("""COMPUTED_VALUE"""),"LandPlane")</f>
        <v>LandPlane</v>
      </c>
      <c r="E2344" s="5" t="str">
        <f ca="1">IFERROR(__xludf.DUMMYFUNCTION("""COMPUTED_VALUE"""),"Jet")</f>
        <v>Jet</v>
      </c>
      <c r="F2344" s="5">
        <f ca="1">IFERROR(__xludf.DUMMYFUNCTION("""COMPUTED_VALUE"""),1)</f>
        <v>1</v>
      </c>
    </row>
    <row r="2345" spans="1:6" ht="15" customHeight="1" x14ac:dyDescent="0.2">
      <c r="A2345" s="5" t="str">
        <f ca="1">IFERROR(__xludf.DUMMYFUNCTION("""COMPUTED_VALUE"""),"STRM")</f>
        <v>STRM</v>
      </c>
      <c r="B2345" s="5" t="str">
        <f ca="1">IFERROR(__xludf.DUMMYFUNCTION("""COMPUTED_VALUE"""),"SG AVIATION")</f>
        <v>SG AVIATION</v>
      </c>
      <c r="C2345" s="5" t="str">
        <f ca="1">IFERROR(__xludf.DUMMYFUNCTION("""COMPUTED_VALUE"""),"Storm")</f>
        <v>Storm</v>
      </c>
      <c r="D2345" s="5" t="str">
        <f ca="1">IFERROR(__xludf.DUMMYFUNCTION("""COMPUTED_VALUE"""),"LandPlane")</f>
        <v>LandPlane</v>
      </c>
      <c r="E2345" s="5" t="str">
        <f ca="1">IFERROR(__xludf.DUMMYFUNCTION("""COMPUTED_VALUE"""),"Piston")</f>
        <v>Piston</v>
      </c>
      <c r="F2345" s="5">
        <f ca="1">IFERROR(__xludf.DUMMYFUNCTION("""COMPUTED_VALUE"""),1)</f>
        <v>1</v>
      </c>
    </row>
    <row r="2346" spans="1:6" ht="15" customHeight="1" x14ac:dyDescent="0.2">
      <c r="A2346" s="5" t="str">
        <f ca="1">IFERROR(__xludf.DUMMYFUNCTION("""COMPUTED_VALUE"""),"STST")</f>
        <v>STST</v>
      </c>
      <c r="B2346" s="5" t="str">
        <f ca="1">IFERROR(__xludf.DUMMYFUNCTION("""COMPUTED_VALUE"""),"CFM")</f>
        <v>CFM</v>
      </c>
      <c r="C2346" s="5" t="str">
        <f ca="1">IFERROR(__xludf.DUMMYFUNCTION("""COMPUTED_VALUE"""),"SA-2 Star Streak")</f>
        <v>SA-2 Star Streak</v>
      </c>
      <c r="D2346" s="5" t="str">
        <f ca="1">IFERROR(__xludf.DUMMYFUNCTION("""COMPUTED_VALUE"""),"LandPlane")</f>
        <v>LandPlane</v>
      </c>
      <c r="E2346" s="5" t="str">
        <f ca="1">IFERROR(__xludf.DUMMYFUNCTION("""COMPUTED_VALUE"""),"Piston")</f>
        <v>Piston</v>
      </c>
      <c r="F2346" s="5">
        <f ca="1">IFERROR(__xludf.DUMMYFUNCTION("""COMPUTED_VALUE"""),1)</f>
        <v>1</v>
      </c>
    </row>
    <row r="2347" spans="1:6" ht="15" customHeight="1" x14ac:dyDescent="0.2">
      <c r="A2347" s="5" t="str">
        <f ca="1">IFERROR(__xludf.DUMMYFUNCTION("""COMPUTED_VALUE"""),"SU17")</f>
        <v>SU17</v>
      </c>
      <c r="B2347" s="5" t="str">
        <f ca="1">IFERROR(__xludf.DUMMYFUNCTION("""COMPUTED_VALUE"""),"SUKHOI")</f>
        <v>SUKHOI</v>
      </c>
      <c r="C2347" s="5" t="str">
        <f ca="1">IFERROR(__xludf.DUMMYFUNCTION("""COMPUTED_VALUE"""),"Su-17")</f>
        <v>Su-17</v>
      </c>
      <c r="D2347" s="5" t="str">
        <f ca="1">IFERROR(__xludf.DUMMYFUNCTION("""COMPUTED_VALUE"""),"LandPlane")</f>
        <v>LandPlane</v>
      </c>
      <c r="E2347" s="5" t="str">
        <f ca="1">IFERROR(__xludf.DUMMYFUNCTION("""COMPUTED_VALUE"""),"Jet")</f>
        <v>Jet</v>
      </c>
      <c r="F2347" s="5">
        <f ca="1">IFERROR(__xludf.DUMMYFUNCTION("""COMPUTED_VALUE"""),1)</f>
        <v>1</v>
      </c>
    </row>
    <row r="2348" spans="1:6" ht="15" customHeight="1" x14ac:dyDescent="0.2">
      <c r="A2348" s="5" t="str">
        <f ca="1">IFERROR(__xludf.DUMMYFUNCTION("""COMPUTED_VALUE"""),"SU24")</f>
        <v>SU24</v>
      </c>
      <c r="B2348" s="5" t="str">
        <f ca="1">IFERROR(__xludf.DUMMYFUNCTION("""COMPUTED_VALUE"""),"SUKHOI")</f>
        <v>SUKHOI</v>
      </c>
      <c r="C2348" s="5" t="str">
        <f ca="1">IFERROR(__xludf.DUMMYFUNCTION("""COMPUTED_VALUE"""),"Su-24")</f>
        <v>Su-24</v>
      </c>
      <c r="D2348" s="5" t="str">
        <f ca="1">IFERROR(__xludf.DUMMYFUNCTION("""COMPUTED_VALUE"""),"LandPlane")</f>
        <v>LandPlane</v>
      </c>
      <c r="E2348" s="5" t="str">
        <f ca="1">IFERROR(__xludf.DUMMYFUNCTION("""COMPUTED_VALUE"""),"Jet")</f>
        <v>Jet</v>
      </c>
      <c r="F2348" s="5">
        <f ca="1">IFERROR(__xludf.DUMMYFUNCTION("""COMPUTED_VALUE"""),2)</f>
        <v>2</v>
      </c>
    </row>
    <row r="2349" spans="1:6" ht="15" customHeight="1" x14ac:dyDescent="0.2">
      <c r="A2349" s="5" t="str">
        <f ca="1">IFERROR(__xludf.DUMMYFUNCTION("""COMPUTED_VALUE"""),"SU25")</f>
        <v>SU25</v>
      </c>
      <c r="B2349" s="5" t="str">
        <f ca="1">IFERROR(__xludf.DUMMYFUNCTION("""COMPUTED_VALUE"""),"SUKHOI")</f>
        <v>SUKHOI</v>
      </c>
      <c r="C2349" s="5" t="str">
        <f ca="1">IFERROR(__xludf.DUMMYFUNCTION("""COMPUTED_VALUE"""),"Su-25")</f>
        <v>Su-25</v>
      </c>
      <c r="D2349" s="5" t="str">
        <f ca="1">IFERROR(__xludf.DUMMYFUNCTION("""COMPUTED_VALUE"""),"LandPlane")</f>
        <v>LandPlane</v>
      </c>
      <c r="E2349" s="5" t="str">
        <f ca="1">IFERROR(__xludf.DUMMYFUNCTION("""COMPUTED_VALUE"""),"Jet")</f>
        <v>Jet</v>
      </c>
      <c r="F2349" s="5">
        <f ca="1">IFERROR(__xludf.DUMMYFUNCTION("""COMPUTED_VALUE"""),2)</f>
        <v>2</v>
      </c>
    </row>
    <row r="2350" spans="1:6" ht="15" customHeight="1" x14ac:dyDescent="0.2">
      <c r="A2350" s="5" t="str">
        <f ca="1">IFERROR(__xludf.DUMMYFUNCTION("""COMPUTED_VALUE"""),"SU26")</f>
        <v>SU26</v>
      </c>
      <c r="B2350" s="5" t="str">
        <f ca="1">IFERROR(__xludf.DUMMYFUNCTION("""COMPUTED_VALUE"""),"SUKHOI")</f>
        <v>SUKHOI</v>
      </c>
      <c r="C2350" s="5" t="str">
        <f ca="1">IFERROR(__xludf.DUMMYFUNCTION("""COMPUTED_VALUE"""),"Su-26")</f>
        <v>Su-26</v>
      </c>
      <c r="D2350" s="5" t="str">
        <f ca="1">IFERROR(__xludf.DUMMYFUNCTION("""COMPUTED_VALUE"""),"LandPlane")</f>
        <v>LandPlane</v>
      </c>
      <c r="E2350" s="5" t="str">
        <f ca="1">IFERROR(__xludf.DUMMYFUNCTION("""COMPUTED_VALUE"""),"Piston")</f>
        <v>Piston</v>
      </c>
      <c r="F2350" s="5">
        <f ca="1">IFERROR(__xludf.DUMMYFUNCTION("""COMPUTED_VALUE"""),1)</f>
        <v>1</v>
      </c>
    </row>
    <row r="2351" spans="1:6" ht="15" customHeight="1" x14ac:dyDescent="0.2">
      <c r="A2351" s="5" t="str">
        <f ca="1">IFERROR(__xludf.DUMMYFUNCTION("""COMPUTED_VALUE"""),"SU27")</f>
        <v>SU27</v>
      </c>
      <c r="B2351" s="5" t="str">
        <f ca="1">IFERROR(__xludf.DUMMYFUNCTION("""COMPUTED_VALUE"""),"SUKHOI")</f>
        <v>SUKHOI</v>
      </c>
      <c r="C2351" s="5" t="str">
        <f ca="1">IFERROR(__xludf.DUMMYFUNCTION("""COMPUTED_VALUE"""),"Su-27")</f>
        <v>Su-27</v>
      </c>
      <c r="D2351" s="5" t="str">
        <f ca="1">IFERROR(__xludf.DUMMYFUNCTION("""COMPUTED_VALUE"""),"LandPlane")</f>
        <v>LandPlane</v>
      </c>
      <c r="E2351" s="5" t="str">
        <f ca="1">IFERROR(__xludf.DUMMYFUNCTION("""COMPUTED_VALUE"""),"Jet")</f>
        <v>Jet</v>
      </c>
      <c r="F2351" s="5">
        <f ca="1">IFERROR(__xludf.DUMMYFUNCTION("""COMPUTED_VALUE"""),2)</f>
        <v>2</v>
      </c>
    </row>
    <row r="2352" spans="1:6" ht="15" customHeight="1" x14ac:dyDescent="0.2">
      <c r="A2352" s="5" t="str">
        <f ca="1">IFERROR(__xludf.DUMMYFUNCTION("""COMPUTED_VALUE"""),"SU29")</f>
        <v>SU29</v>
      </c>
      <c r="B2352" s="5" t="str">
        <f ca="1">IFERROR(__xludf.DUMMYFUNCTION("""COMPUTED_VALUE"""),"SUKHOI")</f>
        <v>SUKHOI</v>
      </c>
      <c r="C2352" s="5" t="str">
        <f ca="1">IFERROR(__xludf.DUMMYFUNCTION("""COMPUTED_VALUE"""),"Su-29")</f>
        <v>Su-29</v>
      </c>
      <c r="D2352" s="5" t="str">
        <f ca="1">IFERROR(__xludf.DUMMYFUNCTION("""COMPUTED_VALUE"""),"LandPlane")</f>
        <v>LandPlane</v>
      </c>
      <c r="E2352" s="5" t="str">
        <f ca="1">IFERROR(__xludf.DUMMYFUNCTION("""COMPUTED_VALUE"""),"Piston")</f>
        <v>Piston</v>
      </c>
      <c r="F2352" s="5">
        <f ca="1">IFERROR(__xludf.DUMMYFUNCTION("""COMPUTED_VALUE"""),1)</f>
        <v>1</v>
      </c>
    </row>
    <row r="2353" spans="1:6" ht="15" customHeight="1" x14ac:dyDescent="0.2">
      <c r="A2353" s="5" t="str">
        <f ca="1">IFERROR(__xludf.DUMMYFUNCTION("""COMPUTED_VALUE"""),"SU31")</f>
        <v>SU31</v>
      </c>
      <c r="B2353" s="5" t="str">
        <f ca="1">IFERROR(__xludf.DUMMYFUNCTION("""COMPUTED_VALUE"""),"SUKHOI")</f>
        <v>SUKHOI</v>
      </c>
      <c r="C2353" s="5" t="str">
        <f ca="1">IFERROR(__xludf.DUMMYFUNCTION("""COMPUTED_VALUE"""),"Su-31")</f>
        <v>Su-31</v>
      </c>
      <c r="D2353" s="5" t="str">
        <f ca="1">IFERROR(__xludf.DUMMYFUNCTION("""COMPUTED_VALUE"""),"LandPlane")</f>
        <v>LandPlane</v>
      </c>
      <c r="E2353" s="5" t="str">
        <f ca="1">IFERROR(__xludf.DUMMYFUNCTION("""COMPUTED_VALUE"""),"Piston")</f>
        <v>Piston</v>
      </c>
      <c r="F2353" s="5">
        <f ca="1">IFERROR(__xludf.DUMMYFUNCTION("""COMPUTED_VALUE"""),1)</f>
        <v>1</v>
      </c>
    </row>
    <row r="2354" spans="1:6" ht="15" customHeight="1" x14ac:dyDescent="0.2">
      <c r="A2354" s="5" t="str">
        <f ca="1">IFERROR(__xludf.DUMMYFUNCTION("""COMPUTED_VALUE"""),"SU38")</f>
        <v>SU38</v>
      </c>
      <c r="B2354" s="5" t="str">
        <f ca="1">IFERROR(__xludf.DUMMYFUNCTION("""COMPUTED_VALUE"""),"SUKHOI")</f>
        <v>SUKHOI</v>
      </c>
      <c r="C2354" s="5" t="str">
        <f ca="1">IFERROR(__xludf.DUMMYFUNCTION("""COMPUTED_VALUE"""),"Su-38")</f>
        <v>Su-38</v>
      </c>
      <c r="D2354" s="5" t="str">
        <f ca="1">IFERROR(__xludf.DUMMYFUNCTION("""COMPUTED_VALUE"""),"LandPlane")</f>
        <v>LandPlane</v>
      </c>
      <c r="E2354" s="5" t="str">
        <f ca="1">IFERROR(__xludf.DUMMYFUNCTION("""COMPUTED_VALUE"""),"Piston")</f>
        <v>Piston</v>
      </c>
      <c r="F2354" s="5">
        <f ca="1">IFERROR(__xludf.DUMMYFUNCTION("""COMPUTED_VALUE"""),1)</f>
        <v>1</v>
      </c>
    </row>
    <row r="2355" spans="1:6" ht="15" customHeight="1" x14ac:dyDescent="0.2">
      <c r="A2355" s="5" t="str">
        <f ca="1">IFERROR(__xludf.DUMMYFUNCTION("""COMPUTED_VALUE"""),"SU57")</f>
        <v>SU57</v>
      </c>
      <c r="B2355" s="5" t="str">
        <f ca="1">IFERROR(__xludf.DUMMYFUNCTION("""COMPUTED_VALUE"""),"SUKHOI")</f>
        <v>SUKHOI</v>
      </c>
      <c r="C2355" s="5" t="str">
        <f ca="1">IFERROR(__xludf.DUMMYFUNCTION("""COMPUTED_VALUE"""),"Su-57")</f>
        <v>Su-57</v>
      </c>
      <c r="D2355" s="5" t="str">
        <f ca="1">IFERROR(__xludf.DUMMYFUNCTION("""COMPUTED_VALUE"""),"LandPlane")</f>
        <v>LandPlane</v>
      </c>
      <c r="E2355" s="5" t="str">
        <f ca="1">IFERROR(__xludf.DUMMYFUNCTION("""COMPUTED_VALUE"""),"Jet")</f>
        <v>Jet</v>
      </c>
      <c r="F2355" s="5">
        <f ca="1">IFERROR(__xludf.DUMMYFUNCTION("""COMPUTED_VALUE"""),2)</f>
        <v>2</v>
      </c>
    </row>
    <row r="2356" spans="1:6" ht="15" customHeight="1" x14ac:dyDescent="0.2">
      <c r="A2356" s="5" t="str">
        <f ca="1">IFERROR(__xludf.DUMMYFUNCTION("""COMPUTED_VALUE"""),"SU7")</f>
        <v>SU7</v>
      </c>
      <c r="B2356" s="5" t="str">
        <f ca="1">IFERROR(__xludf.DUMMYFUNCTION("""COMPUTED_VALUE"""),"SUKHOI")</f>
        <v>SUKHOI</v>
      </c>
      <c r="C2356" s="5" t="str">
        <f ca="1">IFERROR(__xludf.DUMMYFUNCTION("""COMPUTED_VALUE"""),"Su-7")</f>
        <v>Su-7</v>
      </c>
      <c r="D2356" s="5" t="str">
        <f ca="1">IFERROR(__xludf.DUMMYFUNCTION("""COMPUTED_VALUE"""),"LandPlane")</f>
        <v>LandPlane</v>
      </c>
      <c r="E2356" s="5" t="str">
        <f ca="1">IFERROR(__xludf.DUMMYFUNCTION("""COMPUTED_VALUE"""),"Jet")</f>
        <v>Jet</v>
      </c>
      <c r="F2356" s="5">
        <f ca="1">IFERROR(__xludf.DUMMYFUNCTION("""COMPUTED_VALUE"""),1)</f>
        <v>1</v>
      </c>
    </row>
    <row r="2357" spans="1:6" ht="15" customHeight="1" x14ac:dyDescent="0.2">
      <c r="A2357" s="5" t="str">
        <f ca="1">IFERROR(__xludf.DUMMYFUNCTION("""COMPUTED_VALUE"""),"SU80")</f>
        <v>SU80</v>
      </c>
      <c r="B2357" s="5" t="str">
        <f ca="1">IFERROR(__xludf.DUMMYFUNCTION("""COMPUTED_VALUE"""),"SUKHOI")</f>
        <v>SUKHOI</v>
      </c>
      <c r="C2357" s="5" t="str">
        <f ca="1">IFERROR(__xludf.DUMMYFUNCTION("""COMPUTED_VALUE"""),"Su-80")</f>
        <v>Su-80</v>
      </c>
      <c r="D2357" s="5" t="str">
        <f ca="1">IFERROR(__xludf.DUMMYFUNCTION("""COMPUTED_VALUE"""),"LandPlane")</f>
        <v>LandPlane</v>
      </c>
      <c r="E2357" s="5" t="str">
        <f ca="1">IFERROR(__xludf.DUMMYFUNCTION("""COMPUTED_VALUE"""),"Turboprop/Turboshaft")</f>
        <v>Turboprop/Turboshaft</v>
      </c>
      <c r="F2357" s="5">
        <f ca="1">IFERROR(__xludf.DUMMYFUNCTION("""COMPUTED_VALUE"""),2)</f>
        <v>2</v>
      </c>
    </row>
    <row r="2358" spans="1:6" ht="15" customHeight="1" x14ac:dyDescent="0.2">
      <c r="A2358" s="5" t="str">
        <f ca="1">IFERROR(__xludf.DUMMYFUNCTION("""COMPUTED_VALUE"""),"SU95")</f>
        <v>SU95</v>
      </c>
      <c r="B2358" s="5" t="str">
        <f ca="1">IFERROR(__xludf.DUMMYFUNCTION("""COMPUTED_VALUE"""),"SUKHOI")</f>
        <v>SUKHOI</v>
      </c>
      <c r="C2358" s="5" t="str">
        <f ca="1">IFERROR(__xludf.DUMMYFUNCTION("""COMPUTED_VALUE"""),"Superjet 100-95")</f>
        <v>Superjet 100-95</v>
      </c>
      <c r="D2358" s="5" t="str">
        <f ca="1">IFERROR(__xludf.DUMMYFUNCTION("""COMPUTED_VALUE"""),"LandPlane")</f>
        <v>LandPlane</v>
      </c>
      <c r="E2358" s="5" t="str">
        <f ca="1">IFERROR(__xludf.DUMMYFUNCTION("""COMPUTED_VALUE"""),"Jet")</f>
        <v>Jet</v>
      </c>
      <c r="F2358" s="5">
        <f ca="1">IFERROR(__xludf.DUMMYFUNCTION("""COMPUTED_VALUE"""),2)</f>
        <v>2</v>
      </c>
    </row>
    <row r="2359" spans="1:6" ht="15" customHeight="1" x14ac:dyDescent="0.2">
      <c r="A2359" s="5" t="str">
        <f ca="1">IFERROR(__xludf.DUMMYFUNCTION("""COMPUTED_VALUE"""),"SUBA")</f>
        <v>SUBA</v>
      </c>
      <c r="B2359" s="5" t="str">
        <f ca="1">IFERROR(__xludf.DUMMYFUNCTION("""COMPUTED_VALUE"""),"FUJI")</f>
        <v>FUJI</v>
      </c>
      <c r="C2359" s="5" t="str">
        <f ca="1">IFERROR(__xludf.DUMMYFUNCTION("""COMPUTED_VALUE"""),"FA-200 Aero Subaru")</f>
        <v>FA-200 Aero Subaru</v>
      </c>
      <c r="D2359" s="5" t="str">
        <f ca="1">IFERROR(__xludf.DUMMYFUNCTION("""COMPUTED_VALUE"""),"LandPlane")</f>
        <v>LandPlane</v>
      </c>
      <c r="E2359" s="5" t="str">
        <f ca="1">IFERROR(__xludf.DUMMYFUNCTION("""COMPUTED_VALUE"""),"Piston")</f>
        <v>Piston</v>
      </c>
      <c r="F2359" s="5">
        <f ca="1">IFERROR(__xludf.DUMMYFUNCTION("""COMPUTED_VALUE"""),1)</f>
        <v>1</v>
      </c>
    </row>
    <row r="2360" spans="1:6" ht="15" customHeight="1" x14ac:dyDescent="0.2">
      <c r="A2360" s="5" t="str">
        <f ca="1">IFERROR(__xludf.DUMMYFUNCTION("""COMPUTED_VALUE"""),"SUCO")</f>
        <v>SUCO</v>
      </c>
      <c r="B2360" s="5" t="str">
        <f ca="1">IFERROR(__xludf.DUMMYFUNCTION("""COMPUTED_VALUE"""),"BELL")</f>
        <v>BELL</v>
      </c>
      <c r="C2360" s="5" t="str">
        <f ca="1">IFERROR(__xludf.DUMMYFUNCTION("""COMPUTED_VALUE"""),"AH-1Z SuperCobra")</f>
        <v>AH-1Z SuperCobra</v>
      </c>
      <c r="D2360" s="5" t="str">
        <f ca="1">IFERROR(__xludf.DUMMYFUNCTION("""COMPUTED_VALUE"""),"Helicopter")</f>
        <v>Helicopter</v>
      </c>
      <c r="E2360" s="5" t="str">
        <f ca="1">IFERROR(__xludf.DUMMYFUNCTION("""COMPUTED_VALUE"""),"Turboprop/Turboshaft")</f>
        <v>Turboprop/Turboshaft</v>
      </c>
      <c r="F2360" s="5">
        <f ca="1">IFERROR(__xludf.DUMMYFUNCTION("""COMPUTED_VALUE"""),2)</f>
        <v>2</v>
      </c>
    </row>
    <row r="2361" spans="1:6" ht="15" customHeight="1" x14ac:dyDescent="0.2">
      <c r="A2361" s="5" t="str">
        <f ca="1">IFERROR(__xludf.DUMMYFUNCTION("""COMPUTED_VALUE"""),"SUNB")</f>
        <v>SUNB</v>
      </c>
      <c r="B2361" s="5" t="str">
        <f ca="1">IFERROR(__xludf.DUMMYFUNCTION("""COMPUTED_VALUE"""),"VERILITE")</f>
        <v>VERILITE</v>
      </c>
      <c r="C2361" s="5" t="str">
        <f ca="1">IFERROR(__xludf.DUMMYFUNCTION("""COMPUTED_VALUE"""),"100 Sunbird")</f>
        <v>100 Sunbird</v>
      </c>
      <c r="D2361" s="5" t="str">
        <f ca="1">IFERROR(__xludf.DUMMYFUNCTION("""COMPUTED_VALUE"""),"LandPlane")</f>
        <v>LandPlane</v>
      </c>
      <c r="E2361" s="5" t="str">
        <f ca="1">IFERROR(__xludf.DUMMYFUNCTION("""COMPUTED_VALUE"""),"Piston")</f>
        <v>Piston</v>
      </c>
      <c r="F2361" s="5">
        <f ca="1">IFERROR(__xludf.DUMMYFUNCTION("""COMPUTED_VALUE"""),1)</f>
        <v>1</v>
      </c>
    </row>
    <row r="2362" spans="1:6" ht="15" customHeight="1" x14ac:dyDescent="0.2">
      <c r="A2362" s="5" t="str">
        <f ca="1">IFERROR(__xludf.DUMMYFUNCTION("""COMPUTED_VALUE"""),"SUNV")</f>
        <v>SUNV</v>
      </c>
      <c r="B2362" s="5" t="str">
        <f ca="1">IFERROR(__xludf.DUMMYFUNCTION("""COMPUTED_VALUE"""),"FOKKER")</f>
        <v>FOKKER</v>
      </c>
      <c r="C2362" s="5" t="str">
        <f ca="1">IFERROR(__xludf.DUMMYFUNCTION("""COMPUTED_VALUE"""),"Super Universal")</f>
        <v>Super Universal</v>
      </c>
      <c r="D2362" s="5" t="str">
        <f ca="1">IFERROR(__xludf.DUMMYFUNCTION("""COMPUTED_VALUE"""),"LandPlane")</f>
        <v>LandPlane</v>
      </c>
      <c r="E2362" s="5" t="str">
        <f ca="1">IFERROR(__xludf.DUMMYFUNCTION("""COMPUTED_VALUE"""),"Piston")</f>
        <v>Piston</v>
      </c>
      <c r="F2362" s="5">
        <f ca="1">IFERROR(__xludf.DUMMYFUNCTION("""COMPUTED_VALUE"""),1)</f>
        <v>1</v>
      </c>
    </row>
    <row r="2363" spans="1:6" ht="15" customHeight="1" x14ac:dyDescent="0.2">
      <c r="A2363" s="5" t="str">
        <f ca="1">IFERROR(__xludf.DUMMYFUNCTION("""COMPUTED_VALUE"""),"SURN")</f>
        <v>SURN</v>
      </c>
      <c r="B2363" s="5" t="str">
        <f ca="1">IFERROR(__xludf.DUMMYFUNCTION("""COMPUTED_VALUE"""),"KOREA AEROSPACE")</f>
        <v>KOREA AEROSPACE</v>
      </c>
      <c r="C2363" s="5" t="str">
        <f ca="1">IFERROR(__xludf.DUMMYFUNCTION("""COMPUTED_VALUE"""),"Surion")</f>
        <v>Surion</v>
      </c>
      <c r="D2363" s="5" t="str">
        <f ca="1">IFERROR(__xludf.DUMMYFUNCTION("""COMPUTED_VALUE"""),"Helicopter")</f>
        <v>Helicopter</v>
      </c>
      <c r="E2363" s="5" t="str">
        <f ca="1">IFERROR(__xludf.DUMMYFUNCTION("""COMPUTED_VALUE"""),"Turboprop/Turboshaft")</f>
        <v>Turboprop/Turboshaft</v>
      </c>
      <c r="F2363" s="5">
        <f ca="1">IFERROR(__xludf.DUMMYFUNCTION("""COMPUTED_VALUE"""),2)</f>
        <v>2</v>
      </c>
    </row>
    <row r="2364" spans="1:6" ht="15" customHeight="1" x14ac:dyDescent="0.2">
      <c r="A2364" s="5" t="str">
        <f ca="1">IFERROR(__xludf.DUMMYFUNCTION("""COMPUTED_VALUE"""),"SURU")</f>
        <v>SURU</v>
      </c>
      <c r="B2364" s="5" t="str">
        <f ca="1">IFERROR(__xludf.DUMMYFUNCTION("""COMPUTED_VALUE"""),"IPT")</f>
        <v>IPT</v>
      </c>
      <c r="C2364" s="5" t="str">
        <f ca="1">IFERROR(__xludf.DUMMYFUNCTION("""COMPUTED_VALUE"""),"IPT-16 Surubim")</f>
        <v>IPT-16 Surubim</v>
      </c>
      <c r="D2364" s="5" t="str">
        <f ca="1">IFERROR(__xludf.DUMMYFUNCTION("""COMPUTED_VALUE"""),"LandPlane")</f>
        <v>LandPlane</v>
      </c>
      <c r="E2364" s="5" t="str">
        <f ca="1">IFERROR(__xludf.DUMMYFUNCTION("""COMPUTED_VALUE"""),"Piston")</f>
        <v>Piston</v>
      </c>
      <c r="F2364" s="5">
        <f ca="1">IFERROR(__xludf.DUMMYFUNCTION("""COMPUTED_VALUE"""),1)</f>
        <v>1</v>
      </c>
    </row>
    <row r="2365" spans="1:6" ht="15" customHeight="1" x14ac:dyDescent="0.2">
      <c r="A2365" s="5" t="str">
        <f ca="1">IFERROR(__xludf.DUMMYFUNCTION("""COMPUTED_VALUE"""),"SUSO")</f>
        <v>SUSO</v>
      </c>
      <c r="B2365" s="5" t="str">
        <f ca="1">IFERROR(__xludf.DUMMYFUNCTION("""COMPUTED_VALUE"""),"VSTOL")</f>
        <v>VSTOL</v>
      </c>
      <c r="C2365" s="5" t="str">
        <f ca="1">IFERROR(__xludf.DUMMYFUNCTION("""COMPUTED_VALUE"""),"SS-2000 Super Solution")</f>
        <v>SS-2000 Super Solution</v>
      </c>
      <c r="D2365" s="5" t="str">
        <f ca="1">IFERROR(__xludf.DUMMYFUNCTION("""COMPUTED_VALUE"""),"LandPlane")</f>
        <v>LandPlane</v>
      </c>
      <c r="E2365" s="5" t="str">
        <f ca="1">IFERROR(__xludf.DUMMYFUNCTION("""COMPUTED_VALUE"""),"Piston")</f>
        <v>Piston</v>
      </c>
      <c r="F2365" s="5">
        <f ca="1">IFERROR(__xludf.DUMMYFUNCTION("""COMPUTED_VALUE"""),1)</f>
        <v>1</v>
      </c>
    </row>
    <row r="2366" spans="1:6" ht="15" customHeight="1" x14ac:dyDescent="0.2">
      <c r="A2366" s="5" t="str">
        <f ca="1">IFERROR(__xludf.DUMMYFUNCTION("""COMPUTED_VALUE"""),"SV4")</f>
        <v>SV4</v>
      </c>
      <c r="B2366" s="5" t="str">
        <f ca="1">IFERROR(__xludf.DUMMYFUNCTION("""COMPUTED_VALUE"""),"STAMPE")</f>
        <v>STAMPE</v>
      </c>
      <c r="C2366" s="5" t="str">
        <f ca="1">IFERROR(__xludf.DUMMYFUNCTION("""COMPUTED_VALUE"""),"SV-4")</f>
        <v>SV-4</v>
      </c>
      <c r="D2366" s="5" t="str">
        <f ca="1">IFERROR(__xludf.DUMMYFUNCTION("""COMPUTED_VALUE"""),"LandPlane")</f>
        <v>LandPlane</v>
      </c>
      <c r="E2366" s="5" t="str">
        <f ca="1">IFERROR(__xludf.DUMMYFUNCTION("""COMPUTED_VALUE"""),"Piston")</f>
        <v>Piston</v>
      </c>
      <c r="F2366" s="5">
        <f ca="1">IFERROR(__xludf.DUMMYFUNCTION("""COMPUTED_VALUE"""),1)</f>
        <v>1</v>
      </c>
    </row>
    <row r="2367" spans="1:6" ht="15" customHeight="1" x14ac:dyDescent="0.2">
      <c r="A2367" s="5" t="str">
        <f ca="1">IFERROR(__xludf.DUMMYFUNCTION("""COMPUTED_VALUE"""),"SVNH")</f>
        <v>SVNH</v>
      </c>
      <c r="B2367" s="5" t="str">
        <f ca="1">IFERROR(__xludf.DUMMYFUNCTION("""COMPUTED_VALUE"""),"ICP")</f>
        <v>ICP</v>
      </c>
      <c r="C2367" s="5" t="str">
        <f ca="1">IFERROR(__xludf.DUMMYFUNCTION("""COMPUTED_VALUE"""),"MXP-740 Savannah")</f>
        <v>MXP-740 Savannah</v>
      </c>
      <c r="D2367" s="5" t="str">
        <f ca="1">IFERROR(__xludf.DUMMYFUNCTION("""COMPUTED_VALUE"""),"LandPlane")</f>
        <v>LandPlane</v>
      </c>
      <c r="E2367" s="5" t="str">
        <f ca="1">IFERROR(__xludf.DUMMYFUNCTION("""COMPUTED_VALUE"""),"Piston")</f>
        <v>Piston</v>
      </c>
      <c r="F2367" s="5">
        <f ca="1">IFERROR(__xludf.DUMMYFUNCTION("""COMPUTED_VALUE"""),1)</f>
        <v>1</v>
      </c>
    </row>
    <row r="2368" spans="1:6" ht="15" customHeight="1" x14ac:dyDescent="0.2">
      <c r="A2368" s="5" t="str">
        <f ca="1">IFERROR(__xludf.DUMMYFUNCTION("""COMPUTED_VALUE"""),"SW18")</f>
        <v>SW18</v>
      </c>
      <c r="B2368" s="5" t="str">
        <f ca="1">IFERROR(__xludf.DUMMYFUNCTION("""COMPUTED_VALUE"""),"SKYWOOD")</f>
        <v>SKYWOOD</v>
      </c>
      <c r="C2368" s="5" t="str">
        <f ca="1">IFERROR(__xludf.DUMMYFUNCTION("""COMPUTED_VALUE"""),"SW-18 Teddy")</f>
        <v>SW-18 Teddy</v>
      </c>
      <c r="D2368" s="5" t="str">
        <f ca="1">IFERROR(__xludf.DUMMYFUNCTION("""COMPUTED_VALUE"""),"LandPlane")</f>
        <v>LandPlane</v>
      </c>
      <c r="E2368" s="5" t="str">
        <f ca="1">IFERROR(__xludf.DUMMYFUNCTION("""COMPUTED_VALUE"""),"Piston")</f>
        <v>Piston</v>
      </c>
      <c r="F2368" s="5">
        <f ca="1">IFERROR(__xludf.DUMMYFUNCTION("""COMPUTED_VALUE"""),1)</f>
        <v>1</v>
      </c>
    </row>
    <row r="2369" spans="1:6" ht="15" customHeight="1" x14ac:dyDescent="0.2">
      <c r="A2369" s="5" t="str">
        <f ca="1">IFERROR(__xludf.DUMMYFUNCTION("""COMPUTED_VALUE"""),"SW2")</f>
        <v>SW2</v>
      </c>
      <c r="B2369" s="5" t="str">
        <f ca="1">IFERROR(__xludf.DUMMYFUNCTION("""COMPUTED_VALUE"""),"SWEARINGEN")</f>
        <v>SWEARINGEN</v>
      </c>
      <c r="C2369" s="5" t="str">
        <f ca="1">IFERROR(__xludf.DUMMYFUNCTION("""COMPUTED_VALUE"""),"Merlin 2")</f>
        <v>Merlin 2</v>
      </c>
      <c r="D2369" s="5" t="str">
        <f ca="1">IFERROR(__xludf.DUMMYFUNCTION("""COMPUTED_VALUE"""),"LandPlane")</f>
        <v>LandPlane</v>
      </c>
      <c r="E2369" s="5" t="str">
        <f ca="1">IFERROR(__xludf.DUMMYFUNCTION("""COMPUTED_VALUE"""),"Turboprop/Turboshaft")</f>
        <v>Turboprop/Turboshaft</v>
      </c>
      <c r="F2369" s="5">
        <f ca="1">IFERROR(__xludf.DUMMYFUNCTION("""COMPUTED_VALUE"""),2)</f>
        <v>2</v>
      </c>
    </row>
    <row r="2370" spans="1:6" ht="15" customHeight="1" x14ac:dyDescent="0.2">
      <c r="A2370" s="5" t="str">
        <f ca="1">IFERROR(__xludf.DUMMYFUNCTION("""COMPUTED_VALUE"""),"SW3")</f>
        <v>SW3</v>
      </c>
      <c r="B2370" s="5" t="str">
        <f ca="1">IFERROR(__xludf.DUMMYFUNCTION("""COMPUTED_VALUE"""),"SWEARINGEN")</f>
        <v>SWEARINGEN</v>
      </c>
      <c r="C2370" s="5" t="str">
        <f ca="1">IFERROR(__xludf.DUMMYFUNCTION("""COMPUTED_VALUE"""),"Merlin 3")</f>
        <v>Merlin 3</v>
      </c>
      <c r="D2370" s="5" t="str">
        <f ca="1">IFERROR(__xludf.DUMMYFUNCTION("""COMPUTED_VALUE"""),"LandPlane")</f>
        <v>LandPlane</v>
      </c>
      <c r="E2370" s="5" t="str">
        <f ca="1">IFERROR(__xludf.DUMMYFUNCTION("""COMPUTED_VALUE"""),"Turboprop/Turboshaft")</f>
        <v>Turboprop/Turboshaft</v>
      </c>
      <c r="F2370" s="5">
        <f ca="1">IFERROR(__xludf.DUMMYFUNCTION("""COMPUTED_VALUE"""),2)</f>
        <v>2</v>
      </c>
    </row>
    <row r="2371" spans="1:6" ht="15" customHeight="1" x14ac:dyDescent="0.2">
      <c r="A2371" s="5" t="str">
        <f ca="1">IFERROR(__xludf.DUMMYFUNCTION("""COMPUTED_VALUE"""),"SW4")</f>
        <v>SW4</v>
      </c>
      <c r="B2371" s="5" t="str">
        <f ca="1">IFERROR(__xludf.DUMMYFUNCTION("""COMPUTED_VALUE"""),"SWEARINGEN")</f>
        <v>SWEARINGEN</v>
      </c>
      <c r="C2371" s="5" t="str">
        <f ca="1">IFERROR(__xludf.DUMMYFUNCTION("""COMPUTED_VALUE"""),"Merlin 4")</f>
        <v>Merlin 4</v>
      </c>
      <c r="D2371" s="5" t="str">
        <f ca="1">IFERROR(__xludf.DUMMYFUNCTION("""COMPUTED_VALUE"""),"LandPlane")</f>
        <v>LandPlane</v>
      </c>
      <c r="E2371" s="5" t="str">
        <f ca="1">IFERROR(__xludf.DUMMYFUNCTION("""COMPUTED_VALUE"""),"Turboprop/Turboshaft")</f>
        <v>Turboprop/Turboshaft</v>
      </c>
      <c r="F2371" s="5">
        <f ca="1">IFERROR(__xludf.DUMMYFUNCTION("""COMPUTED_VALUE"""),2)</f>
        <v>2</v>
      </c>
    </row>
    <row r="2372" spans="1:6" ht="15" customHeight="1" x14ac:dyDescent="0.2">
      <c r="A2372" s="5" t="str">
        <f ca="1">IFERROR(__xludf.DUMMYFUNCTION("""COMPUTED_VALUE"""),"SWAK")</f>
        <v>SWAK</v>
      </c>
      <c r="B2372" s="5" t="str">
        <f ca="1">IFERROR(__xludf.DUMMYFUNCTION("""COMPUTED_VALUE"""),"ANGLIN")</f>
        <v>ANGLIN</v>
      </c>
      <c r="C2372" s="5" t="str">
        <f ca="1">IFERROR(__xludf.DUMMYFUNCTION("""COMPUTED_VALUE"""),"Space Walker 1")</f>
        <v>Space Walker 1</v>
      </c>
      <c r="D2372" s="5" t="str">
        <f ca="1">IFERROR(__xludf.DUMMYFUNCTION("""COMPUTED_VALUE"""),"LandPlane")</f>
        <v>LandPlane</v>
      </c>
      <c r="E2372" s="5" t="str">
        <f ca="1">IFERROR(__xludf.DUMMYFUNCTION("""COMPUTED_VALUE"""),"Piston")</f>
        <v>Piston</v>
      </c>
      <c r="F2372" s="5">
        <f ca="1">IFERROR(__xludf.DUMMYFUNCTION("""COMPUTED_VALUE"""),1)</f>
        <v>1</v>
      </c>
    </row>
    <row r="2373" spans="1:6" ht="15" customHeight="1" x14ac:dyDescent="0.2">
      <c r="A2373" s="5" t="str">
        <f ca="1">IFERROR(__xludf.DUMMYFUNCTION("""COMPUTED_VALUE"""),"SWAT")</f>
        <v>SWAT</v>
      </c>
      <c r="B2373" s="5" t="str">
        <f ca="1">IFERROR(__xludf.DUMMYFUNCTION("""COMPUTED_VALUE"""),"BHARAT")</f>
        <v>BHARAT</v>
      </c>
      <c r="C2373" s="5" t="str">
        <f ca="1">IFERROR(__xludf.DUMMYFUNCTION("""COMPUTED_VALUE"""),"LT-1 Swati")</f>
        <v>LT-1 Swati</v>
      </c>
      <c r="D2373" s="5" t="str">
        <f ca="1">IFERROR(__xludf.DUMMYFUNCTION("""COMPUTED_VALUE"""),"LandPlane")</f>
        <v>LandPlane</v>
      </c>
      <c r="E2373" s="5" t="str">
        <f ca="1">IFERROR(__xludf.DUMMYFUNCTION("""COMPUTED_VALUE"""),"Piston")</f>
        <v>Piston</v>
      </c>
      <c r="F2373" s="5">
        <f ca="1">IFERROR(__xludf.DUMMYFUNCTION("""COMPUTED_VALUE"""),1)</f>
        <v>1</v>
      </c>
    </row>
    <row r="2374" spans="1:6" ht="15" customHeight="1" x14ac:dyDescent="0.2">
      <c r="A2374" s="5" t="str">
        <f ca="1">IFERROR(__xludf.DUMMYFUNCTION("""COMPUTED_VALUE"""),"SWIF")</f>
        <v>SWIF</v>
      </c>
      <c r="B2374" s="5" t="str">
        <f ca="1">IFERROR(__xludf.DUMMYFUNCTION("""COMPUTED_VALUE"""),"SUPERMARINE")</f>
        <v>SUPERMARINE</v>
      </c>
      <c r="C2374" s="5" t="str">
        <f ca="1">IFERROR(__xludf.DUMMYFUNCTION("""COMPUTED_VALUE"""),"Swift")</f>
        <v>Swift</v>
      </c>
      <c r="D2374" s="5" t="str">
        <f ca="1">IFERROR(__xludf.DUMMYFUNCTION("""COMPUTED_VALUE"""),"LandPlane")</f>
        <v>LandPlane</v>
      </c>
      <c r="E2374" s="5" t="str">
        <f ca="1">IFERROR(__xludf.DUMMYFUNCTION("""COMPUTED_VALUE"""),"Jet")</f>
        <v>Jet</v>
      </c>
      <c r="F2374" s="5">
        <f ca="1">IFERROR(__xludf.DUMMYFUNCTION("""COMPUTED_VALUE"""),1)</f>
        <v>1</v>
      </c>
    </row>
    <row r="2375" spans="1:6" ht="15" customHeight="1" x14ac:dyDescent="0.2">
      <c r="A2375" s="5" t="str">
        <f ca="1">IFERROR(__xludf.DUMMYFUNCTION("""COMPUTED_VALUE"""),"SWIN")</f>
        <v>SWIN</v>
      </c>
      <c r="B2375" s="5" t="str">
        <f ca="1">IFERROR(__xludf.DUMMYFUNCTION("""COMPUTED_VALUE"""),"S-WING")</f>
        <v>S-WING</v>
      </c>
      <c r="C2375" s="5" t="str">
        <f ca="1">IFERROR(__xludf.DUMMYFUNCTION("""COMPUTED_VALUE"""),"S-Wing")</f>
        <v>S-Wing</v>
      </c>
      <c r="D2375" s="5" t="str">
        <f ca="1">IFERROR(__xludf.DUMMYFUNCTION("""COMPUTED_VALUE"""),"LandPlane")</f>
        <v>LandPlane</v>
      </c>
      <c r="E2375" s="5" t="str">
        <f ca="1">IFERROR(__xludf.DUMMYFUNCTION("""COMPUTED_VALUE"""),"Piston")</f>
        <v>Piston</v>
      </c>
      <c r="F2375" s="5">
        <f ca="1">IFERROR(__xludf.DUMMYFUNCTION("""COMPUTED_VALUE"""),1)</f>
        <v>1</v>
      </c>
    </row>
    <row r="2376" spans="1:6" ht="15" customHeight="1" x14ac:dyDescent="0.2">
      <c r="A2376" s="5" t="str">
        <f ca="1">IFERROR(__xludf.DUMMYFUNCTION("""COMPUTED_VALUE"""),"SWOR")</f>
        <v>SWOR</v>
      </c>
      <c r="B2376" s="5" t="str">
        <f ca="1">IFERROR(__xludf.DUMMYFUNCTION("""COMPUTED_VALUE"""),"FAIREY")</f>
        <v>FAIREY</v>
      </c>
      <c r="C2376" s="5" t="str">
        <f ca="1">IFERROR(__xludf.DUMMYFUNCTION("""COMPUTED_VALUE"""),"Swordfish")</f>
        <v>Swordfish</v>
      </c>
      <c r="D2376" s="5" t="str">
        <f ca="1">IFERROR(__xludf.DUMMYFUNCTION("""COMPUTED_VALUE"""),"LandPlane")</f>
        <v>LandPlane</v>
      </c>
      <c r="E2376" s="5" t="str">
        <f ca="1">IFERROR(__xludf.DUMMYFUNCTION("""COMPUTED_VALUE"""),"Piston")</f>
        <v>Piston</v>
      </c>
      <c r="F2376" s="5">
        <f ca="1">IFERROR(__xludf.DUMMYFUNCTION("""COMPUTED_VALUE"""),1)</f>
        <v>1</v>
      </c>
    </row>
    <row r="2377" spans="1:6" ht="15" customHeight="1" x14ac:dyDescent="0.2">
      <c r="A2377" s="5" t="str">
        <f ca="1">IFERROR(__xludf.DUMMYFUNCTION("""COMPUTED_VALUE"""),"SX30")</f>
        <v>SX30</v>
      </c>
      <c r="B2377" s="5" t="str">
        <f ca="1">IFERROR(__xludf.DUMMYFUNCTION("""COMPUTED_VALUE"""),"SWEARINGEN")</f>
        <v>SWEARINGEN</v>
      </c>
      <c r="C2377" s="5" t="str">
        <f ca="1">IFERROR(__xludf.DUMMYFUNCTION("""COMPUTED_VALUE"""),"SX-300")</f>
        <v>SX-300</v>
      </c>
      <c r="D2377" s="5" t="str">
        <f ca="1">IFERROR(__xludf.DUMMYFUNCTION("""COMPUTED_VALUE"""),"LandPlane")</f>
        <v>LandPlane</v>
      </c>
      <c r="E2377" s="5" t="str">
        <f ca="1">IFERROR(__xludf.DUMMYFUNCTION("""COMPUTED_VALUE"""),"Piston")</f>
        <v>Piston</v>
      </c>
      <c r="F2377" s="5">
        <f ca="1">IFERROR(__xludf.DUMMYFUNCTION("""COMPUTED_VALUE"""),1)</f>
        <v>1</v>
      </c>
    </row>
    <row r="2378" spans="1:6" ht="15" customHeight="1" x14ac:dyDescent="0.2">
      <c r="A2378" s="5" t="str">
        <f ca="1">IFERROR(__xludf.DUMMYFUNCTION("""COMPUTED_VALUE"""),"SYCA")</f>
        <v>SYCA</v>
      </c>
      <c r="B2378" s="5" t="str">
        <f ca="1">IFERROR(__xludf.DUMMYFUNCTION("""COMPUTED_VALUE"""),"BRISTOL")</f>
        <v>BRISTOL</v>
      </c>
      <c r="C2378" s="5" t="str">
        <f ca="1">IFERROR(__xludf.DUMMYFUNCTION("""COMPUTED_VALUE"""),"171 Sycamore")</f>
        <v>171 Sycamore</v>
      </c>
      <c r="D2378" s="5" t="str">
        <f ca="1">IFERROR(__xludf.DUMMYFUNCTION("""COMPUTED_VALUE"""),"Helicopter")</f>
        <v>Helicopter</v>
      </c>
      <c r="E2378" s="5" t="str">
        <f ca="1">IFERROR(__xludf.DUMMYFUNCTION("""COMPUTED_VALUE"""),"Piston")</f>
        <v>Piston</v>
      </c>
      <c r="F2378" s="5">
        <f ca="1">IFERROR(__xludf.DUMMYFUNCTION("""COMPUTED_VALUE"""),1)</f>
        <v>1</v>
      </c>
    </row>
    <row r="2379" spans="1:6" ht="15" customHeight="1" x14ac:dyDescent="0.2">
      <c r="A2379" s="5" t="str">
        <f ca="1">IFERROR(__xludf.DUMMYFUNCTION("""COMPUTED_VALUE"""),"SYMP")</f>
        <v>SYMP</v>
      </c>
      <c r="B2379" s="5" t="str">
        <f ca="1">IFERROR(__xludf.DUMMYFUNCTION("""COMPUTED_VALUE"""),"SYMPHONY")</f>
        <v>SYMPHONY</v>
      </c>
      <c r="C2379" s="5" t="str">
        <f ca="1">IFERROR(__xludf.DUMMYFUNCTION("""COMPUTED_VALUE"""),"SA-160 Symphony")</f>
        <v>SA-160 Symphony</v>
      </c>
      <c r="D2379" s="5" t="str">
        <f ca="1">IFERROR(__xludf.DUMMYFUNCTION("""COMPUTED_VALUE"""),"LandPlane")</f>
        <v>LandPlane</v>
      </c>
      <c r="E2379" s="5" t="str">
        <f ca="1">IFERROR(__xludf.DUMMYFUNCTION("""COMPUTED_VALUE"""),"Piston")</f>
        <v>Piston</v>
      </c>
      <c r="F2379" s="5">
        <f ca="1">IFERROR(__xludf.DUMMYFUNCTION("""COMPUTED_VALUE"""),1)</f>
        <v>1</v>
      </c>
    </row>
    <row r="2380" spans="1:6" ht="15" customHeight="1" x14ac:dyDescent="0.2">
      <c r="A2380" s="5" t="str">
        <f ca="1">IFERROR(__xludf.DUMMYFUNCTION("""COMPUTED_VALUE"""),"SYNC")</f>
        <v>SYNC</v>
      </c>
      <c r="B2380" s="5" t="str">
        <f ca="1">IFERROR(__xludf.DUMMYFUNCTION("""COMPUTED_VALUE"""),"FLY SYNTHESIS")</f>
        <v>FLY SYNTHESIS</v>
      </c>
      <c r="C2380" s="5" t="str">
        <f ca="1">IFERROR(__xludf.DUMMYFUNCTION("""COMPUTED_VALUE"""),"Syncro")</f>
        <v>Syncro</v>
      </c>
      <c r="D2380" s="5" t="str">
        <f ca="1">IFERROR(__xludf.DUMMYFUNCTION("""COMPUTED_VALUE"""),"LandPlane")</f>
        <v>LandPlane</v>
      </c>
      <c r="E2380" s="5" t="str">
        <f ca="1">IFERROR(__xludf.DUMMYFUNCTION("""COMPUTED_VALUE"""),"Piston")</f>
        <v>Piston</v>
      </c>
      <c r="F2380" s="5">
        <f ca="1">IFERROR(__xludf.DUMMYFUNCTION("""COMPUTED_VALUE"""),1)</f>
        <v>1</v>
      </c>
    </row>
    <row r="2381" spans="1:6" ht="15" customHeight="1" x14ac:dyDescent="0.2">
      <c r="A2381" s="5" t="str">
        <f ca="1">IFERROR(__xludf.DUMMYFUNCTION("""COMPUTED_VALUE"""),"SZ9M")</f>
        <v>SZ9M</v>
      </c>
      <c r="B2381" s="5" t="str">
        <f ca="1">IFERROR(__xludf.DUMMYFUNCTION("""COMPUTED_VALUE"""),"SZD")</f>
        <v>SZD</v>
      </c>
      <c r="C2381" s="5" t="str">
        <f ca="1">IFERROR(__xludf.DUMMYFUNCTION("""COMPUTED_VALUE"""),"Bocian M-2000")</f>
        <v>Bocian M-2000</v>
      </c>
      <c r="D2381" s="5" t="str">
        <f ca="1">IFERROR(__xludf.DUMMYFUNCTION("""COMPUTED_VALUE"""),"LandPlane")</f>
        <v>LandPlane</v>
      </c>
      <c r="E2381" s="5" t="str">
        <f ca="1">IFERROR(__xludf.DUMMYFUNCTION("""COMPUTED_VALUE"""),"Piston")</f>
        <v>Piston</v>
      </c>
      <c r="F2381" s="5">
        <f ca="1">IFERROR(__xludf.DUMMYFUNCTION("""COMPUTED_VALUE"""),1)</f>
        <v>1</v>
      </c>
    </row>
    <row r="2382" spans="1:6" ht="15" customHeight="1" x14ac:dyDescent="0.2">
      <c r="A2382" s="5" t="str">
        <f ca="1">IFERROR(__xludf.DUMMYFUNCTION("""COMPUTED_VALUE"""),"T1")</f>
        <v>T1</v>
      </c>
      <c r="B2382" s="5" t="str">
        <f ca="1">IFERROR(__xludf.DUMMYFUNCTION("""COMPUTED_VALUE"""),"FUJI")</f>
        <v>FUJI</v>
      </c>
      <c r="C2382" s="5" t="str">
        <f ca="1">IFERROR(__xludf.DUMMYFUNCTION("""COMPUTED_VALUE"""),"T-1")</f>
        <v>T-1</v>
      </c>
      <c r="D2382" s="5" t="str">
        <f ca="1">IFERROR(__xludf.DUMMYFUNCTION("""COMPUTED_VALUE"""),"LandPlane")</f>
        <v>LandPlane</v>
      </c>
      <c r="E2382" s="5" t="str">
        <f ca="1">IFERROR(__xludf.DUMMYFUNCTION("""COMPUTED_VALUE"""),"Jet")</f>
        <v>Jet</v>
      </c>
      <c r="F2382" s="5">
        <f ca="1">IFERROR(__xludf.DUMMYFUNCTION("""COMPUTED_VALUE"""),1)</f>
        <v>1</v>
      </c>
    </row>
    <row r="2383" spans="1:6" ht="15" customHeight="1" x14ac:dyDescent="0.2">
      <c r="A2383" s="5" t="str">
        <f ca="1">IFERROR(__xludf.DUMMYFUNCTION("""COMPUTED_VALUE"""),"T10")</f>
        <v>T10</v>
      </c>
      <c r="B2383" s="5" t="str">
        <f ca="1">IFERROR(__xludf.DUMMYFUNCTION("""COMPUTED_VALUE"""),"TMM-AVIA")</f>
        <v>TMM-AVIA</v>
      </c>
      <c r="C2383" s="5" t="str">
        <f ca="1">IFERROR(__xludf.DUMMYFUNCTION("""COMPUTED_VALUE"""),"T-10 Avia-Tor")</f>
        <v>T-10 Avia-Tor</v>
      </c>
      <c r="D2383" s="5" t="str">
        <f ca="1">IFERROR(__xludf.DUMMYFUNCTION("""COMPUTED_VALUE"""),"LandPlane")</f>
        <v>LandPlane</v>
      </c>
      <c r="E2383" s="5" t="str">
        <f ca="1">IFERROR(__xludf.DUMMYFUNCTION("""COMPUTED_VALUE"""),"Piston")</f>
        <v>Piston</v>
      </c>
      <c r="F2383" s="5">
        <f ca="1">IFERROR(__xludf.DUMMYFUNCTION("""COMPUTED_VALUE"""),1)</f>
        <v>1</v>
      </c>
    </row>
    <row r="2384" spans="1:6" ht="15" customHeight="1" x14ac:dyDescent="0.2">
      <c r="A2384" s="5" t="str">
        <f ca="1">IFERROR(__xludf.DUMMYFUNCTION("""COMPUTED_VALUE"""),"T101")</f>
        <v>T101</v>
      </c>
      <c r="B2384" s="5" t="str">
        <f ca="1">IFERROR(__xludf.DUMMYFUNCTION("""COMPUTED_VALUE"""),"AEROPROGRESS")</f>
        <v>AEROPROGRESS</v>
      </c>
      <c r="C2384" s="5" t="str">
        <f ca="1">IFERROR(__xludf.DUMMYFUNCTION("""COMPUTED_VALUE"""),"T-101 Grach")</f>
        <v>T-101 Grach</v>
      </c>
      <c r="D2384" s="5" t="str">
        <f ca="1">IFERROR(__xludf.DUMMYFUNCTION("""COMPUTED_VALUE"""),"LandPlane")</f>
        <v>LandPlane</v>
      </c>
      <c r="E2384" s="5" t="str">
        <f ca="1">IFERROR(__xludf.DUMMYFUNCTION("""COMPUTED_VALUE"""),"Turboprop/Turboshaft")</f>
        <v>Turboprop/Turboshaft</v>
      </c>
      <c r="F2384" s="5">
        <f ca="1">IFERROR(__xludf.DUMMYFUNCTION("""COMPUTED_VALUE"""),1)</f>
        <v>1</v>
      </c>
    </row>
    <row r="2385" spans="1:6" ht="15" customHeight="1" x14ac:dyDescent="0.2">
      <c r="A2385" s="5" t="str">
        <f ca="1">IFERROR(__xludf.DUMMYFUNCTION("""COMPUTED_VALUE"""),"T134")</f>
        <v>T134</v>
      </c>
      <c r="B2385" s="5" t="str">
        <f ca="1">IFERROR(__xludf.DUMMYFUNCTION("""COMPUTED_VALUE"""),"TUPOLEV")</f>
        <v>TUPOLEV</v>
      </c>
      <c r="C2385" s="5" t="str">
        <f ca="1">IFERROR(__xludf.DUMMYFUNCTION("""COMPUTED_VALUE"""),"Tu-134")</f>
        <v>Tu-134</v>
      </c>
      <c r="D2385" s="5" t="str">
        <f ca="1">IFERROR(__xludf.DUMMYFUNCTION("""COMPUTED_VALUE"""),"LandPlane")</f>
        <v>LandPlane</v>
      </c>
      <c r="E2385" s="5" t="str">
        <f ca="1">IFERROR(__xludf.DUMMYFUNCTION("""COMPUTED_VALUE"""),"Jet")</f>
        <v>Jet</v>
      </c>
      <c r="F2385" s="5">
        <f ca="1">IFERROR(__xludf.DUMMYFUNCTION("""COMPUTED_VALUE"""),2)</f>
        <v>2</v>
      </c>
    </row>
    <row r="2386" spans="1:6" ht="15" customHeight="1" x14ac:dyDescent="0.2">
      <c r="A2386" s="5" t="str">
        <f ca="1">IFERROR(__xludf.DUMMYFUNCTION("""COMPUTED_VALUE"""),"T154")</f>
        <v>T154</v>
      </c>
      <c r="B2386" s="5" t="str">
        <f ca="1">IFERROR(__xludf.DUMMYFUNCTION("""COMPUTED_VALUE"""),"TUPOLEV")</f>
        <v>TUPOLEV</v>
      </c>
      <c r="C2386" s="5" t="str">
        <f ca="1">IFERROR(__xludf.DUMMYFUNCTION("""COMPUTED_VALUE"""),"Tu-154")</f>
        <v>Tu-154</v>
      </c>
      <c r="D2386" s="5" t="str">
        <f ca="1">IFERROR(__xludf.DUMMYFUNCTION("""COMPUTED_VALUE"""),"LandPlane")</f>
        <v>LandPlane</v>
      </c>
      <c r="E2386" s="5" t="str">
        <f ca="1">IFERROR(__xludf.DUMMYFUNCTION("""COMPUTED_VALUE"""),"Jet")</f>
        <v>Jet</v>
      </c>
      <c r="F2386" s="5">
        <f ca="1">IFERROR(__xludf.DUMMYFUNCTION("""COMPUTED_VALUE"""),3)</f>
        <v>3</v>
      </c>
    </row>
    <row r="2387" spans="1:6" ht="15" customHeight="1" x14ac:dyDescent="0.2">
      <c r="A2387" s="5" t="str">
        <f ca="1">IFERROR(__xludf.DUMMYFUNCTION("""COMPUTED_VALUE"""),"T160")</f>
        <v>T160</v>
      </c>
      <c r="B2387" s="5" t="str">
        <f ca="1">IFERROR(__xludf.DUMMYFUNCTION("""COMPUTED_VALUE"""),"TUPOLEV")</f>
        <v>TUPOLEV</v>
      </c>
      <c r="C2387" s="5" t="str">
        <f ca="1">IFERROR(__xludf.DUMMYFUNCTION("""COMPUTED_VALUE"""),"Tu-160")</f>
        <v>Tu-160</v>
      </c>
      <c r="D2387" s="5" t="str">
        <f ca="1">IFERROR(__xludf.DUMMYFUNCTION("""COMPUTED_VALUE"""),"LandPlane")</f>
        <v>LandPlane</v>
      </c>
      <c r="E2387" s="5" t="str">
        <f ca="1">IFERROR(__xludf.DUMMYFUNCTION("""COMPUTED_VALUE"""),"Jet")</f>
        <v>Jet</v>
      </c>
      <c r="F2387" s="5">
        <f ca="1">IFERROR(__xludf.DUMMYFUNCTION("""COMPUTED_VALUE"""),4)</f>
        <v>4</v>
      </c>
    </row>
    <row r="2388" spans="1:6" ht="15" customHeight="1" x14ac:dyDescent="0.2">
      <c r="A2388" s="5" t="str">
        <f ca="1">IFERROR(__xludf.DUMMYFUNCTION("""COMPUTED_VALUE"""),"T18")</f>
        <v>T18</v>
      </c>
      <c r="B2388" s="5" t="str">
        <f ca="1">IFERROR(__xludf.DUMMYFUNCTION("""COMPUTED_VALUE"""),"THORP")</f>
        <v>THORP</v>
      </c>
      <c r="C2388" s="5" t="str">
        <f ca="1">IFERROR(__xludf.DUMMYFUNCTION("""COMPUTED_VALUE"""),"T-18 Tiger")</f>
        <v>T-18 Tiger</v>
      </c>
      <c r="D2388" s="5" t="str">
        <f ca="1">IFERROR(__xludf.DUMMYFUNCTION("""COMPUTED_VALUE"""),"LandPlane")</f>
        <v>LandPlane</v>
      </c>
      <c r="E2388" s="5" t="str">
        <f ca="1">IFERROR(__xludf.DUMMYFUNCTION("""COMPUTED_VALUE"""),"Piston")</f>
        <v>Piston</v>
      </c>
      <c r="F2388" s="5">
        <f ca="1">IFERROR(__xludf.DUMMYFUNCTION("""COMPUTED_VALUE"""),1)</f>
        <v>1</v>
      </c>
    </row>
    <row r="2389" spans="1:6" ht="15" customHeight="1" x14ac:dyDescent="0.2">
      <c r="A2389" s="5" t="str">
        <f ca="1">IFERROR(__xludf.DUMMYFUNCTION("""COMPUTED_VALUE"""),"T19")</f>
        <v>T19</v>
      </c>
      <c r="B2389" s="5" t="str">
        <f ca="1">IFERROR(__xludf.DUMMYFUNCTION("""COMPUTED_VALUE"""),"THK")</f>
        <v>THK</v>
      </c>
      <c r="C2389" s="5" t="str">
        <f ca="1">IFERROR(__xludf.DUMMYFUNCTION("""COMPUTED_VALUE"""),"T-19 Speedfire")</f>
        <v>T-19 Speedfire</v>
      </c>
      <c r="D2389" s="5" t="str">
        <f ca="1">IFERROR(__xludf.DUMMYFUNCTION("""COMPUTED_VALUE"""),"LandPlane")</f>
        <v>LandPlane</v>
      </c>
      <c r="E2389" s="5" t="str">
        <f ca="1">IFERROR(__xludf.DUMMYFUNCTION("""COMPUTED_VALUE"""),"Piston")</f>
        <v>Piston</v>
      </c>
      <c r="F2389" s="5">
        <f ca="1">IFERROR(__xludf.DUMMYFUNCTION("""COMPUTED_VALUE"""),1)</f>
        <v>1</v>
      </c>
    </row>
    <row r="2390" spans="1:6" ht="15" customHeight="1" x14ac:dyDescent="0.2">
      <c r="A2390" s="5" t="str">
        <f ca="1">IFERROR(__xludf.DUMMYFUNCTION("""COMPUTED_VALUE"""),"T2")</f>
        <v>T2</v>
      </c>
      <c r="B2390" s="5" t="str">
        <f ca="1">IFERROR(__xludf.DUMMYFUNCTION("""COMPUTED_VALUE"""),"NORTH AMERICAN")</f>
        <v>NORTH AMERICAN</v>
      </c>
      <c r="C2390" s="5" t="str">
        <f ca="1">IFERROR(__xludf.DUMMYFUNCTION("""COMPUTED_VALUE"""),"T-2 Buckeye")</f>
        <v>T-2 Buckeye</v>
      </c>
      <c r="D2390" s="5" t="str">
        <f ca="1">IFERROR(__xludf.DUMMYFUNCTION("""COMPUTED_VALUE"""),"LandPlane")</f>
        <v>LandPlane</v>
      </c>
      <c r="E2390" s="5" t="str">
        <f ca="1">IFERROR(__xludf.DUMMYFUNCTION("""COMPUTED_VALUE"""),"Jet")</f>
        <v>Jet</v>
      </c>
      <c r="F2390" s="5">
        <f ca="1">IFERROR(__xludf.DUMMYFUNCTION("""COMPUTED_VALUE"""),2)</f>
        <v>2</v>
      </c>
    </row>
    <row r="2391" spans="1:6" ht="15" customHeight="1" x14ac:dyDescent="0.2">
      <c r="A2391" s="5" t="str">
        <f ca="1">IFERROR(__xludf.DUMMYFUNCTION("""COMPUTED_VALUE"""),"T204")</f>
        <v>T204</v>
      </c>
      <c r="B2391" s="5" t="str">
        <f ca="1">IFERROR(__xludf.DUMMYFUNCTION("""COMPUTED_VALUE"""),"TUPOLEV")</f>
        <v>TUPOLEV</v>
      </c>
      <c r="C2391" s="5" t="str">
        <f ca="1">IFERROR(__xludf.DUMMYFUNCTION("""COMPUTED_VALUE"""),"Tu-204")</f>
        <v>Tu-204</v>
      </c>
      <c r="D2391" s="5" t="str">
        <f ca="1">IFERROR(__xludf.DUMMYFUNCTION("""COMPUTED_VALUE"""),"LandPlane")</f>
        <v>LandPlane</v>
      </c>
      <c r="E2391" s="5" t="str">
        <f ca="1">IFERROR(__xludf.DUMMYFUNCTION("""COMPUTED_VALUE"""),"Jet")</f>
        <v>Jet</v>
      </c>
      <c r="F2391" s="5">
        <f ca="1">IFERROR(__xludf.DUMMYFUNCTION("""COMPUTED_VALUE"""),2)</f>
        <v>2</v>
      </c>
    </row>
    <row r="2392" spans="1:6" ht="15" customHeight="1" x14ac:dyDescent="0.2">
      <c r="A2392" s="5" t="str">
        <f ca="1">IFERROR(__xludf.DUMMYFUNCTION("""COMPUTED_VALUE"""),"T206")</f>
        <v>T206</v>
      </c>
      <c r="B2392" s="5" t="str">
        <f ca="1">IFERROR(__xludf.DUMMYFUNCTION("""COMPUTED_VALUE"""),"CESSNA")</f>
        <v>CESSNA</v>
      </c>
      <c r="C2392" s="5" t="str">
        <f ca="1">IFERROR(__xludf.DUMMYFUNCTION("""COMPUTED_VALUE"""),"T206 Turbo Stationair")</f>
        <v>T206 Turbo Stationair</v>
      </c>
      <c r="D2392" s="5" t="str">
        <f ca="1">IFERROR(__xludf.DUMMYFUNCTION("""COMPUTED_VALUE"""),"LandPlane")</f>
        <v>LandPlane</v>
      </c>
      <c r="E2392" s="5" t="str">
        <f ca="1">IFERROR(__xludf.DUMMYFUNCTION("""COMPUTED_VALUE"""),"Piston")</f>
        <v>Piston</v>
      </c>
      <c r="F2392" s="5">
        <f ca="1">IFERROR(__xludf.DUMMYFUNCTION("""COMPUTED_VALUE"""),1)</f>
        <v>1</v>
      </c>
    </row>
    <row r="2393" spans="1:6" ht="15" customHeight="1" x14ac:dyDescent="0.2">
      <c r="A2393" s="5" t="str">
        <f ca="1">IFERROR(__xludf.DUMMYFUNCTION("""COMPUTED_VALUE"""),"T210")</f>
        <v>T210</v>
      </c>
      <c r="B2393" s="5" t="str">
        <f ca="1">IFERROR(__xludf.DUMMYFUNCTION("""COMPUTED_VALUE"""),"CESSNA")</f>
        <v>CESSNA</v>
      </c>
      <c r="C2393" s="5" t="str">
        <f ca="1">IFERROR(__xludf.DUMMYFUNCTION("""COMPUTED_VALUE"""),"T210 Turbo Centurion")</f>
        <v>T210 Turbo Centurion</v>
      </c>
      <c r="D2393" s="5" t="str">
        <f ca="1">IFERROR(__xludf.DUMMYFUNCTION("""COMPUTED_VALUE"""),"LandPlane")</f>
        <v>LandPlane</v>
      </c>
      <c r="E2393" s="5" t="str">
        <f ca="1">IFERROR(__xludf.DUMMYFUNCTION("""COMPUTED_VALUE"""),"Piston")</f>
        <v>Piston</v>
      </c>
      <c r="F2393" s="5">
        <f ca="1">IFERROR(__xludf.DUMMYFUNCTION("""COMPUTED_VALUE"""),1)</f>
        <v>1</v>
      </c>
    </row>
    <row r="2394" spans="1:6" ht="15" customHeight="1" x14ac:dyDescent="0.2">
      <c r="A2394" s="5" t="str">
        <f ca="1">IFERROR(__xludf.DUMMYFUNCTION("""COMPUTED_VALUE"""),"T211")</f>
        <v>T211</v>
      </c>
      <c r="B2394" s="5" t="str">
        <f ca="1">IFERROR(__xludf.DUMMYFUNCTION("""COMPUTED_VALUE"""),"THORP")</f>
        <v>THORP</v>
      </c>
      <c r="C2394" s="5" t="str">
        <f ca="1">IFERROR(__xludf.DUMMYFUNCTION("""COMPUTED_VALUE"""),"T-211")</f>
        <v>T-211</v>
      </c>
      <c r="D2394" s="5" t="str">
        <f ca="1">IFERROR(__xludf.DUMMYFUNCTION("""COMPUTED_VALUE"""),"LandPlane")</f>
        <v>LandPlane</v>
      </c>
      <c r="E2394" s="5" t="str">
        <f ca="1">IFERROR(__xludf.DUMMYFUNCTION("""COMPUTED_VALUE"""),"Piston")</f>
        <v>Piston</v>
      </c>
      <c r="F2394" s="5">
        <f ca="1">IFERROR(__xludf.DUMMYFUNCTION("""COMPUTED_VALUE"""),1)</f>
        <v>1</v>
      </c>
    </row>
    <row r="2395" spans="1:6" ht="15" customHeight="1" x14ac:dyDescent="0.2">
      <c r="A2395" s="5" t="str">
        <f ca="1">IFERROR(__xludf.DUMMYFUNCTION("""COMPUTED_VALUE"""),"T22M")</f>
        <v>T22M</v>
      </c>
      <c r="B2395" s="5" t="str">
        <f ca="1">IFERROR(__xludf.DUMMYFUNCTION("""COMPUTED_VALUE"""),"TUPOLEV")</f>
        <v>TUPOLEV</v>
      </c>
      <c r="C2395" s="5" t="str">
        <f ca="1">IFERROR(__xludf.DUMMYFUNCTION("""COMPUTED_VALUE"""),"Tu-22M")</f>
        <v>Tu-22M</v>
      </c>
      <c r="D2395" s="5" t="str">
        <f ca="1">IFERROR(__xludf.DUMMYFUNCTION("""COMPUTED_VALUE"""),"LandPlane")</f>
        <v>LandPlane</v>
      </c>
      <c r="E2395" s="5" t="str">
        <f ca="1">IFERROR(__xludf.DUMMYFUNCTION("""COMPUTED_VALUE"""),"Jet")</f>
        <v>Jet</v>
      </c>
      <c r="F2395" s="5">
        <f ca="1">IFERROR(__xludf.DUMMYFUNCTION("""COMPUTED_VALUE"""),2)</f>
        <v>2</v>
      </c>
    </row>
    <row r="2396" spans="1:6" ht="15" customHeight="1" x14ac:dyDescent="0.2">
      <c r="A2396" s="5" t="str">
        <f ca="1">IFERROR(__xludf.DUMMYFUNCTION("""COMPUTED_VALUE"""),"T250")</f>
        <v>T250</v>
      </c>
      <c r="B2396" s="5" t="str">
        <f ca="1">IFERROR(__xludf.DUMMYFUNCTION("""COMPUTED_VALUE"""),"BELLANCA")</f>
        <v>BELLANCA</v>
      </c>
      <c r="C2396" s="5" t="str">
        <f ca="1">IFERROR(__xludf.DUMMYFUNCTION("""COMPUTED_VALUE"""),"T-250 Aries")</f>
        <v>T-250 Aries</v>
      </c>
      <c r="D2396" s="5" t="str">
        <f ca="1">IFERROR(__xludf.DUMMYFUNCTION("""COMPUTED_VALUE"""),"LandPlane")</f>
        <v>LandPlane</v>
      </c>
      <c r="E2396" s="5" t="str">
        <f ca="1">IFERROR(__xludf.DUMMYFUNCTION("""COMPUTED_VALUE"""),"Piston")</f>
        <v>Piston</v>
      </c>
      <c r="F2396" s="5">
        <f ca="1">IFERROR(__xludf.DUMMYFUNCTION("""COMPUTED_VALUE"""),1)</f>
        <v>1</v>
      </c>
    </row>
    <row r="2397" spans="1:6" ht="15" customHeight="1" x14ac:dyDescent="0.2">
      <c r="A2397" s="5" t="str">
        <f ca="1">IFERROR(__xludf.DUMMYFUNCTION("""COMPUTED_VALUE"""),"T28")</f>
        <v>T28</v>
      </c>
      <c r="B2397" s="5" t="str">
        <f ca="1">IFERROR(__xludf.DUMMYFUNCTION("""COMPUTED_VALUE"""),"NORTH AMERICAN")</f>
        <v>NORTH AMERICAN</v>
      </c>
      <c r="C2397" s="5" t="str">
        <f ca="1">IFERROR(__xludf.DUMMYFUNCTION("""COMPUTED_VALUE"""),"T-28 Trojan")</f>
        <v>T-28 Trojan</v>
      </c>
      <c r="D2397" s="5" t="str">
        <f ca="1">IFERROR(__xludf.DUMMYFUNCTION("""COMPUTED_VALUE"""),"LandPlane")</f>
        <v>LandPlane</v>
      </c>
      <c r="E2397" s="5" t="str">
        <f ca="1">IFERROR(__xludf.DUMMYFUNCTION("""COMPUTED_VALUE"""),"Piston")</f>
        <v>Piston</v>
      </c>
      <c r="F2397" s="5">
        <f ca="1">IFERROR(__xludf.DUMMYFUNCTION("""COMPUTED_VALUE"""),1)</f>
        <v>1</v>
      </c>
    </row>
    <row r="2398" spans="1:6" ht="15" customHeight="1" x14ac:dyDescent="0.2">
      <c r="A2398" s="5" t="str">
        <f ca="1">IFERROR(__xludf.DUMMYFUNCTION("""COMPUTED_VALUE"""),"T30")</f>
        <v>T30</v>
      </c>
      <c r="B2398" s="5" t="str">
        <f ca="1">IFERROR(__xludf.DUMMYFUNCTION("""COMPUTED_VALUE"""),"TERZI")</f>
        <v>TERZI</v>
      </c>
      <c r="C2398" s="5" t="str">
        <f ca="1">IFERROR(__xludf.DUMMYFUNCTION("""COMPUTED_VALUE"""),"T-30 Katana")</f>
        <v>T-30 Katana</v>
      </c>
      <c r="D2398" s="5" t="str">
        <f ca="1">IFERROR(__xludf.DUMMYFUNCTION("""COMPUTED_VALUE"""),"LandPlane")</f>
        <v>LandPlane</v>
      </c>
      <c r="E2398" s="5" t="str">
        <f ca="1">IFERROR(__xludf.DUMMYFUNCTION("""COMPUTED_VALUE"""),"Piston")</f>
        <v>Piston</v>
      </c>
      <c r="F2398" s="5">
        <f ca="1">IFERROR(__xludf.DUMMYFUNCTION("""COMPUTED_VALUE"""),1)</f>
        <v>1</v>
      </c>
    </row>
    <row r="2399" spans="1:6" ht="15" customHeight="1" x14ac:dyDescent="0.2">
      <c r="A2399" s="5" t="str">
        <f ca="1">IFERROR(__xludf.DUMMYFUNCTION("""COMPUTED_VALUE"""),"T33")</f>
        <v>T33</v>
      </c>
      <c r="B2399" s="5" t="str">
        <f ca="1">IFERROR(__xludf.DUMMYFUNCTION("""COMPUTED_VALUE"""),"LOCKHEED")</f>
        <v>LOCKHEED</v>
      </c>
      <c r="C2399" s="5" t="str">
        <f ca="1">IFERROR(__xludf.DUMMYFUNCTION("""COMPUTED_VALUE"""),"T-33 Shooting Star")</f>
        <v>T-33 Shooting Star</v>
      </c>
      <c r="D2399" s="5" t="str">
        <f ca="1">IFERROR(__xludf.DUMMYFUNCTION("""COMPUTED_VALUE"""),"LandPlane")</f>
        <v>LandPlane</v>
      </c>
      <c r="E2399" s="5" t="str">
        <f ca="1">IFERROR(__xludf.DUMMYFUNCTION("""COMPUTED_VALUE"""),"Jet")</f>
        <v>Jet</v>
      </c>
      <c r="F2399" s="5">
        <f ca="1">IFERROR(__xludf.DUMMYFUNCTION("""COMPUTED_VALUE"""),1)</f>
        <v>1</v>
      </c>
    </row>
    <row r="2400" spans="1:6" ht="15" customHeight="1" x14ac:dyDescent="0.2">
      <c r="A2400" s="5" t="str">
        <f ca="1">IFERROR(__xludf.DUMMYFUNCTION("""COMPUTED_VALUE"""),"T334")</f>
        <v>T334</v>
      </c>
      <c r="B2400" s="5" t="str">
        <f ca="1">IFERROR(__xludf.DUMMYFUNCTION("""COMPUTED_VALUE"""),"TUPOLEV")</f>
        <v>TUPOLEV</v>
      </c>
      <c r="C2400" s="5" t="str">
        <f ca="1">IFERROR(__xludf.DUMMYFUNCTION("""COMPUTED_VALUE"""),"Tu-334")</f>
        <v>Tu-334</v>
      </c>
      <c r="D2400" s="5" t="str">
        <f ca="1">IFERROR(__xludf.DUMMYFUNCTION("""COMPUTED_VALUE"""),"LandPlane")</f>
        <v>LandPlane</v>
      </c>
      <c r="E2400" s="5" t="str">
        <f ca="1">IFERROR(__xludf.DUMMYFUNCTION("""COMPUTED_VALUE"""),"Jet")</f>
        <v>Jet</v>
      </c>
      <c r="F2400" s="5">
        <f ca="1">IFERROR(__xludf.DUMMYFUNCTION("""COMPUTED_VALUE"""),2)</f>
        <v>2</v>
      </c>
    </row>
    <row r="2401" spans="1:6" ht="15" customHeight="1" x14ac:dyDescent="0.2">
      <c r="A2401" s="5" t="str">
        <f ca="1">IFERROR(__xludf.DUMMYFUNCTION("""COMPUTED_VALUE"""),"T34P")</f>
        <v>T34P</v>
      </c>
      <c r="B2401" s="5" t="str">
        <f ca="1">IFERROR(__xludf.DUMMYFUNCTION("""COMPUTED_VALUE"""),"BEECH")</f>
        <v>BEECH</v>
      </c>
      <c r="C2401" s="5" t="str">
        <f ca="1">IFERROR(__xludf.DUMMYFUNCTION("""COMPUTED_VALUE"""),"T-34A Mentor")</f>
        <v>T-34A Mentor</v>
      </c>
      <c r="D2401" s="5" t="str">
        <f ca="1">IFERROR(__xludf.DUMMYFUNCTION("""COMPUTED_VALUE"""),"LandPlane")</f>
        <v>LandPlane</v>
      </c>
      <c r="E2401" s="5" t="str">
        <f ca="1">IFERROR(__xludf.DUMMYFUNCTION("""COMPUTED_VALUE"""),"Piston")</f>
        <v>Piston</v>
      </c>
      <c r="F2401" s="5">
        <f ca="1">IFERROR(__xludf.DUMMYFUNCTION("""COMPUTED_VALUE"""),1)</f>
        <v>1</v>
      </c>
    </row>
    <row r="2402" spans="1:6" ht="15" customHeight="1" x14ac:dyDescent="0.2">
      <c r="A2402" s="5" t="str">
        <f ca="1">IFERROR(__xludf.DUMMYFUNCTION("""COMPUTED_VALUE"""),"T34T")</f>
        <v>T34T</v>
      </c>
      <c r="B2402" s="5" t="str">
        <f ca="1">IFERROR(__xludf.DUMMYFUNCTION("""COMPUTED_VALUE"""),"BEECH")</f>
        <v>BEECH</v>
      </c>
      <c r="C2402" s="5" t="str">
        <f ca="1">IFERROR(__xludf.DUMMYFUNCTION("""COMPUTED_VALUE"""),"T-34C Turbo Mentor")</f>
        <v>T-34C Turbo Mentor</v>
      </c>
      <c r="D2402" s="5" t="str">
        <f ca="1">IFERROR(__xludf.DUMMYFUNCTION("""COMPUTED_VALUE"""),"LandPlane")</f>
        <v>LandPlane</v>
      </c>
      <c r="E2402" s="5" t="str">
        <f ca="1">IFERROR(__xludf.DUMMYFUNCTION("""COMPUTED_VALUE"""),"Turboprop/Turboshaft")</f>
        <v>Turboprop/Turboshaft</v>
      </c>
      <c r="F2402" s="5">
        <f ca="1">IFERROR(__xludf.DUMMYFUNCTION("""COMPUTED_VALUE"""),1)</f>
        <v>1</v>
      </c>
    </row>
    <row r="2403" spans="1:6" ht="15" customHeight="1" x14ac:dyDescent="0.2">
      <c r="A2403" s="5" t="str">
        <f ca="1">IFERROR(__xludf.DUMMYFUNCTION("""COMPUTED_VALUE"""),"T35")</f>
        <v>T35</v>
      </c>
      <c r="B2403" s="5" t="str">
        <f ca="1">IFERROR(__xludf.DUMMYFUNCTION("""COMPUTED_VALUE"""),"TEMCO")</f>
        <v>TEMCO</v>
      </c>
      <c r="C2403" s="5" t="str">
        <f ca="1">IFERROR(__xludf.DUMMYFUNCTION("""COMPUTED_VALUE"""),"T-35 Buckaroo")</f>
        <v>T-35 Buckaroo</v>
      </c>
      <c r="D2403" s="5" t="str">
        <f ca="1">IFERROR(__xludf.DUMMYFUNCTION("""COMPUTED_VALUE"""),"LandPlane")</f>
        <v>LandPlane</v>
      </c>
      <c r="E2403" s="5" t="str">
        <f ca="1">IFERROR(__xludf.DUMMYFUNCTION("""COMPUTED_VALUE"""),"Piston")</f>
        <v>Piston</v>
      </c>
      <c r="F2403" s="5">
        <f ca="1">IFERROR(__xludf.DUMMYFUNCTION("""COMPUTED_VALUE"""),1)</f>
        <v>1</v>
      </c>
    </row>
    <row r="2404" spans="1:6" ht="15" customHeight="1" x14ac:dyDescent="0.2">
      <c r="A2404" s="5" t="str">
        <f ca="1">IFERROR(__xludf.DUMMYFUNCTION("""COMPUTED_VALUE"""),"T37")</f>
        <v>T37</v>
      </c>
      <c r="B2404" s="5" t="str">
        <f ca="1">IFERROR(__xludf.DUMMYFUNCTION("""COMPUTED_VALUE"""),"CESSNA")</f>
        <v>CESSNA</v>
      </c>
      <c r="C2404" s="5" t="str">
        <f ca="1">IFERROR(__xludf.DUMMYFUNCTION("""COMPUTED_VALUE"""),"T-37")</f>
        <v>T-37</v>
      </c>
      <c r="D2404" s="5" t="str">
        <f ca="1">IFERROR(__xludf.DUMMYFUNCTION("""COMPUTED_VALUE"""),"LandPlane")</f>
        <v>LandPlane</v>
      </c>
      <c r="E2404" s="5" t="str">
        <f ca="1">IFERROR(__xludf.DUMMYFUNCTION("""COMPUTED_VALUE"""),"Jet")</f>
        <v>Jet</v>
      </c>
      <c r="F2404" s="5">
        <f ca="1">IFERROR(__xludf.DUMMYFUNCTION("""COMPUTED_VALUE"""),2)</f>
        <v>2</v>
      </c>
    </row>
    <row r="2405" spans="1:6" ht="15" customHeight="1" x14ac:dyDescent="0.2">
      <c r="A2405" s="5" t="str">
        <f ca="1">IFERROR(__xludf.DUMMYFUNCTION("""COMPUTED_VALUE"""),"T38")</f>
        <v>T38</v>
      </c>
      <c r="B2405" s="5" t="str">
        <f ca="1">IFERROR(__xludf.DUMMYFUNCTION("""COMPUTED_VALUE"""),"NORTHROP")</f>
        <v>NORTHROP</v>
      </c>
      <c r="C2405" s="5" t="str">
        <f ca="1">IFERROR(__xludf.DUMMYFUNCTION("""COMPUTED_VALUE"""),"T-38 Talon")</f>
        <v>T-38 Talon</v>
      </c>
      <c r="D2405" s="5" t="str">
        <f ca="1">IFERROR(__xludf.DUMMYFUNCTION("""COMPUTED_VALUE"""),"LandPlane")</f>
        <v>LandPlane</v>
      </c>
      <c r="E2405" s="5" t="str">
        <f ca="1">IFERROR(__xludf.DUMMYFUNCTION("""COMPUTED_VALUE"""),"Jet")</f>
        <v>Jet</v>
      </c>
      <c r="F2405" s="5">
        <f ca="1">IFERROR(__xludf.DUMMYFUNCTION("""COMPUTED_VALUE"""),2)</f>
        <v>2</v>
      </c>
    </row>
    <row r="2406" spans="1:6" ht="15" customHeight="1" x14ac:dyDescent="0.2">
      <c r="A2406" s="5" t="str">
        <f ca="1">IFERROR(__xludf.DUMMYFUNCTION("""COMPUTED_VALUE"""),"T4")</f>
        <v>T4</v>
      </c>
      <c r="B2406" s="5" t="str">
        <f ca="1">IFERROR(__xludf.DUMMYFUNCTION("""COMPUTED_VALUE"""),"KAWASAKI")</f>
        <v>KAWASAKI</v>
      </c>
      <c r="C2406" s="5" t="str">
        <f ca="1">IFERROR(__xludf.DUMMYFUNCTION("""COMPUTED_VALUE"""),"T-4")</f>
        <v>T-4</v>
      </c>
      <c r="D2406" s="5" t="str">
        <f ca="1">IFERROR(__xludf.DUMMYFUNCTION("""COMPUTED_VALUE"""),"LandPlane")</f>
        <v>LandPlane</v>
      </c>
      <c r="E2406" s="5" t="str">
        <f ca="1">IFERROR(__xludf.DUMMYFUNCTION("""COMPUTED_VALUE"""),"Jet")</f>
        <v>Jet</v>
      </c>
      <c r="F2406" s="5">
        <f ca="1">IFERROR(__xludf.DUMMYFUNCTION("""COMPUTED_VALUE"""),2)</f>
        <v>2</v>
      </c>
    </row>
    <row r="2407" spans="1:6" ht="15" customHeight="1" x14ac:dyDescent="0.2">
      <c r="A2407" s="5" t="str">
        <f ca="1">IFERROR(__xludf.DUMMYFUNCTION("""COMPUTED_VALUE"""),"T40")</f>
        <v>T40</v>
      </c>
      <c r="B2407" s="5" t="str">
        <f ca="1">IFERROR(__xludf.DUMMYFUNCTION("""COMPUTED_VALUE"""),"TURNER")</f>
        <v>TURNER</v>
      </c>
      <c r="C2407" s="5" t="str">
        <f ca="1">IFERROR(__xludf.DUMMYFUNCTION("""COMPUTED_VALUE"""),"T-40")</f>
        <v>T-40</v>
      </c>
      <c r="D2407" s="5" t="str">
        <f ca="1">IFERROR(__xludf.DUMMYFUNCTION("""COMPUTED_VALUE"""),"LandPlane")</f>
        <v>LandPlane</v>
      </c>
      <c r="E2407" s="5" t="str">
        <f ca="1">IFERROR(__xludf.DUMMYFUNCTION("""COMPUTED_VALUE"""),"Piston")</f>
        <v>Piston</v>
      </c>
      <c r="F2407" s="5">
        <f ca="1">IFERROR(__xludf.DUMMYFUNCTION("""COMPUTED_VALUE"""),1)</f>
        <v>1</v>
      </c>
    </row>
    <row r="2408" spans="1:6" ht="15" customHeight="1" x14ac:dyDescent="0.2">
      <c r="A2408" s="5" t="str">
        <f ca="1">IFERROR(__xludf.DUMMYFUNCTION("""COMPUTED_VALUE"""),"T411")</f>
        <v>T411</v>
      </c>
      <c r="B2408" s="5" t="str">
        <f ca="1">IFERROR(__xludf.DUMMYFUNCTION("""COMPUTED_VALUE"""),"KHRUNICHEV")</f>
        <v>KHRUNICHEV</v>
      </c>
      <c r="C2408" s="5" t="str">
        <f ca="1">IFERROR(__xludf.DUMMYFUNCTION("""COMPUTED_VALUE"""),"T-411 Aist")</f>
        <v>T-411 Aist</v>
      </c>
      <c r="D2408" s="5" t="str">
        <f ca="1">IFERROR(__xludf.DUMMYFUNCTION("""COMPUTED_VALUE"""),"LandPlane")</f>
        <v>LandPlane</v>
      </c>
      <c r="E2408" s="5" t="str">
        <f ca="1">IFERROR(__xludf.DUMMYFUNCTION("""COMPUTED_VALUE"""),"Piston")</f>
        <v>Piston</v>
      </c>
      <c r="F2408" s="5">
        <f ca="1">IFERROR(__xludf.DUMMYFUNCTION("""COMPUTED_VALUE"""),1)</f>
        <v>1</v>
      </c>
    </row>
    <row r="2409" spans="1:6" ht="15" customHeight="1" x14ac:dyDescent="0.2">
      <c r="A2409" s="5" t="str">
        <f ca="1">IFERROR(__xludf.DUMMYFUNCTION("""COMPUTED_VALUE"""),"T415")</f>
        <v>T415</v>
      </c>
      <c r="B2409" s="5" t="str">
        <f ca="1">IFERROR(__xludf.DUMMYFUNCTION("""COMPUTED_VALUE"""),"KHRUNICHEV")</f>
        <v>KHRUNICHEV</v>
      </c>
      <c r="C2409" s="5" t="str">
        <f ca="1">IFERROR(__xludf.DUMMYFUNCTION("""COMPUTED_VALUE"""),"T-415 Snegir")</f>
        <v>T-415 Snegir</v>
      </c>
      <c r="D2409" s="5" t="str">
        <f ca="1">IFERROR(__xludf.DUMMYFUNCTION("""COMPUTED_VALUE"""),"LandPlane")</f>
        <v>LandPlane</v>
      </c>
      <c r="E2409" s="5" t="str">
        <f ca="1">IFERROR(__xludf.DUMMYFUNCTION("""COMPUTED_VALUE"""),"Piston")</f>
        <v>Piston</v>
      </c>
      <c r="F2409" s="5">
        <f ca="1">IFERROR(__xludf.DUMMYFUNCTION("""COMPUTED_VALUE"""),1)</f>
        <v>1</v>
      </c>
    </row>
    <row r="2410" spans="1:6" ht="15" customHeight="1" x14ac:dyDescent="0.2">
      <c r="A2410" s="5" t="str">
        <f ca="1">IFERROR(__xludf.DUMMYFUNCTION("""COMPUTED_VALUE"""),"T419")</f>
        <v>T419</v>
      </c>
      <c r="B2410" s="5" t="str">
        <f ca="1">IFERROR(__xludf.DUMMYFUNCTION("""COMPUTED_VALUE"""),"KHRUNICHEV")</f>
        <v>KHRUNICHEV</v>
      </c>
      <c r="C2410" s="5" t="str">
        <f ca="1">IFERROR(__xludf.DUMMYFUNCTION("""COMPUTED_VALUE"""),"AT-419 Strekoza")</f>
        <v>AT-419 Strekoza</v>
      </c>
      <c r="D2410" s="5" t="str">
        <f ca="1">IFERROR(__xludf.DUMMYFUNCTION("""COMPUTED_VALUE"""),"LandPlane")</f>
        <v>LandPlane</v>
      </c>
      <c r="E2410" s="5" t="str">
        <f ca="1">IFERROR(__xludf.DUMMYFUNCTION("""COMPUTED_VALUE"""),"Piston")</f>
        <v>Piston</v>
      </c>
      <c r="F2410" s="5">
        <f ca="1">IFERROR(__xludf.DUMMYFUNCTION("""COMPUTED_VALUE"""),1)</f>
        <v>1</v>
      </c>
    </row>
    <row r="2411" spans="1:6" ht="15" customHeight="1" x14ac:dyDescent="0.2">
      <c r="A2411" s="5" t="str">
        <f ca="1">IFERROR(__xludf.DUMMYFUNCTION("""COMPUTED_VALUE"""),"T5")</f>
        <v>T5</v>
      </c>
      <c r="B2411" s="5" t="str">
        <f ca="1">IFERROR(__xludf.DUMMYFUNCTION("""COMPUTED_VALUE"""),"FUJI")</f>
        <v>FUJI</v>
      </c>
      <c r="C2411" s="5" t="str">
        <f ca="1">IFERROR(__xludf.DUMMYFUNCTION("""COMPUTED_VALUE"""),"T-5")</f>
        <v>T-5</v>
      </c>
      <c r="D2411" s="5" t="str">
        <f ca="1">IFERROR(__xludf.DUMMYFUNCTION("""COMPUTED_VALUE"""),"LandPlane")</f>
        <v>LandPlane</v>
      </c>
      <c r="E2411" s="5" t="str">
        <f ca="1">IFERROR(__xludf.DUMMYFUNCTION("""COMPUTED_VALUE"""),"Turboprop/Turboshaft")</f>
        <v>Turboprop/Turboshaft</v>
      </c>
      <c r="F2411" s="5">
        <f ca="1">IFERROR(__xludf.DUMMYFUNCTION("""COMPUTED_VALUE"""),1)</f>
        <v>1</v>
      </c>
    </row>
    <row r="2412" spans="1:6" ht="15" customHeight="1" x14ac:dyDescent="0.2">
      <c r="A2412" s="5" t="str">
        <f ca="1">IFERROR(__xludf.DUMMYFUNCTION("""COMPUTED_VALUE"""),"T50")</f>
        <v>T50</v>
      </c>
      <c r="B2412" s="5" t="str">
        <f ca="1">IFERROR(__xludf.DUMMYFUNCTION("""COMPUTED_VALUE"""),"CESSNA")</f>
        <v>CESSNA</v>
      </c>
      <c r="C2412" s="5" t="str">
        <f ca="1">IFERROR(__xludf.DUMMYFUNCTION("""COMPUTED_VALUE"""),"T-50 Bobcat")</f>
        <v>T-50 Bobcat</v>
      </c>
      <c r="D2412" s="5" t="str">
        <f ca="1">IFERROR(__xludf.DUMMYFUNCTION("""COMPUTED_VALUE"""),"LandPlane")</f>
        <v>LandPlane</v>
      </c>
      <c r="E2412" s="5" t="str">
        <f ca="1">IFERROR(__xludf.DUMMYFUNCTION("""COMPUTED_VALUE"""),"Piston")</f>
        <v>Piston</v>
      </c>
      <c r="F2412" s="5">
        <f ca="1">IFERROR(__xludf.DUMMYFUNCTION("""COMPUTED_VALUE"""),2)</f>
        <v>2</v>
      </c>
    </row>
    <row r="2413" spans="1:6" ht="15" customHeight="1" x14ac:dyDescent="0.2">
      <c r="A2413" s="5" t="str">
        <f ca="1">IFERROR(__xludf.DUMMYFUNCTION("""COMPUTED_VALUE"""),"T51")</f>
        <v>T51</v>
      </c>
      <c r="B2413" s="5" t="str">
        <f ca="1">IFERROR(__xludf.DUMMYFUNCTION("""COMPUTED_VALUE"""),"TITAN")</f>
        <v>TITAN</v>
      </c>
      <c r="C2413" s="5" t="str">
        <f ca="1">IFERROR(__xludf.DUMMYFUNCTION("""COMPUTED_VALUE"""),"T-51 Mustang")</f>
        <v>T-51 Mustang</v>
      </c>
      <c r="D2413" s="5" t="str">
        <f ca="1">IFERROR(__xludf.DUMMYFUNCTION("""COMPUTED_VALUE"""),"LandPlane")</f>
        <v>LandPlane</v>
      </c>
      <c r="E2413" s="5" t="str">
        <f ca="1">IFERROR(__xludf.DUMMYFUNCTION("""COMPUTED_VALUE"""),"Piston")</f>
        <v>Piston</v>
      </c>
      <c r="F2413" s="5">
        <f ca="1">IFERROR(__xludf.DUMMYFUNCTION("""COMPUTED_VALUE"""),1)</f>
        <v>1</v>
      </c>
    </row>
    <row r="2414" spans="1:6" ht="15" customHeight="1" x14ac:dyDescent="0.2">
      <c r="A2414" s="5" t="str">
        <f ca="1">IFERROR(__xludf.DUMMYFUNCTION("""COMPUTED_VALUE"""),"T6")</f>
        <v>T6</v>
      </c>
      <c r="B2414" s="5" t="str">
        <f ca="1">IFERROR(__xludf.DUMMYFUNCTION("""COMPUTED_VALUE"""),"NORTH AMERICAN")</f>
        <v>NORTH AMERICAN</v>
      </c>
      <c r="C2414" s="5" t="str">
        <f ca="1">IFERROR(__xludf.DUMMYFUNCTION("""COMPUTED_VALUE"""),"AT-6 Texan")</f>
        <v>AT-6 Texan</v>
      </c>
      <c r="D2414" s="5" t="str">
        <f ca="1">IFERROR(__xludf.DUMMYFUNCTION("""COMPUTED_VALUE"""),"LandPlane")</f>
        <v>LandPlane</v>
      </c>
      <c r="E2414" s="5" t="str">
        <f ca="1">IFERROR(__xludf.DUMMYFUNCTION("""COMPUTED_VALUE"""),"Piston")</f>
        <v>Piston</v>
      </c>
      <c r="F2414" s="5">
        <f ca="1">IFERROR(__xludf.DUMMYFUNCTION("""COMPUTED_VALUE"""),1)</f>
        <v>1</v>
      </c>
    </row>
    <row r="2415" spans="1:6" ht="15" customHeight="1" x14ac:dyDescent="0.2">
      <c r="A2415" s="5" t="str">
        <f ca="1">IFERROR(__xludf.DUMMYFUNCTION("""COMPUTED_VALUE"""),"T7")</f>
        <v>T7</v>
      </c>
      <c r="B2415" s="5" t="str">
        <f ca="1">IFERROR(__xludf.DUMMYFUNCTION("""COMPUTED_VALUE"""),"FUJI")</f>
        <v>FUJI</v>
      </c>
      <c r="C2415" s="5" t="str">
        <f ca="1">IFERROR(__xludf.DUMMYFUNCTION("""COMPUTED_VALUE"""),"T-7")</f>
        <v>T-7</v>
      </c>
      <c r="D2415" s="5" t="str">
        <f ca="1">IFERROR(__xludf.DUMMYFUNCTION("""COMPUTED_VALUE"""),"LandPlane")</f>
        <v>LandPlane</v>
      </c>
      <c r="E2415" s="5" t="str">
        <f ca="1">IFERROR(__xludf.DUMMYFUNCTION("""COMPUTED_VALUE"""),"Turboprop/Turboshaft")</f>
        <v>Turboprop/Turboshaft</v>
      </c>
      <c r="F2415" s="5">
        <f ca="1">IFERROR(__xludf.DUMMYFUNCTION("""COMPUTED_VALUE"""),1)</f>
        <v>1</v>
      </c>
    </row>
    <row r="2416" spans="1:6" ht="15" customHeight="1" x14ac:dyDescent="0.2">
      <c r="A2416" s="5" t="str">
        <f ca="1">IFERROR(__xludf.DUMMYFUNCTION("""COMPUTED_VALUE"""),"TA15")</f>
        <v>TA15</v>
      </c>
      <c r="B2416" s="5" t="str">
        <f ca="1">IFERROR(__xludf.DUMMYFUNCTION("""COMPUTED_VALUE"""),"TAYLORCRAFT (1)")</f>
        <v>TAYLORCRAFT (1)</v>
      </c>
      <c r="C2416" s="5" t="str">
        <f ca="1">IFERROR(__xludf.DUMMYFUNCTION("""COMPUTED_VALUE"""),"15 Tourist")</f>
        <v>15 Tourist</v>
      </c>
      <c r="D2416" s="5" t="str">
        <f ca="1">IFERROR(__xludf.DUMMYFUNCTION("""COMPUTED_VALUE"""),"LandPlane")</f>
        <v>LandPlane</v>
      </c>
      <c r="E2416" s="5" t="str">
        <f ca="1">IFERROR(__xludf.DUMMYFUNCTION("""COMPUTED_VALUE"""),"Piston")</f>
        <v>Piston</v>
      </c>
      <c r="F2416" s="5">
        <f ca="1">IFERROR(__xludf.DUMMYFUNCTION("""COMPUTED_VALUE"""),1)</f>
        <v>1</v>
      </c>
    </row>
    <row r="2417" spans="1:6" ht="15" customHeight="1" x14ac:dyDescent="0.2">
      <c r="A2417" s="5" t="str">
        <f ca="1">IFERROR(__xludf.DUMMYFUNCTION("""COMPUTED_VALUE"""),"TA16")</f>
        <v>TA16</v>
      </c>
      <c r="B2417" s="5" t="str">
        <f ca="1">IFERROR(__xludf.DUMMYFUNCTION("""COMPUTED_VALUE"""),"THURSTON")</f>
        <v>THURSTON</v>
      </c>
      <c r="C2417" s="5" t="str">
        <f ca="1">IFERROR(__xludf.DUMMYFUNCTION("""COMPUTED_VALUE"""),"TA-16 Seafire")</f>
        <v>TA-16 Seafire</v>
      </c>
      <c r="D2417" s="5" t="str">
        <f ca="1">IFERROR(__xludf.DUMMYFUNCTION("""COMPUTED_VALUE"""),"Amphibian")</f>
        <v>Amphibian</v>
      </c>
      <c r="E2417" s="5" t="str">
        <f ca="1">IFERROR(__xludf.DUMMYFUNCTION("""COMPUTED_VALUE"""),"Piston")</f>
        <v>Piston</v>
      </c>
      <c r="F2417" s="5">
        <f ca="1">IFERROR(__xludf.DUMMYFUNCTION("""COMPUTED_VALUE"""),1)</f>
        <v>1</v>
      </c>
    </row>
    <row r="2418" spans="1:6" ht="15" customHeight="1" x14ac:dyDescent="0.2">
      <c r="A2418" s="5" t="str">
        <f ca="1">IFERROR(__xludf.DUMMYFUNCTION("""COMPUTED_VALUE"""),"TA20")</f>
        <v>TA20</v>
      </c>
      <c r="B2418" s="5" t="str">
        <f ca="1">IFERROR(__xludf.DUMMYFUNCTION("""COMPUTED_VALUE"""),"TAYLORCRAFT (1)")</f>
        <v>TAYLORCRAFT (1)</v>
      </c>
      <c r="C2418" s="5" t="str">
        <f ca="1">IFERROR(__xludf.DUMMYFUNCTION("""COMPUTED_VALUE"""),"20 Ranchwagon")</f>
        <v>20 Ranchwagon</v>
      </c>
      <c r="D2418" s="5" t="str">
        <f ca="1">IFERROR(__xludf.DUMMYFUNCTION("""COMPUTED_VALUE"""),"LandPlane")</f>
        <v>LandPlane</v>
      </c>
      <c r="E2418" s="5" t="str">
        <f ca="1">IFERROR(__xludf.DUMMYFUNCTION("""COMPUTED_VALUE"""),"Piston")</f>
        <v>Piston</v>
      </c>
      <c r="F2418" s="5">
        <f ca="1">IFERROR(__xludf.DUMMYFUNCTION("""COMPUTED_VALUE"""),1)</f>
        <v>1</v>
      </c>
    </row>
    <row r="2419" spans="1:6" ht="15" customHeight="1" x14ac:dyDescent="0.2">
      <c r="A2419" s="5" t="str">
        <f ca="1">IFERROR(__xludf.DUMMYFUNCTION("""COMPUTED_VALUE"""),"TAA1")</f>
        <v>TAA1</v>
      </c>
      <c r="B2419" s="5" t="str">
        <f ca="1">IFERROR(__xludf.DUMMYFUNCTION("""COMPUTED_VALUE"""),"TOYOTA")</f>
        <v>TOYOTA</v>
      </c>
      <c r="C2419" s="5" t="str">
        <f ca="1">IFERROR(__xludf.DUMMYFUNCTION("""COMPUTED_VALUE"""),"TAA-1")</f>
        <v>TAA-1</v>
      </c>
      <c r="D2419" s="5" t="str">
        <f ca="1">IFERROR(__xludf.DUMMYFUNCTION("""COMPUTED_VALUE"""),"LandPlane")</f>
        <v>LandPlane</v>
      </c>
      <c r="E2419" s="5" t="str">
        <f ca="1">IFERROR(__xludf.DUMMYFUNCTION("""COMPUTED_VALUE"""),"Piston")</f>
        <v>Piston</v>
      </c>
      <c r="F2419" s="5">
        <f ca="1">IFERROR(__xludf.DUMMYFUNCTION("""COMPUTED_VALUE"""),1)</f>
        <v>1</v>
      </c>
    </row>
    <row r="2420" spans="1:6" ht="15" customHeight="1" x14ac:dyDescent="0.2">
      <c r="A2420" s="5" t="str">
        <f ca="1">IFERROR(__xludf.DUMMYFUNCTION("""COMPUTED_VALUE"""),"TAGO")</f>
        <v>TAGO</v>
      </c>
      <c r="B2420" s="5" t="str">
        <f ca="1">IFERROR(__xludf.DUMMYFUNCTION("""COMPUTED_VALUE"""),"TEAM TANGO")</f>
        <v>TEAM TANGO</v>
      </c>
      <c r="C2420" s="5" t="str">
        <f ca="1">IFERROR(__xludf.DUMMYFUNCTION("""COMPUTED_VALUE"""),"Tango-2")</f>
        <v>Tango-2</v>
      </c>
      <c r="D2420" s="5" t="str">
        <f ca="1">IFERROR(__xludf.DUMMYFUNCTION("""COMPUTED_VALUE"""),"LandPlane")</f>
        <v>LandPlane</v>
      </c>
      <c r="E2420" s="5" t="str">
        <f ca="1">IFERROR(__xludf.DUMMYFUNCTION("""COMPUTED_VALUE"""),"Piston")</f>
        <v>Piston</v>
      </c>
      <c r="F2420" s="5">
        <f ca="1">IFERROR(__xludf.DUMMYFUNCTION("""COMPUTED_VALUE"""),1)</f>
        <v>1</v>
      </c>
    </row>
    <row r="2421" spans="1:6" ht="15" customHeight="1" x14ac:dyDescent="0.2">
      <c r="A2421" s="5" t="str">
        <f ca="1">IFERROR(__xludf.DUMMYFUNCTION("""COMPUTED_VALUE"""),"TAIL")</f>
        <v>TAIL</v>
      </c>
      <c r="B2421" s="5" t="str">
        <f ca="1">IFERROR(__xludf.DUMMYFUNCTION("""COMPUTED_VALUE"""),"WITTMAN")</f>
        <v>WITTMAN</v>
      </c>
      <c r="C2421" s="5" t="str">
        <f ca="1">IFERROR(__xludf.DUMMYFUNCTION("""COMPUTED_VALUE"""),"W-8 Tailwind")</f>
        <v>W-8 Tailwind</v>
      </c>
      <c r="D2421" s="5" t="str">
        <f ca="1">IFERROR(__xludf.DUMMYFUNCTION("""COMPUTED_VALUE"""),"LandPlane")</f>
        <v>LandPlane</v>
      </c>
      <c r="E2421" s="5" t="str">
        <f ca="1">IFERROR(__xludf.DUMMYFUNCTION("""COMPUTED_VALUE"""),"Piston")</f>
        <v>Piston</v>
      </c>
      <c r="F2421" s="5">
        <f ca="1">IFERROR(__xludf.DUMMYFUNCTION("""COMPUTED_VALUE"""),1)</f>
        <v>1</v>
      </c>
    </row>
    <row r="2422" spans="1:6" ht="15" customHeight="1" x14ac:dyDescent="0.2">
      <c r="A2422" s="5" t="str">
        <f ca="1">IFERROR(__xludf.DUMMYFUNCTION("""COMPUTED_VALUE"""),"TAMP")</f>
        <v>TAMP</v>
      </c>
      <c r="B2422" s="5" t="str">
        <f ca="1">IFERROR(__xludf.DUMMYFUNCTION("""COMPUTED_VALUE"""),"SOCATA")</f>
        <v>SOCATA</v>
      </c>
      <c r="C2422" s="5" t="str">
        <f ca="1">IFERROR(__xludf.DUMMYFUNCTION("""COMPUTED_VALUE"""),"TB-9 Tampico")</f>
        <v>TB-9 Tampico</v>
      </c>
      <c r="D2422" s="5" t="str">
        <f ca="1">IFERROR(__xludf.DUMMYFUNCTION("""COMPUTED_VALUE"""),"LandPlane")</f>
        <v>LandPlane</v>
      </c>
      <c r="E2422" s="5" t="str">
        <f ca="1">IFERROR(__xludf.DUMMYFUNCTION("""COMPUTED_VALUE"""),"Piston")</f>
        <v>Piston</v>
      </c>
      <c r="F2422" s="5">
        <f ca="1">IFERROR(__xludf.DUMMYFUNCTION("""COMPUTED_VALUE"""),1)</f>
        <v>1</v>
      </c>
    </row>
    <row r="2423" spans="1:6" ht="15" customHeight="1" x14ac:dyDescent="0.2">
      <c r="A2423" s="5" t="str">
        <f ca="1">IFERROR(__xludf.DUMMYFUNCTION("""COMPUTED_VALUE"""),"TARO")</f>
        <v>TARO</v>
      </c>
      <c r="B2423" s="5" t="str">
        <f ca="1">IFERROR(__xludf.DUMMYFUNCTION("""COMPUTED_VALUE"""),"ANAHUAC")</f>
        <v>ANAHUAC</v>
      </c>
      <c r="C2423" s="5" t="str">
        <f ca="1">IFERROR(__xludf.DUMMYFUNCTION("""COMPUTED_VALUE"""),"Tauro")</f>
        <v>Tauro</v>
      </c>
      <c r="D2423" s="5" t="str">
        <f ca="1">IFERROR(__xludf.DUMMYFUNCTION("""COMPUTED_VALUE"""),"LandPlane")</f>
        <v>LandPlane</v>
      </c>
      <c r="E2423" s="5" t="str">
        <f ca="1">IFERROR(__xludf.DUMMYFUNCTION("""COMPUTED_VALUE"""),"Piston")</f>
        <v>Piston</v>
      </c>
      <c r="F2423" s="5">
        <f ca="1">IFERROR(__xludf.DUMMYFUNCTION("""COMPUTED_VALUE"""),1)</f>
        <v>1</v>
      </c>
    </row>
    <row r="2424" spans="1:6" ht="15" customHeight="1" x14ac:dyDescent="0.2">
      <c r="A2424" s="5" t="str">
        <f ca="1">IFERROR(__xludf.DUMMYFUNCTION("""COMPUTED_VALUE"""),"TARR")</f>
        <v>TARR</v>
      </c>
      <c r="B2424" s="5" t="str">
        <f ca="1">IFERROR(__xludf.DUMMYFUNCTION("""COMPUTED_VALUE"""),"PELEGRIN")</f>
        <v>PELEGRIN</v>
      </c>
      <c r="C2424" s="5" t="str">
        <f ca="1">IFERROR(__xludf.DUMMYFUNCTION("""COMPUTED_VALUE"""),"Tarragon")</f>
        <v>Tarragon</v>
      </c>
      <c r="D2424" s="5" t="str">
        <f ca="1">IFERROR(__xludf.DUMMYFUNCTION("""COMPUTED_VALUE"""),"LandPlane")</f>
        <v>LandPlane</v>
      </c>
      <c r="E2424" s="5" t="str">
        <f ca="1">IFERROR(__xludf.DUMMYFUNCTION("""COMPUTED_VALUE"""),"Piston")</f>
        <v>Piston</v>
      </c>
      <c r="F2424" s="5">
        <f ca="1">IFERROR(__xludf.DUMMYFUNCTION("""COMPUTED_VALUE"""),1)</f>
        <v>1</v>
      </c>
    </row>
    <row r="2425" spans="1:6" ht="15" customHeight="1" x14ac:dyDescent="0.2">
      <c r="A2425" s="5" t="str">
        <f ca="1">IFERROR(__xludf.DUMMYFUNCTION("""COMPUTED_VALUE"""),"TAYA")</f>
        <v>TAYA</v>
      </c>
      <c r="B2425" s="5" t="str">
        <f ca="1">IFERROR(__xludf.DUMMYFUNCTION("""COMPUTED_VALUE"""),"TAYLORCRAFT (1)")</f>
        <v>TAYLORCRAFT (1)</v>
      </c>
      <c r="C2425" s="5" t="str">
        <f ca="1">IFERROR(__xludf.DUMMYFUNCTION("""COMPUTED_VALUE"""),"A")</f>
        <v>A</v>
      </c>
      <c r="D2425" s="5" t="str">
        <f ca="1">IFERROR(__xludf.DUMMYFUNCTION("""COMPUTED_VALUE"""),"LandPlane")</f>
        <v>LandPlane</v>
      </c>
      <c r="E2425" s="5" t="str">
        <f ca="1">IFERROR(__xludf.DUMMYFUNCTION("""COMPUTED_VALUE"""),"Piston")</f>
        <v>Piston</v>
      </c>
      <c r="F2425" s="5">
        <f ca="1">IFERROR(__xludf.DUMMYFUNCTION("""COMPUTED_VALUE"""),1)</f>
        <v>1</v>
      </c>
    </row>
    <row r="2426" spans="1:6" ht="15" customHeight="1" x14ac:dyDescent="0.2">
      <c r="A2426" s="5" t="str">
        <f ca="1">IFERROR(__xludf.DUMMYFUNCTION("""COMPUTED_VALUE"""),"TAYB")</f>
        <v>TAYB</v>
      </c>
      <c r="B2426" s="5" t="str">
        <f ca="1">IFERROR(__xludf.DUMMYFUNCTION("""COMPUTED_VALUE"""),"TAYLORCRAFT (1)")</f>
        <v>TAYLORCRAFT (1)</v>
      </c>
      <c r="C2426" s="5" t="str">
        <f ca="1">IFERROR(__xludf.DUMMYFUNCTION("""COMPUTED_VALUE"""),"BC")</f>
        <v>BC</v>
      </c>
      <c r="D2426" s="5" t="str">
        <f ca="1">IFERROR(__xludf.DUMMYFUNCTION("""COMPUTED_VALUE"""),"LandPlane")</f>
        <v>LandPlane</v>
      </c>
      <c r="E2426" s="5" t="str">
        <f ca="1">IFERROR(__xludf.DUMMYFUNCTION("""COMPUTED_VALUE"""),"Piston")</f>
        <v>Piston</v>
      </c>
      <c r="F2426" s="5">
        <f ca="1">IFERROR(__xludf.DUMMYFUNCTION("""COMPUTED_VALUE"""),1)</f>
        <v>1</v>
      </c>
    </row>
    <row r="2427" spans="1:6" ht="15" customHeight="1" x14ac:dyDescent="0.2">
      <c r="A2427" s="5" t="str">
        <f ca="1">IFERROR(__xludf.DUMMYFUNCTION("""COMPUTED_VALUE"""),"TAYD")</f>
        <v>TAYD</v>
      </c>
      <c r="B2427" s="5" t="str">
        <f ca="1">IFERROR(__xludf.DUMMYFUNCTION("""COMPUTED_VALUE"""),"TAYLORCRAFT (1)")</f>
        <v>TAYLORCRAFT (1)</v>
      </c>
      <c r="C2427" s="5" t="str">
        <f ca="1">IFERROR(__xludf.DUMMYFUNCTION("""COMPUTED_VALUE"""),"DC")</f>
        <v>DC</v>
      </c>
      <c r="D2427" s="5" t="str">
        <f ca="1">IFERROR(__xludf.DUMMYFUNCTION("""COMPUTED_VALUE"""),"LandPlane")</f>
        <v>LandPlane</v>
      </c>
      <c r="E2427" s="5" t="str">
        <f ca="1">IFERROR(__xludf.DUMMYFUNCTION("""COMPUTED_VALUE"""),"Piston")</f>
        <v>Piston</v>
      </c>
      <c r="F2427" s="5">
        <f ca="1">IFERROR(__xludf.DUMMYFUNCTION("""COMPUTED_VALUE"""),1)</f>
        <v>1</v>
      </c>
    </row>
    <row r="2428" spans="1:6" ht="15" customHeight="1" x14ac:dyDescent="0.2">
      <c r="A2428" s="5" t="str">
        <f ca="1">IFERROR(__xludf.DUMMYFUNCTION("""COMPUTED_VALUE"""),"TB05")</f>
        <v>TB05</v>
      </c>
      <c r="B2428" s="5" t="str">
        <f ca="1">IFERROR(__xludf.DUMMYFUNCTION("""COMPUTED_VALUE"""),"AMC")</f>
        <v>AMC</v>
      </c>
      <c r="C2428" s="5" t="str">
        <f ca="1">IFERROR(__xludf.DUMMYFUNCTION("""COMPUTED_VALUE"""),"Texas Bullet 205")</f>
        <v>Texas Bullet 205</v>
      </c>
      <c r="D2428" s="5" t="str">
        <f ca="1">IFERROR(__xludf.DUMMYFUNCTION("""COMPUTED_VALUE"""),"LandPlane")</f>
        <v>LandPlane</v>
      </c>
      <c r="E2428" s="5" t="str">
        <f ca="1">IFERROR(__xludf.DUMMYFUNCTION("""COMPUTED_VALUE"""),"Piston")</f>
        <v>Piston</v>
      </c>
      <c r="F2428" s="5">
        <f ca="1">IFERROR(__xludf.DUMMYFUNCTION("""COMPUTED_VALUE"""),1)</f>
        <v>1</v>
      </c>
    </row>
    <row r="2429" spans="1:6" ht="15" customHeight="1" x14ac:dyDescent="0.2">
      <c r="A2429" s="5" t="str">
        <f ca="1">IFERROR(__xludf.DUMMYFUNCTION("""COMPUTED_VALUE"""),"TB20")</f>
        <v>TB20</v>
      </c>
      <c r="B2429" s="5" t="str">
        <f ca="1">IFERROR(__xludf.DUMMYFUNCTION("""COMPUTED_VALUE"""),"SOCATA")</f>
        <v>SOCATA</v>
      </c>
      <c r="C2429" s="5" t="str">
        <f ca="1">IFERROR(__xludf.DUMMYFUNCTION("""COMPUTED_VALUE"""),"TB-20 Trinidad")</f>
        <v>TB-20 Trinidad</v>
      </c>
      <c r="D2429" s="5" t="str">
        <f ca="1">IFERROR(__xludf.DUMMYFUNCTION("""COMPUTED_VALUE"""),"LandPlane")</f>
        <v>LandPlane</v>
      </c>
      <c r="E2429" s="5" t="str">
        <f ca="1">IFERROR(__xludf.DUMMYFUNCTION("""COMPUTED_VALUE"""),"Piston")</f>
        <v>Piston</v>
      </c>
      <c r="F2429" s="5">
        <f ca="1">IFERROR(__xludf.DUMMYFUNCTION("""COMPUTED_VALUE"""),1)</f>
        <v>1</v>
      </c>
    </row>
    <row r="2430" spans="1:6" ht="15" customHeight="1" x14ac:dyDescent="0.2">
      <c r="A2430" s="5" t="str">
        <f ca="1">IFERROR(__xludf.DUMMYFUNCTION("""COMPUTED_VALUE"""),"TB21")</f>
        <v>TB21</v>
      </c>
      <c r="B2430" s="5" t="str">
        <f ca="1">IFERROR(__xludf.DUMMYFUNCTION("""COMPUTED_VALUE"""),"SOCATA")</f>
        <v>SOCATA</v>
      </c>
      <c r="C2430" s="5" t="str">
        <f ca="1">IFERROR(__xludf.DUMMYFUNCTION("""COMPUTED_VALUE"""),"TB-21 Trinidad TC")</f>
        <v>TB-21 Trinidad TC</v>
      </c>
      <c r="D2430" s="5" t="str">
        <f ca="1">IFERROR(__xludf.DUMMYFUNCTION("""COMPUTED_VALUE"""),"LandPlane")</f>
        <v>LandPlane</v>
      </c>
      <c r="E2430" s="5" t="str">
        <f ca="1">IFERROR(__xludf.DUMMYFUNCTION("""COMPUTED_VALUE"""),"Piston")</f>
        <v>Piston</v>
      </c>
      <c r="F2430" s="5">
        <f ca="1">IFERROR(__xludf.DUMMYFUNCTION("""COMPUTED_VALUE"""),1)</f>
        <v>1</v>
      </c>
    </row>
    <row r="2431" spans="1:6" ht="15" customHeight="1" x14ac:dyDescent="0.2">
      <c r="A2431" s="5" t="str">
        <f ca="1">IFERROR(__xludf.DUMMYFUNCTION("""COMPUTED_VALUE"""),"TB30")</f>
        <v>TB30</v>
      </c>
      <c r="B2431" s="5" t="str">
        <f ca="1">IFERROR(__xludf.DUMMYFUNCTION("""COMPUTED_VALUE"""),"SOCATA")</f>
        <v>SOCATA</v>
      </c>
      <c r="C2431" s="5" t="str">
        <f ca="1">IFERROR(__xludf.DUMMYFUNCTION("""COMPUTED_VALUE"""),"TB-30 Epsilon")</f>
        <v>TB-30 Epsilon</v>
      </c>
      <c r="D2431" s="5" t="str">
        <f ca="1">IFERROR(__xludf.DUMMYFUNCTION("""COMPUTED_VALUE"""),"LandPlane")</f>
        <v>LandPlane</v>
      </c>
      <c r="E2431" s="5" t="str">
        <f ca="1">IFERROR(__xludf.DUMMYFUNCTION("""COMPUTED_VALUE"""),"Piston")</f>
        <v>Piston</v>
      </c>
      <c r="F2431" s="5">
        <f ca="1">IFERROR(__xludf.DUMMYFUNCTION("""COMPUTED_VALUE"""),1)</f>
        <v>1</v>
      </c>
    </row>
    <row r="2432" spans="1:6" ht="15" customHeight="1" x14ac:dyDescent="0.2">
      <c r="A2432" s="5" t="str">
        <f ca="1">IFERROR(__xludf.DUMMYFUNCTION("""COMPUTED_VALUE"""),"TB31")</f>
        <v>TB31</v>
      </c>
      <c r="B2432" s="5" t="str">
        <f ca="1">IFERROR(__xludf.DUMMYFUNCTION("""COMPUTED_VALUE"""),"SOCATA")</f>
        <v>SOCATA</v>
      </c>
      <c r="C2432" s="5" t="str">
        <f ca="1">IFERROR(__xludf.DUMMYFUNCTION("""COMPUTED_VALUE"""),"TB-31 Omega")</f>
        <v>TB-31 Omega</v>
      </c>
      <c r="D2432" s="5" t="str">
        <f ca="1">IFERROR(__xludf.DUMMYFUNCTION("""COMPUTED_VALUE"""),"LandPlane")</f>
        <v>LandPlane</v>
      </c>
      <c r="E2432" s="5" t="str">
        <f ca="1">IFERROR(__xludf.DUMMYFUNCTION("""COMPUTED_VALUE"""),"Turboprop/Turboshaft")</f>
        <v>Turboprop/Turboshaft</v>
      </c>
      <c r="F2432" s="5">
        <f ca="1">IFERROR(__xludf.DUMMYFUNCTION("""COMPUTED_VALUE"""),1)</f>
        <v>1</v>
      </c>
    </row>
    <row r="2433" spans="1:6" ht="15" customHeight="1" x14ac:dyDescent="0.2">
      <c r="A2433" s="5" t="str">
        <f ca="1">IFERROR(__xludf.DUMMYFUNCTION("""COMPUTED_VALUE"""),"TBEE")</f>
        <v>TBEE</v>
      </c>
      <c r="B2433" s="5" t="str">
        <f ca="1">IFERROR(__xludf.DUMMYFUNCTION("""COMPUTED_VALUE"""),"UNITED CONSULTANT")</f>
        <v>UNITED CONSULTANT</v>
      </c>
      <c r="C2433" s="5" t="str">
        <f ca="1">IFERROR(__xludf.DUMMYFUNCTION("""COMPUTED_VALUE"""),"UC-1 Twin Bee")</f>
        <v>UC-1 Twin Bee</v>
      </c>
      <c r="D2433" s="5" t="str">
        <f ca="1">IFERROR(__xludf.DUMMYFUNCTION("""COMPUTED_VALUE"""),"Amphibian")</f>
        <v>Amphibian</v>
      </c>
      <c r="E2433" s="5" t="str">
        <f ca="1">IFERROR(__xludf.DUMMYFUNCTION("""COMPUTED_VALUE"""),"Piston")</f>
        <v>Piston</v>
      </c>
      <c r="F2433" s="5">
        <f ca="1">IFERROR(__xludf.DUMMYFUNCTION("""COMPUTED_VALUE"""),2)</f>
        <v>2</v>
      </c>
    </row>
    <row r="2434" spans="1:6" ht="15" customHeight="1" x14ac:dyDescent="0.2">
      <c r="A2434" s="5" t="str">
        <f ca="1">IFERROR(__xludf.DUMMYFUNCTION("""COMPUTED_VALUE"""),"TBM")</f>
        <v>TBM</v>
      </c>
      <c r="B2434" s="5" t="str">
        <f ca="1">IFERROR(__xludf.DUMMYFUNCTION("""COMPUTED_VALUE"""),"GRUMMAN")</f>
        <v>GRUMMAN</v>
      </c>
      <c r="C2434" s="5" t="str">
        <f ca="1">IFERROR(__xludf.DUMMYFUNCTION("""COMPUTED_VALUE"""),"Avenger")</f>
        <v>Avenger</v>
      </c>
      <c r="D2434" s="5" t="str">
        <f ca="1">IFERROR(__xludf.DUMMYFUNCTION("""COMPUTED_VALUE"""),"LandPlane")</f>
        <v>LandPlane</v>
      </c>
      <c r="E2434" s="5" t="str">
        <f ca="1">IFERROR(__xludf.DUMMYFUNCTION("""COMPUTED_VALUE"""),"Piston")</f>
        <v>Piston</v>
      </c>
      <c r="F2434" s="5">
        <f ca="1">IFERROR(__xludf.DUMMYFUNCTION("""COMPUTED_VALUE"""),1)</f>
        <v>1</v>
      </c>
    </row>
    <row r="2435" spans="1:6" ht="15" customHeight="1" x14ac:dyDescent="0.2">
      <c r="A2435" s="5" t="str">
        <f ca="1">IFERROR(__xludf.DUMMYFUNCTION("""COMPUTED_VALUE"""),"TBM7")</f>
        <v>TBM7</v>
      </c>
      <c r="B2435" s="5" t="str">
        <f ca="1">IFERROR(__xludf.DUMMYFUNCTION("""COMPUTED_VALUE"""),"SOCATA")</f>
        <v>SOCATA</v>
      </c>
      <c r="C2435" s="5" t="str">
        <f ca="1">IFERROR(__xludf.DUMMYFUNCTION("""COMPUTED_VALUE"""),"TBM-700A")</f>
        <v>TBM-700A</v>
      </c>
      <c r="D2435" s="5" t="str">
        <f ca="1">IFERROR(__xludf.DUMMYFUNCTION("""COMPUTED_VALUE"""),"LandPlane")</f>
        <v>LandPlane</v>
      </c>
      <c r="E2435" s="5" t="str">
        <f ca="1">IFERROR(__xludf.DUMMYFUNCTION("""COMPUTED_VALUE"""),"Turboprop/Turboshaft")</f>
        <v>Turboprop/Turboshaft</v>
      </c>
      <c r="F2435" s="5">
        <f ca="1">IFERROR(__xludf.DUMMYFUNCTION("""COMPUTED_VALUE"""),1)</f>
        <v>1</v>
      </c>
    </row>
    <row r="2436" spans="1:6" ht="15" customHeight="1" x14ac:dyDescent="0.2">
      <c r="A2436" s="5" t="str">
        <f ca="1">IFERROR(__xludf.DUMMYFUNCTION("""COMPUTED_VALUE"""),"TBM8")</f>
        <v>TBM8</v>
      </c>
      <c r="B2436" s="5" t="str">
        <f ca="1">IFERROR(__xludf.DUMMYFUNCTION("""COMPUTED_VALUE"""),"SOCATA")</f>
        <v>SOCATA</v>
      </c>
      <c r="C2436" s="5" t="str">
        <f ca="1">IFERROR(__xludf.DUMMYFUNCTION("""COMPUTED_VALUE"""),"TBM-850")</f>
        <v>TBM-850</v>
      </c>
      <c r="D2436" s="5" t="str">
        <f ca="1">IFERROR(__xludf.DUMMYFUNCTION("""COMPUTED_VALUE"""),"LandPlane")</f>
        <v>LandPlane</v>
      </c>
      <c r="E2436" s="5" t="str">
        <f ca="1">IFERROR(__xludf.DUMMYFUNCTION("""COMPUTED_VALUE"""),"Turboprop/Turboshaft")</f>
        <v>Turboprop/Turboshaft</v>
      </c>
      <c r="F2436" s="5">
        <f ca="1">IFERROR(__xludf.DUMMYFUNCTION("""COMPUTED_VALUE"""),1)</f>
        <v>1</v>
      </c>
    </row>
    <row r="2437" spans="1:6" ht="15" customHeight="1" x14ac:dyDescent="0.2">
      <c r="A2437" s="5" t="str">
        <f ca="1">IFERROR(__xludf.DUMMYFUNCTION("""COMPUTED_VALUE"""),"TBM9")</f>
        <v>TBM9</v>
      </c>
      <c r="B2437" s="5" t="str">
        <f ca="1">IFERROR(__xludf.DUMMYFUNCTION("""COMPUTED_VALUE"""),"SOCATA")</f>
        <v>SOCATA</v>
      </c>
      <c r="C2437" s="5" t="str">
        <f ca="1">IFERROR(__xludf.DUMMYFUNCTION("""COMPUTED_VALUE"""),"TBM-900")</f>
        <v>TBM-900</v>
      </c>
      <c r="D2437" s="5" t="str">
        <f ca="1">IFERROR(__xludf.DUMMYFUNCTION("""COMPUTED_VALUE"""),"LandPlane")</f>
        <v>LandPlane</v>
      </c>
      <c r="E2437" s="5" t="str">
        <f ca="1">IFERROR(__xludf.DUMMYFUNCTION("""COMPUTED_VALUE"""),"Turboprop/Turboshaft")</f>
        <v>Turboprop/Turboshaft</v>
      </c>
      <c r="F2437" s="5">
        <f ca="1">IFERROR(__xludf.DUMMYFUNCTION("""COMPUTED_VALUE"""),1)</f>
        <v>1</v>
      </c>
    </row>
    <row r="2438" spans="1:6" ht="15" customHeight="1" x14ac:dyDescent="0.2">
      <c r="A2438" s="5" t="str">
        <f ca="1">IFERROR(__xludf.DUMMYFUNCTION("""COMPUTED_VALUE"""),"TBM9")</f>
        <v>TBM9</v>
      </c>
      <c r="B2438" s="5" t="str">
        <f ca="1">IFERROR(__xludf.DUMMYFUNCTION("""COMPUTED_VALUE"""),"SOCATA")</f>
        <v>SOCATA</v>
      </c>
      <c r="C2438" s="5" t="str">
        <f ca="1">IFERROR(__xludf.DUMMYFUNCTION("""COMPUTED_VALUE"""),"TBM-700N (TBM-900)")</f>
        <v>TBM-700N (TBM-900)</v>
      </c>
      <c r="D2438" s="5" t="str">
        <f ca="1">IFERROR(__xludf.DUMMYFUNCTION("""COMPUTED_VALUE"""),"LandPlane")</f>
        <v>LandPlane</v>
      </c>
      <c r="E2438" s="5" t="str">
        <f ca="1">IFERROR(__xludf.DUMMYFUNCTION("""COMPUTED_VALUE"""),"Turboprop/Turboshaft")</f>
        <v>Turboprop/Turboshaft</v>
      </c>
      <c r="F2438" s="5">
        <f ca="1">IFERROR(__xludf.DUMMYFUNCTION("""COMPUTED_VALUE"""),1)</f>
        <v>1</v>
      </c>
    </row>
    <row r="2439" spans="1:6" ht="15" customHeight="1" x14ac:dyDescent="0.2">
      <c r="A2439" s="5" t="str">
        <f ca="1">IFERROR(__xludf.DUMMYFUNCTION("""COMPUTED_VALUE"""),"TBR3")</f>
        <v>TBR3</v>
      </c>
      <c r="B2439" s="5" t="str">
        <f ca="1">IFERROR(__xludf.DUMMYFUNCTION("""COMPUTED_VALUE"""),"GOLDEN CIRCLE")</f>
        <v>GOLDEN CIRCLE</v>
      </c>
      <c r="C2439" s="5" t="str">
        <f ca="1">IFERROR(__xludf.DUMMYFUNCTION("""COMPUTED_VALUE"""),"T-Bird 2 Cargo")</f>
        <v>T-Bird 2 Cargo</v>
      </c>
      <c r="D2439" s="5" t="str">
        <f ca="1">IFERROR(__xludf.DUMMYFUNCTION("""COMPUTED_VALUE"""),"LandPlane")</f>
        <v>LandPlane</v>
      </c>
      <c r="E2439" s="5" t="str">
        <f ca="1">IFERROR(__xludf.DUMMYFUNCTION("""COMPUTED_VALUE"""),"Piston")</f>
        <v>Piston</v>
      </c>
      <c r="F2439" s="5">
        <f ca="1">IFERROR(__xludf.DUMMYFUNCTION("""COMPUTED_VALUE"""),1)</f>
        <v>1</v>
      </c>
    </row>
    <row r="2440" spans="1:6" ht="15" customHeight="1" x14ac:dyDescent="0.2">
      <c r="A2440" s="5" t="str">
        <f ca="1">IFERROR(__xludf.DUMMYFUNCTION("""COMPUTED_VALUE"""),"TBR3")</f>
        <v>TBR3</v>
      </c>
      <c r="B2440" s="5" t="str">
        <f ca="1">IFERROR(__xludf.DUMMYFUNCTION("""COMPUTED_VALUE"""),"GOLDEN CIRCLE")</f>
        <v>GOLDEN CIRCLE</v>
      </c>
      <c r="C2440" s="5" t="str">
        <f ca="1">IFERROR(__xludf.DUMMYFUNCTION("""COMPUTED_VALUE"""),"T-Bird 3")</f>
        <v>T-Bird 3</v>
      </c>
      <c r="D2440" s="5" t="str">
        <f ca="1">IFERROR(__xludf.DUMMYFUNCTION("""COMPUTED_VALUE"""),"LandPlane")</f>
        <v>LandPlane</v>
      </c>
      <c r="E2440" s="5" t="str">
        <f ca="1">IFERROR(__xludf.DUMMYFUNCTION("""COMPUTED_VALUE"""),"Piston")</f>
        <v>Piston</v>
      </c>
      <c r="F2440" s="5">
        <f ca="1">IFERROR(__xludf.DUMMYFUNCTION("""COMPUTED_VALUE"""),1)</f>
        <v>1</v>
      </c>
    </row>
    <row r="2441" spans="1:6" ht="15" customHeight="1" x14ac:dyDescent="0.2">
      <c r="A2441" s="5" t="str">
        <f ca="1">IFERROR(__xludf.DUMMYFUNCTION("""COMPUTED_VALUE"""),"TC2")</f>
        <v>TC2</v>
      </c>
      <c r="B2441" s="5" t="str">
        <f ca="1">IFERROR(__xludf.DUMMYFUNCTION("""COMPUTED_VALUE"""),"AERO MIRAGE")</f>
        <v>AERO MIRAGE</v>
      </c>
      <c r="C2441" s="5" t="str">
        <f ca="1">IFERROR(__xludf.DUMMYFUNCTION("""COMPUTED_VALUE"""),"TC-2")</f>
        <v>TC-2</v>
      </c>
      <c r="D2441" s="5" t="str">
        <f ca="1">IFERROR(__xludf.DUMMYFUNCTION("""COMPUTED_VALUE"""),"LandPlane")</f>
        <v>LandPlane</v>
      </c>
      <c r="E2441" s="5" t="str">
        <f ca="1">IFERROR(__xludf.DUMMYFUNCTION("""COMPUTED_VALUE"""),"Piston")</f>
        <v>Piston</v>
      </c>
      <c r="F2441" s="5">
        <f ca="1">IFERROR(__xludf.DUMMYFUNCTION("""COMPUTED_VALUE"""),1)</f>
        <v>1</v>
      </c>
    </row>
    <row r="2442" spans="1:6" ht="15" customHeight="1" x14ac:dyDescent="0.2">
      <c r="A2442" s="5" t="str">
        <f ca="1">IFERROR(__xludf.DUMMYFUNCTION("""COMPUTED_VALUE"""),"TCAT")</f>
        <v>TCAT</v>
      </c>
      <c r="B2442" s="5" t="str">
        <f ca="1">IFERROR(__xludf.DUMMYFUNCTION("""COMPUTED_VALUE"""),"GRUMMAN")</f>
        <v>GRUMMAN</v>
      </c>
      <c r="C2442" s="5" t="str">
        <f ca="1">IFERROR(__xludf.DUMMYFUNCTION("""COMPUTED_VALUE"""),"F7F Tigercat")</f>
        <v>F7F Tigercat</v>
      </c>
      <c r="D2442" s="5" t="str">
        <f ca="1">IFERROR(__xludf.DUMMYFUNCTION("""COMPUTED_VALUE"""),"LandPlane")</f>
        <v>LandPlane</v>
      </c>
      <c r="E2442" s="5" t="str">
        <f ca="1">IFERROR(__xludf.DUMMYFUNCTION("""COMPUTED_VALUE"""),"Piston")</f>
        <v>Piston</v>
      </c>
      <c r="F2442" s="5">
        <f ca="1">IFERROR(__xludf.DUMMYFUNCTION("""COMPUTED_VALUE"""),2)</f>
        <v>2</v>
      </c>
    </row>
    <row r="2443" spans="1:6" ht="15" customHeight="1" x14ac:dyDescent="0.2">
      <c r="A2443" s="5" t="str">
        <f ca="1">IFERROR(__xludf.DUMMYFUNCTION("""COMPUTED_VALUE"""),"TCOU")</f>
        <v>TCOU</v>
      </c>
      <c r="B2443" s="5" t="str">
        <f ca="1">IFERROR(__xludf.DUMMYFUNCTION("""COMPUTED_VALUE"""),"HELIO")</f>
        <v>HELIO</v>
      </c>
      <c r="C2443" s="5" t="str">
        <f ca="1">IFERROR(__xludf.DUMMYFUNCTION("""COMPUTED_VALUE"""),"H-500 Twin Courier")</f>
        <v>H-500 Twin Courier</v>
      </c>
      <c r="D2443" s="5" t="str">
        <f ca="1">IFERROR(__xludf.DUMMYFUNCTION("""COMPUTED_VALUE"""),"LandPlane")</f>
        <v>LandPlane</v>
      </c>
      <c r="E2443" s="5" t="str">
        <f ca="1">IFERROR(__xludf.DUMMYFUNCTION("""COMPUTED_VALUE"""),"Piston")</f>
        <v>Piston</v>
      </c>
      <c r="F2443" s="5">
        <f ca="1">IFERROR(__xludf.DUMMYFUNCTION("""COMPUTED_VALUE"""),2)</f>
        <v>2</v>
      </c>
    </row>
    <row r="2444" spans="1:6" ht="15" customHeight="1" x14ac:dyDescent="0.2">
      <c r="A2444" s="5" t="str">
        <f ca="1">IFERROR(__xludf.DUMMYFUNCTION("""COMPUTED_VALUE"""),"TD1")</f>
        <v>TD1</v>
      </c>
      <c r="B2444" s="5" t="str">
        <f ca="1">IFERROR(__xludf.DUMMYFUNCTION("""COMPUTED_VALUE"""),"TAIWAN DANCER")</f>
        <v>TAIWAN DANCER</v>
      </c>
      <c r="C2444" s="5" t="str">
        <f ca="1">IFERROR(__xludf.DUMMYFUNCTION("""COMPUTED_VALUE"""),"TD-1")</f>
        <v>TD-1</v>
      </c>
      <c r="D2444" s="5" t="str">
        <f ca="1">IFERROR(__xludf.DUMMYFUNCTION("""COMPUTED_VALUE"""),"LandPlane")</f>
        <v>LandPlane</v>
      </c>
      <c r="E2444" s="5" t="str">
        <f ca="1">IFERROR(__xludf.DUMMYFUNCTION("""COMPUTED_VALUE"""),"Piston")</f>
        <v>Piston</v>
      </c>
      <c r="F2444" s="5">
        <f ca="1">IFERROR(__xludf.DUMMYFUNCTION("""COMPUTED_VALUE"""),1)</f>
        <v>1</v>
      </c>
    </row>
    <row r="2445" spans="1:6" ht="15" customHeight="1" x14ac:dyDescent="0.2">
      <c r="A2445" s="5" t="str">
        <f ca="1">IFERROR(__xludf.DUMMYFUNCTION("""COMPUTED_VALUE"""),"TD2")</f>
        <v>TD2</v>
      </c>
      <c r="B2445" s="5" t="str">
        <f ca="1">IFERROR(__xludf.DUMMYFUNCTION("""COMPUTED_VALUE"""),"TURBINE DESIGN")</f>
        <v>TURBINE DESIGN</v>
      </c>
      <c r="C2445" s="5" t="str">
        <f ca="1">IFERROR(__xludf.DUMMYFUNCTION("""COMPUTED_VALUE"""),"TD-2 Tempest")</f>
        <v>TD-2 Tempest</v>
      </c>
      <c r="D2445" s="5" t="str">
        <f ca="1">IFERROR(__xludf.DUMMYFUNCTION("""COMPUTED_VALUE"""),"LandPlane")</f>
        <v>LandPlane</v>
      </c>
      <c r="E2445" s="5" t="str">
        <f ca="1">IFERROR(__xludf.DUMMYFUNCTION("""COMPUTED_VALUE"""),"Turboprop/Turboshaft")</f>
        <v>Turboprop/Turboshaft</v>
      </c>
      <c r="F2445" s="5">
        <f ca="1">IFERROR(__xludf.DUMMYFUNCTION("""COMPUTED_VALUE"""),1)</f>
        <v>1</v>
      </c>
    </row>
    <row r="2446" spans="1:6" ht="15" customHeight="1" x14ac:dyDescent="0.2">
      <c r="A2446" s="5" t="str">
        <f ca="1">IFERROR(__xludf.DUMMYFUNCTION("""COMPUTED_VALUE"""),"TD3")</f>
        <v>TD3</v>
      </c>
      <c r="B2446" s="5" t="str">
        <f ca="1">IFERROR(__xludf.DUMMYFUNCTION("""COMPUTED_VALUE"""),"TAIWAN DANCER")</f>
        <v>TAIWAN DANCER</v>
      </c>
      <c r="C2446" s="5" t="str">
        <f ca="1">IFERROR(__xludf.DUMMYFUNCTION("""COMPUTED_VALUE"""),"TD-3 Alluvion Legend")</f>
        <v>TD-3 Alluvion Legend</v>
      </c>
      <c r="D2446" s="5" t="str">
        <f ca="1">IFERROR(__xludf.DUMMYFUNCTION("""COMPUTED_VALUE"""),"LandPlane")</f>
        <v>LandPlane</v>
      </c>
      <c r="E2446" s="5" t="str">
        <f ca="1">IFERROR(__xludf.DUMMYFUNCTION("""COMPUTED_VALUE"""),"Piston")</f>
        <v>Piston</v>
      </c>
      <c r="F2446" s="5">
        <f ca="1">IFERROR(__xludf.DUMMYFUNCTION("""COMPUTED_VALUE"""),1)</f>
        <v>1</v>
      </c>
    </row>
    <row r="2447" spans="1:6" ht="15" customHeight="1" x14ac:dyDescent="0.2">
      <c r="A2447" s="5" t="str">
        <f ca="1">IFERROR(__xludf.DUMMYFUNCTION("""COMPUTED_VALUE"""),"TD3")</f>
        <v>TD3</v>
      </c>
      <c r="B2447" s="5" t="str">
        <f ca="1">IFERROR(__xludf.DUMMYFUNCTION("""COMPUTED_VALUE"""),"TAIWAN DANCER")</f>
        <v>TAIWAN DANCER</v>
      </c>
      <c r="C2447" s="5" t="str">
        <f ca="1">IFERROR(__xludf.DUMMYFUNCTION("""COMPUTED_VALUE"""),"Alluvion Legend")</f>
        <v>Alluvion Legend</v>
      </c>
      <c r="D2447" s="5" t="str">
        <f ca="1">IFERROR(__xludf.DUMMYFUNCTION("""COMPUTED_VALUE"""),"LandPlane")</f>
        <v>LandPlane</v>
      </c>
      <c r="E2447" s="5" t="str">
        <f ca="1">IFERROR(__xludf.DUMMYFUNCTION("""COMPUTED_VALUE"""),"Piston")</f>
        <v>Piston</v>
      </c>
      <c r="F2447" s="5">
        <f ca="1">IFERROR(__xludf.DUMMYFUNCTION("""COMPUTED_VALUE"""),1)</f>
        <v>1</v>
      </c>
    </row>
    <row r="2448" spans="1:6" ht="15" customHeight="1" x14ac:dyDescent="0.2">
      <c r="A2448" s="5" t="str">
        <f ca="1">IFERROR(__xludf.DUMMYFUNCTION("""COMPUTED_VALUE"""),"TEAL")</f>
        <v>TEAL</v>
      </c>
      <c r="B2448" s="5" t="str">
        <f ca="1">IFERROR(__xludf.DUMMYFUNCTION("""COMPUTED_VALUE"""),"THURSTON")</f>
        <v>THURSTON</v>
      </c>
      <c r="C2448" s="5" t="str">
        <f ca="1">IFERROR(__xludf.DUMMYFUNCTION("""COMPUTED_VALUE"""),"TSC-1 Teal")</f>
        <v>TSC-1 Teal</v>
      </c>
      <c r="D2448" s="5" t="str">
        <f ca="1">IFERROR(__xludf.DUMMYFUNCTION("""COMPUTED_VALUE"""),"Amphibian")</f>
        <v>Amphibian</v>
      </c>
      <c r="E2448" s="5" t="str">
        <f ca="1">IFERROR(__xludf.DUMMYFUNCTION("""COMPUTED_VALUE"""),"Piston")</f>
        <v>Piston</v>
      </c>
      <c r="F2448" s="5">
        <f ca="1">IFERROR(__xludf.DUMMYFUNCTION("""COMPUTED_VALUE"""),1)</f>
        <v>1</v>
      </c>
    </row>
    <row r="2449" spans="1:6" ht="15" customHeight="1" x14ac:dyDescent="0.2">
      <c r="A2449" s="5" t="str">
        <f ca="1">IFERROR(__xludf.DUMMYFUNCTION("""COMPUTED_VALUE"""),"TERM")</f>
        <v>TERM</v>
      </c>
      <c r="B2449" s="5" t="str">
        <f ca="1">IFERROR(__xludf.DUMMYFUNCTION("""COMPUTED_VALUE"""),"SMITH (2)")</f>
        <v>SMITH (2)</v>
      </c>
      <c r="C2449" s="5" t="str">
        <f ca="1">IFERROR(__xludf.DUMMYFUNCTION("""COMPUTED_VALUE"""),"Termite")</f>
        <v>Termite</v>
      </c>
      <c r="D2449" s="5" t="str">
        <f ca="1">IFERROR(__xludf.DUMMYFUNCTION("""COMPUTED_VALUE"""),"LandPlane")</f>
        <v>LandPlane</v>
      </c>
      <c r="E2449" s="5" t="str">
        <f ca="1">IFERROR(__xludf.DUMMYFUNCTION("""COMPUTED_VALUE"""),"Piston")</f>
        <v>Piston</v>
      </c>
      <c r="F2449" s="5">
        <f ca="1">IFERROR(__xludf.DUMMYFUNCTION("""COMPUTED_VALUE"""),1)</f>
        <v>1</v>
      </c>
    </row>
    <row r="2450" spans="1:6" ht="15" customHeight="1" x14ac:dyDescent="0.2">
      <c r="A2450" s="5" t="str">
        <f ca="1">IFERROR(__xludf.DUMMYFUNCTION("""COMPUTED_VALUE"""),"TERR")</f>
        <v>TERR</v>
      </c>
      <c r="B2450" s="5" t="str">
        <f ca="1">IFERROR(__xludf.DUMMYFUNCTION("""COMPUTED_VALUE"""),"FOXCON")</f>
        <v>FOXCON</v>
      </c>
      <c r="C2450" s="5" t="str">
        <f ca="1">IFERROR(__xludf.DUMMYFUNCTION("""COMPUTED_VALUE"""),"Terrier")</f>
        <v>Terrier</v>
      </c>
      <c r="D2450" s="5" t="str">
        <f ca="1">IFERROR(__xludf.DUMMYFUNCTION("""COMPUTED_VALUE"""),"LandPlane")</f>
        <v>LandPlane</v>
      </c>
      <c r="E2450" s="5" t="str">
        <f ca="1">IFERROR(__xludf.DUMMYFUNCTION("""COMPUTED_VALUE"""),"Piston")</f>
        <v>Piston</v>
      </c>
      <c r="F2450" s="5">
        <f ca="1">IFERROR(__xludf.DUMMYFUNCTION("""COMPUTED_VALUE"""),1)</f>
        <v>1</v>
      </c>
    </row>
    <row r="2451" spans="1:6" ht="15" customHeight="1" x14ac:dyDescent="0.2">
      <c r="A2451" s="5" t="str">
        <f ca="1">IFERROR(__xludf.DUMMYFUNCTION("""COMPUTED_VALUE"""),"TEX2")</f>
        <v>TEX2</v>
      </c>
      <c r="B2451" s="5" t="str">
        <f ca="1">IFERROR(__xludf.DUMMYFUNCTION("""COMPUTED_VALUE"""),"BEECHCRAFT")</f>
        <v>BEECHCRAFT</v>
      </c>
      <c r="C2451" s="5" t="str">
        <f ca="1">IFERROR(__xludf.DUMMYFUNCTION("""COMPUTED_VALUE"""),"T-6 Texan 2")</f>
        <v>T-6 Texan 2</v>
      </c>
      <c r="D2451" s="5" t="str">
        <f ca="1">IFERROR(__xludf.DUMMYFUNCTION("""COMPUTED_VALUE"""),"LandPlane")</f>
        <v>LandPlane</v>
      </c>
      <c r="E2451" s="5" t="str">
        <f ca="1">IFERROR(__xludf.DUMMYFUNCTION("""COMPUTED_VALUE"""),"Turboprop/Turboshaft")</f>
        <v>Turboprop/Turboshaft</v>
      </c>
      <c r="F2451" s="5">
        <f ca="1">IFERROR(__xludf.DUMMYFUNCTION("""COMPUTED_VALUE"""),1)</f>
        <v>1</v>
      </c>
    </row>
    <row r="2452" spans="1:6" ht="15" customHeight="1" x14ac:dyDescent="0.2">
      <c r="A2452" s="5" t="str">
        <f ca="1">IFERROR(__xludf.DUMMYFUNCTION("""COMPUTED_VALUE"""),"TEXA")</f>
        <v>TEXA</v>
      </c>
      <c r="B2452" s="5" t="str">
        <f ca="1">IFERROR(__xludf.DUMMYFUNCTION("""COMPUTED_VALUE"""),"FLY SYNTHESIS")</f>
        <v>FLY SYNTHESIS</v>
      </c>
      <c r="C2452" s="5" t="str">
        <f ca="1">IFERROR(__xludf.DUMMYFUNCTION("""COMPUTED_VALUE"""),"Texan")</f>
        <v>Texan</v>
      </c>
      <c r="D2452" s="5" t="str">
        <f ca="1">IFERROR(__xludf.DUMMYFUNCTION("""COMPUTED_VALUE"""),"LandPlane")</f>
        <v>LandPlane</v>
      </c>
      <c r="E2452" s="5" t="str">
        <f ca="1">IFERROR(__xludf.DUMMYFUNCTION("""COMPUTED_VALUE"""),"Piston")</f>
        <v>Piston</v>
      </c>
      <c r="F2452" s="5">
        <f ca="1">IFERROR(__xludf.DUMMYFUNCTION("""COMPUTED_VALUE"""),1)</f>
        <v>1</v>
      </c>
    </row>
    <row r="2453" spans="1:6" ht="15" customHeight="1" x14ac:dyDescent="0.2">
      <c r="A2453" s="5" t="str">
        <f ca="1">IFERROR(__xludf.DUMMYFUNCTION("""COMPUTED_VALUE"""),"TF19")</f>
        <v>TF19</v>
      </c>
      <c r="B2453" s="5" t="str">
        <f ca="1">IFERROR(__xludf.DUMMYFUNCTION("""COMPUTED_VALUE"""),"TAYLORCRAFT (1)")</f>
        <v>TAYLORCRAFT (1)</v>
      </c>
      <c r="C2453" s="5" t="str">
        <f ca="1">IFERROR(__xludf.DUMMYFUNCTION("""COMPUTED_VALUE"""),"F-19 Sportsman")</f>
        <v>F-19 Sportsman</v>
      </c>
      <c r="D2453" s="5" t="str">
        <f ca="1">IFERROR(__xludf.DUMMYFUNCTION("""COMPUTED_VALUE"""),"LandPlane")</f>
        <v>LandPlane</v>
      </c>
      <c r="E2453" s="5" t="str">
        <f ca="1">IFERROR(__xludf.DUMMYFUNCTION("""COMPUTED_VALUE"""),"Piston")</f>
        <v>Piston</v>
      </c>
      <c r="F2453" s="5">
        <f ca="1">IFERROR(__xludf.DUMMYFUNCTION("""COMPUTED_VALUE"""),1)</f>
        <v>1</v>
      </c>
    </row>
    <row r="2454" spans="1:6" ht="15" customHeight="1" x14ac:dyDescent="0.2">
      <c r="A2454" s="5" t="str">
        <f ca="1">IFERROR(__xludf.DUMMYFUNCTION("""COMPUTED_VALUE"""),"TF21")</f>
        <v>TF21</v>
      </c>
      <c r="B2454" s="5" t="str">
        <f ca="1">IFERROR(__xludf.DUMMYFUNCTION("""COMPUTED_VALUE"""),"TAYLORCRAFT (1)")</f>
        <v>TAYLORCRAFT (1)</v>
      </c>
      <c r="C2454" s="5" t="str">
        <f ca="1">IFERROR(__xludf.DUMMYFUNCTION("""COMPUTED_VALUE"""),"F-21")</f>
        <v>F-21</v>
      </c>
      <c r="D2454" s="5" t="str">
        <f ca="1">IFERROR(__xludf.DUMMYFUNCTION("""COMPUTED_VALUE"""),"LandPlane")</f>
        <v>LandPlane</v>
      </c>
      <c r="E2454" s="5" t="str">
        <f ca="1">IFERROR(__xludf.DUMMYFUNCTION("""COMPUTED_VALUE"""),"Piston")</f>
        <v>Piston</v>
      </c>
      <c r="F2454" s="5">
        <f ca="1">IFERROR(__xludf.DUMMYFUNCTION("""COMPUTED_VALUE"""),1)</f>
        <v>1</v>
      </c>
    </row>
    <row r="2455" spans="1:6" ht="15" customHeight="1" x14ac:dyDescent="0.2">
      <c r="A2455" s="5" t="str">
        <f ca="1">IFERROR(__xludf.DUMMYFUNCTION("""COMPUTED_VALUE"""),"TF22")</f>
        <v>TF22</v>
      </c>
      <c r="B2455" s="5" t="str">
        <f ca="1">IFERROR(__xludf.DUMMYFUNCTION("""COMPUTED_VALUE"""),"TAYLORCRAFT (1)")</f>
        <v>TAYLORCRAFT (1)</v>
      </c>
      <c r="C2455" s="5" t="str">
        <f ca="1">IFERROR(__xludf.DUMMYFUNCTION("""COMPUTED_VALUE"""),"F-22 Tri-Classic")</f>
        <v>F-22 Tri-Classic</v>
      </c>
      <c r="D2455" s="5" t="str">
        <f ca="1">IFERROR(__xludf.DUMMYFUNCTION("""COMPUTED_VALUE"""),"LandPlane")</f>
        <v>LandPlane</v>
      </c>
      <c r="E2455" s="5" t="str">
        <f ca="1">IFERROR(__xludf.DUMMYFUNCTION("""COMPUTED_VALUE"""),"Piston")</f>
        <v>Piston</v>
      </c>
      <c r="F2455" s="5">
        <f ca="1">IFERROR(__xludf.DUMMYFUNCTION("""COMPUTED_VALUE"""),1)</f>
        <v>1</v>
      </c>
    </row>
    <row r="2456" spans="1:6" ht="15" customHeight="1" x14ac:dyDescent="0.2">
      <c r="A2456" s="5" t="str">
        <f ca="1">IFERROR(__xludf.DUMMYFUNCTION("""COMPUTED_VALUE"""),"TFK2")</f>
        <v>TFK2</v>
      </c>
      <c r="B2456" s="5" t="str">
        <f ca="1">IFERROR(__xludf.DUMMYFUNCTION("""COMPUTED_VALUE"""),"TECHNOFLUG")</f>
        <v>TECHNOFLUG</v>
      </c>
      <c r="C2456" s="5" t="str">
        <f ca="1">IFERROR(__xludf.DUMMYFUNCTION("""COMPUTED_VALUE"""),"TFK-2 Carat")</f>
        <v>TFK-2 Carat</v>
      </c>
      <c r="D2456" s="5" t="str">
        <f ca="1">IFERROR(__xludf.DUMMYFUNCTION("""COMPUTED_VALUE"""),"LandPlane")</f>
        <v>LandPlane</v>
      </c>
      <c r="E2456" s="5" t="str">
        <f ca="1">IFERROR(__xludf.DUMMYFUNCTION("""COMPUTED_VALUE"""),"Piston")</f>
        <v>Piston</v>
      </c>
      <c r="F2456" s="5">
        <f ca="1">IFERROR(__xludf.DUMMYFUNCTION("""COMPUTED_VALUE"""),1)</f>
        <v>1</v>
      </c>
    </row>
    <row r="2457" spans="1:6" ht="15" customHeight="1" x14ac:dyDescent="0.2">
      <c r="A2457" s="5" t="str">
        <f ca="1">IFERROR(__xludf.DUMMYFUNCTION("""COMPUTED_VALUE"""),"TFOC")</f>
        <v>TFOC</v>
      </c>
      <c r="B2457" s="5" t="str">
        <f ca="1">IFERROR(__xludf.DUMMYFUNCTION("""COMPUTED_VALUE"""),"THUNDER WINGS")</f>
        <v>THUNDER WINGS</v>
      </c>
      <c r="C2457" s="5" t="str">
        <f ca="1">IFERROR(__xludf.DUMMYFUNCTION("""COMPUTED_VALUE"""),"Focke-Wulf Fw-190")</f>
        <v>Focke-Wulf Fw-190</v>
      </c>
      <c r="D2457" s="5" t="str">
        <f ca="1">IFERROR(__xludf.DUMMYFUNCTION("""COMPUTED_VALUE"""),"LandPlane")</f>
        <v>LandPlane</v>
      </c>
      <c r="E2457" s="5" t="str">
        <f ca="1">IFERROR(__xludf.DUMMYFUNCTION("""COMPUTED_VALUE"""),"Piston")</f>
        <v>Piston</v>
      </c>
      <c r="F2457" s="5">
        <f ca="1">IFERROR(__xludf.DUMMYFUNCTION("""COMPUTED_VALUE"""),1)</f>
        <v>1</v>
      </c>
    </row>
    <row r="2458" spans="1:6" ht="15" customHeight="1" x14ac:dyDescent="0.2">
      <c r="A2458" s="5" t="str">
        <f ca="1">IFERROR(__xludf.DUMMYFUNCTION("""COMPUTED_VALUE"""),"TFUN")</f>
        <v>TFUN</v>
      </c>
      <c r="B2458" s="5" t="str">
        <f ca="1">IFERROR(__xludf.DUMMYFUNCTION("""COMPUTED_VALUE"""),"VALENTIN")</f>
        <v>VALENTIN</v>
      </c>
      <c r="C2458" s="5" t="str">
        <f ca="1">IFERROR(__xludf.DUMMYFUNCTION("""COMPUTED_VALUE"""),"Taifun")</f>
        <v>Taifun</v>
      </c>
      <c r="D2458" s="5" t="str">
        <f ca="1">IFERROR(__xludf.DUMMYFUNCTION("""COMPUTED_VALUE"""),"LandPlane")</f>
        <v>LandPlane</v>
      </c>
      <c r="E2458" s="5" t="str">
        <f ca="1">IFERROR(__xludf.DUMMYFUNCTION("""COMPUTED_VALUE"""),"Piston")</f>
        <v>Piston</v>
      </c>
      <c r="F2458" s="5">
        <f ca="1">IFERROR(__xludf.DUMMYFUNCTION("""COMPUTED_VALUE"""),1)</f>
        <v>1</v>
      </c>
    </row>
    <row r="2459" spans="1:6" ht="15" customHeight="1" x14ac:dyDescent="0.2">
      <c r="A2459" s="5" t="str">
        <f ca="1">IFERROR(__xludf.DUMMYFUNCTION("""COMPUTED_VALUE"""),"TGRS")</f>
        <v>TGRS</v>
      </c>
      <c r="B2459" s="5" t="str">
        <f ca="1">IFERROR(__xludf.DUMMYFUNCTION("""COMPUTED_VALUE"""),"LANCAIR")</f>
        <v>LANCAIR</v>
      </c>
      <c r="C2459" s="5" t="str">
        <f ca="1">IFERROR(__xludf.DUMMYFUNCTION("""COMPUTED_VALUE"""),"Tigress")</f>
        <v>Tigress</v>
      </c>
      <c r="D2459" s="5" t="str">
        <f ca="1">IFERROR(__xludf.DUMMYFUNCTION("""COMPUTED_VALUE"""),"LandPlane")</f>
        <v>LandPlane</v>
      </c>
      <c r="E2459" s="5" t="str">
        <f ca="1">IFERROR(__xludf.DUMMYFUNCTION("""COMPUTED_VALUE"""),"Piston")</f>
        <v>Piston</v>
      </c>
      <c r="F2459" s="5">
        <f ca="1">IFERROR(__xludf.DUMMYFUNCTION("""COMPUTED_VALUE"""),1)</f>
        <v>1</v>
      </c>
    </row>
    <row r="2460" spans="1:6" ht="15" customHeight="1" x14ac:dyDescent="0.2">
      <c r="A2460" s="5" t="str">
        <f ca="1">IFERROR(__xludf.DUMMYFUNCTION("""COMPUTED_VALUE"""),"TIAD")</f>
        <v>TIAD</v>
      </c>
      <c r="B2460" s="5" t="str">
        <f ca="1">IFERROR(__xludf.DUMMYFUNCTION("""COMPUTED_VALUE"""),"TRIKE ICAROS")</f>
        <v>TRIKE ICAROS</v>
      </c>
      <c r="C2460" s="5" t="str">
        <f ca="1">IFERROR(__xludf.DUMMYFUNCTION("""COMPUTED_VALUE"""),"Adventure")</f>
        <v>Adventure</v>
      </c>
      <c r="D2460" s="5" t="str">
        <f ca="1">IFERROR(__xludf.DUMMYFUNCTION("""COMPUTED_VALUE"""),"LandPlane")</f>
        <v>LandPlane</v>
      </c>
      <c r="E2460" s="5" t="str">
        <f ca="1">IFERROR(__xludf.DUMMYFUNCTION("""COMPUTED_VALUE"""),"Piston")</f>
        <v>Piston</v>
      </c>
      <c r="F2460" s="5">
        <f ca="1">IFERROR(__xludf.DUMMYFUNCTION("""COMPUTED_VALUE"""),1)</f>
        <v>1</v>
      </c>
    </row>
    <row r="2461" spans="1:6" ht="15" customHeight="1" x14ac:dyDescent="0.2">
      <c r="A2461" s="5" t="str">
        <f ca="1">IFERROR(__xludf.DUMMYFUNCTION("""COMPUTED_VALUE"""),"TIGR")</f>
        <v>TIGR</v>
      </c>
      <c r="B2461" s="5" t="str">
        <f ca="1">IFERROR(__xludf.DUMMYFUNCTION("""COMPUTED_VALUE"""),"EUROCOPTER")</f>
        <v>EUROCOPTER</v>
      </c>
      <c r="C2461" s="5" t="str">
        <f ca="1">IFERROR(__xludf.DUMMYFUNCTION("""COMPUTED_VALUE"""),"EC-665 Tigre")</f>
        <v>EC-665 Tigre</v>
      </c>
      <c r="D2461" s="5" t="str">
        <f ca="1">IFERROR(__xludf.DUMMYFUNCTION("""COMPUTED_VALUE"""),"Helicopter")</f>
        <v>Helicopter</v>
      </c>
      <c r="E2461" s="5" t="str">
        <f ca="1">IFERROR(__xludf.DUMMYFUNCTION("""COMPUTED_VALUE"""),"Turboprop/Turboshaft")</f>
        <v>Turboprop/Turboshaft</v>
      </c>
      <c r="F2461" s="5">
        <f ca="1">IFERROR(__xludf.DUMMYFUNCTION("""COMPUTED_VALUE"""),2)</f>
        <v>2</v>
      </c>
    </row>
    <row r="2462" spans="1:6" ht="15" customHeight="1" x14ac:dyDescent="0.2">
      <c r="A2462" s="5" t="str">
        <f ca="1">IFERROR(__xludf.DUMMYFUNCTION("""COMPUTED_VALUE"""),"TIJU")</f>
        <v>TIJU</v>
      </c>
      <c r="B2462" s="5" t="str">
        <f ca="1">IFERROR(__xludf.DUMMYFUNCTION("""COMPUTED_VALUE"""),"TIPSY")</f>
        <v>TIPSY</v>
      </c>
      <c r="C2462" s="5" t="str">
        <f ca="1">IFERROR(__xludf.DUMMYFUNCTION("""COMPUTED_VALUE"""),"Junior")</f>
        <v>Junior</v>
      </c>
      <c r="D2462" s="5" t="str">
        <f ca="1">IFERROR(__xludf.DUMMYFUNCTION("""COMPUTED_VALUE"""),"LandPlane")</f>
        <v>LandPlane</v>
      </c>
      <c r="E2462" s="5" t="str">
        <f ca="1">IFERROR(__xludf.DUMMYFUNCTION("""COMPUTED_VALUE"""),"Piston")</f>
        <v>Piston</v>
      </c>
      <c r="F2462" s="5">
        <f ca="1">IFERROR(__xludf.DUMMYFUNCTION("""COMPUTED_VALUE"""),1)</f>
        <v>1</v>
      </c>
    </row>
    <row r="2463" spans="1:6" ht="15" customHeight="1" x14ac:dyDescent="0.2">
      <c r="A2463" s="5" t="str">
        <f ca="1">IFERROR(__xludf.DUMMYFUNCTION("""COMPUTED_VALUE"""),"TIPB")</f>
        <v>TIPB</v>
      </c>
      <c r="B2463" s="5" t="str">
        <f ca="1">IFERROR(__xludf.DUMMYFUNCTION("""COMPUTED_VALUE"""),"TIPSY")</f>
        <v>TIPSY</v>
      </c>
      <c r="C2463" s="5" t="str">
        <f ca="1">IFERROR(__xludf.DUMMYFUNCTION("""COMPUTED_VALUE"""),"B")</f>
        <v>B</v>
      </c>
      <c r="D2463" s="5" t="str">
        <f ca="1">IFERROR(__xludf.DUMMYFUNCTION("""COMPUTED_VALUE"""),"LandPlane")</f>
        <v>LandPlane</v>
      </c>
      <c r="E2463" s="5" t="str">
        <f ca="1">IFERROR(__xludf.DUMMYFUNCTION("""COMPUTED_VALUE"""),"Piston")</f>
        <v>Piston</v>
      </c>
      <c r="F2463" s="5">
        <f ca="1">IFERROR(__xludf.DUMMYFUNCTION("""COMPUTED_VALUE"""),1)</f>
        <v>1</v>
      </c>
    </row>
    <row r="2464" spans="1:6" ht="15" customHeight="1" x14ac:dyDescent="0.2">
      <c r="A2464" s="5" t="str">
        <f ca="1">IFERROR(__xludf.DUMMYFUNCTION("""COMPUTED_VALUE"""),"TJET")</f>
        <v>TJET</v>
      </c>
      <c r="B2464" s="5" t="str">
        <f ca="1">IFERROR(__xludf.DUMMYFUNCTION("""COMPUTED_VALUE"""),"MAVERICK")</f>
        <v>MAVERICK</v>
      </c>
      <c r="C2464" s="5" t="str">
        <f ca="1">IFERROR(__xludf.DUMMYFUNCTION("""COMPUTED_VALUE"""),"TJ-1500 TwinJet")</f>
        <v>TJ-1500 TwinJet</v>
      </c>
      <c r="D2464" s="5" t="str">
        <f ca="1">IFERROR(__xludf.DUMMYFUNCTION("""COMPUTED_VALUE"""),"LandPlane")</f>
        <v>LandPlane</v>
      </c>
      <c r="E2464" s="5" t="str">
        <f ca="1">IFERROR(__xludf.DUMMYFUNCTION("""COMPUTED_VALUE"""),"Jet")</f>
        <v>Jet</v>
      </c>
      <c r="F2464" s="5">
        <f ca="1">IFERROR(__xludf.DUMMYFUNCTION("""COMPUTED_VALUE"""),2)</f>
        <v>2</v>
      </c>
    </row>
    <row r="2465" spans="1:6" ht="15" customHeight="1" x14ac:dyDescent="0.2">
      <c r="A2465" s="5" t="str">
        <f ca="1">IFERROR(__xludf.DUMMYFUNCTION("""COMPUTED_VALUE"""),"TL20")</f>
        <v>TL20</v>
      </c>
      <c r="B2465" s="5" t="str">
        <f ca="1">IFERROR(__xludf.DUMMYFUNCTION("""COMPUTED_VALUE"""),"TL ULTRALIGHT")</f>
        <v>TL ULTRALIGHT</v>
      </c>
      <c r="C2465" s="5" t="str">
        <f ca="1">IFERROR(__xludf.DUMMYFUNCTION("""COMPUTED_VALUE"""),"TL-2000  Sting")</f>
        <v>TL-2000  Sting</v>
      </c>
      <c r="D2465" s="5" t="str">
        <f ca="1">IFERROR(__xludf.DUMMYFUNCTION("""COMPUTED_VALUE"""),"LandPlane")</f>
        <v>LandPlane</v>
      </c>
      <c r="E2465" s="5" t="str">
        <f ca="1">IFERROR(__xludf.DUMMYFUNCTION("""COMPUTED_VALUE"""),"Piston")</f>
        <v>Piston</v>
      </c>
      <c r="F2465" s="5">
        <f ca="1">IFERROR(__xludf.DUMMYFUNCTION("""COMPUTED_VALUE"""),1)</f>
        <v>1</v>
      </c>
    </row>
    <row r="2466" spans="1:6" ht="15" customHeight="1" x14ac:dyDescent="0.2">
      <c r="A2466" s="5" t="str">
        <f ca="1">IFERROR(__xludf.DUMMYFUNCTION("""COMPUTED_VALUE"""),"TL30")</f>
        <v>TL30</v>
      </c>
      <c r="B2466" s="5" t="str">
        <f ca="1">IFERROR(__xludf.DUMMYFUNCTION("""COMPUTED_VALUE"""),"TL ULTRALIGHT")</f>
        <v>TL ULTRALIGHT</v>
      </c>
      <c r="C2466" s="5" t="str">
        <f ca="1">IFERROR(__xludf.DUMMYFUNCTION("""COMPUTED_VALUE"""),"TL-3000 Sirius")</f>
        <v>TL-3000 Sirius</v>
      </c>
      <c r="D2466" s="5" t="str">
        <f ca="1">IFERROR(__xludf.DUMMYFUNCTION("""COMPUTED_VALUE"""),"LandPlane")</f>
        <v>LandPlane</v>
      </c>
      <c r="E2466" s="5" t="str">
        <f ca="1">IFERROR(__xludf.DUMMYFUNCTION("""COMPUTED_VALUE"""),"Piston")</f>
        <v>Piston</v>
      </c>
      <c r="F2466" s="5">
        <f ca="1">IFERROR(__xludf.DUMMYFUNCTION("""COMPUTED_VALUE"""),1)</f>
        <v>1</v>
      </c>
    </row>
    <row r="2467" spans="1:6" ht="15" customHeight="1" x14ac:dyDescent="0.2">
      <c r="A2467" s="5" t="str">
        <f ca="1">IFERROR(__xludf.DUMMYFUNCTION("""COMPUTED_VALUE"""),"TLEG")</f>
        <v>TLEG</v>
      </c>
      <c r="B2467" s="5" t="str">
        <f ca="1">IFERROR(__xludf.DUMMYFUNCTION("""COMPUTED_VALUE"""),"PERFORMANCE")</f>
        <v>PERFORMANCE</v>
      </c>
      <c r="C2467" s="5" t="str">
        <f ca="1">IFERROR(__xludf.DUMMYFUNCTION("""COMPUTED_VALUE"""),"Turbine Legend")</f>
        <v>Turbine Legend</v>
      </c>
      <c r="D2467" s="5" t="str">
        <f ca="1">IFERROR(__xludf.DUMMYFUNCTION("""COMPUTED_VALUE"""),"LandPlane")</f>
        <v>LandPlane</v>
      </c>
      <c r="E2467" s="5" t="str">
        <f ca="1">IFERROR(__xludf.DUMMYFUNCTION("""COMPUTED_VALUE"""),"Turboprop/Turboshaft")</f>
        <v>Turboprop/Turboshaft</v>
      </c>
      <c r="F2467" s="5">
        <f ca="1">IFERROR(__xludf.DUMMYFUNCTION("""COMPUTED_VALUE"""),1)</f>
        <v>1</v>
      </c>
    </row>
    <row r="2468" spans="1:6" ht="15" customHeight="1" x14ac:dyDescent="0.2">
      <c r="A2468" s="5" t="str">
        <f ca="1">IFERROR(__xludf.DUMMYFUNCTION("""COMPUTED_VALUE"""),"TM5")</f>
        <v>TM5</v>
      </c>
      <c r="B2468" s="5" t="str">
        <f ca="1">IFERROR(__xludf.DUMMYFUNCTION("""COMPUTED_VALUE"""),"TM AIRCRAFT")</f>
        <v>TM AIRCRAFT</v>
      </c>
      <c r="C2468" s="5" t="str">
        <f ca="1">IFERROR(__xludf.DUMMYFUNCTION("""COMPUTED_VALUE"""),"TM-5")</f>
        <v>TM-5</v>
      </c>
      <c r="D2468" s="5" t="str">
        <f ca="1">IFERROR(__xludf.DUMMYFUNCTION("""COMPUTED_VALUE"""),"LandPlane")</f>
        <v>LandPlane</v>
      </c>
      <c r="E2468" s="5" t="str">
        <f ca="1">IFERROR(__xludf.DUMMYFUNCTION("""COMPUTED_VALUE"""),"Piston")</f>
        <v>Piston</v>
      </c>
      <c r="F2468" s="5">
        <f ca="1">IFERROR(__xludf.DUMMYFUNCTION("""COMPUTED_VALUE"""),1)</f>
        <v>1</v>
      </c>
    </row>
    <row r="2469" spans="1:6" ht="15" customHeight="1" x14ac:dyDescent="0.2">
      <c r="A2469" s="5" t="str">
        <f ca="1">IFERROR(__xludf.DUMMYFUNCTION("""COMPUTED_VALUE"""),"TMOT")</f>
        <v>TMOT</v>
      </c>
      <c r="B2469" s="5" t="str">
        <f ca="1">IFERROR(__xludf.DUMMYFUNCTION("""COMPUTED_VALUE"""),"FISHER")</f>
        <v>FISHER</v>
      </c>
      <c r="C2469" s="5" t="str">
        <f ca="1">IFERROR(__xludf.DUMMYFUNCTION("""COMPUTED_VALUE"""),"R-80 Tiger Moth")</f>
        <v>R-80 Tiger Moth</v>
      </c>
      <c r="D2469" s="5" t="str">
        <f ca="1">IFERROR(__xludf.DUMMYFUNCTION("""COMPUTED_VALUE"""),"LandPlane")</f>
        <v>LandPlane</v>
      </c>
      <c r="E2469" s="5" t="str">
        <f ca="1">IFERROR(__xludf.DUMMYFUNCTION("""COMPUTED_VALUE"""),"Piston")</f>
        <v>Piston</v>
      </c>
      <c r="F2469" s="5">
        <f ca="1">IFERROR(__xludf.DUMMYFUNCTION("""COMPUTED_VALUE"""),1)</f>
        <v>1</v>
      </c>
    </row>
    <row r="2470" spans="1:6" ht="15" customHeight="1" x14ac:dyDescent="0.2">
      <c r="A2470" s="5" t="str">
        <f ca="1">IFERROR(__xludf.DUMMYFUNCTION("""COMPUTED_VALUE"""),"TMUS")</f>
        <v>TMUS</v>
      </c>
      <c r="B2470" s="5" t="str">
        <f ca="1">IFERROR(__xludf.DUMMYFUNCTION("""COMPUTED_VALUE"""),"PAPA 51")</f>
        <v>PAPA 51</v>
      </c>
      <c r="C2470" s="5" t="str">
        <f ca="1">IFERROR(__xludf.DUMMYFUNCTION("""COMPUTED_VALUE"""),"Thunder Mustang")</f>
        <v>Thunder Mustang</v>
      </c>
      <c r="D2470" s="5" t="str">
        <f ca="1">IFERROR(__xludf.DUMMYFUNCTION("""COMPUTED_VALUE"""),"LandPlane")</f>
        <v>LandPlane</v>
      </c>
      <c r="E2470" s="5" t="str">
        <f ca="1">IFERROR(__xludf.DUMMYFUNCTION("""COMPUTED_VALUE"""),"Piston")</f>
        <v>Piston</v>
      </c>
      <c r="F2470" s="5">
        <f ca="1">IFERROR(__xludf.DUMMYFUNCTION("""COMPUTED_VALUE"""),1)</f>
        <v>1</v>
      </c>
    </row>
    <row r="2471" spans="1:6" ht="15" customHeight="1" x14ac:dyDescent="0.2">
      <c r="A2471" s="5" t="str">
        <f ca="1">IFERROR(__xludf.DUMMYFUNCTION("""COMPUTED_VALUE"""),"TNAV")</f>
        <v>TNAV</v>
      </c>
      <c r="B2471" s="5" t="str">
        <f ca="1">IFERROR(__xludf.DUMMYFUNCTION("""COMPUTED_VALUE"""),"CAMAIR")</f>
        <v>CAMAIR</v>
      </c>
      <c r="C2471" s="5" t="str">
        <f ca="1">IFERROR(__xludf.DUMMYFUNCTION("""COMPUTED_VALUE"""),"480 Twin Navion")</f>
        <v>480 Twin Navion</v>
      </c>
      <c r="D2471" s="5" t="str">
        <f ca="1">IFERROR(__xludf.DUMMYFUNCTION("""COMPUTED_VALUE"""),"LandPlane")</f>
        <v>LandPlane</v>
      </c>
      <c r="E2471" s="5" t="str">
        <f ca="1">IFERROR(__xludf.DUMMYFUNCTION("""COMPUTED_VALUE"""),"Piston")</f>
        <v>Piston</v>
      </c>
      <c r="F2471" s="5">
        <f ca="1">IFERROR(__xludf.DUMMYFUNCTION("""COMPUTED_VALUE"""),2)</f>
        <v>2</v>
      </c>
    </row>
    <row r="2472" spans="1:6" ht="15" customHeight="1" x14ac:dyDescent="0.2">
      <c r="A2472" s="5" t="str">
        <f ca="1">IFERROR(__xludf.DUMMYFUNCTION("""COMPUTED_VALUE"""),"TNDR")</f>
        <v>TNDR</v>
      </c>
      <c r="B2472" s="5" t="str">
        <f ca="1">IFERROR(__xludf.DUMMYFUNCTION("""COMPUTED_VALUE"""),"DREAM")</f>
        <v>DREAM</v>
      </c>
      <c r="C2472" s="5" t="str">
        <f ca="1">IFERROR(__xludf.DUMMYFUNCTION("""COMPUTED_VALUE"""),"Tundra")</f>
        <v>Tundra</v>
      </c>
      <c r="D2472" s="5" t="str">
        <f ca="1">IFERROR(__xludf.DUMMYFUNCTION("""COMPUTED_VALUE"""),"LandPlane")</f>
        <v>LandPlane</v>
      </c>
      <c r="E2472" s="5" t="str">
        <f ca="1">IFERROR(__xludf.DUMMYFUNCTION("""COMPUTED_VALUE"""),"Piston")</f>
        <v>Piston</v>
      </c>
      <c r="F2472" s="5">
        <f ca="1">IFERROR(__xludf.DUMMYFUNCTION("""COMPUTED_VALUE"""),1)</f>
        <v>1</v>
      </c>
    </row>
    <row r="2473" spans="1:6" ht="15" customHeight="1" x14ac:dyDescent="0.2">
      <c r="A2473" s="5" t="str">
        <f ca="1">IFERROR(__xludf.DUMMYFUNCTION("""COMPUTED_VALUE"""),"TOBA")</f>
        <v>TOBA</v>
      </c>
      <c r="B2473" s="5" t="str">
        <f ca="1">IFERROR(__xludf.DUMMYFUNCTION("""COMPUTED_VALUE"""),"SOCATA")</f>
        <v>SOCATA</v>
      </c>
      <c r="C2473" s="5" t="str">
        <f ca="1">IFERROR(__xludf.DUMMYFUNCTION("""COMPUTED_VALUE"""),"TB-10 Tobago")</f>
        <v>TB-10 Tobago</v>
      </c>
      <c r="D2473" s="5" t="str">
        <f ca="1">IFERROR(__xludf.DUMMYFUNCTION("""COMPUTED_VALUE"""),"LandPlane")</f>
        <v>LandPlane</v>
      </c>
      <c r="E2473" s="5" t="str">
        <f ca="1">IFERROR(__xludf.DUMMYFUNCTION("""COMPUTED_VALUE"""),"Piston")</f>
        <v>Piston</v>
      </c>
      <c r="F2473" s="5">
        <f ca="1">IFERROR(__xludf.DUMMYFUNCTION("""COMPUTED_VALUE"""),1)</f>
        <v>1</v>
      </c>
    </row>
    <row r="2474" spans="1:6" ht="15" customHeight="1" x14ac:dyDescent="0.2">
      <c r="A2474" s="5" t="str">
        <f ca="1">IFERROR(__xludf.DUMMYFUNCTION("""COMPUTED_VALUE"""),"TOOT")</f>
        <v>TOOT</v>
      </c>
      <c r="B2474" s="5" t="str">
        <f ca="1">IFERROR(__xludf.DUMMYFUNCTION("""COMPUTED_VALUE"""),"MEYER")</f>
        <v>MEYER</v>
      </c>
      <c r="C2474" s="5" t="str">
        <f ca="1">IFERROR(__xludf.DUMMYFUNCTION("""COMPUTED_VALUE"""),"Little Toot")</f>
        <v>Little Toot</v>
      </c>
      <c r="D2474" s="5" t="str">
        <f ca="1">IFERROR(__xludf.DUMMYFUNCTION("""COMPUTED_VALUE"""),"LandPlane")</f>
        <v>LandPlane</v>
      </c>
      <c r="E2474" s="5" t="str">
        <f ca="1">IFERROR(__xludf.DUMMYFUNCTION("""COMPUTED_VALUE"""),"Piston")</f>
        <v>Piston</v>
      </c>
      <c r="F2474" s="5">
        <f ca="1">IFERROR(__xludf.DUMMYFUNCTION("""COMPUTED_VALUE"""),1)</f>
        <v>1</v>
      </c>
    </row>
    <row r="2475" spans="1:6" ht="15" customHeight="1" x14ac:dyDescent="0.2">
      <c r="A2475" s="5" t="str">
        <f ca="1">IFERROR(__xludf.DUMMYFUNCTION("""COMPUTED_VALUE"""),"TOR")</f>
        <v>TOR</v>
      </c>
      <c r="B2475" s="5" t="str">
        <f ca="1">IFERROR(__xludf.DUMMYFUNCTION("""COMPUTED_VALUE"""),"PANAVIA")</f>
        <v>PANAVIA</v>
      </c>
      <c r="C2475" s="5" t="str">
        <f ca="1">IFERROR(__xludf.DUMMYFUNCTION("""COMPUTED_VALUE"""),"Tornado")</f>
        <v>Tornado</v>
      </c>
      <c r="D2475" s="5" t="str">
        <f ca="1">IFERROR(__xludf.DUMMYFUNCTION("""COMPUTED_VALUE"""),"LandPlane")</f>
        <v>LandPlane</v>
      </c>
      <c r="E2475" s="5" t="str">
        <f ca="1">IFERROR(__xludf.DUMMYFUNCTION("""COMPUTED_VALUE"""),"Jet")</f>
        <v>Jet</v>
      </c>
      <c r="F2475" s="5">
        <f ca="1">IFERROR(__xludf.DUMMYFUNCTION("""COMPUTED_VALUE"""),2)</f>
        <v>2</v>
      </c>
    </row>
    <row r="2476" spans="1:6" ht="15" customHeight="1" x14ac:dyDescent="0.2">
      <c r="A2476" s="5" t="str">
        <f ca="1">IFERROR(__xludf.DUMMYFUNCTION("""COMPUTED_VALUE"""),"TOUR")</f>
        <v>TOUR</v>
      </c>
      <c r="B2476" s="5" t="str">
        <f ca="1">IFERROR(__xludf.DUMMYFUNCTION("""COMPUTED_VALUE"""),"AESL")</f>
        <v>AESL</v>
      </c>
      <c r="C2476" s="5" t="str">
        <f ca="1">IFERROR(__xludf.DUMMYFUNCTION("""COMPUTED_VALUE"""),"Airtourer")</f>
        <v>Airtourer</v>
      </c>
      <c r="D2476" s="5" t="str">
        <f ca="1">IFERROR(__xludf.DUMMYFUNCTION("""COMPUTED_VALUE"""),"LandPlane")</f>
        <v>LandPlane</v>
      </c>
      <c r="E2476" s="5" t="str">
        <f ca="1">IFERROR(__xludf.DUMMYFUNCTION("""COMPUTED_VALUE"""),"Piston")</f>
        <v>Piston</v>
      </c>
      <c r="F2476" s="5">
        <f ca="1">IFERROR(__xludf.DUMMYFUNCTION("""COMPUTED_VALUE"""),1)</f>
        <v>1</v>
      </c>
    </row>
    <row r="2477" spans="1:6" ht="15" customHeight="1" x14ac:dyDescent="0.2">
      <c r="A2477" s="5" t="str">
        <f ca="1">IFERROR(__xludf.DUMMYFUNCTION("""COMPUTED_VALUE"""),"TOXO")</f>
        <v>TOXO</v>
      </c>
      <c r="B2477" s="5" t="str">
        <f ca="1">IFERROR(__xludf.DUMMYFUNCTION("""COMPUTED_VALUE"""),"CAG (1)")</f>
        <v>CAG (1)</v>
      </c>
      <c r="C2477" s="5" t="str">
        <f ca="1">IFERROR(__xludf.DUMMYFUNCTION("""COMPUTED_VALUE"""),"Toxo")</f>
        <v>Toxo</v>
      </c>
      <c r="D2477" s="5" t="str">
        <f ca="1">IFERROR(__xludf.DUMMYFUNCTION("""COMPUTED_VALUE"""),"LandPlane")</f>
        <v>LandPlane</v>
      </c>
      <c r="E2477" s="5" t="str">
        <f ca="1">IFERROR(__xludf.DUMMYFUNCTION("""COMPUTED_VALUE"""),"Piston")</f>
        <v>Piston</v>
      </c>
      <c r="F2477" s="5">
        <f ca="1">IFERROR(__xludf.DUMMYFUNCTION("""COMPUTED_VALUE"""),1)</f>
        <v>1</v>
      </c>
    </row>
    <row r="2478" spans="1:6" ht="15" customHeight="1" x14ac:dyDescent="0.2">
      <c r="A2478" s="5" t="str">
        <f ca="1">IFERROR(__xludf.DUMMYFUNCTION("""COMPUTED_VALUE"""),"TP40")</f>
        <v>TP40</v>
      </c>
      <c r="B2478" s="5" t="str">
        <f ca="1">IFERROR(__xludf.DUMMYFUNCTION("""COMPUTED_VALUE"""),"THUNDER WINGS")</f>
        <v>THUNDER WINGS</v>
      </c>
      <c r="C2478" s="5" t="str">
        <f ca="1">IFERROR(__xludf.DUMMYFUNCTION("""COMPUTED_VALUE"""),"Curtiss P-40")</f>
        <v>Curtiss P-40</v>
      </c>
      <c r="D2478" s="5" t="str">
        <f ca="1">IFERROR(__xludf.DUMMYFUNCTION("""COMPUTED_VALUE"""),"LandPlane")</f>
        <v>LandPlane</v>
      </c>
      <c r="E2478" s="5" t="str">
        <f ca="1">IFERROR(__xludf.DUMMYFUNCTION("""COMPUTED_VALUE"""),"Piston")</f>
        <v>Piston</v>
      </c>
      <c r="F2478" s="5">
        <f ca="1">IFERROR(__xludf.DUMMYFUNCTION("""COMPUTED_VALUE"""),1)</f>
        <v>1</v>
      </c>
    </row>
    <row r="2479" spans="1:6" ht="15" customHeight="1" x14ac:dyDescent="0.2">
      <c r="A2479" s="5" t="str">
        <f ca="1">IFERROR(__xludf.DUMMYFUNCTION("""COMPUTED_VALUE"""),"TPIL")</f>
        <v>TPIL</v>
      </c>
      <c r="B2479" s="5" t="str">
        <f ca="1">IFERROR(__xludf.DUMMYFUNCTION("""COMPUTED_VALUE"""),"ENAER")</f>
        <v>ENAER</v>
      </c>
      <c r="C2479" s="5" t="str">
        <f ca="1">IFERROR(__xludf.DUMMYFUNCTION("""COMPUTED_VALUE"""),"T-35DT Turbo Pillán")</f>
        <v>T-35DT Turbo Pillán</v>
      </c>
      <c r="D2479" s="5" t="str">
        <f ca="1">IFERROR(__xludf.DUMMYFUNCTION("""COMPUTED_VALUE"""),"LandPlane")</f>
        <v>LandPlane</v>
      </c>
      <c r="E2479" s="5" t="str">
        <f ca="1">IFERROR(__xludf.DUMMYFUNCTION("""COMPUTED_VALUE"""),"Turboprop/Turboshaft")</f>
        <v>Turboprop/Turboshaft</v>
      </c>
      <c r="F2479" s="5">
        <f ca="1">IFERROR(__xludf.DUMMYFUNCTION("""COMPUTED_VALUE"""),1)</f>
        <v>1</v>
      </c>
    </row>
    <row r="2480" spans="1:6" ht="15" customHeight="1" x14ac:dyDescent="0.2">
      <c r="A2480" s="5" t="str">
        <f ca="1">IFERROR(__xludf.DUMMYFUNCTION("""COMPUTED_VALUE"""),"TPIN")</f>
        <v>TPIN</v>
      </c>
      <c r="B2480" s="5" t="str">
        <f ca="1">IFERROR(__xludf.DUMMYFUNCTION("""COMPUTED_VALUE"""),"SCOTTISH AVIATION")</f>
        <v>SCOTTISH AVIATION</v>
      </c>
      <c r="C2480" s="5" t="str">
        <f ca="1">IFERROR(__xludf.DUMMYFUNCTION("""COMPUTED_VALUE"""),"Twin Pioneer")</f>
        <v>Twin Pioneer</v>
      </c>
      <c r="D2480" s="5" t="str">
        <f ca="1">IFERROR(__xludf.DUMMYFUNCTION("""COMPUTED_VALUE"""),"LandPlane")</f>
        <v>LandPlane</v>
      </c>
      <c r="E2480" s="5" t="str">
        <f ca="1">IFERROR(__xludf.DUMMYFUNCTION("""COMPUTED_VALUE"""),"Piston")</f>
        <v>Piston</v>
      </c>
      <c r="F2480" s="5">
        <f ca="1">IFERROR(__xludf.DUMMYFUNCTION("""COMPUTED_VALUE"""),2)</f>
        <v>2</v>
      </c>
    </row>
    <row r="2481" spans="1:6" ht="15" customHeight="1" x14ac:dyDescent="0.2">
      <c r="A2481" s="5" t="str">
        <f ca="1">IFERROR(__xludf.DUMMYFUNCTION("""COMPUTED_VALUE"""),"TR1")</f>
        <v>TR1</v>
      </c>
      <c r="B2481" s="5" t="str">
        <f ca="1">IFERROR(__xludf.DUMMYFUNCTION("""COMPUTED_VALUE"""),"TRIDENT")</f>
        <v>TRIDENT</v>
      </c>
      <c r="C2481" s="5" t="str">
        <f ca="1">IFERROR(__xludf.DUMMYFUNCTION("""COMPUTED_VALUE"""),"TR-1 Trigull")</f>
        <v>TR-1 Trigull</v>
      </c>
      <c r="D2481" s="5" t="str">
        <f ca="1">IFERROR(__xludf.DUMMYFUNCTION("""COMPUTED_VALUE"""),"Amphibian")</f>
        <v>Amphibian</v>
      </c>
      <c r="E2481" s="5" t="str">
        <f ca="1">IFERROR(__xludf.DUMMYFUNCTION("""COMPUTED_VALUE"""),"Piston")</f>
        <v>Piston</v>
      </c>
      <c r="F2481" s="5">
        <f ca="1">IFERROR(__xludf.DUMMYFUNCTION("""COMPUTED_VALUE"""),1)</f>
        <v>1</v>
      </c>
    </row>
    <row r="2482" spans="1:6" ht="15" customHeight="1" x14ac:dyDescent="0.2">
      <c r="A2482" s="5" t="str">
        <f ca="1">IFERROR(__xludf.DUMMYFUNCTION("""COMPUTED_VALUE"""),"TR20")</f>
        <v>TR20</v>
      </c>
      <c r="B2482" s="5" t="str">
        <f ca="1">IFERROR(__xludf.DUMMYFUNCTION("""COMPUTED_VALUE"""),"FEUGRAY")</f>
        <v>FEUGRAY</v>
      </c>
      <c r="C2482" s="5" t="str">
        <f ca="1">IFERROR(__xludf.DUMMYFUNCTION("""COMPUTED_VALUE"""),"TR-200")</f>
        <v>TR-200</v>
      </c>
      <c r="D2482" s="5" t="str">
        <f ca="1">IFERROR(__xludf.DUMMYFUNCTION("""COMPUTED_VALUE"""),"LandPlane")</f>
        <v>LandPlane</v>
      </c>
      <c r="E2482" s="5" t="str">
        <f ca="1">IFERROR(__xludf.DUMMYFUNCTION("""COMPUTED_VALUE"""),"Piston")</f>
        <v>Piston</v>
      </c>
      <c r="F2482" s="5">
        <f ca="1">IFERROR(__xludf.DUMMYFUNCTION("""COMPUTED_VALUE"""),1)</f>
        <v>1</v>
      </c>
    </row>
    <row r="2483" spans="1:6" ht="15" customHeight="1" x14ac:dyDescent="0.2">
      <c r="A2483" s="5" t="str">
        <f ca="1">IFERROR(__xludf.DUMMYFUNCTION("""COMPUTED_VALUE"""),"TR26")</f>
        <v>TR26</v>
      </c>
      <c r="B2483" s="5" t="str">
        <f ca="1">IFERROR(__xludf.DUMMYFUNCTION("""COMPUTED_VALUE"""),"FEUGRAY")</f>
        <v>FEUGRAY</v>
      </c>
      <c r="C2483" s="5" t="str">
        <f ca="1">IFERROR(__xludf.DUMMYFUNCTION("""COMPUTED_VALUE"""),"TR-260 Sirius")</f>
        <v>TR-260 Sirius</v>
      </c>
      <c r="D2483" s="5" t="str">
        <f ca="1">IFERROR(__xludf.DUMMYFUNCTION("""COMPUTED_VALUE"""),"LandPlane")</f>
        <v>LandPlane</v>
      </c>
      <c r="E2483" s="5" t="str">
        <f ca="1">IFERROR(__xludf.DUMMYFUNCTION("""COMPUTED_VALUE"""),"Piston")</f>
        <v>Piston</v>
      </c>
      <c r="F2483" s="5">
        <f ca="1">IFERROR(__xludf.DUMMYFUNCTION("""COMPUTED_VALUE"""),1)</f>
        <v>1</v>
      </c>
    </row>
    <row r="2484" spans="1:6" ht="15" customHeight="1" x14ac:dyDescent="0.2">
      <c r="A2484" s="5" t="str">
        <f ca="1">IFERROR(__xludf.DUMMYFUNCTION("""COMPUTED_VALUE"""),"TR55")</f>
        <v>TR55</v>
      </c>
      <c r="B2484" s="5" t="str">
        <f ca="1">IFERROR(__xludf.DUMMYFUNCTION("""COMPUTED_VALUE"""),"3XTRIM")</f>
        <v>3XTRIM</v>
      </c>
      <c r="C2484" s="5" t="str">
        <f ca="1">IFERROR(__xludf.DUMMYFUNCTION("""COMPUTED_VALUE"""),"550 Trener")</f>
        <v>550 Trener</v>
      </c>
      <c r="D2484" s="5" t="str">
        <f ca="1">IFERROR(__xludf.DUMMYFUNCTION("""COMPUTED_VALUE"""),"LandPlane")</f>
        <v>LandPlane</v>
      </c>
      <c r="E2484" s="5" t="str">
        <f ca="1">IFERROR(__xludf.DUMMYFUNCTION("""COMPUTED_VALUE"""),"Piston")</f>
        <v>Piston</v>
      </c>
      <c r="F2484" s="5">
        <f ca="1">IFERROR(__xludf.DUMMYFUNCTION("""COMPUTED_VALUE"""),1)</f>
        <v>1</v>
      </c>
    </row>
    <row r="2485" spans="1:6" ht="15" customHeight="1" x14ac:dyDescent="0.2">
      <c r="A2485" s="5" t="str">
        <f ca="1">IFERROR(__xludf.DUMMYFUNCTION("""COMPUTED_VALUE"""),"TRAL")</f>
        <v>TRAL</v>
      </c>
      <c r="B2485" s="5" t="str">
        <f ca="1">IFERROR(__xludf.DUMMYFUNCTION("""COMPUTED_VALUE"""),"GROPPO")</f>
        <v>GROPPO</v>
      </c>
      <c r="C2485" s="5" t="str">
        <f ca="1">IFERROR(__xludf.DUMMYFUNCTION("""COMPUTED_VALUE"""),"Trail")</f>
        <v>Trail</v>
      </c>
      <c r="D2485" s="5" t="str">
        <f ca="1">IFERROR(__xludf.DUMMYFUNCTION("""COMPUTED_VALUE"""),"LandPlane")</f>
        <v>LandPlane</v>
      </c>
      <c r="E2485" s="5" t="str">
        <f ca="1">IFERROR(__xludf.DUMMYFUNCTION("""COMPUTED_VALUE"""),"Piston")</f>
        <v>Piston</v>
      </c>
      <c r="F2485" s="5">
        <f ca="1">IFERROR(__xludf.DUMMYFUNCTION("""COMPUTED_VALUE"""),1)</f>
        <v>1</v>
      </c>
    </row>
    <row r="2486" spans="1:6" ht="15" customHeight="1" x14ac:dyDescent="0.2">
      <c r="A2486" s="5" t="str">
        <f ca="1">IFERROR(__xludf.DUMMYFUNCTION("""COMPUTED_VALUE"""),"TRAP")</f>
        <v>TRAP</v>
      </c>
      <c r="B2486" s="5" t="str">
        <f ca="1">IFERROR(__xludf.DUMMYFUNCTION("""COMPUTED_VALUE"""),"CAPELLA")</f>
        <v>CAPELLA</v>
      </c>
      <c r="C2486" s="5" t="str">
        <f ca="1">IFERROR(__xludf.DUMMYFUNCTION("""COMPUTED_VALUE"""),"T-Raptor")</f>
        <v>T-Raptor</v>
      </c>
      <c r="D2486" s="5" t="str">
        <f ca="1">IFERROR(__xludf.DUMMYFUNCTION("""COMPUTED_VALUE"""),"LandPlane")</f>
        <v>LandPlane</v>
      </c>
      <c r="E2486" s="5" t="str">
        <f ca="1">IFERROR(__xludf.DUMMYFUNCTION("""COMPUTED_VALUE"""),"Piston")</f>
        <v>Piston</v>
      </c>
      <c r="F2486" s="5">
        <f ca="1">IFERROR(__xludf.DUMMYFUNCTION("""COMPUTED_VALUE"""),1)</f>
        <v>1</v>
      </c>
    </row>
    <row r="2487" spans="1:6" ht="15" customHeight="1" x14ac:dyDescent="0.2">
      <c r="A2487" s="5" t="str">
        <f ca="1">IFERROR(__xludf.DUMMYFUNCTION("""COMPUTED_VALUE"""),"TRBA")</f>
        <v>TRBA</v>
      </c>
      <c r="B2487" s="5" t="str">
        <f ca="1">IFERROR(__xludf.DUMMYFUNCTION("""COMPUTED_VALUE"""),"PODESVA")</f>
        <v>PODESVA</v>
      </c>
      <c r="C2487" s="5" t="str">
        <f ca="1">IFERROR(__xludf.DUMMYFUNCTION("""COMPUTED_VALUE"""),"Trener Baby")</f>
        <v>Trener Baby</v>
      </c>
      <c r="D2487" s="5" t="str">
        <f ca="1">IFERROR(__xludf.DUMMYFUNCTION("""COMPUTED_VALUE"""),"LandPlane")</f>
        <v>LandPlane</v>
      </c>
      <c r="E2487" s="5" t="str">
        <f ca="1">IFERROR(__xludf.DUMMYFUNCTION("""COMPUTED_VALUE"""),"Piston")</f>
        <v>Piston</v>
      </c>
      <c r="F2487" s="5">
        <f ca="1">IFERROR(__xludf.DUMMYFUNCTION("""COMPUTED_VALUE"""),1)</f>
        <v>1</v>
      </c>
    </row>
    <row r="2488" spans="1:6" ht="15" customHeight="1" x14ac:dyDescent="0.2">
      <c r="A2488" s="5" t="str">
        <f ca="1">IFERROR(__xludf.DUMMYFUNCTION("""COMPUTED_VALUE"""),"TRDO")</f>
        <v>TRDO</v>
      </c>
      <c r="B2488" s="5" t="str">
        <f ca="1">IFERROR(__xludf.DUMMYFUNCTION("""COMPUTED_VALUE"""),"TITAN")</f>
        <v>TITAN</v>
      </c>
      <c r="C2488" s="5" t="str">
        <f ca="1">IFERROR(__xludf.DUMMYFUNCTION("""COMPUTED_VALUE"""),"Tornado SS")</f>
        <v>Tornado SS</v>
      </c>
      <c r="D2488" s="5" t="str">
        <f ca="1">IFERROR(__xludf.DUMMYFUNCTION("""COMPUTED_VALUE"""),"LandPlane")</f>
        <v>LandPlane</v>
      </c>
      <c r="E2488" s="5" t="str">
        <f ca="1">IFERROR(__xludf.DUMMYFUNCTION("""COMPUTED_VALUE"""),"Piston")</f>
        <v>Piston</v>
      </c>
      <c r="F2488" s="5">
        <f ca="1">IFERROR(__xludf.DUMMYFUNCTION("""COMPUTED_VALUE"""),1)</f>
        <v>1</v>
      </c>
    </row>
    <row r="2489" spans="1:6" ht="15" customHeight="1" x14ac:dyDescent="0.2">
      <c r="A2489" s="5" t="str">
        <f ca="1">IFERROR(__xludf.DUMMYFUNCTION("""COMPUTED_VALUE"""),"TRF1")</f>
        <v>TRF1</v>
      </c>
      <c r="B2489" s="5" t="str">
        <f ca="1">IFERROR(__xludf.DUMMYFUNCTION("""COMPUTED_VALUE"""),"TEAM ROCKET")</f>
        <v>TEAM ROCKET</v>
      </c>
      <c r="C2489" s="5" t="str">
        <f ca="1">IFERROR(__xludf.DUMMYFUNCTION("""COMPUTED_VALUE"""),"F-1")</f>
        <v>F-1</v>
      </c>
      <c r="D2489" s="5" t="str">
        <f ca="1">IFERROR(__xludf.DUMMYFUNCTION("""COMPUTED_VALUE"""),"LandPlane")</f>
        <v>LandPlane</v>
      </c>
      <c r="E2489" s="5" t="str">
        <f ca="1">IFERROR(__xludf.DUMMYFUNCTION("""COMPUTED_VALUE"""),"Piston")</f>
        <v>Piston</v>
      </c>
      <c r="F2489" s="5">
        <f ca="1">IFERROR(__xludf.DUMMYFUNCTION("""COMPUTED_VALUE"""),1)</f>
        <v>1</v>
      </c>
    </row>
    <row r="2490" spans="1:6" ht="15" customHeight="1" x14ac:dyDescent="0.2">
      <c r="A2490" s="5" t="str">
        <f ca="1">IFERROR(__xludf.DUMMYFUNCTION("""COMPUTED_VALUE"""),"TRIM")</f>
        <v>TRIM</v>
      </c>
      <c r="B2490" s="5" t="str">
        <f ca="1">IFERROR(__xludf.DUMMYFUNCTION("""COMPUTED_VALUE"""),"FORD")</f>
        <v>FORD</v>
      </c>
      <c r="C2490" s="5" t="str">
        <f ca="1">IFERROR(__xludf.DUMMYFUNCTION("""COMPUTED_VALUE"""),"Tri-Motor")</f>
        <v>Tri-Motor</v>
      </c>
      <c r="D2490" s="5" t="str">
        <f ca="1">IFERROR(__xludf.DUMMYFUNCTION("""COMPUTED_VALUE"""),"LandPlane")</f>
        <v>LandPlane</v>
      </c>
      <c r="E2490" s="5" t="str">
        <f ca="1">IFERROR(__xludf.DUMMYFUNCTION("""COMPUTED_VALUE"""),"Piston")</f>
        <v>Piston</v>
      </c>
      <c r="F2490" s="5">
        <f ca="1">IFERROR(__xludf.DUMMYFUNCTION("""COMPUTED_VALUE"""),3)</f>
        <v>3</v>
      </c>
    </row>
    <row r="2491" spans="1:6" ht="15" customHeight="1" x14ac:dyDescent="0.2">
      <c r="A2491" s="5" t="str">
        <f ca="1">IFERROR(__xludf.DUMMYFUNCTION("""COMPUTED_VALUE"""),"TRIS")</f>
        <v>TRIS</v>
      </c>
      <c r="B2491" s="5" t="str">
        <f ca="1">IFERROR(__xludf.DUMMYFUNCTION("""COMPUTED_VALUE"""),"BRITTEN-NORMAN")</f>
        <v>BRITTEN-NORMAN</v>
      </c>
      <c r="C2491" s="5" t="str">
        <f ca="1">IFERROR(__xludf.DUMMYFUNCTION("""COMPUTED_VALUE"""),"BN-2A Mk3 Trislander")</f>
        <v>BN-2A Mk3 Trislander</v>
      </c>
      <c r="D2491" s="5" t="str">
        <f ca="1">IFERROR(__xludf.DUMMYFUNCTION("""COMPUTED_VALUE"""),"LandPlane")</f>
        <v>LandPlane</v>
      </c>
      <c r="E2491" s="5" t="str">
        <f ca="1">IFERROR(__xludf.DUMMYFUNCTION("""COMPUTED_VALUE"""),"Piston")</f>
        <v>Piston</v>
      </c>
      <c r="F2491" s="5">
        <f ca="1">IFERROR(__xludf.DUMMYFUNCTION("""COMPUTED_VALUE"""),3)</f>
        <v>3</v>
      </c>
    </row>
    <row r="2492" spans="1:6" ht="15" customHeight="1" x14ac:dyDescent="0.2">
      <c r="A2492" s="5" t="str">
        <f ca="1">IFERROR(__xludf.DUMMYFUNCTION("""COMPUTED_VALUE"""),"TRMA")</f>
        <v>TRMA</v>
      </c>
      <c r="B2492" s="5" t="str">
        <f ca="1">IFERROR(__xludf.DUMMYFUNCTION("""COMPUTED_VALUE"""),"STINSON")</f>
        <v>STINSON</v>
      </c>
      <c r="C2492" s="5" t="str">
        <f ca="1">IFERROR(__xludf.DUMMYFUNCTION("""COMPUTED_VALUE"""),"A Tri-Motor")</f>
        <v>A Tri-Motor</v>
      </c>
      <c r="D2492" s="5" t="str">
        <f ca="1">IFERROR(__xludf.DUMMYFUNCTION("""COMPUTED_VALUE"""),"LandPlane")</f>
        <v>LandPlane</v>
      </c>
      <c r="E2492" s="5" t="str">
        <f ca="1">IFERROR(__xludf.DUMMYFUNCTION("""COMPUTED_VALUE"""),"Piston")</f>
        <v>Piston</v>
      </c>
      <c r="F2492" s="5">
        <f ca="1">IFERROR(__xludf.DUMMYFUNCTION("""COMPUTED_VALUE"""),3)</f>
        <v>3</v>
      </c>
    </row>
    <row r="2493" spans="1:6" ht="15" customHeight="1" x14ac:dyDescent="0.2">
      <c r="A2493" s="5" t="str">
        <f ca="1">IFERROR(__xludf.DUMMYFUNCTION("""COMPUTED_VALUE"""),"TRWN")</f>
        <v>TRWN</v>
      </c>
      <c r="B2493" s="5" t="str">
        <f ca="1">IFERROR(__xludf.DUMMYFUNCTION("""COMPUTED_VALUE"""),"PACIFIC AIRMOTIVE")</f>
        <v>PACIFIC AIRMOTIVE</v>
      </c>
      <c r="C2493" s="5" t="str">
        <f ca="1">IFERROR(__xludf.DUMMYFUNCTION("""COMPUTED_VALUE"""),"Tradewind")</f>
        <v>Tradewind</v>
      </c>
      <c r="D2493" s="5" t="str">
        <f ca="1">IFERROR(__xludf.DUMMYFUNCTION("""COMPUTED_VALUE"""),"LandPlane")</f>
        <v>LandPlane</v>
      </c>
      <c r="E2493" s="5" t="str">
        <f ca="1">IFERROR(__xludf.DUMMYFUNCTION("""COMPUTED_VALUE"""),"Piston")</f>
        <v>Piston</v>
      </c>
      <c r="F2493" s="5">
        <f ca="1">IFERROR(__xludf.DUMMYFUNCTION("""COMPUTED_VALUE"""),2)</f>
        <v>2</v>
      </c>
    </row>
    <row r="2494" spans="1:6" ht="15" customHeight="1" x14ac:dyDescent="0.2">
      <c r="A2494" s="5" t="str">
        <f ca="1">IFERROR(__xludf.DUMMYFUNCTION("""COMPUTED_VALUE"""),"TS11")</f>
        <v>TS11</v>
      </c>
      <c r="B2494" s="5" t="str">
        <f ca="1">IFERROR(__xludf.DUMMYFUNCTION("""COMPUTED_VALUE"""),"PZL-MIELEC")</f>
        <v>PZL-MIELEC</v>
      </c>
      <c r="C2494" s="5" t="str">
        <f ca="1">IFERROR(__xludf.DUMMYFUNCTION("""COMPUTED_VALUE"""),"TS-11 Iskra")</f>
        <v>TS-11 Iskra</v>
      </c>
      <c r="D2494" s="5" t="str">
        <f ca="1">IFERROR(__xludf.DUMMYFUNCTION("""COMPUTED_VALUE"""),"LandPlane")</f>
        <v>LandPlane</v>
      </c>
      <c r="E2494" s="5" t="str">
        <f ca="1">IFERROR(__xludf.DUMMYFUNCTION("""COMPUTED_VALUE"""),"Jet")</f>
        <v>Jet</v>
      </c>
      <c r="F2494" s="5">
        <f ca="1">IFERROR(__xludf.DUMMYFUNCTION("""COMPUTED_VALUE"""),1)</f>
        <v>1</v>
      </c>
    </row>
    <row r="2495" spans="1:6" ht="15" customHeight="1" x14ac:dyDescent="0.2">
      <c r="A2495" s="5" t="str">
        <f ca="1">IFERROR(__xludf.DUMMYFUNCTION("""COMPUTED_VALUE"""),"TS14")</f>
        <v>TS14</v>
      </c>
      <c r="B2495" s="5" t="str">
        <f ca="1">IFERROR(__xludf.DUMMYFUNCTION("""COMPUTED_VALUE"""),"TEST")</f>
        <v>TEST</v>
      </c>
      <c r="C2495" s="5" t="str">
        <f ca="1">IFERROR(__xludf.DUMMYFUNCTION("""COMPUTED_VALUE"""),"TST-14 Bonus")</f>
        <v>TST-14 Bonus</v>
      </c>
      <c r="D2495" s="5" t="str">
        <f ca="1">IFERROR(__xludf.DUMMYFUNCTION("""COMPUTED_VALUE"""),"LandPlane")</f>
        <v>LandPlane</v>
      </c>
      <c r="E2495" s="5" t="str">
        <f ca="1">IFERROR(__xludf.DUMMYFUNCTION("""COMPUTED_VALUE"""),"Piston")</f>
        <v>Piston</v>
      </c>
      <c r="F2495" s="5">
        <f ca="1">IFERROR(__xludf.DUMMYFUNCTION("""COMPUTED_VALUE"""),1)</f>
        <v>1</v>
      </c>
    </row>
    <row r="2496" spans="1:6" ht="15" customHeight="1" x14ac:dyDescent="0.2">
      <c r="A2496" s="5" t="str">
        <f ca="1">IFERROR(__xludf.DUMMYFUNCTION("""COMPUTED_VALUE"""),"TS1J")</f>
        <v>TS1J</v>
      </c>
      <c r="B2496" s="5" t="str">
        <f ca="1">IFERROR(__xludf.DUMMYFUNCTION("""COMPUTED_VALUE"""),"JONKER")</f>
        <v>JONKER</v>
      </c>
      <c r="C2496" s="5" t="str">
        <f ca="1">IFERROR(__xludf.DUMMYFUNCTION("""COMPUTED_VALUE"""),"JS-1TJ Revelation")</f>
        <v>JS-1TJ Revelation</v>
      </c>
      <c r="D2496" s="5" t="str">
        <f ca="1">IFERROR(__xludf.DUMMYFUNCTION("""COMPUTED_VALUE"""),"LandPlane")</f>
        <v>LandPlane</v>
      </c>
      <c r="E2496" s="5" t="str">
        <f ca="1">IFERROR(__xludf.DUMMYFUNCTION("""COMPUTED_VALUE"""),"Jet")</f>
        <v>Jet</v>
      </c>
      <c r="F2496" s="5">
        <f ca="1">IFERROR(__xludf.DUMMYFUNCTION("""COMPUTED_VALUE"""),1)</f>
        <v>1</v>
      </c>
    </row>
    <row r="2497" spans="1:6" ht="15" customHeight="1" x14ac:dyDescent="0.2">
      <c r="A2497" s="5" t="str">
        <f ca="1">IFERROR(__xludf.DUMMYFUNCTION("""COMPUTED_VALUE"""),"TS8")</f>
        <v>TS8</v>
      </c>
      <c r="B2497" s="5" t="str">
        <f ca="1">IFERROR(__xludf.DUMMYFUNCTION("""COMPUTED_VALUE"""),"PZL-MIELEC")</f>
        <v>PZL-MIELEC</v>
      </c>
      <c r="C2497" s="5" t="str">
        <f ca="1">IFERROR(__xludf.DUMMYFUNCTION("""COMPUTED_VALUE"""),"TS-8 Bies")</f>
        <v>TS-8 Bies</v>
      </c>
      <c r="D2497" s="5" t="str">
        <f ca="1">IFERROR(__xludf.DUMMYFUNCTION("""COMPUTED_VALUE"""),"LandPlane")</f>
        <v>LandPlane</v>
      </c>
      <c r="E2497" s="5" t="str">
        <f ca="1">IFERROR(__xludf.DUMMYFUNCTION("""COMPUTED_VALUE"""),"Piston")</f>
        <v>Piston</v>
      </c>
      <c r="F2497" s="5">
        <f ca="1">IFERROR(__xludf.DUMMYFUNCTION("""COMPUTED_VALUE"""),1)</f>
        <v>1</v>
      </c>
    </row>
    <row r="2498" spans="1:6" ht="15" customHeight="1" x14ac:dyDescent="0.2">
      <c r="A2498" s="5" t="str">
        <f ca="1">IFERROR(__xludf.DUMMYFUNCTION("""COMPUTED_VALUE"""),"TSPT")</f>
        <v>TSPT</v>
      </c>
      <c r="B2498" s="5" t="str">
        <f ca="1">IFERROR(__xludf.DUMMYFUNCTION("""COMPUTED_VALUE"""),"THUNDER WINGS")</f>
        <v>THUNDER WINGS</v>
      </c>
      <c r="C2498" s="5" t="str">
        <f ca="1">IFERROR(__xludf.DUMMYFUNCTION("""COMPUTED_VALUE"""),"Supermarine Spitfire")</f>
        <v>Supermarine Spitfire</v>
      </c>
      <c r="D2498" s="5" t="str">
        <f ca="1">IFERROR(__xludf.DUMMYFUNCTION("""COMPUTED_VALUE"""),"LandPlane")</f>
        <v>LandPlane</v>
      </c>
      <c r="E2498" s="5" t="str">
        <f ca="1">IFERROR(__xludf.DUMMYFUNCTION("""COMPUTED_VALUE"""),"Piston")</f>
        <v>Piston</v>
      </c>
      <c r="F2498" s="5">
        <f ca="1">IFERROR(__xludf.DUMMYFUNCTION("""COMPUTED_VALUE"""),1)</f>
        <v>1</v>
      </c>
    </row>
    <row r="2499" spans="1:6" ht="15" customHeight="1" x14ac:dyDescent="0.2">
      <c r="A2499" s="5" t="str">
        <f ca="1">IFERROR(__xludf.DUMMYFUNCTION("""COMPUTED_VALUE"""),"TSTN")</f>
        <v>TSTN</v>
      </c>
      <c r="B2499" s="5" t="str">
        <f ca="1">IFERROR(__xludf.DUMMYFUNCTION("""COMPUTED_VALUE"""),"TERRAFUGIA")</f>
        <v>TERRAFUGIA</v>
      </c>
      <c r="C2499" s="5" t="str">
        <f ca="1">IFERROR(__xludf.DUMMYFUNCTION("""COMPUTED_VALUE"""),"Transition")</f>
        <v>Transition</v>
      </c>
      <c r="D2499" s="5" t="str">
        <f ca="1">IFERROR(__xludf.DUMMYFUNCTION("""COMPUTED_VALUE"""),"LandPlane")</f>
        <v>LandPlane</v>
      </c>
      <c r="E2499" s="5" t="str">
        <f ca="1">IFERROR(__xludf.DUMMYFUNCTION("""COMPUTED_VALUE"""),"Piston")</f>
        <v>Piston</v>
      </c>
      <c r="F2499" s="5">
        <f ca="1">IFERROR(__xludf.DUMMYFUNCTION("""COMPUTED_VALUE"""),1)</f>
        <v>1</v>
      </c>
    </row>
    <row r="2500" spans="1:6" ht="15" customHeight="1" x14ac:dyDescent="0.2">
      <c r="A2500" s="5" t="str">
        <f ca="1">IFERROR(__xludf.DUMMYFUNCTION("""COMPUTED_VALUE"""),"TSTR")</f>
        <v>TSTR</v>
      </c>
      <c r="B2500" s="5" t="str">
        <f ca="1">IFERROR(__xludf.DUMMYFUNCTION("""COMPUTED_VALUE"""),"FARRINGTON")</f>
        <v>FARRINGTON</v>
      </c>
      <c r="C2500" s="5" t="str">
        <f ca="1">IFERROR(__xludf.DUMMYFUNCTION("""COMPUTED_VALUE"""),"Twinstar")</f>
        <v>Twinstar</v>
      </c>
      <c r="D2500" s="5" t="str">
        <f ca="1">IFERROR(__xludf.DUMMYFUNCTION("""COMPUTED_VALUE"""),"Gyrocopter")</f>
        <v>Gyrocopter</v>
      </c>
      <c r="E2500" s="5" t="str">
        <f ca="1">IFERROR(__xludf.DUMMYFUNCTION("""COMPUTED_VALUE"""),"Piston")</f>
        <v>Piston</v>
      </c>
      <c r="F2500" s="5">
        <f ca="1">IFERROR(__xludf.DUMMYFUNCTION("""COMPUTED_VALUE"""),1)</f>
        <v>1</v>
      </c>
    </row>
    <row r="2501" spans="1:6" ht="15" customHeight="1" x14ac:dyDescent="0.2">
      <c r="A2501" s="5" t="str">
        <f ca="1">IFERROR(__xludf.DUMMYFUNCTION("""COMPUTED_VALUE"""),"TTRS")</f>
        <v>TTRS</v>
      </c>
      <c r="B2501" s="5" t="str">
        <f ca="1">IFERROR(__xludf.DUMMYFUNCTION("""COMPUTED_VALUE"""),"HUMBERT")</f>
        <v>HUMBERT</v>
      </c>
      <c r="C2501" s="5" t="str">
        <f ca="1">IFERROR(__xludf.DUMMYFUNCTION("""COMPUTED_VALUE"""),"Tetras")</f>
        <v>Tetras</v>
      </c>
      <c r="D2501" s="5" t="str">
        <f ca="1">IFERROR(__xludf.DUMMYFUNCTION("""COMPUTED_VALUE"""),"LandPlane")</f>
        <v>LandPlane</v>
      </c>
      <c r="E2501" s="5" t="str">
        <f ca="1">IFERROR(__xludf.DUMMYFUNCTION("""COMPUTED_VALUE"""),"Piston")</f>
        <v>Piston</v>
      </c>
      <c r="F2501" s="5">
        <f ca="1">IFERROR(__xludf.DUMMYFUNCTION("""COMPUTED_VALUE"""),1)</f>
        <v>1</v>
      </c>
    </row>
    <row r="2502" spans="1:6" ht="15" customHeight="1" x14ac:dyDescent="0.2">
      <c r="A2502" s="5" t="str">
        <f ca="1">IFERROR(__xludf.DUMMYFUNCTION("""COMPUTED_VALUE"""),"TTWO")</f>
        <v>TTWO</v>
      </c>
      <c r="B2502" s="5" t="str">
        <f ca="1">IFERROR(__xludf.DUMMYFUNCTION("""COMPUTED_VALUE"""),"PARKER")</f>
        <v>PARKER</v>
      </c>
      <c r="C2502" s="5" t="str">
        <f ca="1">IFERROR(__xludf.DUMMYFUNCTION("""COMPUTED_VALUE"""),"Teenie Two")</f>
        <v>Teenie Two</v>
      </c>
      <c r="D2502" s="5" t="str">
        <f ca="1">IFERROR(__xludf.DUMMYFUNCTION("""COMPUTED_VALUE"""),"LandPlane")</f>
        <v>LandPlane</v>
      </c>
      <c r="E2502" s="5" t="str">
        <f ca="1">IFERROR(__xludf.DUMMYFUNCTION("""COMPUTED_VALUE"""),"Piston")</f>
        <v>Piston</v>
      </c>
      <c r="F2502" s="5">
        <f ca="1">IFERROR(__xludf.DUMMYFUNCTION("""COMPUTED_VALUE"""),1)</f>
        <v>1</v>
      </c>
    </row>
    <row r="2503" spans="1:6" ht="15" customHeight="1" x14ac:dyDescent="0.2">
      <c r="A2503" s="5" t="str">
        <f ca="1">IFERROR(__xludf.DUMMYFUNCTION("""COMPUTED_VALUE"""),"TU16")</f>
        <v>TU16</v>
      </c>
      <c r="B2503" s="5" t="str">
        <f ca="1">IFERROR(__xludf.DUMMYFUNCTION("""COMPUTED_VALUE"""),"TUPOLEV")</f>
        <v>TUPOLEV</v>
      </c>
      <c r="C2503" s="5" t="str">
        <f ca="1">IFERROR(__xludf.DUMMYFUNCTION("""COMPUTED_VALUE"""),"Tu-16")</f>
        <v>Tu-16</v>
      </c>
      <c r="D2503" s="5" t="str">
        <f ca="1">IFERROR(__xludf.DUMMYFUNCTION("""COMPUTED_VALUE"""),"LandPlane")</f>
        <v>LandPlane</v>
      </c>
      <c r="E2503" s="5" t="str">
        <f ca="1">IFERROR(__xludf.DUMMYFUNCTION("""COMPUTED_VALUE"""),"Jet")</f>
        <v>Jet</v>
      </c>
      <c r="F2503" s="5">
        <f ca="1">IFERROR(__xludf.DUMMYFUNCTION("""COMPUTED_VALUE"""),2)</f>
        <v>2</v>
      </c>
    </row>
    <row r="2504" spans="1:6" ht="15" customHeight="1" x14ac:dyDescent="0.2">
      <c r="A2504" s="5" t="str">
        <f ca="1">IFERROR(__xludf.DUMMYFUNCTION("""COMPUTED_VALUE"""),"TU22")</f>
        <v>TU22</v>
      </c>
      <c r="B2504" s="5" t="str">
        <f ca="1">IFERROR(__xludf.DUMMYFUNCTION("""COMPUTED_VALUE"""),"TUPOLEV")</f>
        <v>TUPOLEV</v>
      </c>
      <c r="C2504" s="5" t="str">
        <f ca="1">IFERROR(__xludf.DUMMYFUNCTION("""COMPUTED_VALUE"""),"Tu-22")</f>
        <v>Tu-22</v>
      </c>
      <c r="D2504" s="5" t="str">
        <f ca="1">IFERROR(__xludf.DUMMYFUNCTION("""COMPUTED_VALUE"""),"LandPlane")</f>
        <v>LandPlane</v>
      </c>
      <c r="E2504" s="5" t="str">
        <f ca="1">IFERROR(__xludf.DUMMYFUNCTION("""COMPUTED_VALUE"""),"Jet")</f>
        <v>Jet</v>
      </c>
      <c r="F2504" s="5">
        <f ca="1">IFERROR(__xludf.DUMMYFUNCTION("""COMPUTED_VALUE"""),2)</f>
        <v>2</v>
      </c>
    </row>
    <row r="2505" spans="1:6" ht="15" customHeight="1" x14ac:dyDescent="0.2">
      <c r="A2505" s="5" t="str">
        <f ca="1">IFERROR(__xludf.DUMMYFUNCTION("""COMPUTED_VALUE"""),"TU95")</f>
        <v>TU95</v>
      </c>
      <c r="B2505" s="5" t="str">
        <f ca="1">IFERROR(__xludf.DUMMYFUNCTION("""COMPUTED_VALUE"""),"TUPOLEV")</f>
        <v>TUPOLEV</v>
      </c>
      <c r="C2505" s="5" t="str">
        <f ca="1">IFERROR(__xludf.DUMMYFUNCTION("""COMPUTED_VALUE"""),"Tu-95")</f>
        <v>Tu-95</v>
      </c>
      <c r="D2505" s="5" t="str">
        <f ca="1">IFERROR(__xludf.DUMMYFUNCTION("""COMPUTED_VALUE"""),"LandPlane")</f>
        <v>LandPlane</v>
      </c>
      <c r="E2505" s="5" t="str">
        <f ca="1">IFERROR(__xludf.DUMMYFUNCTION("""COMPUTED_VALUE"""),"Turboprop/Turboshaft")</f>
        <v>Turboprop/Turboshaft</v>
      </c>
      <c r="F2505" s="5">
        <f ca="1">IFERROR(__xludf.DUMMYFUNCTION("""COMPUTED_VALUE"""),4)</f>
        <v>4</v>
      </c>
    </row>
    <row r="2506" spans="1:6" ht="15" customHeight="1" x14ac:dyDescent="0.2">
      <c r="A2506" s="5" t="str">
        <f ca="1">IFERROR(__xludf.DUMMYFUNCTION("""COMPUTED_VALUE"""),"TUCA")</f>
        <v>TUCA</v>
      </c>
      <c r="B2506" s="5" t="str">
        <f ca="1">IFERROR(__xludf.DUMMYFUNCTION("""COMPUTED_VALUE"""),"EMBRAER")</f>
        <v>EMBRAER</v>
      </c>
      <c r="C2506" s="5" t="str">
        <f ca="1">IFERROR(__xludf.DUMMYFUNCTION("""COMPUTED_VALUE"""),"EMB-312 Tucano")</f>
        <v>EMB-312 Tucano</v>
      </c>
      <c r="D2506" s="5" t="str">
        <f ca="1">IFERROR(__xludf.DUMMYFUNCTION("""COMPUTED_VALUE"""),"LandPlane")</f>
        <v>LandPlane</v>
      </c>
      <c r="E2506" s="5" t="str">
        <f ca="1">IFERROR(__xludf.DUMMYFUNCTION("""COMPUTED_VALUE"""),"Turboprop/Turboshaft")</f>
        <v>Turboprop/Turboshaft</v>
      </c>
      <c r="F2506" s="5">
        <f ca="1">IFERROR(__xludf.DUMMYFUNCTION("""COMPUTED_VALUE"""),1)</f>
        <v>1</v>
      </c>
    </row>
    <row r="2507" spans="1:6" ht="15" customHeight="1" x14ac:dyDescent="0.2">
      <c r="A2507" s="5" t="str">
        <f ca="1">IFERROR(__xludf.DUMMYFUNCTION("""COMPUTED_VALUE"""),"TUL3")</f>
        <v>TUL3</v>
      </c>
      <c r="B2507" s="5" t="str">
        <f ca="1">IFERROR(__xludf.DUMMYFUNCTION("""COMPUTED_VALUE"""),"PODESVA")</f>
        <v>PODESVA</v>
      </c>
      <c r="C2507" s="5" t="str">
        <f ca="1">IFERROR(__xludf.DUMMYFUNCTION("""COMPUTED_VALUE"""),"TUL-03 Amigo")</f>
        <v>TUL-03 Amigo</v>
      </c>
      <c r="D2507" s="5" t="str">
        <f ca="1">IFERROR(__xludf.DUMMYFUNCTION("""COMPUTED_VALUE"""),"LandPlane")</f>
        <v>LandPlane</v>
      </c>
      <c r="E2507" s="5" t="str">
        <f ca="1">IFERROR(__xludf.DUMMYFUNCTION("""COMPUTED_VALUE"""),"Piston")</f>
        <v>Piston</v>
      </c>
      <c r="F2507" s="5">
        <f ca="1">IFERROR(__xludf.DUMMYFUNCTION("""COMPUTED_VALUE"""),1)</f>
        <v>1</v>
      </c>
    </row>
    <row r="2508" spans="1:6" ht="15" customHeight="1" x14ac:dyDescent="0.2">
      <c r="A2508" s="5" t="str">
        <f ca="1">IFERROR(__xludf.DUMMYFUNCTION("""COMPUTED_VALUE"""),"TUTR")</f>
        <v>TUTR</v>
      </c>
      <c r="B2508" s="5" t="str">
        <f ca="1">IFERROR(__xludf.DUMMYFUNCTION("""COMPUTED_VALUE"""),"AVRO")</f>
        <v>AVRO</v>
      </c>
      <c r="C2508" s="5" t="str">
        <f ca="1">IFERROR(__xludf.DUMMYFUNCTION("""COMPUTED_VALUE"""),"621 Tutor")</f>
        <v>621 Tutor</v>
      </c>
      <c r="D2508" s="5" t="str">
        <f ca="1">IFERROR(__xludf.DUMMYFUNCTION("""COMPUTED_VALUE"""),"LandPlane")</f>
        <v>LandPlane</v>
      </c>
      <c r="E2508" s="5" t="str">
        <f ca="1">IFERROR(__xludf.DUMMYFUNCTION("""COMPUTED_VALUE"""),"Piston")</f>
        <v>Piston</v>
      </c>
      <c r="F2508" s="5">
        <f ca="1">IFERROR(__xludf.DUMMYFUNCTION("""COMPUTED_VALUE"""),1)</f>
        <v>1</v>
      </c>
    </row>
    <row r="2509" spans="1:6" ht="15" customHeight="1" x14ac:dyDescent="0.2">
      <c r="A2509" s="5" t="str">
        <f ca="1">IFERROR(__xludf.DUMMYFUNCTION("""COMPUTED_VALUE"""),"TUTR")</f>
        <v>TUTR</v>
      </c>
      <c r="B2509" s="5" t="str">
        <f ca="1">IFERROR(__xludf.DUMMYFUNCTION("""COMPUTED_VALUE"""),"AVRO")</f>
        <v>AVRO</v>
      </c>
      <c r="C2509" s="5" t="str">
        <f ca="1">IFERROR(__xludf.DUMMYFUNCTION("""COMPUTED_VALUE"""),"Tutor")</f>
        <v>Tutor</v>
      </c>
      <c r="D2509" s="5" t="str">
        <f ca="1">IFERROR(__xludf.DUMMYFUNCTION("""COMPUTED_VALUE"""),"LandPlane")</f>
        <v>LandPlane</v>
      </c>
      <c r="E2509" s="5" t="str">
        <f ca="1">IFERROR(__xludf.DUMMYFUNCTION("""COMPUTED_VALUE"""),"Piston")</f>
        <v>Piston</v>
      </c>
      <c r="F2509" s="5">
        <f ca="1">IFERROR(__xludf.DUMMYFUNCTION("""COMPUTED_VALUE"""),1)</f>
        <v>1</v>
      </c>
    </row>
    <row r="2510" spans="1:6" ht="15" customHeight="1" x14ac:dyDescent="0.2">
      <c r="A2510" s="5" t="str">
        <f ca="1">IFERROR(__xludf.DUMMYFUNCTION("""COMPUTED_VALUE"""),"TVL4")</f>
        <v>TVL4</v>
      </c>
      <c r="B2510" s="5" t="str">
        <f ca="1">IFERROR(__xludf.DUMMYFUNCTION("""COMPUTED_VALUE"""),"TRAVEL AIR")</f>
        <v>TRAVEL AIR</v>
      </c>
      <c r="C2510" s="5" t="str">
        <f ca="1">IFERROR(__xludf.DUMMYFUNCTION("""COMPUTED_VALUE"""),"4000")</f>
        <v>4000</v>
      </c>
      <c r="D2510" s="5" t="str">
        <f ca="1">IFERROR(__xludf.DUMMYFUNCTION("""COMPUTED_VALUE"""),"LandPlane")</f>
        <v>LandPlane</v>
      </c>
      <c r="E2510" s="5" t="str">
        <f ca="1">IFERROR(__xludf.DUMMYFUNCTION("""COMPUTED_VALUE"""),"Piston")</f>
        <v>Piston</v>
      </c>
      <c r="F2510" s="5">
        <f ca="1">IFERROR(__xludf.DUMMYFUNCTION("""COMPUTED_VALUE"""),1)</f>
        <v>1</v>
      </c>
    </row>
    <row r="2511" spans="1:6" ht="15" customHeight="1" x14ac:dyDescent="0.2">
      <c r="A2511" s="5" t="str">
        <f ca="1">IFERROR(__xludf.DUMMYFUNCTION("""COMPUTED_VALUE"""),"TVLB")</f>
        <v>TVLB</v>
      </c>
      <c r="B2511" s="5" t="str">
        <f ca="1">IFERROR(__xludf.DUMMYFUNCTION("""COMPUTED_VALUE"""),"TRAVEL AIR")</f>
        <v>TRAVEL AIR</v>
      </c>
      <c r="C2511" s="5" t="str">
        <f ca="1">IFERROR(__xludf.DUMMYFUNCTION("""COMPUTED_VALUE"""),"2000")</f>
        <v>2000</v>
      </c>
      <c r="D2511" s="5" t="str">
        <f ca="1">IFERROR(__xludf.DUMMYFUNCTION("""COMPUTED_VALUE"""),"LandPlane")</f>
        <v>LandPlane</v>
      </c>
      <c r="E2511" s="5" t="str">
        <f ca="1">IFERROR(__xludf.DUMMYFUNCTION("""COMPUTED_VALUE"""),"Piston")</f>
        <v>Piston</v>
      </c>
      <c r="F2511" s="5">
        <f ca="1">IFERROR(__xludf.DUMMYFUNCTION("""COMPUTED_VALUE"""),1)</f>
        <v>1</v>
      </c>
    </row>
    <row r="2512" spans="1:6" ht="15" customHeight="1" x14ac:dyDescent="0.2">
      <c r="A2512" s="5" t="str">
        <f ca="1">IFERROR(__xludf.DUMMYFUNCTION("""COMPUTED_VALUE"""),"TWEN")</f>
        <v>TWEN</v>
      </c>
      <c r="B2512" s="5" t="str">
        <f ca="1">IFERROR(__xludf.DUMMYFUNCTION("""COMPUTED_VALUE"""),"TECNAM")</f>
        <v>TECNAM</v>
      </c>
      <c r="C2512" s="5" t="str">
        <f ca="1">IFERROR(__xludf.DUMMYFUNCTION("""COMPUTED_VALUE"""),"P-2010 Twenty-Ten")</f>
        <v>P-2010 Twenty-Ten</v>
      </c>
      <c r="D2512" s="5" t="str">
        <f ca="1">IFERROR(__xludf.DUMMYFUNCTION("""COMPUTED_VALUE"""),"LandPlane")</f>
        <v>LandPlane</v>
      </c>
      <c r="E2512" s="5" t="str">
        <f ca="1">IFERROR(__xludf.DUMMYFUNCTION("""COMPUTED_VALUE"""),"Piston")</f>
        <v>Piston</v>
      </c>
      <c r="F2512" s="5">
        <f ca="1">IFERROR(__xludf.DUMMYFUNCTION("""COMPUTED_VALUE"""),1)</f>
        <v>1</v>
      </c>
    </row>
    <row r="2513" spans="1:6" ht="15" customHeight="1" x14ac:dyDescent="0.2">
      <c r="A2513" s="5" t="str">
        <f ca="1">IFERROR(__xludf.DUMMYFUNCTION("""COMPUTED_VALUE"""),"TWIR")</f>
        <v>TWIR</v>
      </c>
      <c r="B2513" s="5" t="str">
        <f ca="1">IFERROR(__xludf.DUMMYFUNCTION("""COMPUTED_VALUE"""),"DYN'AERO")</f>
        <v>DYN'AERO</v>
      </c>
      <c r="C2513" s="5" t="str">
        <f ca="1">IFERROR(__xludf.DUMMYFUNCTION("""COMPUTED_VALUE"""),"Twin-R")</f>
        <v>Twin-R</v>
      </c>
      <c r="D2513" s="5" t="str">
        <f ca="1">IFERROR(__xludf.DUMMYFUNCTION("""COMPUTED_VALUE"""),"LandPlane")</f>
        <v>LandPlane</v>
      </c>
      <c r="E2513" s="5" t="str">
        <f ca="1">IFERROR(__xludf.DUMMYFUNCTION("""COMPUTED_VALUE"""),"Piston")</f>
        <v>Piston</v>
      </c>
      <c r="F2513" s="5">
        <f ca="1">IFERROR(__xludf.DUMMYFUNCTION("""COMPUTED_VALUE"""),2)</f>
        <v>2</v>
      </c>
    </row>
    <row r="2514" spans="1:6" ht="15" customHeight="1" x14ac:dyDescent="0.2">
      <c r="A2514" s="5" t="str">
        <f ca="1">IFERROR(__xludf.DUMMYFUNCTION("""COMPUTED_VALUE"""),"TWSP")</f>
        <v>TWSP</v>
      </c>
      <c r="B2514" s="5" t="str">
        <f ca="1">IFERROR(__xludf.DUMMYFUNCTION("""COMPUTED_VALUE"""),"TIME WARP")</f>
        <v>TIME WARP</v>
      </c>
      <c r="C2514" s="5" t="str">
        <f ca="1">IFERROR(__xludf.DUMMYFUNCTION("""COMPUTED_VALUE"""),"Spitfire")</f>
        <v>Spitfire</v>
      </c>
      <c r="D2514" s="5" t="str">
        <f ca="1">IFERROR(__xludf.DUMMYFUNCTION("""COMPUTED_VALUE"""),"LandPlane")</f>
        <v>LandPlane</v>
      </c>
      <c r="E2514" s="5" t="str">
        <f ca="1">IFERROR(__xludf.DUMMYFUNCTION("""COMPUTED_VALUE"""),"Piston")</f>
        <v>Piston</v>
      </c>
      <c r="F2514" s="5">
        <f ca="1">IFERROR(__xludf.DUMMYFUNCTION("""COMPUTED_VALUE"""),1)</f>
        <v>1</v>
      </c>
    </row>
    <row r="2515" spans="1:6" ht="15" customHeight="1" x14ac:dyDescent="0.2">
      <c r="A2515" s="5" t="str">
        <f ca="1">IFERROR(__xludf.DUMMYFUNCTION("""COMPUTED_VALUE"""),"TWST")</f>
        <v>TWST</v>
      </c>
      <c r="B2515" s="5" t="str">
        <f ca="1">IFERROR(__xludf.DUMMYFUNCTION("""COMPUTED_VALUE"""),"SILENCE")</f>
        <v>SILENCE</v>
      </c>
      <c r="C2515" s="5" t="str">
        <f ca="1">IFERROR(__xludf.DUMMYFUNCTION("""COMPUTED_VALUE"""),"Twister")</f>
        <v>Twister</v>
      </c>
      <c r="D2515" s="5" t="str">
        <f ca="1">IFERROR(__xludf.DUMMYFUNCTION("""COMPUTED_VALUE"""),"LandPlane")</f>
        <v>LandPlane</v>
      </c>
      <c r="E2515" s="5" t="str">
        <f ca="1">IFERROR(__xludf.DUMMYFUNCTION("""COMPUTED_VALUE"""),"Piston")</f>
        <v>Piston</v>
      </c>
      <c r="F2515" s="5">
        <f ca="1">IFERROR(__xludf.DUMMYFUNCTION("""COMPUTED_VALUE"""),1)</f>
        <v>1</v>
      </c>
    </row>
    <row r="2516" spans="1:6" ht="15" customHeight="1" x14ac:dyDescent="0.2">
      <c r="A2516" s="5" t="str">
        <f ca="1">IFERROR(__xludf.DUMMYFUNCTION("""COMPUTED_VALUE"""),"TZRV")</f>
        <v>TZRV</v>
      </c>
      <c r="B2516" s="5" t="str">
        <f ca="1">IFERROR(__xludf.DUMMYFUNCTION("""COMPUTED_VALUE"""),"IRIAF")</f>
        <v>IRIAF</v>
      </c>
      <c r="C2516" s="5" t="str">
        <f ca="1">IFERROR(__xludf.DUMMYFUNCTION("""COMPUTED_VALUE"""),"JT-2-2 Tazarve")</f>
        <v>JT-2-2 Tazarve</v>
      </c>
      <c r="D2516" s="5" t="str">
        <f ca="1">IFERROR(__xludf.DUMMYFUNCTION("""COMPUTED_VALUE"""),"LandPlane")</f>
        <v>LandPlane</v>
      </c>
      <c r="E2516" s="5" t="str">
        <f ca="1">IFERROR(__xludf.DUMMYFUNCTION("""COMPUTED_VALUE"""),"Jet")</f>
        <v>Jet</v>
      </c>
      <c r="F2516" s="5">
        <f ca="1">IFERROR(__xludf.DUMMYFUNCTION("""COMPUTED_VALUE"""),1)</f>
        <v>1</v>
      </c>
    </row>
    <row r="2517" spans="1:6" ht="15" customHeight="1" x14ac:dyDescent="0.2">
      <c r="A2517" s="5" t="str">
        <f ca="1">IFERROR(__xludf.DUMMYFUNCTION("""COMPUTED_VALUE"""),"U15")</f>
        <v>U15</v>
      </c>
      <c r="B2517" s="5" t="str">
        <f ca="1">IFERROR(__xludf.DUMMYFUNCTION("""COMPUTED_VALUE"""),"PHOENIX AIR")</f>
        <v>PHOENIX AIR</v>
      </c>
      <c r="C2517" s="5" t="str">
        <f ca="1">IFERROR(__xludf.DUMMYFUNCTION("""COMPUTED_VALUE"""),"U-15 Phoenix")</f>
        <v>U-15 Phoenix</v>
      </c>
      <c r="D2517" s="5" t="str">
        <f ca="1">IFERROR(__xludf.DUMMYFUNCTION("""COMPUTED_VALUE"""),"LandPlane")</f>
        <v>LandPlane</v>
      </c>
      <c r="E2517" s="5" t="str">
        <f ca="1">IFERROR(__xludf.DUMMYFUNCTION("""COMPUTED_VALUE"""),"Piston")</f>
        <v>Piston</v>
      </c>
      <c r="F2517" s="5">
        <f ca="1">IFERROR(__xludf.DUMMYFUNCTION("""COMPUTED_VALUE"""),1)</f>
        <v>1</v>
      </c>
    </row>
    <row r="2518" spans="1:6" ht="15" customHeight="1" x14ac:dyDescent="0.2">
      <c r="A2518" s="5" t="str">
        <f ca="1">IFERROR(__xludf.DUMMYFUNCTION("""COMPUTED_VALUE"""),"U16")</f>
        <v>U16</v>
      </c>
      <c r="B2518" s="5" t="str">
        <f ca="1">IFERROR(__xludf.DUMMYFUNCTION("""COMPUTED_VALUE"""),"GRUMMAN")</f>
        <v>GRUMMAN</v>
      </c>
      <c r="C2518" s="5" t="str">
        <f ca="1">IFERROR(__xludf.DUMMYFUNCTION("""COMPUTED_VALUE"""),"HU-16 Albatross")</f>
        <v>HU-16 Albatross</v>
      </c>
      <c r="D2518" s="5" t="str">
        <f ca="1">IFERROR(__xludf.DUMMYFUNCTION("""COMPUTED_VALUE"""),"Amphibian")</f>
        <v>Amphibian</v>
      </c>
      <c r="E2518" s="5" t="str">
        <f ca="1">IFERROR(__xludf.DUMMYFUNCTION("""COMPUTED_VALUE"""),"Piston")</f>
        <v>Piston</v>
      </c>
      <c r="F2518" s="5">
        <f ca="1">IFERROR(__xludf.DUMMYFUNCTION("""COMPUTED_VALUE"""),2)</f>
        <v>2</v>
      </c>
    </row>
    <row r="2519" spans="1:6" ht="15" customHeight="1" x14ac:dyDescent="0.2">
      <c r="A2519" s="5" t="str">
        <f ca="1">IFERROR(__xludf.DUMMYFUNCTION("""COMPUTED_VALUE"""),"U2")</f>
        <v>U2</v>
      </c>
      <c r="B2519" s="5" t="str">
        <f ca="1">IFERROR(__xludf.DUMMYFUNCTION("""COMPUTED_VALUE"""),"LOCKHEED")</f>
        <v>LOCKHEED</v>
      </c>
      <c r="C2519" s="5" t="str">
        <f ca="1">IFERROR(__xludf.DUMMYFUNCTION("""COMPUTED_VALUE"""),"U-2")</f>
        <v>U-2</v>
      </c>
      <c r="D2519" s="5" t="str">
        <f ca="1">IFERROR(__xludf.DUMMYFUNCTION("""COMPUTED_VALUE"""),"LandPlane")</f>
        <v>LandPlane</v>
      </c>
      <c r="E2519" s="5" t="str">
        <f ca="1">IFERROR(__xludf.DUMMYFUNCTION("""COMPUTED_VALUE"""),"Jet")</f>
        <v>Jet</v>
      </c>
      <c r="F2519" s="5">
        <f ca="1">IFERROR(__xludf.DUMMYFUNCTION("""COMPUTED_VALUE"""),1)</f>
        <v>1</v>
      </c>
    </row>
    <row r="2520" spans="1:6" ht="15" customHeight="1" x14ac:dyDescent="0.2">
      <c r="A2520" s="5" t="str">
        <f ca="1">IFERROR(__xludf.DUMMYFUNCTION("""COMPUTED_VALUE"""),"U21")</f>
        <v>U21</v>
      </c>
      <c r="B2520" s="5" t="str">
        <f ca="1">IFERROR(__xludf.DUMMYFUNCTION("""COMPUTED_VALUE"""),"BEECH")</f>
        <v>BEECH</v>
      </c>
      <c r="C2520" s="5" t="str">
        <f ca="1">IFERROR(__xludf.DUMMYFUNCTION("""COMPUTED_VALUE"""),"U-21A Ute")</f>
        <v>U-21A Ute</v>
      </c>
      <c r="D2520" s="5" t="str">
        <f ca="1">IFERROR(__xludf.DUMMYFUNCTION("""COMPUTED_VALUE"""),"LandPlane")</f>
        <v>LandPlane</v>
      </c>
      <c r="E2520" s="5" t="str">
        <f ca="1">IFERROR(__xludf.DUMMYFUNCTION("""COMPUTED_VALUE"""),"Turboprop/Turboshaft")</f>
        <v>Turboprop/Turboshaft</v>
      </c>
      <c r="F2520" s="5">
        <f ca="1">IFERROR(__xludf.DUMMYFUNCTION("""COMPUTED_VALUE"""),2)</f>
        <v>2</v>
      </c>
    </row>
    <row r="2521" spans="1:6" ht="15" customHeight="1" x14ac:dyDescent="0.2">
      <c r="A2521" s="5" t="str">
        <f ca="1">IFERROR(__xludf.DUMMYFUNCTION("""COMPUTED_VALUE"""),"U21")</f>
        <v>U21</v>
      </c>
      <c r="B2521" s="5" t="str">
        <f ca="1">IFERROR(__xludf.DUMMYFUNCTION("""COMPUTED_VALUE"""),"BEECH")</f>
        <v>BEECH</v>
      </c>
      <c r="C2521" s="5" t="str">
        <f ca="1">IFERROR(__xludf.DUMMYFUNCTION("""COMPUTED_VALUE"""),"U-21G Ute")</f>
        <v>U-21G Ute</v>
      </c>
      <c r="D2521" s="5" t="str">
        <f ca="1">IFERROR(__xludf.DUMMYFUNCTION("""COMPUTED_VALUE"""),"LandPlane")</f>
        <v>LandPlane</v>
      </c>
      <c r="E2521" s="5" t="str">
        <f ca="1">IFERROR(__xludf.DUMMYFUNCTION("""COMPUTED_VALUE"""),"Turboprop/Turboshaft")</f>
        <v>Turboprop/Turboshaft</v>
      </c>
      <c r="F2521" s="5">
        <f ca="1">IFERROR(__xludf.DUMMYFUNCTION("""COMPUTED_VALUE"""),2)</f>
        <v>2</v>
      </c>
    </row>
    <row r="2522" spans="1:6" ht="15" customHeight="1" x14ac:dyDescent="0.2">
      <c r="A2522" s="5" t="str">
        <f ca="1">IFERROR(__xludf.DUMMYFUNCTION("""COMPUTED_VALUE"""),"U21")</f>
        <v>U21</v>
      </c>
      <c r="B2522" s="5" t="str">
        <f ca="1">IFERROR(__xludf.DUMMYFUNCTION("""COMPUTED_VALUE"""),"BEECH")</f>
        <v>BEECH</v>
      </c>
      <c r="C2522" s="5" t="str">
        <f ca="1">IFERROR(__xludf.DUMMYFUNCTION("""COMPUTED_VALUE"""),"Ute (U-21A/G)")</f>
        <v>Ute (U-21A/G)</v>
      </c>
      <c r="D2522" s="5" t="str">
        <f ca="1">IFERROR(__xludf.DUMMYFUNCTION("""COMPUTED_VALUE"""),"LandPlane")</f>
        <v>LandPlane</v>
      </c>
      <c r="E2522" s="5" t="str">
        <f ca="1">IFERROR(__xludf.DUMMYFUNCTION("""COMPUTED_VALUE"""),"Turboprop/Turboshaft")</f>
        <v>Turboprop/Turboshaft</v>
      </c>
      <c r="F2522" s="5">
        <f ca="1">IFERROR(__xludf.DUMMYFUNCTION("""COMPUTED_VALUE"""),2)</f>
        <v>2</v>
      </c>
    </row>
    <row r="2523" spans="1:6" ht="15" customHeight="1" x14ac:dyDescent="0.2">
      <c r="A2523" s="5" t="str">
        <f ca="1">IFERROR(__xludf.DUMMYFUNCTION("""COMPUTED_VALUE"""),"U22")</f>
        <v>U22</v>
      </c>
      <c r="B2523" s="5" t="str">
        <f ca="1">IFERROR(__xludf.DUMMYFUNCTION("""COMPUTED_VALUE"""),"BEECH")</f>
        <v>BEECH</v>
      </c>
      <c r="C2523" s="5" t="str">
        <f ca="1">IFERROR(__xludf.DUMMYFUNCTION("""COMPUTED_VALUE"""),"QU-22")</f>
        <v>QU-22</v>
      </c>
      <c r="D2523" s="5" t="str">
        <f ca="1">IFERROR(__xludf.DUMMYFUNCTION("""COMPUTED_VALUE"""),"LandPlane")</f>
        <v>LandPlane</v>
      </c>
      <c r="E2523" s="5" t="str">
        <f ca="1">IFERROR(__xludf.DUMMYFUNCTION("""COMPUTED_VALUE"""),"Piston")</f>
        <v>Piston</v>
      </c>
      <c r="F2523" s="5">
        <f ca="1">IFERROR(__xludf.DUMMYFUNCTION("""COMPUTED_VALUE"""),1)</f>
        <v>1</v>
      </c>
    </row>
    <row r="2524" spans="1:6" ht="15" customHeight="1" x14ac:dyDescent="0.2">
      <c r="A2524" s="5" t="str">
        <f ca="1">IFERROR(__xludf.DUMMYFUNCTION("""COMPUTED_VALUE"""),"UBAT")</f>
        <v>UBAT</v>
      </c>
      <c r="B2524" s="5" t="str">
        <f ca="1">IFERROR(__xludf.DUMMYFUNCTION("""COMPUTED_VALUE"""),"AUSTRALITE")</f>
        <v>AUSTRALITE</v>
      </c>
      <c r="C2524" s="5" t="str">
        <f ca="1">IFERROR(__xludf.DUMMYFUNCTION("""COMPUTED_VALUE"""),"Ultrabat")</f>
        <v>Ultrabat</v>
      </c>
      <c r="D2524" s="5" t="str">
        <f ca="1">IFERROR(__xludf.DUMMYFUNCTION("""COMPUTED_VALUE"""),"LandPlane")</f>
        <v>LandPlane</v>
      </c>
      <c r="E2524" s="5" t="str">
        <f ca="1">IFERROR(__xludf.DUMMYFUNCTION("""COMPUTED_VALUE"""),"Piston")</f>
        <v>Piston</v>
      </c>
      <c r="F2524" s="5">
        <f ca="1">IFERROR(__xludf.DUMMYFUNCTION("""COMPUTED_VALUE"""),1)</f>
        <v>1</v>
      </c>
    </row>
    <row r="2525" spans="1:6" ht="15" customHeight="1" x14ac:dyDescent="0.2">
      <c r="A2525" s="5" t="str">
        <f ca="1">IFERROR(__xludf.DUMMYFUNCTION("""COMPUTED_VALUE"""),"UF10")</f>
        <v>UF10</v>
      </c>
      <c r="B2525" s="5" t="str">
        <f ca="1">IFERROR(__xludf.DUMMYFUNCTION("""COMPUTED_VALUE"""),"URBAN")</f>
        <v>URBAN</v>
      </c>
      <c r="C2525" s="5" t="str">
        <f ca="1">IFERROR(__xludf.DUMMYFUNCTION("""COMPUTED_VALUE"""),"UFM-10 Samba")</f>
        <v>UFM-10 Samba</v>
      </c>
      <c r="D2525" s="5" t="str">
        <f ca="1">IFERROR(__xludf.DUMMYFUNCTION("""COMPUTED_VALUE"""),"LandPlane")</f>
        <v>LandPlane</v>
      </c>
      <c r="E2525" s="5" t="str">
        <f ca="1">IFERROR(__xludf.DUMMYFUNCTION("""COMPUTED_VALUE"""),"Piston")</f>
        <v>Piston</v>
      </c>
      <c r="F2525" s="5">
        <f ca="1">IFERROR(__xludf.DUMMYFUNCTION("""COMPUTED_VALUE"""),1)</f>
        <v>1</v>
      </c>
    </row>
    <row r="2526" spans="1:6" ht="15" customHeight="1" x14ac:dyDescent="0.2">
      <c r="A2526" s="5" t="str">
        <f ca="1">IFERROR(__xludf.DUMMYFUNCTION("""COMPUTED_VALUE"""),"UF13")</f>
        <v>UF13</v>
      </c>
      <c r="B2526" s="5" t="str">
        <f ca="1">IFERROR(__xludf.DUMMYFUNCTION("""COMPUTED_VALUE"""),"URBAN")</f>
        <v>URBAN</v>
      </c>
      <c r="C2526" s="5" t="str">
        <f ca="1">IFERROR(__xludf.DUMMYFUNCTION("""COMPUTED_VALUE"""),"UFM-13 Lambada")</f>
        <v>UFM-13 Lambada</v>
      </c>
      <c r="D2526" s="5" t="str">
        <f ca="1">IFERROR(__xludf.DUMMYFUNCTION("""COMPUTED_VALUE"""),"LandPlane")</f>
        <v>LandPlane</v>
      </c>
      <c r="E2526" s="5" t="str">
        <f ca="1">IFERROR(__xludf.DUMMYFUNCTION("""COMPUTED_VALUE"""),"Piston")</f>
        <v>Piston</v>
      </c>
      <c r="F2526" s="5">
        <f ca="1">IFERROR(__xludf.DUMMYFUNCTION("""COMPUTED_VALUE"""),1)</f>
        <v>1</v>
      </c>
    </row>
    <row r="2527" spans="1:6" ht="15" customHeight="1" x14ac:dyDescent="0.2">
      <c r="A2527" s="5" t="str">
        <f ca="1">IFERROR(__xludf.DUMMYFUNCTION("""COMPUTED_VALUE"""),"UFHT")</f>
        <v>UFHT</v>
      </c>
      <c r="B2527" s="5" t="str">
        <f ca="1">IFERROR(__xludf.DUMMYFUNCTION("""COMPUTED_VALUE"""),"UFO")</f>
        <v>UFO</v>
      </c>
      <c r="C2527" s="5" t="str">
        <f ca="1">IFERROR(__xludf.DUMMYFUNCTION("""COMPUTED_VALUE"""),"HeliThruster")</f>
        <v>HeliThruster</v>
      </c>
      <c r="D2527" s="5" t="str">
        <f ca="1">IFERROR(__xludf.DUMMYFUNCTION("""COMPUTED_VALUE"""),"Gyrocopter")</f>
        <v>Gyrocopter</v>
      </c>
      <c r="E2527" s="5" t="str">
        <f ca="1">IFERROR(__xludf.DUMMYFUNCTION("""COMPUTED_VALUE"""),"Piston")</f>
        <v>Piston</v>
      </c>
      <c r="F2527" s="5">
        <f ca="1">IFERROR(__xludf.DUMMYFUNCTION("""COMPUTED_VALUE"""),1)</f>
        <v>1</v>
      </c>
    </row>
    <row r="2528" spans="1:6" ht="15" customHeight="1" x14ac:dyDescent="0.2">
      <c r="A2528" s="5" t="str">
        <f ca="1">IFERROR(__xludf.DUMMYFUNCTION("""COMPUTED_VALUE"""),"UH1")</f>
        <v>UH1</v>
      </c>
      <c r="B2528" s="5" t="str">
        <f ca="1">IFERROR(__xludf.DUMMYFUNCTION("""COMPUTED_VALUE"""),"BELL")</f>
        <v>BELL</v>
      </c>
      <c r="C2528" s="5" t="str">
        <f ca="1">IFERROR(__xludf.DUMMYFUNCTION("""COMPUTED_VALUE"""),"UH-1A Iroquois")</f>
        <v>UH-1A Iroquois</v>
      </c>
      <c r="D2528" s="5" t="str">
        <f ca="1">IFERROR(__xludf.DUMMYFUNCTION("""COMPUTED_VALUE"""),"Helicopter")</f>
        <v>Helicopter</v>
      </c>
      <c r="E2528" s="5" t="str">
        <f ca="1">IFERROR(__xludf.DUMMYFUNCTION("""COMPUTED_VALUE"""),"Turboprop/Turboshaft")</f>
        <v>Turboprop/Turboshaft</v>
      </c>
      <c r="F2528" s="5">
        <f ca="1">IFERROR(__xludf.DUMMYFUNCTION("""COMPUTED_VALUE"""),1)</f>
        <v>1</v>
      </c>
    </row>
    <row r="2529" spans="1:6" ht="15" customHeight="1" x14ac:dyDescent="0.2">
      <c r="A2529" s="5" t="str">
        <f ca="1">IFERROR(__xludf.DUMMYFUNCTION("""COMPUTED_VALUE"""),"UH12")</f>
        <v>UH12</v>
      </c>
      <c r="B2529" s="5" t="str">
        <f ca="1">IFERROR(__xludf.DUMMYFUNCTION("""COMPUTED_VALUE"""),"HILLER")</f>
        <v>HILLER</v>
      </c>
      <c r="C2529" s="5" t="str">
        <f ca="1">IFERROR(__xludf.DUMMYFUNCTION("""COMPUTED_VALUE"""),"UH-12B")</f>
        <v>UH-12B</v>
      </c>
      <c r="D2529" s="5" t="str">
        <f ca="1">IFERROR(__xludf.DUMMYFUNCTION("""COMPUTED_VALUE"""),"Helicopter")</f>
        <v>Helicopter</v>
      </c>
      <c r="E2529" s="5" t="str">
        <f ca="1">IFERROR(__xludf.DUMMYFUNCTION("""COMPUTED_VALUE"""),"Piston")</f>
        <v>Piston</v>
      </c>
      <c r="F2529" s="5">
        <f ca="1">IFERROR(__xludf.DUMMYFUNCTION("""COMPUTED_VALUE"""),1)</f>
        <v>1</v>
      </c>
    </row>
    <row r="2530" spans="1:6" ht="15" customHeight="1" x14ac:dyDescent="0.2">
      <c r="A2530" s="5" t="str">
        <f ca="1">IFERROR(__xludf.DUMMYFUNCTION("""COMPUTED_VALUE"""),"UH1Y")</f>
        <v>UH1Y</v>
      </c>
      <c r="B2530" s="5" t="str">
        <f ca="1">IFERROR(__xludf.DUMMYFUNCTION("""COMPUTED_VALUE"""),"BELL")</f>
        <v>BELL</v>
      </c>
      <c r="C2530" s="5" t="str">
        <f ca="1">IFERROR(__xludf.DUMMYFUNCTION("""COMPUTED_VALUE"""),"UH-1Y")</f>
        <v>UH-1Y</v>
      </c>
      <c r="D2530" s="5" t="str">
        <f ca="1">IFERROR(__xludf.DUMMYFUNCTION("""COMPUTED_VALUE"""),"Helicopter")</f>
        <v>Helicopter</v>
      </c>
      <c r="E2530" s="5" t="str">
        <f ca="1">IFERROR(__xludf.DUMMYFUNCTION("""COMPUTED_VALUE"""),"Turboprop/Turboshaft")</f>
        <v>Turboprop/Turboshaft</v>
      </c>
      <c r="F2530" s="5">
        <f ca="1">IFERROR(__xludf.DUMMYFUNCTION("""COMPUTED_VALUE"""),2)</f>
        <v>2</v>
      </c>
    </row>
    <row r="2531" spans="1:6" ht="15" customHeight="1" x14ac:dyDescent="0.2">
      <c r="A2531" s="5" t="str">
        <f ca="1">IFERROR(__xludf.DUMMYFUNCTION("""COMPUTED_VALUE"""),"UL10")</f>
        <v>UL10</v>
      </c>
      <c r="B2531" s="5" t="str">
        <f ca="1">IFERROR(__xludf.DUMMYFUNCTION("""COMPUTED_VALUE"""),"ULTIMATE")</f>
        <v>ULTIMATE</v>
      </c>
      <c r="C2531" s="5" t="str">
        <f ca="1">IFERROR(__xludf.DUMMYFUNCTION("""COMPUTED_VALUE"""),"10 Albertan")</f>
        <v>10 Albertan</v>
      </c>
      <c r="D2531" s="5" t="str">
        <f ca="1">IFERROR(__xludf.DUMMYFUNCTION("""COMPUTED_VALUE"""),"LandPlane")</f>
        <v>LandPlane</v>
      </c>
      <c r="E2531" s="5" t="str">
        <f ca="1">IFERROR(__xludf.DUMMYFUNCTION("""COMPUTED_VALUE"""),"Piston")</f>
        <v>Piston</v>
      </c>
      <c r="F2531" s="5">
        <f ca="1">IFERROR(__xludf.DUMMYFUNCTION("""COMPUTED_VALUE"""),1)</f>
        <v>1</v>
      </c>
    </row>
    <row r="2532" spans="1:6" ht="15" customHeight="1" x14ac:dyDescent="0.2">
      <c r="A2532" s="5" t="str">
        <f ca="1">IFERROR(__xludf.DUMMYFUNCTION("""COMPUTED_VALUE"""),"UL20")</f>
        <v>UL20</v>
      </c>
      <c r="B2532" s="5" t="str">
        <f ca="1">IFERROR(__xludf.DUMMYFUNCTION("""COMPUTED_VALUE"""),"ULTIMATE")</f>
        <v>ULTIMATE</v>
      </c>
      <c r="C2532" s="5" t="str">
        <f ca="1">IFERROR(__xludf.DUMMYFUNCTION("""COMPUTED_VALUE"""),"20")</f>
        <v>20</v>
      </c>
      <c r="D2532" s="5" t="str">
        <f ca="1">IFERROR(__xludf.DUMMYFUNCTION("""COMPUTED_VALUE"""),"LandPlane")</f>
        <v>LandPlane</v>
      </c>
      <c r="E2532" s="5" t="str">
        <f ca="1">IFERROR(__xludf.DUMMYFUNCTION("""COMPUTED_VALUE"""),"Piston")</f>
        <v>Piston</v>
      </c>
      <c r="F2532" s="5">
        <f ca="1">IFERROR(__xludf.DUMMYFUNCTION("""COMPUTED_VALUE"""),1)</f>
        <v>1</v>
      </c>
    </row>
    <row r="2533" spans="1:6" ht="15" customHeight="1" x14ac:dyDescent="0.2">
      <c r="A2533" s="5" t="str">
        <f ca="1">IFERROR(__xludf.DUMMYFUNCTION("""COMPUTED_VALUE"""),"UL2F")</f>
        <v>UL2F</v>
      </c>
      <c r="B2533" s="5" t="str">
        <f ca="1">IFERROR(__xludf.DUMMYFUNCTION("""COMPUTED_VALUE"""),"AEROS")</f>
        <v>AEROS</v>
      </c>
      <c r="C2533" s="5" t="str">
        <f ca="1">IFERROR(__xludf.DUMMYFUNCTION("""COMPUTED_VALUE"""),"UL-2000 Flamingo")</f>
        <v>UL-2000 Flamingo</v>
      </c>
      <c r="D2533" s="5" t="str">
        <f ca="1">IFERROR(__xludf.DUMMYFUNCTION("""COMPUTED_VALUE"""),"LandPlane")</f>
        <v>LandPlane</v>
      </c>
      <c r="E2533" s="5" t="str">
        <f ca="1">IFERROR(__xludf.DUMMYFUNCTION("""COMPUTED_VALUE"""),"Piston")</f>
        <v>Piston</v>
      </c>
      <c r="F2533" s="5">
        <f ca="1">IFERROR(__xludf.DUMMYFUNCTION("""COMPUTED_VALUE"""),1)</f>
        <v>1</v>
      </c>
    </row>
    <row r="2534" spans="1:6" ht="15" customHeight="1" x14ac:dyDescent="0.2">
      <c r="A2534" s="5" t="str">
        <f ca="1">IFERROR(__xludf.DUMMYFUNCTION("""COMPUTED_VALUE"""),"UL45")</f>
        <v>UL45</v>
      </c>
      <c r="B2534" s="5" t="str">
        <f ca="1">IFERROR(__xludf.DUMMYFUNCTION("""COMPUTED_VALUE"""),"3XTRIM")</f>
        <v>3XTRIM</v>
      </c>
      <c r="C2534" s="5" t="str">
        <f ca="1">IFERROR(__xludf.DUMMYFUNCTION("""COMPUTED_VALUE"""),"450 Ultra")</f>
        <v>450 Ultra</v>
      </c>
      <c r="D2534" s="5" t="str">
        <f ca="1">IFERROR(__xludf.DUMMYFUNCTION("""COMPUTED_VALUE"""),"LandPlane")</f>
        <v>LandPlane</v>
      </c>
      <c r="E2534" s="5" t="str">
        <f ca="1">IFERROR(__xludf.DUMMYFUNCTION("""COMPUTED_VALUE"""),"Piston")</f>
        <v>Piston</v>
      </c>
      <c r="F2534" s="5">
        <f ca="1">IFERROR(__xludf.DUMMYFUNCTION("""COMPUTED_VALUE"""),1)</f>
        <v>1</v>
      </c>
    </row>
    <row r="2535" spans="1:6" ht="15" customHeight="1" x14ac:dyDescent="0.2">
      <c r="A2535" s="5" t="str">
        <f ca="1">IFERROR(__xludf.DUMMYFUNCTION("""COMPUTED_VALUE"""),"ULPA")</f>
        <v>ULPA</v>
      </c>
      <c r="B2535" s="5" t="str">
        <f ca="1">IFERROR(__xludf.DUMMYFUNCTION("""COMPUTED_VALUE"""),"ULLMANN")</f>
        <v>ULLMANN</v>
      </c>
      <c r="C2535" s="5" t="str">
        <f ca="1">IFERROR(__xludf.DUMMYFUNCTION("""COMPUTED_VALUE"""),"Panther")</f>
        <v>Panther</v>
      </c>
      <c r="D2535" s="5" t="str">
        <f ca="1">IFERROR(__xludf.DUMMYFUNCTION("""COMPUTED_VALUE"""),"LandPlane")</f>
        <v>LandPlane</v>
      </c>
      <c r="E2535" s="5" t="str">
        <f ca="1">IFERROR(__xludf.DUMMYFUNCTION("""COMPUTED_VALUE"""),"Piston")</f>
        <v>Piston</v>
      </c>
      <c r="F2535" s="5">
        <f ca="1">IFERROR(__xludf.DUMMYFUNCTION("""COMPUTED_VALUE"""),1)</f>
        <v>1</v>
      </c>
    </row>
    <row r="2536" spans="1:6" ht="15" customHeight="1" x14ac:dyDescent="0.2">
      <c r="A2536" s="5" t="str">
        <f ca="1">IFERROR(__xludf.DUMMYFUNCTION("""COMPUTED_VALUE"""),"ULTS")</f>
        <v>ULTS</v>
      </c>
      <c r="B2536" s="5" t="str">
        <f ca="1">IFERROR(__xludf.DUMMYFUNCTION("""COMPUTED_VALUE"""),"AMERICAN SPORTSCOPTER")</f>
        <v>AMERICAN SPORTSCOPTER</v>
      </c>
      <c r="C2536" s="5" t="str">
        <f ca="1">IFERROR(__xludf.DUMMYFUNCTION("""COMPUTED_VALUE"""),"Ultrasport 496")</f>
        <v>Ultrasport 496</v>
      </c>
      <c r="D2536" s="5" t="str">
        <f ca="1">IFERROR(__xludf.DUMMYFUNCTION("""COMPUTED_VALUE"""),"Helicopter")</f>
        <v>Helicopter</v>
      </c>
      <c r="E2536" s="5" t="str">
        <f ca="1">IFERROR(__xludf.DUMMYFUNCTION("""COMPUTED_VALUE"""),"Piston")</f>
        <v>Piston</v>
      </c>
      <c r="F2536" s="5">
        <f ca="1">IFERROR(__xludf.DUMMYFUNCTION("""COMPUTED_VALUE"""),1)</f>
        <v>1</v>
      </c>
    </row>
    <row r="2537" spans="1:6" ht="15" customHeight="1" x14ac:dyDescent="0.2">
      <c r="A2537" s="5" t="str">
        <f ca="1">IFERROR(__xludf.DUMMYFUNCTION("""COMPUTED_VALUE"""),"UM18")</f>
        <v>UM18</v>
      </c>
      <c r="B2537" s="5" t="str">
        <f ca="1">IFERROR(__xludf.DUMMYFUNCTION("""COMPUTED_VALUE"""),"UMBAUGH")</f>
        <v>UMBAUGH</v>
      </c>
      <c r="C2537" s="5" t="str">
        <f ca="1">IFERROR(__xludf.DUMMYFUNCTION("""COMPUTED_VALUE"""),"18")</f>
        <v>18</v>
      </c>
      <c r="D2537" s="5" t="str">
        <f ca="1">IFERROR(__xludf.DUMMYFUNCTION("""COMPUTED_VALUE"""),"Gyrocopter")</f>
        <v>Gyrocopter</v>
      </c>
      <c r="E2537" s="5" t="str">
        <f ca="1">IFERROR(__xludf.DUMMYFUNCTION("""COMPUTED_VALUE"""),"Piston")</f>
        <v>Piston</v>
      </c>
      <c r="F2537" s="5">
        <f ca="1">IFERROR(__xludf.DUMMYFUNCTION("""COMPUTED_VALUE"""),1)</f>
        <v>1</v>
      </c>
    </row>
    <row r="2538" spans="1:6" ht="15" customHeight="1" x14ac:dyDescent="0.2">
      <c r="A2538" s="5" t="str">
        <f ca="1">IFERROR(__xludf.DUMMYFUNCTION("""COMPUTED_VALUE"""),"UNIV")</f>
        <v>UNIV</v>
      </c>
      <c r="B2538" s="5" t="str">
        <f ca="1">IFERROR(__xludf.DUMMYFUNCTION("""COMPUTED_VALUE"""),"NEIVA")</f>
        <v>NEIVA</v>
      </c>
      <c r="C2538" s="5" t="str">
        <f ca="1">IFERROR(__xludf.DUMMYFUNCTION("""COMPUTED_VALUE"""),"N-621 Universal")</f>
        <v>N-621 Universal</v>
      </c>
      <c r="D2538" s="5" t="str">
        <f ca="1">IFERROR(__xludf.DUMMYFUNCTION("""COMPUTED_VALUE"""),"LandPlane")</f>
        <v>LandPlane</v>
      </c>
      <c r="E2538" s="5" t="str">
        <f ca="1">IFERROR(__xludf.DUMMYFUNCTION("""COMPUTED_VALUE"""),"Piston")</f>
        <v>Piston</v>
      </c>
      <c r="F2538" s="5">
        <f ca="1">IFERROR(__xludf.DUMMYFUNCTION("""COMPUTED_VALUE"""),1)</f>
        <v>1</v>
      </c>
    </row>
    <row r="2539" spans="1:6" ht="15" customHeight="1" x14ac:dyDescent="0.2">
      <c r="A2539" s="5" t="str">
        <f ca="1">IFERROR(__xludf.DUMMYFUNCTION("""COMPUTED_VALUE"""),"URRA")</f>
        <v>URRA</v>
      </c>
      <c r="B2539" s="5" t="str">
        <f ca="1">IFERROR(__xludf.DUMMYFUNCTION("""COMPUTED_VALUE"""),"IBIS (2)")</f>
        <v>IBIS (2)</v>
      </c>
      <c r="C2539" s="5" t="str">
        <f ca="1">IFERROR(__xludf.DUMMYFUNCTION("""COMPUTED_VALUE"""),"Urraco")</f>
        <v>Urraco</v>
      </c>
      <c r="D2539" s="5" t="str">
        <f ca="1">IFERROR(__xludf.DUMMYFUNCTION("""COMPUTED_VALUE"""),"LandPlane")</f>
        <v>LandPlane</v>
      </c>
      <c r="E2539" s="5" t="str">
        <f ca="1">IFERROR(__xludf.DUMMYFUNCTION("""COMPUTED_VALUE"""),"Piston")</f>
        <v>Piston</v>
      </c>
      <c r="F2539" s="5">
        <f ca="1">IFERROR(__xludf.DUMMYFUNCTION("""COMPUTED_VALUE"""),1)</f>
        <v>1</v>
      </c>
    </row>
    <row r="2540" spans="1:6" ht="15" customHeight="1" x14ac:dyDescent="0.2">
      <c r="A2540" s="5" t="str">
        <f ca="1">IFERROR(__xludf.DUMMYFUNCTION("""COMPUTED_VALUE"""),"US2")</f>
        <v>US2</v>
      </c>
      <c r="B2540" s="5" t="str">
        <f ca="1">IFERROR(__xludf.DUMMYFUNCTION("""COMPUTED_VALUE"""),"SHINMAYWA")</f>
        <v>SHINMAYWA</v>
      </c>
      <c r="C2540" s="5" t="str">
        <f ca="1">IFERROR(__xludf.DUMMYFUNCTION("""COMPUTED_VALUE"""),"US-2")</f>
        <v>US-2</v>
      </c>
      <c r="D2540" s="5" t="str">
        <f ca="1">IFERROR(__xludf.DUMMYFUNCTION("""COMPUTED_VALUE"""),"Amphibian")</f>
        <v>Amphibian</v>
      </c>
      <c r="E2540" s="5" t="str">
        <f ca="1">IFERROR(__xludf.DUMMYFUNCTION("""COMPUTED_VALUE"""),"Turboprop/Turboshaft")</f>
        <v>Turboprop/Turboshaft</v>
      </c>
      <c r="F2540" s="5">
        <f ca="1">IFERROR(__xludf.DUMMYFUNCTION("""COMPUTED_VALUE"""),4)</f>
        <v>4</v>
      </c>
    </row>
    <row r="2541" spans="1:6" ht="15" customHeight="1" x14ac:dyDescent="0.2">
      <c r="A2541" s="5" t="str">
        <f ca="1">IFERROR(__xludf.DUMMYFUNCTION("""COMPUTED_VALUE"""),"UT60")</f>
        <v>UT60</v>
      </c>
      <c r="B2541" s="5" t="str">
        <f ca="1">IFERROR(__xludf.DUMMYFUNCTION("""COMPUTED_VALUE"""),"UTVA")</f>
        <v>UTVA</v>
      </c>
      <c r="C2541" s="5" t="str">
        <f ca="1">IFERROR(__xludf.DUMMYFUNCTION("""COMPUTED_VALUE"""),"60")</f>
        <v>60</v>
      </c>
      <c r="D2541" s="5" t="str">
        <f ca="1">IFERROR(__xludf.DUMMYFUNCTION("""COMPUTED_VALUE"""),"LandPlane")</f>
        <v>LandPlane</v>
      </c>
      <c r="E2541" s="5" t="str">
        <f ca="1">IFERROR(__xludf.DUMMYFUNCTION("""COMPUTED_VALUE"""),"Piston")</f>
        <v>Piston</v>
      </c>
      <c r="F2541" s="5">
        <f ca="1">IFERROR(__xludf.DUMMYFUNCTION("""COMPUTED_VALUE"""),1)</f>
        <v>1</v>
      </c>
    </row>
    <row r="2542" spans="1:6" ht="15" customHeight="1" x14ac:dyDescent="0.2">
      <c r="A2542" s="5" t="str">
        <f ca="1">IFERROR(__xludf.DUMMYFUNCTION("""COMPUTED_VALUE"""),"UT65")</f>
        <v>UT65</v>
      </c>
      <c r="B2542" s="5" t="str">
        <f ca="1">IFERROR(__xludf.DUMMYFUNCTION("""COMPUTED_VALUE"""),"UTVA")</f>
        <v>UTVA</v>
      </c>
      <c r="C2542" s="5" t="str">
        <f ca="1">IFERROR(__xludf.DUMMYFUNCTION("""COMPUTED_VALUE"""),"65 Privrednik")</f>
        <v>65 Privrednik</v>
      </c>
      <c r="D2542" s="5" t="str">
        <f ca="1">IFERROR(__xludf.DUMMYFUNCTION("""COMPUTED_VALUE"""),"LandPlane")</f>
        <v>LandPlane</v>
      </c>
      <c r="E2542" s="5" t="str">
        <f ca="1">IFERROR(__xludf.DUMMYFUNCTION("""COMPUTED_VALUE"""),"Piston")</f>
        <v>Piston</v>
      </c>
      <c r="F2542" s="5">
        <f ca="1">IFERROR(__xludf.DUMMYFUNCTION("""COMPUTED_VALUE"""),1)</f>
        <v>1</v>
      </c>
    </row>
    <row r="2543" spans="1:6" ht="15" customHeight="1" x14ac:dyDescent="0.2">
      <c r="A2543" s="5" t="str">
        <f ca="1">IFERROR(__xludf.DUMMYFUNCTION("""COMPUTED_VALUE"""),"UT66")</f>
        <v>UT66</v>
      </c>
      <c r="B2543" s="5" t="str">
        <f ca="1">IFERROR(__xludf.DUMMYFUNCTION("""COMPUTED_VALUE"""),"UTVA")</f>
        <v>UTVA</v>
      </c>
      <c r="C2543" s="5" t="str">
        <f ca="1">IFERROR(__xludf.DUMMYFUNCTION("""COMPUTED_VALUE"""),"66")</f>
        <v>66</v>
      </c>
      <c r="D2543" s="5" t="str">
        <f ca="1">IFERROR(__xludf.DUMMYFUNCTION("""COMPUTED_VALUE"""),"LandPlane")</f>
        <v>LandPlane</v>
      </c>
      <c r="E2543" s="5" t="str">
        <f ca="1">IFERROR(__xludf.DUMMYFUNCTION("""COMPUTED_VALUE"""),"Piston")</f>
        <v>Piston</v>
      </c>
      <c r="F2543" s="5">
        <f ca="1">IFERROR(__xludf.DUMMYFUNCTION("""COMPUTED_VALUE"""),1)</f>
        <v>1</v>
      </c>
    </row>
    <row r="2544" spans="1:6" ht="15" customHeight="1" x14ac:dyDescent="0.2">
      <c r="A2544" s="5" t="str">
        <f ca="1">IFERROR(__xludf.DUMMYFUNCTION("""COMPUTED_VALUE"""),"UT75")</f>
        <v>UT75</v>
      </c>
      <c r="B2544" s="5" t="str">
        <f ca="1">IFERROR(__xludf.DUMMYFUNCTION("""COMPUTED_VALUE"""),"UTVA")</f>
        <v>UTVA</v>
      </c>
      <c r="C2544" s="5" t="str">
        <f ca="1">IFERROR(__xludf.DUMMYFUNCTION("""COMPUTED_VALUE"""),"75")</f>
        <v>75</v>
      </c>
      <c r="D2544" s="5" t="str">
        <f ca="1">IFERROR(__xludf.DUMMYFUNCTION("""COMPUTED_VALUE"""),"LandPlane")</f>
        <v>LandPlane</v>
      </c>
      <c r="E2544" s="5" t="str">
        <f ca="1">IFERROR(__xludf.DUMMYFUNCTION("""COMPUTED_VALUE"""),"Piston")</f>
        <v>Piston</v>
      </c>
      <c r="F2544" s="5">
        <f ca="1">IFERROR(__xludf.DUMMYFUNCTION("""COMPUTED_VALUE"""),1)</f>
        <v>1</v>
      </c>
    </row>
    <row r="2545" spans="1:6" ht="15" customHeight="1" x14ac:dyDescent="0.2">
      <c r="A2545" s="5" t="str">
        <f ca="1">IFERROR(__xludf.DUMMYFUNCTION("""COMPUTED_VALUE"""),"UU12")</f>
        <v>UU12</v>
      </c>
      <c r="B2545" s="5" t="str">
        <f ca="1">IFERROR(__xludf.DUMMYFUNCTION("""COMPUTED_VALUE"""),"UDET")</f>
        <v>UDET</v>
      </c>
      <c r="C2545" s="5" t="str">
        <f ca="1">IFERROR(__xludf.DUMMYFUNCTION("""COMPUTED_VALUE"""),"U-12 Flamingo Replica")</f>
        <v>U-12 Flamingo Replica</v>
      </c>
      <c r="D2545" s="5" t="str">
        <f ca="1">IFERROR(__xludf.DUMMYFUNCTION("""COMPUTED_VALUE"""),"LandPlane")</f>
        <v>LandPlane</v>
      </c>
      <c r="E2545" s="5" t="str">
        <f ca="1">IFERROR(__xludf.DUMMYFUNCTION("""COMPUTED_VALUE"""),"Piston")</f>
        <v>Piston</v>
      </c>
      <c r="F2545" s="5">
        <f ca="1">IFERROR(__xludf.DUMMYFUNCTION("""COMPUTED_VALUE"""),1)</f>
        <v>1</v>
      </c>
    </row>
    <row r="2546" spans="1:6" ht="15" customHeight="1" x14ac:dyDescent="0.2">
      <c r="A2546" s="5" t="str">
        <f ca="1">IFERROR(__xludf.DUMMYFUNCTION("""COMPUTED_VALUE"""),"V1")</f>
        <v>V1</v>
      </c>
      <c r="B2546" s="5" t="str">
        <f ca="1">IFERROR(__xludf.DUMMYFUNCTION("""COMPUTED_VALUE"""),"GRUMMAN")</f>
        <v>GRUMMAN</v>
      </c>
      <c r="C2546" s="5" t="str">
        <f ca="1">IFERROR(__xludf.DUMMYFUNCTION("""COMPUTED_VALUE"""),"OV-1 Mohawk")</f>
        <v>OV-1 Mohawk</v>
      </c>
      <c r="D2546" s="5" t="str">
        <f ca="1">IFERROR(__xludf.DUMMYFUNCTION("""COMPUTED_VALUE"""),"LandPlane")</f>
        <v>LandPlane</v>
      </c>
      <c r="E2546" s="5" t="str">
        <f ca="1">IFERROR(__xludf.DUMMYFUNCTION("""COMPUTED_VALUE"""),"Turboprop/Turboshaft")</f>
        <v>Turboprop/Turboshaft</v>
      </c>
      <c r="F2546" s="5">
        <f ca="1">IFERROR(__xludf.DUMMYFUNCTION("""COMPUTED_VALUE"""),2)</f>
        <v>2</v>
      </c>
    </row>
    <row r="2547" spans="1:6" ht="15" customHeight="1" x14ac:dyDescent="0.2">
      <c r="A2547" s="5" t="str">
        <f ca="1">IFERROR(__xludf.DUMMYFUNCTION("""COMPUTED_VALUE"""),"V10")</f>
        <v>V10</v>
      </c>
      <c r="B2547" s="5" t="str">
        <f ca="1">IFERROR(__xludf.DUMMYFUNCTION("""COMPUTED_VALUE"""),"NORTH AMERICAN ROCKWELL")</f>
        <v>NORTH AMERICAN ROCKWELL</v>
      </c>
      <c r="C2547" s="5" t="str">
        <f ca="1">IFERROR(__xludf.DUMMYFUNCTION("""COMPUTED_VALUE"""),"OV-10 Bronco")</f>
        <v>OV-10 Bronco</v>
      </c>
      <c r="D2547" s="5" t="str">
        <f ca="1">IFERROR(__xludf.DUMMYFUNCTION("""COMPUTED_VALUE"""),"LandPlane")</f>
        <v>LandPlane</v>
      </c>
      <c r="E2547" s="5" t="str">
        <f ca="1">IFERROR(__xludf.DUMMYFUNCTION("""COMPUTED_VALUE"""),"Turboprop/Turboshaft")</f>
        <v>Turboprop/Turboshaft</v>
      </c>
      <c r="F2547" s="5">
        <f ca="1">IFERROR(__xludf.DUMMYFUNCTION("""COMPUTED_VALUE"""),2)</f>
        <v>2</v>
      </c>
    </row>
    <row r="2548" spans="1:6" ht="15" customHeight="1" x14ac:dyDescent="0.2">
      <c r="A2548" s="5" t="str">
        <f ca="1">IFERROR(__xludf.DUMMYFUNCTION("""COMPUTED_VALUE"""),"V22")</f>
        <v>V22</v>
      </c>
      <c r="B2548" s="5" t="str">
        <f ca="1">IFERROR(__xludf.DUMMYFUNCTION("""COMPUTED_VALUE"""),"BELL-BOEING")</f>
        <v>BELL-BOEING</v>
      </c>
      <c r="C2548" s="5" t="str">
        <f ca="1">IFERROR(__xludf.DUMMYFUNCTION("""COMPUTED_VALUE"""),"V-22 Osprey")</f>
        <v>V-22 Osprey</v>
      </c>
      <c r="D2548" s="5" t="str">
        <f ca="1">IFERROR(__xludf.DUMMYFUNCTION("""COMPUTED_VALUE"""),"Tiltrotor")</f>
        <v>Tiltrotor</v>
      </c>
      <c r="E2548" s="5" t="str">
        <f ca="1">IFERROR(__xludf.DUMMYFUNCTION("""COMPUTED_VALUE"""),"Turboprop/Turboshaft")</f>
        <v>Turboprop/Turboshaft</v>
      </c>
      <c r="F2548" s="5">
        <f ca="1">IFERROR(__xludf.DUMMYFUNCTION("""COMPUTED_VALUE"""),2)</f>
        <v>2</v>
      </c>
    </row>
    <row r="2549" spans="1:6" ht="15" customHeight="1" x14ac:dyDescent="0.2">
      <c r="A2549" s="5" t="str">
        <f ca="1">IFERROR(__xludf.DUMMYFUNCTION("""COMPUTED_VALUE"""),"V221")</f>
        <v>V221</v>
      </c>
      <c r="B2549" s="5" t="str">
        <f ca="1">IFERROR(__xludf.DUMMYFUNCTION("""COMPUTED_VALUE"""),"MSW")</f>
        <v>MSW</v>
      </c>
      <c r="C2549" s="5" t="str">
        <f ca="1">IFERROR(__xludf.DUMMYFUNCTION("""COMPUTED_VALUE"""),"Votec 221")</f>
        <v>Votec 221</v>
      </c>
      <c r="D2549" s="5" t="str">
        <f ca="1">IFERROR(__xludf.DUMMYFUNCTION("""COMPUTED_VALUE"""),"LandPlane")</f>
        <v>LandPlane</v>
      </c>
      <c r="E2549" s="5" t="str">
        <f ca="1">IFERROR(__xludf.DUMMYFUNCTION("""COMPUTED_VALUE"""),"Piston")</f>
        <v>Piston</v>
      </c>
      <c r="F2549" s="5">
        <f ca="1">IFERROR(__xludf.DUMMYFUNCTION("""COMPUTED_VALUE"""),1)</f>
        <v>1</v>
      </c>
    </row>
    <row r="2550" spans="1:6" ht="15" customHeight="1" x14ac:dyDescent="0.2">
      <c r="A2550" s="5" t="str">
        <f ca="1">IFERROR(__xludf.DUMMYFUNCTION("""COMPUTED_VALUE"""),"V252")</f>
        <v>V252</v>
      </c>
      <c r="B2550" s="5" t="str">
        <f ca="1">IFERROR(__xludf.DUMMYFUNCTION("""COMPUTED_VALUE"""),"MSW")</f>
        <v>MSW</v>
      </c>
      <c r="C2550" s="5" t="str">
        <f ca="1">IFERROR(__xludf.DUMMYFUNCTION("""COMPUTED_VALUE"""),"Votec 252")</f>
        <v>Votec 252</v>
      </c>
      <c r="D2550" s="5" t="str">
        <f ca="1">IFERROR(__xludf.DUMMYFUNCTION("""COMPUTED_VALUE"""),"LandPlane")</f>
        <v>LandPlane</v>
      </c>
      <c r="E2550" s="5" t="str">
        <f ca="1">IFERROR(__xludf.DUMMYFUNCTION("""COMPUTED_VALUE"""),"Piston")</f>
        <v>Piston</v>
      </c>
      <c r="F2550" s="5">
        <f ca="1">IFERROR(__xludf.DUMMYFUNCTION("""COMPUTED_VALUE"""),1)</f>
        <v>1</v>
      </c>
    </row>
    <row r="2551" spans="1:6" ht="15" customHeight="1" x14ac:dyDescent="0.2">
      <c r="A2551" s="5" t="str">
        <f ca="1">IFERROR(__xludf.DUMMYFUNCTION("""COMPUTED_VALUE"""),"V280")</f>
        <v>V280</v>
      </c>
      <c r="B2551" s="5" t="str">
        <f ca="1">IFERROR(__xludf.DUMMYFUNCTION("""COMPUTED_VALUE"""),"BELL")</f>
        <v>BELL</v>
      </c>
      <c r="C2551" s="5" t="str">
        <f ca="1">IFERROR(__xludf.DUMMYFUNCTION("""COMPUTED_VALUE"""),"V-280 Valor")</f>
        <v>V-280 Valor</v>
      </c>
      <c r="D2551" s="5" t="str">
        <f ca="1">IFERROR(__xludf.DUMMYFUNCTION("""COMPUTED_VALUE"""),"Tiltrotor")</f>
        <v>Tiltrotor</v>
      </c>
      <c r="E2551" s="5" t="str">
        <f ca="1">IFERROR(__xludf.DUMMYFUNCTION("""COMPUTED_VALUE"""),"Turboprop/Turboshaft")</f>
        <v>Turboprop/Turboshaft</v>
      </c>
      <c r="F2551" s="5">
        <f ca="1">IFERROR(__xludf.DUMMYFUNCTION("""COMPUTED_VALUE"""),2)</f>
        <v>2</v>
      </c>
    </row>
    <row r="2552" spans="1:6" ht="15" customHeight="1" x14ac:dyDescent="0.2">
      <c r="A2552" s="5" t="str">
        <f ca="1">IFERROR(__xludf.DUMMYFUNCTION("""COMPUTED_VALUE"""),"V322")</f>
        <v>V322</v>
      </c>
      <c r="B2552" s="5" t="str">
        <f ca="1">IFERROR(__xludf.DUMMYFUNCTION("""COMPUTED_VALUE"""),"MSW")</f>
        <v>MSW</v>
      </c>
      <c r="C2552" s="5" t="str">
        <f ca="1">IFERROR(__xludf.DUMMYFUNCTION("""COMPUTED_VALUE"""),"Votec 322")</f>
        <v>Votec 322</v>
      </c>
      <c r="D2552" s="5" t="str">
        <f ca="1">IFERROR(__xludf.DUMMYFUNCTION("""COMPUTED_VALUE"""),"LandPlane")</f>
        <v>LandPlane</v>
      </c>
      <c r="E2552" s="5" t="str">
        <f ca="1">IFERROR(__xludf.DUMMYFUNCTION("""COMPUTED_VALUE"""),"Piston")</f>
        <v>Piston</v>
      </c>
      <c r="F2552" s="5">
        <f ca="1">IFERROR(__xludf.DUMMYFUNCTION("""COMPUTED_VALUE"""),1)</f>
        <v>1</v>
      </c>
    </row>
    <row r="2553" spans="1:6" ht="15" customHeight="1" x14ac:dyDescent="0.2">
      <c r="A2553" s="5" t="str">
        <f ca="1">IFERROR(__xludf.DUMMYFUNCTION("""COMPUTED_VALUE"""),"V351")</f>
        <v>V351</v>
      </c>
      <c r="B2553" s="5" t="str">
        <f ca="1">IFERROR(__xludf.DUMMYFUNCTION("""COMPUTED_VALUE"""),"MSW")</f>
        <v>MSW</v>
      </c>
      <c r="C2553" s="5" t="str">
        <f ca="1">IFERROR(__xludf.DUMMYFUNCTION("""COMPUTED_VALUE"""),"Votec 351")</f>
        <v>Votec 351</v>
      </c>
      <c r="D2553" s="5" t="str">
        <f ca="1">IFERROR(__xludf.DUMMYFUNCTION("""COMPUTED_VALUE"""),"LandPlane")</f>
        <v>LandPlane</v>
      </c>
      <c r="E2553" s="5" t="str">
        <f ca="1">IFERROR(__xludf.DUMMYFUNCTION("""COMPUTED_VALUE"""),"Piston")</f>
        <v>Piston</v>
      </c>
      <c r="F2553" s="5">
        <f ca="1">IFERROR(__xludf.DUMMYFUNCTION("""COMPUTED_VALUE"""),1)</f>
        <v>1</v>
      </c>
    </row>
    <row r="2554" spans="1:6" ht="15" customHeight="1" x14ac:dyDescent="0.2">
      <c r="A2554" s="5" t="str">
        <f ca="1">IFERROR(__xludf.DUMMYFUNCTION("""COMPUTED_VALUE"""),"V452")</f>
        <v>V452</v>
      </c>
      <c r="B2554" s="5" t="str">
        <f ca="1">IFERROR(__xludf.DUMMYFUNCTION("""COMPUTED_VALUE"""),"MSW")</f>
        <v>MSW</v>
      </c>
      <c r="C2554" s="5" t="str">
        <f ca="1">IFERROR(__xludf.DUMMYFUNCTION("""COMPUTED_VALUE"""),"Votec 452")</f>
        <v>Votec 452</v>
      </c>
      <c r="D2554" s="5" t="str">
        <f ca="1">IFERROR(__xludf.DUMMYFUNCTION("""COMPUTED_VALUE"""),"LandPlane")</f>
        <v>LandPlane</v>
      </c>
      <c r="E2554" s="5" t="str">
        <f ca="1">IFERROR(__xludf.DUMMYFUNCTION("""COMPUTED_VALUE"""),"Turboprop/Turboshaft")</f>
        <v>Turboprop/Turboshaft</v>
      </c>
      <c r="F2554" s="5">
        <f ca="1">IFERROR(__xludf.DUMMYFUNCTION("""COMPUTED_VALUE"""),1)</f>
        <v>1</v>
      </c>
    </row>
    <row r="2555" spans="1:6" ht="15" customHeight="1" x14ac:dyDescent="0.2">
      <c r="A2555" s="5" t="str">
        <f ca="1">IFERROR(__xludf.DUMMYFUNCTION("""COMPUTED_VALUE"""),"V500")</f>
        <v>V500</v>
      </c>
      <c r="B2555" s="5" t="str">
        <f ca="1">IFERROR(__xludf.DUMMYFUNCTION("""COMPUTED_VALUE"""),"REVOLUTION")</f>
        <v>REVOLUTION</v>
      </c>
      <c r="C2555" s="5" t="str">
        <f ca="1">IFERROR(__xludf.DUMMYFUNCTION("""COMPUTED_VALUE"""),"Voyager-500")</f>
        <v>Voyager-500</v>
      </c>
      <c r="D2555" s="5" t="str">
        <f ca="1">IFERROR(__xludf.DUMMYFUNCTION("""COMPUTED_VALUE"""),"Helicopter")</f>
        <v>Helicopter</v>
      </c>
      <c r="E2555" s="5" t="str">
        <f ca="1">IFERROR(__xludf.DUMMYFUNCTION("""COMPUTED_VALUE"""),"Piston")</f>
        <v>Piston</v>
      </c>
      <c r="F2555" s="5">
        <f ca="1">IFERROR(__xludf.DUMMYFUNCTION("""COMPUTED_VALUE"""),1)</f>
        <v>1</v>
      </c>
    </row>
    <row r="2556" spans="1:6" ht="15" customHeight="1" x14ac:dyDescent="0.2">
      <c r="A2556" s="5" t="str">
        <f ca="1">IFERROR(__xludf.DUMMYFUNCTION("""COMPUTED_VALUE"""),"V8SP")</f>
        <v>V8SP</v>
      </c>
      <c r="B2556" s="5" t="str">
        <f ca="1">IFERROR(__xludf.DUMMYFUNCTION("""COMPUTED_VALUE"""),"BEACHNER")</f>
        <v>BEACHNER</v>
      </c>
      <c r="C2556" s="5" t="str">
        <f ca="1">IFERROR(__xludf.DUMMYFUNCTION("""COMPUTED_VALUE"""),"V-8 Special")</f>
        <v>V-8 Special</v>
      </c>
      <c r="D2556" s="5" t="str">
        <f ca="1">IFERROR(__xludf.DUMMYFUNCTION("""COMPUTED_VALUE"""),"LandPlane")</f>
        <v>LandPlane</v>
      </c>
      <c r="E2556" s="5" t="str">
        <f ca="1">IFERROR(__xludf.DUMMYFUNCTION("""COMPUTED_VALUE"""),"Piston")</f>
        <v>Piston</v>
      </c>
      <c r="F2556" s="5">
        <f ca="1">IFERROR(__xludf.DUMMYFUNCTION("""COMPUTED_VALUE"""),1)</f>
        <v>1</v>
      </c>
    </row>
    <row r="2557" spans="1:6" ht="15" customHeight="1" x14ac:dyDescent="0.2">
      <c r="A2557" s="5" t="str">
        <f ca="1">IFERROR(__xludf.DUMMYFUNCTION("""COMPUTED_VALUE"""),"VALI")</f>
        <v>VALI</v>
      </c>
      <c r="B2557" s="5" t="str">
        <f ca="1">IFERROR(__xludf.DUMMYFUNCTION("""COMPUTED_VALUE"""),"VULTEE")</f>
        <v>VULTEE</v>
      </c>
      <c r="C2557" s="5" t="str">
        <f ca="1">IFERROR(__xludf.DUMMYFUNCTION("""COMPUTED_VALUE"""),"BT-13 Valiant")</f>
        <v>BT-13 Valiant</v>
      </c>
      <c r="D2557" s="5" t="str">
        <f ca="1">IFERROR(__xludf.DUMMYFUNCTION("""COMPUTED_VALUE"""),"LandPlane")</f>
        <v>LandPlane</v>
      </c>
      <c r="E2557" s="5" t="str">
        <f ca="1">IFERROR(__xludf.DUMMYFUNCTION("""COMPUTED_VALUE"""),"Piston")</f>
        <v>Piston</v>
      </c>
      <c r="F2557" s="5">
        <f ca="1">IFERROR(__xludf.DUMMYFUNCTION("""COMPUTED_VALUE"""),1)</f>
        <v>1</v>
      </c>
    </row>
    <row r="2558" spans="1:6" ht="15" customHeight="1" x14ac:dyDescent="0.2">
      <c r="A2558" s="5" t="str">
        <f ca="1">IFERROR(__xludf.DUMMYFUNCTION("""COMPUTED_VALUE"""),"VAMP")</f>
        <v>VAMP</v>
      </c>
      <c r="B2558" s="5" t="str">
        <f ca="1">IFERROR(__xludf.DUMMYFUNCTION("""COMPUTED_VALUE"""),"DE HAVILLAND")</f>
        <v>DE HAVILLAND</v>
      </c>
      <c r="C2558" s="5" t="str">
        <f ca="1">IFERROR(__xludf.DUMMYFUNCTION("""COMPUTED_VALUE"""),"DH-100 Vampire")</f>
        <v>DH-100 Vampire</v>
      </c>
      <c r="D2558" s="5" t="str">
        <f ca="1">IFERROR(__xludf.DUMMYFUNCTION("""COMPUTED_VALUE"""),"LandPlane")</f>
        <v>LandPlane</v>
      </c>
      <c r="E2558" s="5" t="str">
        <f ca="1">IFERROR(__xludf.DUMMYFUNCTION("""COMPUTED_VALUE"""),"Jet")</f>
        <v>Jet</v>
      </c>
      <c r="F2558" s="5">
        <f ca="1">IFERROR(__xludf.DUMMYFUNCTION("""COMPUTED_VALUE"""),1)</f>
        <v>1</v>
      </c>
    </row>
    <row r="2559" spans="1:6" ht="15" customHeight="1" x14ac:dyDescent="0.2">
      <c r="A2559" s="5" t="str">
        <f ca="1">IFERROR(__xludf.DUMMYFUNCTION("""COMPUTED_VALUE"""),"VANT")</f>
        <v>VANT</v>
      </c>
      <c r="B2559" s="5" t="str">
        <f ca="1">IFERROR(__xludf.DUMMYFUNCTION("""COMPUTED_VALUE"""),"VISIONAIRE")</f>
        <v>VISIONAIRE</v>
      </c>
      <c r="C2559" s="5" t="str">
        <f ca="1">IFERROR(__xludf.DUMMYFUNCTION("""COMPUTED_VALUE"""),"VA-10 Vantage")</f>
        <v>VA-10 Vantage</v>
      </c>
      <c r="D2559" s="5" t="str">
        <f ca="1">IFERROR(__xludf.DUMMYFUNCTION("""COMPUTED_VALUE"""),"LandPlane")</f>
        <v>LandPlane</v>
      </c>
      <c r="E2559" s="5" t="str">
        <f ca="1">IFERROR(__xludf.DUMMYFUNCTION("""COMPUTED_VALUE"""),"Jet")</f>
        <v>Jet</v>
      </c>
      <c r="F2559" s="5">
        <f ca="1">IFERROR(__xludf.DUMMYFUNCTION("""COMPUTED_VALUE"""),1)</f>
        <v>1</v>
      </c>
    </row>
    <row r="2560" spans="1:6" ht="15" customHeight="1" x14ac:dyDescent="0.2">
      <c r="A2560" s="5" t="str">
        <f ca="1">IFERROR(__xludf.DUMMYFUNCTION("""COMPUTED_VALUE"""),"VAUT")</f>
        <v>VAUT</v>
      </c>
      <c r="B2560" s="5" t="str">
        <f ca="1">IFERROR(__xludf.DUMMYFUNCTION("""COMPUTED_VALUE"""),"SUD")</f>
        <v>SUD</v>
      </c>
      <c r="C2560" s="5" t="str">
        <f ca="1">IFERROR(__xludf.DUMMYFUNCTION("""COMPUTED_VALUE"""),"SO-4050 Vautour")</f>
        <v>SO-4050 Vautour</v>
      </c>
      <c r="D2560" s="5" t="str">
        <f ca="1">IFERROR(__xludf.DUMMYFUNCTION("""COMPUTED_VALUE"""),"LandPlane")</f>
        <v>LandPlane</v>
      </c>
      <c r="E2560" s="5" t="str">
        <f ca="1">IFERROR(__xludf.DUMMYFUNCTION("""COMPUTED_VALUE"""),"Jet")</f>
        <v>Jet</v>
      </c>
      <c r="F2560" s="5">
        <f ca="1">IFERROR(__xludf.DUMMYFUNCTION("""COMPUTED_VALUE"""),2)</f>
        <v>2</v>
      </c>
    </row>
    <row r="2561" spans="1:6" ht="15" customHeight="1" x14ac:dyDescent="0.2">
      <c r="A2561" s="5" t="str">
        <f ca="1">IFERROR(__xludf.DUMMYFUNCTION("""COMPUTED_VALUE"""),"VELO")</f>
        <v>VELO</v>
      </c>
      <c r="B2561" s="5" t="str">
        <f ca="1">IFERROR(__xludf.DUMMYFUNCTION("""COMPUTED_VALUE"""),"VELOCITY")</f>
        <v>VELOCITY</v>
      </c>
      <c r="C2561" s="5" t="str">
        <f ca="1">IFERROR(__xludf.DUMMYFUNCTION("""COMPUTED_VALUE"""),"Velocity SE")</f>
        <v>Velocity SE</v>
      </c>
      <c r="D2561" s="5" t="str">
        <f ca="1">IFERROR(__xludf.DUMMYFUNCTION("""COMPUTED_VALUE"""),"LandPlane")</f>
        <v>LandPlane</v>
      </c>
      <c r="E2561" s="5" t="str">
        <f ca="1">IFERROR(__xludf.DUMMYFUNCTION("""COMPUTED_VALUE"""),"Piston")</f>
        <v>Piston</v>
      </c>
      <c r="F2561" s="5">
        <f ca="1">IFERROR(__xludf.DUMMYFUNCTION("""COMPUTED_VALUE"""),1)</f>
        <v>1</v>
      </c>
    </row>
    <row r="2562" spans="1:6" ht="15" customHeight="1" x14ac:dyDescent="0.2">
      <c r="A2562" s="5" t="str">
        <f ca="1">IFERROR(__xludf.DUMMYFUNCTION("""COMPUTED_VALUE"""),"VELT")</f>
        <v>VELT</v>
      </c>
      <c r="B2562" s="5" t="str">
        <f ca="1">IFERROR(__xludf.DUMMYFUNCTION("""COMPUTED_VALUE"""),"VELOCITY")</f>
        <v>VELOCITY</v>
      </c>
      <c r="C2562" s="5" t="str">
        <f ca="1">IFERROR(__xludf.DUMMYFUNCTION("""COMPUTED_VALUE"""),"Velocity V-Twin")</f>
        <v>Velocity V-Twin</v>
      </c>
      <c r="D2562" s="5" t="str">
        <f ca="1">IFERROR(__xludf.DUMMYFUNCTION("""COMPUTED_VALUE"""),"LandPlane")</f>
        <v>LandPlane</v>
      </c>
      <c r="E2562" s="5" t="str">
        <f ca="1">IFERROR(__xludf.DUMMYFUNCTION("""COMPUTED_VALUE"""),"Piston")</f>
        <v>Piston</v>
      </c>
      <c r="F2562" s="5">
        <f ca="1">IFERROR(__xludf.DUMMYFUNCTION("""COMPUTED_VALUE"""),2)</f>
        <v>2</v>
      </c>
    </row>
    <row r="2563" spans="1:6" ht="15" customHeight="1" x14ac:dyDescent="0.2">
      <c r="A2563" s="5" t="str">
        <f ca="1">IFERROR(__xludf.DUMMYFUNCTION("""COMPUTED_VALUE"""),"VENT")</f>
        <v>VENT</v>
      </c>
      <c r="B2563" s="5" t="str">
        <f ca="1">IFERROR(__xludf.DUMMYFUNCTION("""COMPUTED_VALUE"""),"SCHEMPP-HIRTH")</f>
        <v>SCHEMPP-HIRTH</v>
      </c>
      <c r="C2563" s="5" t="str">
        <f ca="1">IFERROR(__xludf.DUMMYFUNCTION("""COMPUTED_VALUE"""),"Ventus 3T")</f>
        <v>Ventus 3T</v>
      </c>
      <c r="D2563" s="5" t="str">
        <f ca="1">IFERROR(__xludf.DUMMYFUNCTION("""COMPUTED_VALUE"""),"LandPlane")</f>
        <v>LandPlane</v>
      </c>
      <c r="E2563" s="5" t="str">
        <f ca="1">IFERROR(__xludf.DUMMYFUNCTION("""COMPUTED_VALUE"""),"Piston")</f>
        <v>Piston</v>
      </c>
      <c r="F2563" s="5">
        <f ca="1">IFERROR(__xludf.DUMMYFUNCTION("""COMPUTED_VALUE"""),1)</f>
        <v>1</v>
      </c>
    </row>
    <row r="2564" spans="1:6" ht="15" customHeight="1" x14ac:dyDescent="0.2">
      <c r="A2564" s="5" t="str">
        <f ca="1">IFERROR(__xludf.DUMMYFUNCTION("""COMPUTED_VALUE"""),"VEZE")</f>
        <v>VEZE</v>
      </c>
      <c r="B2564" s="5" t="str">
        <f ca="1">IFERROR(__xludf.DUMMYFUNCTION("""COMPUTED_VALUE"""),"RUTAN")</f>
        <v>RUTAN</v>
      </c>
      <c r="C2564" s="5" t="str">
        <f ca="1">IFERROR(__xludf.DUMMYFUNCTION("""COMPUTED_VALUE"""),"33 VariEze")</f>
        <v>33 VariEze</v>
      </c>
      <c r="D2564" s="5" t="str">
        <f ca="1">IFERROR(__xludf.DUMMYFUNCTION("""COMPUTED_VALUE"""),"LandPlane")</f>
        <v>LandPlane</v>
      </c>
      <c r="E2564" s="5" t="str">
        <f ca="1">IFERROR(__xludf.DUMMYFUNCTION("""COMPUTED_VALUE"""),"Piston")</f>
        <v>Piston</v>
      </c>
      <c r="F2564" s="5">
        <f ca="1">IFERROR(__xludf.DUMMYFUNCTION("""COMPUTED_VALUE"""),1)</f>
        <v>1</v>
      </c>
    </row>
    <row r="2565" spans="1:6" ht="15" customHeight="1" x14ac:dyDescent="0.2">
      <c r="A2565" s="5" t="str">
        <f ca="1">IFERROR(__xludf.DUMMYFUNCTION("""COMPUTED_VALUE"""),"VF2")</f>
        <v>VF2</v>
      </c>
      <c r="B2565" s="5" t="str">
        <f ca="1">IFERROR(__xludf.DUMMYFUNCTION("""COMPUTED_VALUE"""),"FRY")</f>
        <v>FRY</v>
      </c>
      <c r="C2565" s="5" t="str">
        <f ca="1">IFERROR(__xludf.DUMMYFUNCTION("""COMPUTED_VALUE"""),"VF-2 Esprit")</f>
        <v>VF-2 Esprit</v>
      </c>
      <c r="D2565" s="5" t="str">
        <f ca="1">IFERROR(__xludf.DUMMYFUNCTION("""COMPUTED_VALUE"""),"LandPlane")</f>
        <v>LandPlane</v>
      </c>
      <c r="E2565" s="5" t="str">
        <f ca="1">IFERROR(__xludf.DUMMYFUNCTION("""COMPUTED_VALUE"""),"Piston")</f>
        <v>Piston</v>
      </c>
      <c r="F2565" s="5">
        <f ca="1">IFERROR(__xludf.DUMMYFUNCTION("""COMPUTED_VALUE"""),1)</f>
        <v>1</v>
      </c>
    </row>
    <row r="2566" spans="1:6" ht="15" customHeight="1" x14ac:dyDescent="0.2">
      <c r="A2566" s="5" t="str">
        <f ca="1">IFERROR(__xludf.DUMMYFUNCTION("""COMPUTED_VALUE"""),"VF35")</f>
        <v>VF35</v>
      </c>
      <c r="B2566" s="5" t="str">
        <f ca="1">IFERROR(__xludf.DUMMYFUNCTION("""COMPUTED_VALUE"""),"LOCKHEED MARTIN")</f>
        <v>LOCKHEED MARTIN</v>
      </c>
      <c r="C2566" s="5" t="str">
        <f ca="1">IFERROR(__xludf.DUMMYFUNCTION("""COMPUTED_VALUE"""),"F-35B Lightning 2")</f>
        <v>F-35B Lightning 2</v>
      </c>
      <c r="D2566" s="5" t="str">
        <f ca="1">IFERROR(__xludf.DUMMYFUNCTION("""COMPUTED_VALUE"""),"LandPlane")</f>
        <v>LandPlane</v>
      </c>
      <c r="E2566" s="5" t="str">
        <f ca="1">IFERROR(__xludf.DUMMYFUNCTION("""COMPUTED_VALUE"""),"Jet")</f>
        <v>Jet</v>
      </c>
      <c r="F2566" s="5">
        <f ca="1">IFERROR(__xludf.DUMMYFUNCTION("""COMPUTED_VALUE"""),1)</f>
        <v>1</v>
      </c>
    </row>
    <row r="2567" spans="1:6" ht="15" customHeight="1" x14ac:dyDescent="0.2">
      <c r="A2567" s="5" t="str">
        <f ca="1">IFERROR(__xludf.DUMMYFUNCTION("""COMPUTED_VALUE"""),"VF60")</f>
        <v>VF60</v>
      </c>
      <c r="B2567" s="5" t="str">
        <f ca="1">IFERROR(__xludf.DUMMYFUNCTION("""COMPUTED_VALUE"""),"VULCANAIR")</f>
        <v>VULCANAIR</v>
      </c>
      <c r="C2567" s="5" t="str">
        <f ca="1">IFERROR(__xludf.DUMMYFUNCTION("""COMPUTED_VALUE"""),"VF-600 Mission")</f>
        <v>VF-600 Mission</v>
      </c>
      <c r="D2567" s="5" t="str">
        <f ca="1">IFERROR(__xludf.DUMMYFUNCTION("""COMPUTED_VALUE"""),"LandPlane")</f>
        <v>LandPlane</v>
      </c>
      <c r="E2567" s="5" t="str">
        <f ca="1">IFERROR(__xludf.DUMMYFUNCTION("""COMPUTED_VALUE"""),"Turboprop/Turboshaft")</f>
        <v>Turboprop/Turboshaft</v>
      </c>
      <c r="F2567" s="5">
        <f ca="1">IFERROR(__xludf.DUMMYFUNCTION("""COMPUTED_VALUE"""),1)</f>
        <v>1</v>
      </c>
    </row>
    <row r="2568" spans="1:6" ht="15" customHeight="1" x14ac:dyDescent="0.2">
      <c r="A2568" s="5" t="str">
        <f ca="1">IFERROR(__xludf.DUMMYFUNCTION("""COMPUTED_VALUE"""),"VG3T")</f>
        <v>VG3T</v>
      </c>
      <c r="B2568" s="5" t="str">
        <f ca="1">IFERROR(__xludf.DUMMYFUNCTION("""COMPUTED_VALUE"""),"AVIAKIT")</f>
        <v>AVIAKIT</v>
      </c>
      <c r="C2568" s="5" t="str">
        <f ca="1">IFERROR(__xludf.DUMMYFUNCTION("""COMPUTED_VALUE"""),"Vega 3000")</f>
        <v>Vega 3000</v>
      </c>
      <c r="D2568" s="5" t="str">
        <f ca="1">IFERROR(__xludf.DUMMYFUNCTION("""COMPUTED_VALUE"""),"LandPlane")</f>
        <v>LandPlane</v>
      </c>
      <c r="E2568" s="5" t="str">
        <f ca="1">IFERROR(__xludf.DUMMYFUNCTION("""COMPUTED_VALUE"""),"Piston")</f>
        <v>Piston</v>
      </c>
      <c r="F2568" s="5">
        <f ca="1">IFERROR(__xludf.DUMMYFUNCTION("""COMPUTED_VALUE"""),1)</f>
        <v>1</v>
      </c>
    </row>
    <row r="2569" spans="1:6" ht="15" customHeight="1" x14ac:dyDescent="0.2">
      <c r="A2569" s="5" t="str">
        <f ca="1">IFERROR(__xludf.DUMMYFUNCTION("""COMPUTED_VALUE"""),"VGUL")</f>
        <v>VGUL</v>
      </c>
      <c r="B2569" s="5" t="str">
        <f ca="1">IFERROR(__xludf.DUMMYFUNCTION("""COMPUTED_VALUE"""),"PERCIVAL")</f>
        <v>PERCIVAL</v>
      </c>
      <c r="C2569" s="5" t="str">
        <f ca="1">IFERROR(__xludf.DUMMYFUNCTION("""COMPUTED_VALUE"""),"K-1 Vega Gull")</f>
        <v>K-1 Vega Gull</v>
      </c>
      <c r="D2569" s="5" t="str">
        <f ca="1">IFERROR(__xludf.DUMMYFUNCTION("""COMPUTED_VALUE"""),"LandPlane")</f>
        <v>LandPlane</v>
      </c>
      <c r="E2569" s="5" t="str">
        <f ca="1">IFERROR(__xludf.DUMMYFUNCTION("""COMPUTED_VALUE"""),"Piston")</f>
        <v>Piston</v>
      </c>
      <c r="F2569" s="5">
        <f ca="1">IFERROR(__xludf.DUMMYFUNCTION("""COMPUTED_VALUE"""),1)</f>
        <v>1</v>
      </c>
    </row>
    <row r="2570" spans="1:6" ht="15" customHeight="1" x14ac:dyDescent="0.2">
      <c r="A2570" s="5" t="str">
        <f ca="1">IFERROR(__xludf.DUMMYFUNCTION("""COMPUTED_VALUE"""),"VIMA")</f>
        <v>VIMA</v>
      </c>
      <c r="B2570" s="5" t="str">
        <f ca="1">IFERROR(__xludf.DUMMYFUNCTION("""COMPUTED_VALUE"""),"VALTION")</f>
        <v>VALTION</v>
      </c>
      <c r="C2570" s="5" t="str">
        <f ca="1">IFERROR(__xludf.DUMMYFUNCTION("""COMPUTED_VALUE"""),"Viima")</f>
        <v>Viima</v>
      </c>
      <c r="D2570" s="5" t="str">
        <f ca="1">IFERROR(__xludf.DUMMYFUNCTION("""COMPUTED_VALUE"""),"LandPlane")</f>
        <v>LandPlane</v>
      </c>
      <c r="E2570" s="5" t="str">
        <f ca="1">IFERROR(__xludf.DUMMYFUNCTION("""COMPUTED_VALUE"""),"Piston")</f>
        <v>Piston</v>
      </c>
      <c r="F2570" s="5">
        <f ca="1">IFERROR(__xludf.DUMMYFUNCTION("""COMPUTED_VALUE"""),1)</f>
        <v>1</v>
      </c>
    </row>
    <row r="2571" spans="1:6" ht="15" customHeight="1" x14ac:dyDescent="0.2">
      <c r="A2571" s="5" t="str">
        <f ca="1">IFERROR(__xludf.DUMMYFUNCTION("""COMPUTED_VALUE"""),"VIPJ")</f>
        <v>VIPJ</v>
      </c>
      <c r="B2571" s="5" t="str">
        <f ca="1">IFERROR(__xludf.DUMMYFUNCTION("""COMPUTED_VALUE"""),"VIPER")</f>
        <v>VIPER</v>
      </c>
      <c r="C2571" s="5" t="str">
        <f ca="1">IFERROR(__xludf.DUMMYFUNCTION("""COMPUTED_VALUE"""),"ViperJet")</f>
        <v>ViperJet</v>
      </c>
      <c r="D2571" s="5" t="str">
        <f ca="1">IFERROR(__xludf.DUMMYFUNCTION("""COMPUTED_VALUE"""),"LandPlane")</f>
        <v>LandPlane</v>
      </c>
      <c r="E2571" s="5" t="str">
        <f ca="1">IFERROR(__xludf.DUMMYFUNCTION("""COMPUTED_VALUE"""),"Jet")</f>
        <v>Jet</v>
      </c>
      <c r="F2571" s="5">
        <f ca="1">IFERROR(__xludf.DUMMYFUNCTION("""COMPUTED_VALUE"""),1)</f>
        <v>1</v>
      </c>
    </row>
    <row r="2572" spans="1:6" ht="15" customHeight="1" x14ac:dyDescent="0.2">
      <c r="A2572" s="5" t="str">
        <f ca="1">IFERROR(__xludf.DUMMYFUNCTION("""COMPUTED_VALUE"""),"VIPR")</f>
        <v>VIPR</v>
      </c>
      <c r="B2572" s="5" t="str">
        <f ca="1">IFERROR(__xludf.DUMMYFUNCTION("""COMPUTED_VALUE"""),"PAXMAN'S")</f>
        <v>PAXMAN'S</v>
      </c>
      <c r="C2572" s="5" t="str">
        <f ca="1">IFERROR(__xludf.DUMMYFUNCTION("""COMPUTED_VALUE"""),"Viper")</f>
        <v>Viper</v>
      </c>
      <c r="D2572" s="5" t="str">
        <f ca="1">IFERROR(__xludf.DUMMYFUNCTION("""COMPUTED_VALUE"""),"LandPlane")</f>
        <v>LandPlane</v>
      </c>
      <c r="E2572" s="5" t="str">
        <f ca="1">IFERROR(__xludf.DUMMYFUNCTION("""COMPUTED_VALUE"""),"Piston")</f>
        <v>Piston</v>
      </c>
      <c r="F2572" s="5">
        <f ca="1">IFERROR(__xludf.DUMMYFUNCTION("""COMPUTED_VALUE"""),1)</f>
        <v>1</v>
      </c>
    </row>
    <row r="2573" spans="1:6" ht="15" customHeight="1" x14ac:dyDescent="0.2">
      <c r="A2573" s="5" t="str">
        <f ca="1">IFERROR(__xludf.DUMMYFUNCTION("""COMPUTED_VALUE"""),"VISI")</f>
        <v>VISI</v>
      </c>
      <c r="B2573" s="5" t="str">
        <f ca="1">IFERROR(__xludf.DUMMYFUNCTION("""COMPUTED_VALUE"""),"PRO-COMPOSITES")</f>
        <v>PRO-COMPOSITES</v>
      </c>
      <c r="C2573" s="5" t="str">
        <f ca="1">IFERROR(__xludf.DUMMYFUNCTION("""COMPUTED_VALUE"""),"Vision")</f>
        <v>Vision</v>
      </c>
      <c r="D2573" s="5" t="str">
        <f ca="1">IFERROR(__xludf.DUMMYFUNCTION("""COMPUTED_VALUE"""),"LandPlane")</f>
        <v>LandPlane</v>
      </c>
      <c r="E2573" s="5" t="str">
        <f ca="1">IFERROR(__xludf.DUMMYFUNCTION("""COMPUTED_VALUE"""),"Piston")</f>
        <v>Piston</v>
      </c>
      <c r="F2573" s="5">
        <f ca="1">IFERROR(__xludf.DUMMYFUNCTION("""COMPUTED_VALUE"""),1)</f>
        <v>1</v>
      </c>
    </row>
    <row r="2574" spans="1:6" ht="15" customHeight="1" x14ac:dyDescent="0.2">
      <c r="A2574" s="5" t="str">
        <f ca="1">IFERROR(__xludf.DUMMYFUNCTION("""COMPUTED_VALUE"""),"VIVA")</f>
        <v>VIVA</v>
      </c>
      <c r="B2574" s="5" t="str">
        <f ca="1">IFERROR(__xludf.DUMMYFUNCTION("""COMPUTED_VALUE"""),"COMPOSIT AIRPLANES")</f>
        <v>COMPOSIT AIRPLANES</v>
      </c>
      <c r="C2574" s="5" t="str">
        <f ca="1">IFERROR(__xludf.DUMMYFUNCTION("""COMPUTED_VALUE"""),"Viva")</f>
        <v>Viva</v>
      </c>
      <c r="D2574" s="5" t="str">
        <f ca="1">IFERROR(__xludf.DUMMYFUNCTION("""COMPUTED_VALUE"""),"LandPlane")</f>
        <v>LandPlane</v>
      </c>
      <c r="E2574" s="5" t="str">
        <f ca="1">IFERROR(__xludf.DUMMYFUNCTION("""COMPUTED_VALUE"""),"Piston")</f>
        <v>Piston</v>
      </c>
      <c r="F2574" s="5">
        <f ca="1">IFERROR(__xludf.DUMMYFUNCTION("""COMPUTED_VALUE"""),1)</f>
        <v>1</v>
      </c>
    </row>
    <row r="2575" spans="1:6" ht="15" customHeight="1" x14ac:dyDescent="0.2">
      <c r="A2575" s="5" t="str">
        <f ca="1">IFERROR(__xludf.DUMMYFUNCTION("""COMPUTED_VALUE"""),"VIX")</f>
        <v>VIX</v>
      </c>
      <c r="B2575" s="5" t="str">
        <f ca="1">IFERROR(__xludf.DUMMYFUNCTION("""COMPUTED_VALUE"""),"SKYSTAR")</f>
        <v>SKYSTAR</v>
      </c>
      <c r="C2575" s="5" t="str">
        <f ca="1">IFERROR(__xludf.DUMMYFUNCTION("""COMPUTED_VALUE"""),"Kitfox Vixen")</f>
        <v>Kitfox Vixen</v>
      </c>
      <c r="D2575" s="5" t="str">
        <f ca="1">IFERROR(__xludf.DUMMYFUNCTION("""COMPUTED_VALUE"""),"LandPlane")</f>
        <v>LandPlane</v>
      </c>
      <c r="E2575" s="5" t="str">
        <f ca="1">IFERROR(__xludf.DUMMYFUNCTION("""COMPUTED_VALUE"""),"Piston")</f>
        <v>Piston</v>
      </c>
      <c r="F2575" s="5">
        <f ca="1">IFERROR(__xludf.DUMMYFUNCTION("""COMPUTED_VALUE"""),1)</f>
        <v>1</v>
      </c>
    </row>
    <row r="2576" spans="1:6" ht="15" customHeight="1" x14ac:dyDescent="0.2">
      <c r="A2576" s="5" t="str">
        <f ca="1">IFERROR(__xludf.DUMMYFUNCTION("""COMPUTED_VALUE"""),"VIXN")</f>
        <v>VIXN</v>
      </c>
      <c r="B2576" s="5" t="str">
        <f ca="1">IFERROR(__xludf.DUMMYFUNCTION("""COMPUTED_VALUE"""),"AMAX")</f>
        <v>AMAX</v>
      </c>
      <c r="C2576" s="5" t="str">
        <f ca="1">IFERROR(__xludf.DUMMYFUNCTION("""COMPUTED_VALUE"""),"Vixen")</f>
        <v>Vixen</v>
      </c>
      <c r="D2576" s="5" t="str">
        <f ca="1">IFERROR(__xludf.DUMMYFUNCTION("""COMPUTED_VALUE"""),"LandPlane")</f>
        <v>LandPlane</v>
      </c>
      <c r="E2576" s="5" t="str">
        <f ca="1">IFERROR(__xludf.DUMMYFUNCTION("""COMPUTED_VALUE"""),"Piston")</f>
        <v>Piston</v>
      </c>
      <c r="F2576" s="5">
        <f ca="1">IFERROR(__xludf.DUMMYFUNCTION("""COMPUTED_VALUE"""),1)</f>
        <v>1</v>
      </c>
    </row>
    <row r="2577" spans="1:6" ht="15" customHeight="1" x14ac:dyDescent="0.2">
      <c r="A2577" s="5" t="str">
        <f ca="1">IFERROR(__xludf.DUMMYFUNCTION("""COMPUTED_VALUE"""),"VJ22")</f>
        <v>VJ22</v>
      </c>
      <c r="B2577" s="5" t="str">
        <f ca="1">IFERROR(__xludf.DUMMYFUNCTION("""COMPUTED_VALUE"""),"VOLMER")</f>
        <v>VOLMER</v>
      </c>
      <c r="C2577" s="5" t="str">
        <f ca="1">IFERROR(__xludf.DUMMYFUNCTION("""COMPUTED_VALUE"""),"VJ-22 Sportsman")</f>
        <v>VJ-22 Sportsman</v>
      </c>
      <c r="D2577" s="5" t="str">
        <f ca="1">IFERROR(__xludf.DUMMYFUNCTION("""COMPUTED_VALUE"""),"Amphibian")</f>
        <v>Amphibian</v>
      </c>
      <c r="E2577" s="5" t="str">
        <f ca="1">IFERROR(__xludf.DUMMYFUNCTION("""COMPUTED_VALUE"""),"Piston")</f>
        <v>Piston</v>
      </c>
      <c r="F2577" s="5">
        <f ca="1">IFERROR(__xludf.DUMMYFUNCTION("""COMPUTED_VALUE"""),1)</f>
        <v>1</v>
      </c>
    </row>
    <row r="2578" spans="1:6" ht="15" customHeight="1" x14ac:dyDescent="0.2">
      <c r="A2578" s="5" t="str">
        <f ca="1">IFERROR(__xludf.DUMMYFUNCTION("""COMPUTED_VALUE"""),"VK3P")</f>
        <v>VK3P</v>
      </c>
      <c r="B2578" s="5" t="str">
        <f ca="1">IFERROR(__xludf.DUMMYFUNCTION("""COMPUTED_VALUE"""),"CIRRUS")</f>
        <v>CIRRUS</v>
      </c>
      <c r="C2578" s="5" t="str">
        <f ca="1">IFERROR(__xludf.DUMMYFUNCTION("""COMPUTED_VALUE"""),"VK-30 Cirrus (piston)")</f>
        <v>VK-30 Cirrus (piston)</v>
      </c>
      <c r="D2578" s="5" t="str">
        <f ca="1">IFERROR(__xludf.DUMMYFUNCTION("""COMPUTED_VALUE"""),"LandPlane")</f>
        <v>LandPlane</v>
      </c>
      <c r="E2578" s="5" t="str">
        <f ca="1">IFERROR(__xludf.DUMMYFUNCTION("""COMPUTED_VALUE"""),"Piston")</f>
        <v>Piston</v>
      </c>
      <c r="F2578" s="5">
        <f ca="1">IFERROR(__xludf.DUMMYFUNCTION("""COMPUTED_VALUE"""),1)</f>
        <v>1</v>
      </c>
    </row>
    <row r="2579" spans="1:6" ht="15" customHeight="1" x14ac:dyDescent="0.2">
      <c r="A2579" s="5" t="str">
        <f ca="1">IFERROR(__xludf.DUMMYFUNCTION("""COMPUTED_VALUE"""),"VK3T")</f>
        <v>VK3T</v>
      </c>
      <c r="B2579" s="5" t="str">
        <f ca="1">IFERROR(__xludf.DUMMYFUNCTION("""COMPUTED_VALUE"""),"CIRRUS")</f>
        <v>CIRRUS</v>
      </c>
      <c r="C2579" s="5" t="str">
        <f ca="1">IFERROR(__xludf.DUMMYFUNCTION("""COMPUTED_VALUE"""),"VK-30 Cirrus (turbine)")</f>
        <v>VK-30 Cirrus (turbine)</v>
      </c>
      <c r="D2579" s="5" t="str">
        <f ca="1">IFERROR(__xludf.DUMMYFUNCTION("""COMPUTED_VALUE"""),"LandPlane")</f>
        <v>LandPlane</v>
      </c>
      <c r="E2579" s="5" t="str">
        <f ca="1">IFERROR(__xludf.DUMMYFUNCTION("""COMPUTED_VALUE"""),"Turboprop/Turboshaft")</f>
        <v>Turboprop/Turboshaft</v>
      </c>
      <c r="F2579" s="5">
        <f ca="1">IFERROR(__xludf.DUMMYFUNCTION("""COMPUTED_VALUE"""),1)</f>
        <v>1</v>
      </c>
    </row>
    <row r="2580" spans="1:6" ht="15" customHeight="1" x14ac:dyDescent="0.2">
      <c r="A2580" s="5" t="str">
        <f ca="1">IFERROR(__xludf.DUMMYFUNCTION("""COMPUTED_VALUE"""),"VL3")</f>
        <v>VL3</v>
      </c>
      <c r="B2580" s="5" t="str">
        <f ca="1">IFERROR(__xludf.DUMMYFUNCTION("""COMPUTED_VALUE"""),"JMB AIRCRAFT")</f>
        <v>JMB AIRCRAFT</v>
      </c>
      <c r="C2580" s="5" t="str">
        <f ca="1">IFERROR(__xludf.DUMMYFUNCTION("""COMPUTED_VALUE"""),"VL-3 Evolution")</f>
        <v>VL-3 Evolution</v>
      </c>
      <c r="D2580" s="5" t="str">
        <f ca="1">IFERROR(__xludf.DUMMYFUNCTION("""COMPUTED_VALUE"""),"LandPlane")</f>
        <v>LandPlane</v>
      </c>
      <c r="E2580" s="5" t="str">
        <f ca="1">IFERROR(__xludf.DUMMYFUNCTION("""COMPUTED_VALUE"""),"Piston")</f>
        <v>Piston</v>
      </c>
      <c r="F2580" s="5">
        <f ca="1">IFERROR(__xludf.DUMMYFUNCTION("""COMPUTED_VALUE"""),1)</f>
        <v>1</v>
      </c>
    </row>
    <row r="2581" spans="1:6" ht="15" customHeight="1" x14ac:dyDescent="0.2">
      <c r="A2581" s="5" t="str">
        <f ca="1">IFERROR(__xludf.DUMMYFUNCTION("""COMPUTED_VALUE"""),"VM1")</f>
        <v>VM1</v>
      </c>
      <c r="B2581" s="5" t="str">
        <f ca="1">IFERROR(__xludf.DUMMYFUNCTION("""COMPUTED_VALUE"""),"VOL MEDITERRANI")</f>
        <v>VOL MEDITERRANI</v>
      </c>
      <c r="C2581" s="5" t="str">
        <f ca="1">IFERROR(__xludf.DUMMYFUNCTION("""COMPUTED_VALUE"""),"VM-1 Esqual")</f>
        <v>VM-1 Esqual</v>
      </c>
      <c r="D2581" s="5" t="str">
        <f ca="1">IFERROR(__xludf.DUMMYFUNCTION("""COMPUTED_VALUE"""),"LandPlane")</f>
        <v>LandPlane</v>
      </c>
      <c r="E2581" s="5" t="str">
        <f ca="1">IFERROR(__xludf.DUMMYFUNCTION("""COMPUTED_VALUE"""),"Piston")</f>
        <v>Piston</v>
      </c>
      <c r="F2581" s="5">
        <f ca="1">IFERROR(__xludf.DUMMYFUNCTION("""COMPUTED_VALUE"""),1)</f>
        <v>1</v>
      </c>
    </row>
    <row r="2582" spans="1:6" ht="15" customHeight="1" x14ac:dyDescent="0.2">
      <c r="A2582" s="5" t="str">
        <f ca="1">IFERROR(__xludf.DUMMYFUNCTION("""COMPUTED_VALUE"""),"VNOM")</f>
        <v>VNOM</v>
      </c>
      <c r="B2582" s="5" t="str">
        <f ca="1">IFERROR(__xludf.DUMMYFUNCTION("""COMPUTED_VALUE"""),"DE HAVILLAND")</f>
        <v>DE HAVILLAND</v>
      </c>
      <c r="C2582" s="5" t="str">
        <f ca="1">IFERROR(__xludf.DUMMYFUNCTION("""COMPUTED_VALUE"""),"DH-112 Venom")</f>
        <v>DH-112 Venom</v>
      </c>
      <c r="D2582" s="5" t="str">
        <f ca="1">IFERROR(__xludf.DUMMYFUNCTION("""COMPUTED_VALUE"""),"LandPlane")</f>
        <v>LandPlane</v>
      </c>
      <c r="E2582" s="5" t="str">
        <f ca="1">IFERROR(__xludf.DUMMYFUNCTION("""COMPUTED_VALUE"""),"Jet")</f>
        <v>Jet</v>
      </c>
      <c r="F2582" s="5">
        <f ca="1">IFERROR(__xludf.DUMMYFUNCTION("""COMPUTED_VALUE"""),1)</f>
        <v>1</v>
      </c>
    </row>
    <row r="2583" spans="1:6" ht="15" customHeight="1" x14ac:dyDescent="0.2">
      <c r="A2583" s="5" t="str">
        <f ca="1">IFERROR(__xludf.DUMMYFUNCTION("""COMPUTED_VALUE"""),"VNTE")</f>
        <v>VNTE</v>
      </c>
      <c r="B2583" s="5" t="str">
        <f ca="1">IFERROR(__xludf.DUMMYFUNCTION("""COMPUTED_VALUE"""),"SCHEMPP-HIRTH")</f>
        <v>SCHEMPP-HIRTH</v>
      </c>
      <c r="C2583" s="5" t="str">
        <f ca="1">IFERROR(__xludf.DUMMYFUNCTION("""COMPUTED_VALUE"""),"Ventus 3F")</f>
        <v>Ventus 3F</v>
      </c>
      <c r="D2583" s="5" t="str">
        <f ca="1">IFERROR(__xludf.DUMMYFUNCTION("""COMPUTED_VALUE"""),"LandPlane")</f>
        <v>LandPlane</v>
      </c>
      <c r="E2583" s="5" t="str">
        <f ca="1">IFERROR(__xludf.DUMMYFUNCTION("""COMPUTED_VALUE"""),"Electric")</f>
        <v>Electric</v>
      </c>
      <c r="F2583" s="5">
        <f ca="1">IFERROR(__xludf.DUMMYFUNCTION("""COMPUTED_VALUE"""),1)</f>
        <v>1</v>
      </c>
    </row>
    <row r="2584" spans="1:6" ht="15" customHeight="1" x14ac:dyDescent="0.2">
      <c r="A2584" s="5" t="str">
        <f ca="1">IFERROR(__xludf.DUMMYFUNCTION("""COMPUTED_VALUE"""),"VNTR")</f>
        <v>VNTR</v>
      </c>
      <c r="B2584" s="5" t="str">
        <f ca="1">IFERROR(__xludf.DUMMYFUNCTION("""COMPUTED_VALUE"""),"ICP")</f>
        <v>ICP</v>
      </c>
      <c r="C2584" s="5" t="str">
        <f ca="1">IFERROR(__xludf.DUMMYFUNCTION("""COMPUTED_VALUE"""),"Ventura")</f>
        <v>Ventura</v>
      </c>
      <c r="D2584" s="5" t="str">
        <f ca="1">IFERROR(__xludf.DUMMYFUNCTION("""COMPUTED_VALUE"""),"LandPlane")</f>
        <v>LandPlane</v>
      </c>
      <c r="E2584" s="5" t="str">
        <f ca="1">IFERROR(__xludf.DUMMYFUNCTION("""COMPUTED_VALUE"""),"Piston")</f>
        <v>Piston</v>
      </c>
      <c r="F2584" s="5">
        <f ca="1">IFERROR(__xludf.DUMMYFUNCTION("""COMPUTED_VALUE"""),1)</f>
        <v>1</v>
      </c>
    </row>
    <row r="2585" spans="1:6" ht="15" customHeight="1" x14ac:dyDescent="0.2">
      <c r="A2585" s="5" t="str">
        <f ca="1">IFERROR(__xludf.DUMMYFUNCTION("""COMPUTED_VALUE"""),"VO10")</f>
        <v>VO10</v>
      </c>
      <c r="B2585" s="5" t="str">
        <f ca="1">IFERROR(__xludf.DUMMYFUNCTION("""COMPUTED_VALUE"""),"AERO COMMANDER")</f>
        <v>AERO COMMANDER</v>
      </c>
      <c r="C2585" s="5" t="str">
        <f ca="1">IFERROR(__xludf.DUMMYFUNCTION("""COMPUTED_VALUE"""),"Commander 100")</f>
        <v>Commander 100</v>
      </c>
      <c r="D2585" s="5" t="str">
        <f ca="1">IFERROR(__xludf.DUMMYFUNCTION("""COMPUTED_VALUE"""),"LandPlane")</f>
        <v>LandPlane</v>
      </c>
      <c r="E2585" s="5" t="str">
        <f ca="1">IFERROR(__xludf.DUMMYFUNCTION("""COMPUTED_VALUE"""),"Piston")</f>
        <v>Piston</v>
      </c>
      <c r="F2585" s="5">
        <f ca="1">IFERROR(__xludf.DUMMYFUNCTION("""COMPUTED_VALUE"""),1)</f>
        <v>1</v>
      </c>
    </row>
    <row r="2586" spans="1:6" ht="15" customHeight="1" x14ac:dyDescent="0.2">
      <c r="A2586" s="5" t="str">
        <f ca="1">IFERROR(__xludf.DUMMYFUNCTION("""COMPUTED_VALUE"""),"VOL2")</f>
        <v>VOL2</v>
      </c>
      <c r="B2586" s="5" t="str">
        <f ca="1">IFERROR(__xludf.DUMMYFUNCTION("""COMPUTED_VALUE"""),"VOLANTE")</f>
        <v>VOLANTE</v>
      </c>
      <c r="C2586" s="5" t="str">
        <f ca="1">IFERROR(__xludf.DUMMYFUNCTION("""COMPUTED_VALUE"""),"Volante Two")</f>
        <v>Volante Two</v>
      </c>
      <c r="D2586" s="5" t="str">
        <f ca="1">IFERROR(__xludf.DUMMYFUNCTION("""COMPUTED_VALUE"""),"LandPlane")</f>
        <v>LandPlane</v>
      </c>
      <c r="E2586" s="5" t="str">
        <f ca="1">IFERROR(__xludf.DUMMYFUNCTION("""COMPUTED_VALUE"""),"Piston")</f>
        <v>Piston</v>
      </c>
      <c r="F2586" s="5">
        <f ca="1">IFERROR(__xludf.DUMMYFUNCTION("""COMPUTED_VALUE"""),1)</f>
        <v>1</v>
      </c>
    </row>
    <row r="2587" spans="1:6" ht="15" customHeight="1" x14ac:dyDescent="0.2">
      <c r="A2587" s="5" t="str">
        <f ca="1">IFERROR(__xludf.DUMMYFUNCTION("""COMPUTED_VALUE"""),"VP2")</f>
        <v>VP2</v>
      </c>
      <c r="B2587" s="5" t="str">
        <f ca="1">IFERROR(__xludf.DUMMYFUNCTION("""COMPUTED_VALUE"""),"EVANS")</f>
        <v>EVANS</v>
      </c>
      <c r="C2587" s="5" t="str">
        <f ca="1">IFERROR(__xludf.DUMMYFUNCTION("""COMPUTED_VALUE"""),"VP-2 Volksplane")</f>
        <v>VP-2 Volksplane</v>
      </c>
      <c r="D2587" s="5" t="str">
        <f ca="1">IFERROR(__xludf.DUMMYFUNCTION("""COMPUTED_VALUE"""),"LandPlane")</f>
        <v>LandPlane</v>
      </c>
      <c r="E2587" s="5" t="str">
        <f ca="1">IFERROR(__xludf.DUMMYFUNCTION("""COMPUTED_VALUE"""),"Piston")</f>
        <v>Piston</v>
      </c>
      <c r="F2587" s="5">
        <f ca="1">IFERROR(__xludf.DUMMYFUNCTION("""COMPUTED_VALUE"""),1)</f>
        <v>1</v>
      </c>
    </row>
    <row r="2588" spans="1:6" ht="15" customHeight="1" x14ac:dyDescent="0.2">
      <c r="A2588" s="5" t="str">
        <f ca="1">IFERROR(__xludf.DUMMYFUNCTION("""COMPUTED_VALUE"""),"VR20")</f>
        <v>VR20</v>
      </c>
      <c r="B2588" s="5" t="str">
        <f ca="1">IFERROR(__xludf.DUMMYFUNCTION("""COMPUTED_VALUE"""),"EGVOYAGER")</f>
        <v>EGVOYAGER</v>
      </c>
      <c r="C2588" s="5" t="str">
        <f ca="1">IFERROR(__xludf.DUMMYFUNCTION("""COMPUTED_VALUE"""),"VR-202")</f>
        <v>VR-202</v>
      </c>
      <c r="D2588" s="5" t="str">
        <f ca="1">IFERROR(__xludf.DUMMYFUNCTION("""COMPUTED_VALUE"""),"LandPlane")</f>
        <v>LandPlane</v>
      </c>
      <c r="E2588" s="5" t="str">
        <f ca="1">IFERROR(__xludf.DUMMYFUNCTION("""COMPUTED_VALUE"""),"Piston")</f>
        <v>Piston</v>
      </c>
      <c r="F2588" s="5">
        <f ca="1">IFERROR(__xludf.DUMMYFUNCTION("""COMPUTED_VALUE"""),1)</f>
        <v>1</v>
      </c>
    </row>
    <row r="2589" spans="1:6" ht="15" customHeight="1" x14ac:dyDescent="0.2">
      <c r="A2589" s="5" t="str">
        <f ca="1">IFERROR(__xludf.DUMMYFUNCTION("""COMPUTED_VALUE"""),"VR7")</f>
        <v>VR7</v>
      </c>
      <c r="B2589" s="5" t="str">
        <f ca="1">IFERROR(__xludf.DUMMYFUNCTION("""COMPUTED_VALUE"""),"VASHON")</f>
        <v>VASHON</v>
      </c>
      <c r="C2589" s="5" t="str">
        <f ca="1">IFERROR(__xludf.DUMMYFUNCTION("""COMPUTED_VALUE"""),"Ranger R7")</f>
        <v>Ranger R7</v>
      </c>
      <c r="D2589" s="5" t="str">
        <f ca="1">IFERROR(__xludf.DUMMYFUNCTION("""COMPUTED_VALUE"""),"LandPlane")</f>
        <v>LandPlane</v>
      </c>
      <c r="E2589" s="5" t="str">
        <f ca="1">IFERROR(__xludf.DUMMYFUNCTION("""COMPUTED_VALUE"""),"Piston")</f>
        <v>Piston</v>
      </c>
      <c r="F2589" s="5">
        <f ca="1">IFERROR(__xludf.DUMMYFUNCTION("""COMPUTED_VALUE"""),1)</f>
        <v>1</v>
      </c>
    </row>
    <row r="2590" spans="1:6" ht="15" customHeight="1" x14ac:dyDescent="0.2">
      <c r="A2590" s="5" t="str">
        <f ca="1">IFERROR(__xludf.DUMMYFUNCTION("""COMPUTED_VALUE"""),"VSON")</f>
        <v>VSON</v>
      </c>
      <c r="B2590" s="5" t="str">
        <f ca="1">IFERROR(__xludf.DUMMYFUNCTION("""COMPUTED_VALUE"""),"AMERICAN AFFORDABLE")</f>
        <v>AMERICAN AFFORDABLE</v>
      </c>
      <c r="C2590" s="5" t="str">
        <f ca="1">IFERROR(__xludf.DUMMYFUNCTION("""COMPUTED_VALUE"""),"Vision")</f>
        <v>Vision</v>
      </c>
      <c r="D2590" s="5" t="str">
        <f ca="1">IFERROR(__xludf.DUMMYFUNCTION("""COMPUTED_VALUE"""),"LandPlane")</f>
        <v>LandPlane</v>
      </c>
      <c r="E2590" s="5" t="str">
        <f ca="1">IFERROR(__xludf.DUMMYFUNCTION("""COMPUTED_VALUE"""),"Piston")</f>
        <v>Piston</v>
      </c>
      <c r="F2590" s="5">
        <f ca="1">IFERROR(__xludf.DUMMYFUNCTION("""COMPUTED_VALUE"""),1)</f>
        <v>1</v>
      </c>
    </row>
    <row r="2591" spans="1:6" ht="15" customHeight="1" x14ac:dyDescent="0.2">
      <c r="A2591" s="5" t="str">
        <f ca="1">IFERROR(__xludf.DUMMYFUNCTION("""COMPUTED_VALUE"""),"VTOR")</f>
        <v>VTOR</v>
      </c>
      <c r="B2591" s="5" t="str">
        <f ca="1">IFERROR(__xludf.DUMMYFUNCTION("""COMPUTED_VALUE"""),"VULCANAIR")</f>
        <v>VULCANAIR</v>
      </c>
      <c r="C2591" s="5" t="str">
        <f ca="1">IFERROR(__xludf.DUMMYFUNCTION("""COMPUTED_VALUE"""),"AP-68TP-600 Viator")</f>
        <v>AP-68TP-600 Viator</v>
      </c>
      <c r="D2591" s="5" t="str">
        <f ca="1">IFERROR(__xludf.DUMMYFUNCTION("""COMPUTED_VALUE"""),"LandPlane")</f>
        <v>LandPlane</v>
      </c>
      <c r="E2591" s="5" t="str">
        <f ca="1">IFERROR(__xludf.DUMMYFUNCTION("""COMPUTED_VALUE"""),"Turboprop/Turboshaft")</f>
        <v>Turboprop/Turboshaft</v>
      </c>
      <c r="F2591" s="5">
        <f ca="1">IFERROR(__xludf.DUMMYFUNCTION("""COMPUTED_VALUE"""),2)</f>
        <v>2</v>
      </c>
    </row>
    <row r="2592" spans="1:6" ht="15" customHeight="1" x14ac:dyDescent="0.2">
      <c r="A2592" s="5" t="str">
        <f ca="1">IFERROR(__xludf.DUMMYFUNCTION("""COMPUTED_VALUE"""),"VTRA")</f>
        <v>VTRA</v>
      </c>
      <c r="B2592" s="5" t="str">
        <f ca="1">IFERROR(__xludf.DUMMYFUNCTION("""COMPUTED_VALUE"""),"RANS")</f>
        <v>RANS</v>
      </c>
      <c r="C2592" s="5" t="str">
        <f ca="1">IFERROR(__xludf.DUMMYFUNCTION("""COMPUTED_VALUE"""),"S-19 Venterra")</f>
        <v>S-19 Venterra</v>
      </c>
      <c r="D2592" s="5" t="str">
        <f ca="1">IFERROR(__xludf.DUMMYFUNCTION("""COMPUTED_VALUE"""),"LandPlane")</f>
        <v>LandPlane</v>
      </c>
      <c r="E2592" s="5" t="str">
        <f ca="1">IFERROR(__xludf.DUMMYFUNCTION("""COMPUTED_VALUE"""),"Piston")</f>
        <v>Piston</v>
      </c>
      <c r="F2592" s="5">
        <f ca="1">IFERROR(__xludf.DUMMYFUNCTION("""COMPUTED_VALUE"""),1)</f>
        <v>1</v>
      </c>
    </row>
    <row r="2593" spans="1:6" ht="15" customHeight="1" x14ac:dyDescent="0.2">
      <c r="A2593" s="5" t="str">
        <f ca="1">IFERROR(__xludf.DUMMYFUNCTION("""COMPUTED_VALUE"""),"VTUR")</f>
        <v>VTUR</v>
      </c>
      <c r="B2593" s="5" t="str">
        <f ca="1">IFERROR(__xludf.DUMMYFUNCTION("""COMPUTED_VALUE"""),"QUESTAIR")</f>
        <v>QUESTAIR</v>
      </c>
      <c r="C2593" s="5" t="str">
        <f ca="1">IFERROR(__xludf.DUMMYFUNCTION("""COMPUTED_VALUE"""),"M-20 Venture")</f>
        <v>M-20 Venture</v>
      </c>
      <c r="D2593" s="5" t="str">
        <f ca="1">IFERROR(__xludf.DUMMYFUNCTION("""COMPUTED_VALUE"""),"LandPlane")</f>
        <v>LandPlane</v>
      </c>
      <c r="E2593" s="5" t="str">
        <f ca="1">IFERROR(__xludf.DUMMYFUNCTION("""COMPUTED_VALUE"""),"Piston")</f>
        <v>Piston</v>
      </c>
      <c r="F2593" s="5">
        <f ca="1">IFERROR(__xludf.DUMMYFUNCTION("""COMPUTED_VALUE"""),1)</f>
        <v>1</v>
      </c>
    </row>
    <row r="2594" spans="1:6" ht="15" customHeight="1" x14ac:dyDescent="0.2">
      <c r="A2594" s="5" t="str">
        <f ca="1">IFERROR(__xludf.DUMMYFUNCTION("""COMPUTED_VALUE"""),"VUT1")</f>
        <v>VUT1</v>
      </c>
      <c r="B2594" s="5" t="str">
        <f ca="1">IFERROR(__xludf.DUMMYFUNCTION("""COMPUTED_VALUE"""),"EVEKTOR")</f>
        <v>EVEKTOR</v>
      </c>
      <c r="C2594" s="5" t="str">
        <f ca="1">IFERROR(__xludf.DUMMYFUNCTION("""COMPUTED_VALUE"""),"VUT-100 Cobra")</f>
        <v>VUT-100 Cobra</v>
      </c>
      <c r="D2594" s="5" t="str">
        <f ca="1">IFERROR(__xludf.DUMMYFUNCTION("""COMPUTED_VALUE"""),"LandPlane")</f>
        <v>LandPlane</v>
      </c>
      <c r="E2594" s="5" t="str">
        <f ca="1">IFERROR(__xludf.DUMMYFUNCTION("""COMPUTED_VALUE"""),"Piston")</f>
        <v>Piston</v>
      </c>
      <c r="F2594" s="5">
        <f ca="1">IFERROR(__xludf.DUMMYFUNCTION("""COMPUTED_VALUE"""),1)</f>
        <v>1</v>
      </c>
    </row>
    <row r="2595" spans="1:6" ht="15" customHeight="1" x14ac:dyDescent="0.2">
      <c r="A2595" s="5" t="str">
        <f ca="1">IFERROR(__xludf.DUMMYFUNCTION("""COMPUTED_VALUE"""),"VVIG")</f>
        <v>VVIG</v>
      </c>
      <c r="B2595" s="5" t="str">
        <f ca="1">IFERROR(__xludf.DUMMYFUNCTION("""COMPUTED_VALUE"""),"RUTAN")</f>
        <v>RUTAN</v>
      </c>
      <c r="C2595" s="5" t="str">
        <f ca="1">IFERROR(__xludf.DUMMYFUNCTION("""COMPUTED_VALUE"""),"27 VariViggen")</f>
        <v>27 VariViggen</v>
      </c>
      <c r="D2595" s="5" t="str">
        <f ca="1">IFERROR(__xludf.DUMMYFUNCTION("""COMPUTED_VALUE"""),"LandPlane")</f>
        <v>LandPlane</v>
      </c>
      <c r="E2595" s="5" t="str">
        <f ca="1">IFERROR(__xludf.DUMMYFUNCTION("""COMPUTED_VALUE"""),"Piston")</f>
        <v>Piston</v>
      </c>
      <c r="F2595" s="5">
        <f ca="1">IFERROR(__xludf.DUMMYFUNCTION("""COMPUTED_VALUE"""),1)</f>
        <v>1</v>
      </c>
    </row>
    <row r="2596" spans="1:6" ht="15" customHeight="1" x14ac:dyDescent="0.2">
      <c r="A2596" s="5" t="str">
        <f ca="1">IFERROR(__xludf.DUMMYFUNCTION("""COMPUTED_VALUE"""),"VW10")</f>
        <v>VW10</v>
      </c>
      <c r="B2596" s="5" t="str">
        <f ca="1">IFERROR(__xludf.DUMMYFUNCTION("""COMPUTED_VALUE"""),"AIRCONCEPT")</f>
        <v>AIRCONCEPT</v>
      </c>
      <c r="C2596" s="5" t="str">
        <f ca="1">IFERROR(__xludf.DUMMYFUNCTION("""COMPUTED_VALUE"""),"VoWi-10 Airbuggy")</f>
        <v>VoWi-10 Airbuggy</v>
      </c>
      <c r="D2596" s="5" t="str">
        <f ca="1">IFERROR(__xludf.DUMMYFUNCTION("""COMPUTED_VALUE"""),"LandPlane")</f>
        <v>LandPlane</v>
      </c>
      <c r="E2596" s="5" t="str">
        <f ca="1">IFERROR(__xludf.DUMMYFUNCTION("""COMPUTED_VALUE"""),"Piston")</f>
        <v>Piston</v>
      </c>
      <c r="F2596" s="5">
        <f ca="1">IFERROR(__xludf.DUMMYFUNCTION("""COMPUTED_VALUE"""),1)</f>
        <v>1</v>
      </c>
    </row>
    <row r="2597" spans="1:6" ht="15" customHeight="1" x14ac:dyDescent="0.2">
      <c r="A2597" s="5" t="str">
        <f ca="1">IFERROR(__xludf.DUMMYFUNCTION("""COMPUTED_VALUE"""),"VWIT")</f>
        <v>VWIT</v>
      </c>
      <c r="B2597" s="5" t="str">
        <f ca="1">IFERROR(__xludf.DUMMYFUNCTION("""COMPUTED_VALUE"""),"AIRCRAFT SPRUCE")</f>
        <v>AIRCRAFT SPRUCE</v>
      </c>
      <c r="C2597" s="5" t="str">
        <f ca="1">IFERROR(__xludf.DUMMYFUNCTION("""COMPUTED_VALUE"""),"V-Witt")</f>
        <v>V-Witt</v>
      </c>
      <c r="D2597" s="5" t="str">
        <f ca="1">IFERROR(__xludf.DUMMYFUNCTION("""COMPUTED_VALUE"""),"LandPlane")</f>
        <v>LandPlane</v>
      </c>
      <c r="E2597" s="5" t="str">
        <f ca="1">IFERROR(__xludf.DUMMYFUNCTION("""COMPUTED_VALUE"""),"Piston")</f>
        <v>Piston</v>
      </c>
      <c r="F2597" s="5">
        <f ca="1">IFERROR(__xludf.DUMMYFUNCTION("""COMPUTED_VALUE"""),1)</f>
        <v>1</v>
      </c>
    </row>
    <row r="2598" spans="1:6" ht="15" customHeight="1" x14ac:dyDescent="0.2">
      <c r="A2598" s="5" t="str">
        <f ca="1">IFERROR(__xludf.DUMMYFUNCTION("""COMPUTED_VALUE"""),"W11")</f>
        <v>W11</v>
      </c>
      <c r="B2598" s="5" t="str">
        <f ca="1">IFERROR(__xludf.DUMMYFUNCTION("""COMPUTED_VALUE"""),"WOLF")</f>
        <v>WOLF</v>
      </c>
      <c r="C2598" s="5" t="str">
        <f ca="1">IFERROR(__xludf.DUMMYFUNCTION("""COMPUTED_VALUE"""),"W-11 Boredom Fighter")</f>
        <v>W-11 Boredom Fighter</v>
      </c>
      <c r="D2598" s="5" t="str">
        <f ca="1">IFERROR(__xludf.DUMMYFUNCTION("""COMPUTED_VALUE"""),"LandPlane")</f>
        <v>LandPlane</v>
      </c>
      <c r="E2598" s="5" t="str">
        <f ca="1">IFERROR(__xludf.DUMMYFUNCTION("""COMPUTED_VALUE"""),"Piston")</f>
        <v>Piston</v>
      </c>
      <c r="F2598" s="5">
        <f ca="1">IFERROR(__xludf.DUMMYFUNCTION("""COMPUTED_VALUE"""),1)</f>
        <v>1</v>
      </c>
    </row>
    <row r="2599" spans="1:6" ht="15" customHeight="1" x14ac:dyDescent="0.2">
      <c r="A2599" s="5" t="str">
        <f ca="1">IFERROR(__xludf.DUMMYFUNCTION("""COMPUTED_VALUE"""),"W201")</f>
        <v>W201</v>
      </c>
      <c r="B2599" s="5" t="str">
        <f ca="1">IFERROR(__xludf.DUMMYFUNCTION("""COMPUTED_VALUE"""),"WEATHERLY")</f>
        <v>WEATHERLY</v>
      </c>
      <c r="C2599" s="5" t="str">
        <f ca="1">IFERROR(__xludf.DUMMYFUNCTION("""COMPUTED_VALUE"""),"201")</f>
        <v>201</v>
      </c>
      <c r="D2599" s="5" t="str">
        <f ca="1">IFERROR(__xludf.DUMMYFUNCTION("""COMPUTED_VALUE"""),"LandPlane")</f>
        <v>LandPlane</v>
      </c>
      <c r="E2599" s="5" t="str">
        <f ca="1">IFERROR(__xludf.DUMMYFUNCTION("""COMPUTED_VALUE"""),"Piston")</f>
        <v>Piston</v>
      </c>
      <c r="F2599" s="5">
        <f ca="1">IFERROR(__xludf.DUMMYFUNCTION("""COMPUTED_VALUE"""),1)</f>
        <v>1</v>
      </c>
    </row>
    <row r="2600" spans="1:6" ht="15" customHeight="1" x14ac:dyDescent="0.2">
      <c r="A2600" s="5" t="str">
        <f ca="1">IFERROR(__xludf.DUMMYFUNCTION("""COMPUTED_VALUE"""),"W3")</f>
        <v>W3</v>
      </c>
      <c r="B2600" s="5" t="str">
        <f ca="1">IFERROR(__xludf.DUMMYFUNCTION("""COMPUTED_VALUE"""),"PZL-SWIDNIK")</f>
        <v>PZL-SWIDNIK</v>
      </c>
      <c r="C2600" s="5" t="str">
        <f ca="1">IFERROR(__xludf.DUMMYFUNCTION("""COMPUTED_VALUE"""),"W-3 Anakonda")</f>
        <v>W-3 Anakonda</v>
      </c>
      <c r="D2600" s="5" t="str">
        <f ca="1">IFERROR(__xludf.DUMMYFUNCTION("""COMPUTED_VALUE"""),"Helicopter")</f>
        <v>Helicopter</v>
      </c>
      <c r="E2600" s="5" t="str">
        <f ca="1">IFERROR(__xludf.DUMMYFUNCTION("""COMPUTED_VALUE"""),"Turboprop/Turboshaft")</f>
        <v>Turboprop/Turboshaft</v>
      </c>
      <c r="F2600" s="5">
        <f ca="1">IFERROR(__xludf.DUMMYFUNCTION("""COMPUTED_VALUE"""),2)</f>
        <v>2</v>
      </c>
    </row>
    <row r="2601" spans="1:6" ht="15" customHeight="1" x14ac:dyDescent="0.2">
      <c r="A2601" s="5" t="str">
        <f ca="1">IFERROR(__xludf.DUMMYFUNCTION("""COMPUTED_VALUE"""),"W5BC")</f>
        <v>W5BC</v>
      </c>
      <c r="B2601" s="5" t="str">
        <f ca="1">IFERROR(__xludf.DUMMYFUNCTION("""COMPUTED_VALUE"""),"WITTMAN")</f>
        <v>WITTMAN</v>
      </c>
      <c r="C2601" s="5" t="str">
        <f ca="1">IFERROR(__xludf.DUMMYFUNCTION("""COMPUTED_VALUE"""),"W-5 Buttercup")</f>
        <v>W-5 Buttercup</v>
      </c>
      <c r="D2601" s="5" t="str">
        <f ca="1">IFERROR(__xludf.DUMMYFUNCTION("""COMPUTED_VALUE"""),"LandPlane")</f>
        <v>LandPlane</v>
      </c>
      <c r="E2601" s="5" t="str">
        <f ca="1">IFERROR(__xludf.DUMMYFUNCTION("""COMPUTED_VALUE"""),"Piston")</f>
        <v>Piston</v>
      </c>
      <c r="F2601" s="5">
        <f ca="1">IFERROR(__xludf.DUMMYFUNCTION("""COMPUTED_VALUE"""),1)</f>
        <v>1</v>
      </c>
    </row>
    <row r="2602" spans="1:6" ht="15" customHeight="1" x14ac:dyDescent="0.2">
      <c r="A2602" s="5" t="str">
        <f ca="1">IFERROR(__xludf.DUMMYFUNCTION("""COMPUTED_VALUE"""),"W62T")</f>
        <v>W62T</v>
      </c>
      <c r="B2602" s="5" t="str">
        <f ca="1">IFERROR(__xludf.DUMMYFUNCTION("""COMPUTED_VALUE"""),"WEATHERLY")</f>
        <v>WEATHERLY</v>
      </c>
      <c r="C2602" s="5" t="str">
        <f ca="1">IFERROR(__xludf.DUMMYFUNCTION("""COMPUTED_VALUE"""),"620TP")</f>
        <v>620TP</v>
      </c>
      <c r="D2602" s="5" t="str">
        <f ca="1">IFERROR(__xludf.DUMMYFUNCTION("""COMPUTED_VALUE"""),"LandPlane")</f>
        <v>LandPlane</v>
      </c>
      <c r="E2602" s="5" t="str">
        <f ca="1">IFERROR(__xludf.DUMMYFUNCTION("""COMPUTED_VALUE"""),"Turboprop/Turboshaft")</f>
        <v>Turboprop/Turboshaft</v>
      </c>
      <c r="F2602" s="5">
        <f ca="1">IFERROR(__xludf.DUMMYFUNCTION("""COMPUTED_VALUE"""),1)</f>
        <v>1</v>
      </c>
    </row>
    <row r="2603" spans="1:6" ht="15" customHeight="1" x14ac:dyDescent="0.2">
      <c r="A2603" s="5" t="str">
        <f ca="1">IFERROR(__xludf.DUMMYFUNCTION("""COMPUTED_VALUE"""),"WA40")</f>
        <v>WA40</v>
      </c>
      <c r="B2603" s="5" t="str">
        <f ca="1">IFERROR(__xludf.DUMMYFUNCTION("""COMPUTED_VALUE"""),"WASSMER")</f>
        <v>WASSMER</v>
      </c>
      <c r="C2603" s="5" t="str">
        <f ca="1">IFERROR(__xludf.DUMMYFUNCTION("""COMPUTED_VALUE"""),"WA-40 Super 4")</f>
        <v>WA-40 Super 4</v>
      </c>
      <c r="D2603" s="5" t="str">
        <f ca="1">IFERROR(__xludf.DUMMYFUNCTION("""COMPUTED_VALUE"""),"LandPlane")</f>
        <v>LandPlane</v>
      </c>
      <c r="E2603" s="5" t="str">
        <f ca="1">IFERROR(__xludf.DUMMYFUNCTION("""COMPUTED_VALUE"""),"Piston")</f>
        <v>Piston</v>
      </c>
      <c r="F2603" s="5">
        <f ca="1">IFERROR(__xludf.DUMMYFUNCTION("""COMPUTED_VALUE"""),1)</f>
        <v>1</v>
      </c>
    </row>
    <row r="2604" spans="1:6" ht="15" customHeight="1" x14ac:dyDescent="0.2">
      <c r="A2604" s="5" t="str">
        <f ca="1">IFERROR(__xludf.DUMMYFUNCTION("""COMPUTED_VALUE"""),"WA41")</f>
        <v>WA41</v>
      </c>
      <c r="B2604" s="5" t="str">
        <f ca="1">IFERROR(__xludf.DUMMYFUNCTION("""COMPUTED_VALUE"""),"WASSMER")</f>
        <v>WASSMER</v>
      </c>
      <c r="C2604" s="5" t="str">
        <f ca="1">IFERROR(__xludf.DUMMYFUNCTION("""COMPUTED_VALUE"""),"WA-41 Baladou")</f>
        <v>WA-41 Baladou</v>
      </c>
      <c r="D2604" s="5" t="str">
        <f ca="1">IFERROR(__xludf.DUMMYFUNCTION("""COMPUTED_VALUE"""),"LandPlane")</f>
        <v>LandPlane</v>
      </c>
      <c r="E2604" s="5" t="str">
        <f ca="1">IFERROR(__xludf.DUMMYFUNCTION("""COMPUTED_VALUE"""),"Piston")</f>
        <v>Piston</v>
      </c>
      <c r="F2604" s="5">
        <f ca="1">IFERROR(__xludf.DUMMYFUNCTION("""COMPUTED_VALUE"""),1)</f>
        <v>1</v>
      </c>
    </row>
    <row r="2605" spans="1:6" ht="15" customHeight="1" x14ac:dyDescent="0.2">
      <c r="A2605" s="5" t="str">
        <f ca="1">IFERROR(__xludf.DUMMYFUNCTION("""COMPUTED_VALUE"""),"WA42")</f>
        <v>WA42</v>
      </c>
      <c r="B2605" s="5" t="str">
        <f ca="1">IFERROR(__xludf.DUMMYFUNCTION("""COMPUTED_VALUE"""),"WASSMER")</f>
        <v>WASSMER</v>
      </c>
      <c r="C2605" s="5" t="str">
        <f ca="1">IFERROR(__xludf.DUMMYFUNCTION("""COMPUTED_VALUE"""),"WA-421 Prestige")</f>
        <v>WA-421 Prestige</v>
      </c>
      <c r="D2605" s="5" t="str">
        <f ca="1">IFERROR(__xludf.DUMMYFUNCTION("""COMPUTED_VALUE"""),"LandPlane")</f>
        <v>LandPlane</v>
      </c>
      <c r="E2605" s="5" t="str">
        <f ca="1">IFERROR(__xludf.DUMMYFUNCTION("""COMPUTED_VALUE"""),"Piston")</f>
        <v>Piston</v>
      </c>
      <c r="F2605" s="5">
        <f ca="1">IFERROR(__xludf.DUMMYFUNCTION("""COMPUTED_VALUE"""),1)</f>
        <v>1</v>
      </c>
    </row>
    <row r="2606" spans="1:6" ht="15" customHeight="1" x14ac:dyDescent="0.2">
      <c r="A2606" s="5" t="str">
        <f ca="1">IFERROR(__xludf.DUMMYFUNCTION("""COMPUTED_VALUE"""),"WA50")</f>
        <v>WA50</v>
      </c>
      <c r="B2606" s="5" t="str">
        <f ca="1">IFERROR(__xludf.DUMMYFUNCTION("""COMPUTED_VALUE"""),"WASSMER")</f>
        <v>WASSMER</v>
      </c>
      <c r="C2606" s="5" t="str">
        <f ca="1">IFERROR(__xludf.DUMMYFUNCTION("""COMPUTED_VALUE"""),"WA-51 Pacific")</f>
        <v>WA-51 Pacific</v>
      </c>
      <c r="D2606" s="5" t="str">
        <f ca="1">IFERROR(__xludf.DUMMYFUNCTION("""COMPUTED_VALUE"""),"LandPlane")</f>
        <v>LandPlane</v>
      </c>
      <c r="E2606" s="5" t="str">
        <f ca="1">IFERROR(__xludf.DUMMYFUNCTION("""COMPUTED_VALUE"""),"Piston")</f>
        <v>Piston</v>
      </c>
      <c r="F2606" s="5">
        <f ca="1">IFERROR(__xludf.DUMMYFUNCTION("""COMPUTED_VALUE"""),1)</f>
        <v>1</v>
      </c>
    </row>
    <row r="2607" spans="1:6" ht="15" customHeight="1" x14ac:dyDescent="0.2">
      <c r="A2607" s="5" t="str">
        <f ca="1">IFERROR(__xludf.DUMMYFUNCTION("""COMPUTED_VALUE"""),"WA80")</f>
        <v>WA80</v>
      </c>
      <c r="B2607" s="5" t="str">
        <f ca="1">IFERROR(__xludf.DUMMYFUNCTION("""COMPUTED_VALUE"""),"WASSMER")</f>
        <v>WASSMER</v>
      </c>
      <c r="C2607" s="5" t="str">
        <f ca="1">IFERROR(__xludf.DUMMYFUNCTION("""COMPUTED_VALUE"""),"WA-80 Piranha")</f>
        <v>WA-80 Piranha</v>
      </c>
      <c r="D2607" s="5" t="str">
        <f ca="1">IFERROR(__xludf.DUMMYFUNCTION("""COMPUTED_VALUE"""),"LandPlane")</f>
        <v>LandPlane</v>
      </c>
      <c r="E2607" s="5" t="str">
        <f ca="1">IFERROR(__xludf.DUMMYFUNCTION("""COMPUTED_VALUE"""),"Piston")</f>
        <v>Piston</v>
      </c>
      <c r="F2607" s="5">
        <f ca="1">IFERROR(__xludf.DUMMYFUNCTION("""COMPUTED_VALUE"""),1)</f>
        <v>1</v>
      </c>
    </row>
    <row r="2608" spans="1:6" ht="15" customHeight="1" x14ac:dyDescent="0.2">
      <c r="A2608" s="5" t="str">
        <f ca="1">IFERROR(__xludf.DUMMYFUNCTION("""COMPUTED_VALUE"""),"WAC9")</f>
        <v>WAC9</v>
      </c>
      <c r="B2608" s="5" t="str">
        <f ca="1">IFERROR(__xludf.DUMMYFUNCTION("""COMPUTED_VALUE"""),"WACO")</f>
        <v>WACO</v>
      </c>
      <c r="C2608" s="5" t="str">
        <f ca="1">IFERROR(__xludf.DUMMYFUNCTION("""COMPUTED_VALUE"""),"9")</f>
        <v>9</v>
      </c>
      <c r="D2608" s="5" t="str">
        <f ca="1">IFERROR(__xludf.DUMMYFUNCTION("""COMPUTED_VALUE"""),"LandPlane")</f>
        <v>LandPlane</v>
      </c>
      <c r="E2608" s="5" t="str">
        <f ca="1">IFERROR(__xludf.DUMMYFUNCTION("""COMPUTED_VALUE"""),"Piston")</f>
        <v>Piston</v>
      </c>
      <c r="F2608" s="5">
        <f ca="1">IFERROR(__xludf.DUMMYFUNCTION("""COMPUTED_VALUE"""),1)</f>
        <v>1</v>
      </c>
    </row>
    <row r="2609" spans="1:6" ht="15" customHeight="1" x14ac:dyDescent="0.2">
      <c r="A2609" s="5" t="str">
        <f ca="1">IFERROR(__xludf.DUMMYFUNCTION("""COMPUTED_VALUE"""),"WACA")</f>
        <v>WACA</v>
      </c>
      <c r="B2609" s="5" t="str">
        <f ca="1">IFERROR(__xludf.DUMMYFUNCTION("""COMPUTED_VALUE"""),"WACO")</f>
        <v>WACO</v>
      </c>
      <c r="C2609" s="5" t="str">
        <f ca="1">IFERROR(__xludf.DUMMYFUNCTION("""COMPUTED_VALUE"""),"PBA")</f>
        <v>PBA</v>
      </c>
      <c r="D2609" s="5" t="str">
        <f ca="1">IFERROR(__xludf.DUMMYFUNCTION("""COMPUTED_VALUE"""),"LandPlane")</f>
        <v>LandPlane</v>
      </c>
      <c r="E2609" s="5" t="str">
        <f ca="1">IFERROR(__xludf.DUMMYFUNCTION("""COMPUTED_VALUE"""),"Piston")</f>
        <v>Piston</v>
      </c>
      <c r="F2609" s="5">
        <f ca="1">IFERROR(__xludf.DUMMYFUNCTION("""COMPUTED_VALUE"""),1)</f>
        <v>1</v>
      </c>
    </row>
    <row r="2610" spans="1:6" ht="15" customHeight="1" x14ac:dyDescent="0.2">
      <c r="A2610" s="5" t="str">
        <f ca="1">IFERROR(__xludf.DUMMYFUNCTION("""COMPUTED_VALUE"""),"WACC")</f>
        <v>WACC</v>
      </c>
      <c r="B2610" s="5" t="str">
        <f ca="1">IFERROR(__xludf.DUMMYFUNCTION("""COMPUTED_VALUE"""),"WACO")</f>
        <v>WACO</v>
      </c>
      <c r="C2610" s="5" t="str">
        <f ca="1">IFERROR(__xludf.DUMMYFUNCTION("""COMPUTED_VALUE"""),"C")</f>
        <v>C</v>
      </c>
      <c r="D2610" s="5" t="str">
        <f ca="1">IFERROR(__xludf.DUMMYFUNCTION("""COMPUTED_VALUE"""),"LandPlane")</f>
        <v>LandPlane</v>
      </c>
      <c r="E2610" s="5" t="str">
        <f ca="1">IFERROR(__xludf.DUMMYFUNCTION("""COMPUTED_VALUE"""),"Piston")</f>
        <v>Piston</v>
      </c>
      <c r="F2610" s="5">
        <f ca="1">IFERROR(__xludf.DUMMYFUNCTION("""COMPUTED_VALUE"""),1)</f>
        <v>1</v>
      </c>
    </row>
    <row r="2611" spans="1:6" ht="15" customHeight="1" x14ac:dyDescent="0.2">
      <c r="A2611" s="5" t="str">
        <f ca="1">IFERROR(__xludf.DUMMYFUNCTION("""COMPUTED_VALUE"""),"WACD")</f>
        <v>WACD</v>
      </c>
      <c r="B2611" s="5" t="str">
        <f ca="1">IFERROR(__xludf.DUMMYFUNCTION("""COMPUTED_VALUE"""),"WACO")</f>
        <v>WACO</v>
      </c>
      <c r="C2611" s="5" t="str">
        <f ca="1">IFERROR(__xludf.DUMMYFUNCTION("""COMPUTED_VALUE"""),"D")</f>
        <v>D</v>
      </c>
      <c r="D2611" s="5" t="str">
        <f ca="1">IFERROR(__xludf.DUMMYFUNCTION("""COMPUTED_VALUE"""),"LandPlane")</f>
        <v>LandPlane</v>
      </c>
      <c r="E2611" s="5" t="str">
        <f ca="1">IFERROR(__xludf.DUMMYFUNCTION("""COMPUTED_VALUE"""),"Piston")</f>
        <v>Piston</v>
      </c>
      <c r="F2611" s="5">
        <f ca="1">IFERROR(__xludf.DUMMYFUNCTION("""COMPUTED_VALUE"""),1)</f>
        <v>1</v>
      </c>
    </row>
    <row r="2612" spans="1:6" ht="15" customHeight="1" x14ac:dyDescent="0.2">
      <c r="A2612" s="5" t="str">
        <f ca="1">IFERROR(__xludf.DUMMYFUNCTION("""COMPUTED_VALUE"""),"WACE")</f>
        <v>WACE</v>
      </c>
      <c r="B2612" s="5" t="str">
        <f ca="1">IFERROR(__xludf.DUMMYFUNCTION("""COMPUTED_VALUE"""),"WACO")</f>
        <v>WACO</v>
      </c>
      <c r="C2612" s="5" t="str">
        <f ca="1">IFERROR(__xludf.DUMMYFUNCTION("""COMPUTED_VALUE"""),"E (ARE/HRE/SRE) Aristocrat")</f>
        <v>E (ARE/HRE/SRE) Aristocrat</v>
      </c>
      <c r="D2612" s="5" t="str">
        <f ca="1">IFERROR(__xludf.DUMMYFUNCTION("""COMPUTED_VALUE"""),"LandPlane")</f>
        <v>LandPlane</v>
      </c>
      <c r="E2612" s="5" t="str">
        <f ca="1">IFERROR(__xludf.DUMMYFUNCTION("""COMPUTED_VALUE"""),"Piston")</f>
        <v>Piston</v>
      </c>
      <c r="F2612" s="5">
        <f ca="1">IFERROR(__xludf.DUMMYFUNCTION("""COMPUTED_VALUE"""),1)</f>
        <v>1</v>
      </c>
    </row>
    <row r="2613" spans="1:6" ht="15" customHeight="1" x14ac:dyDescent="0.2">
      <c r="A2613" s="5" t="str">
        <f ca="1">IFERROR(__xludf.DUMMYFUNCTION("""COMPUTED_VALUE"""),"WACF")</f>
        <v>WACF</v>
      </c>
      <c r="B2613" s="5" t="str">
        <f ca="1">IFERROR(__xludf.DUMMYFUNCTION("""COMPUTED_VALUE"""),"WACO")</f>
        <v>WACO</v>
      </c>
      <c r="C2613" s="5" t="str">
        <f ca="1">IFERROR(__xludf.DUMMYFUNCTION("""COMPUTED_VALUE"""),"F")</f>
        <v>F</v>
      </c>
      <c r="D2613" s="5" t="str">
        <f ca="1">IFERROR(__xludf.DUMMYFUNCTION("""COMPUTED_VALUE"""),"LandPlane")</f>
        <v>LandPlane</v>
      </c>
      <c r="E2613" s="5" t="str">
        <f ca="1">IFERROR(__xludf.DUMMYFUNCTION("""COMPUTED_VALUE"""),"Piston")</f>
        <v>Piston</v>
      </c>
      <c r="F2613" s="5">
        <f ca="1">IFERROR(__xludf.DUMMYFUNCTION("""COMPUTED_VALUE"""),1)</f>
        <v>1</v>
      </c>
    </row>
    <row r="2614" spans="1:6" ht="15" customHeight="1" x14ac:dyDescent="0.2">
      <c r="A2614" s="5" t="str">
        <f ca="1">IFERROR(__xludf.DUMMYFUNCTION("""COMPUTED_VALUE"""),"WACG")</f>
        <v>WACG</v>
      </c>
      <c r="B2614" s="5" t="str">
        <f ca="1">IFERROR(__xludf.DUMMYFUNCTION("""COMPUTED_VALUE"""),"WACO")</f>
        <v>WACO</v>
      </c>
      <c r="C2614" s="5" t="str">
        <f ca="1">IFERROR(__xludf.DUMMYFUNCTION("""COMPUTED_VALUE"""),"G")</f>
        <v>G</v>
      </c>
      <c r="D2614" s="5" t="str">
        <f ca="1">IFERROR(__xludf.DUMMYFUNCTION("""COMPUTED_VALUE"""),"LandPlane")</f>
        <v>LandPlane</v>
      </c>
      <c r="E2614" s="5" t="str">
        <f ca="1">IFERROR(__xludf.DUMMYFUNCTION("""COMPUTED_VALUE"""),"Piston")</f>
        <v>Piston</v>
      </c>
      <c r="F2614" s="5">
        <f ca="1">IFERROR(__xludf.DUMMYFUNCTION("""COMPUTED_VALUE"""),1)</f>
        <v>1</v>
      </c>
    </row>
    <row r="2615" spans="1:6" ht="15" customHeight="1" x14ac:dyDescent="0.2">
      <c r="A2615" s="5" t="str">
        <f ca="1">IFERROR(__xludf.DUMMYFUNCTION("""COMPUTED_VALUE"""),"WACM")</f>
        <v>WACM</v>
      </c>
      <c r="B2615" s="5" t="str">
        <f ca="1">IFERROR(__xludf.DUMMYFUNCTION("""COMPUTED_VALUE"""),"WACO")</f>
        <v>WACO</v>
      </c>
      <c r="C2615" s="5" t="str">
        <f ca="1">IFERROR(__xludf.DUMMYFUNCTION("""COMPUTED_VALUE"""),"JWM")</f>
        <v>JWM</v>
      </c>
      <c r="D2615" s="5" t="str">
        <f ca="1">IFERROR(__xludf.DUMMYFUNCTION("""COMPUTED_VALUE"""),"LandPlane")</f>
        <v>LandPlane</v>
      </c>
      <c r="E2615" s="5" t="str">
        <f ca="1">IFERROR(__xludf.DUMMYFUNCTION("""COMPUTED_VALUE"""),"Piston")</f>
        <v>Piston</v>
      </c>
      <c r="F2615" s="5">
        <f ca="1">IFERROR(__xludf.DUMMYFUNCTION("""COMPUTED_VALUE"""),1)</f>
        <v>1</v>
      </c>
    </row>
    <row r="2616" spans="1:6" ht="15" customHeight="1" x14ac:dyDescent="0.2">
      <c r="A2616" s="5" t="str">
        <f ca="1">IFERROR(__xludf.DUMMYFUNCTION("""COMPUTED_VALUE"""),"WACN")</f>
        <v>WACN</v>
      </c>
      <c r="B2616" s="5" t="str">
        <f ca="1">IFERROR(__xludf.DUMMYFUNCTION("""COMPUTED_VALUE"""),"WACO")</f>
        <v>WACO</v>
      </c>
      <c r="C2616" s="5" t="str">
        <f ca="1">IFERROR(__xludf.DUMMYFUNCTION("""COMPUTED_VALUE"""),"AVN")</f>
        <v>AVN</v>
      </c>
      <c r="D2616" s="5" t="str">
        <f ca="1">IFERROR(__xludf.DUMMYFUNCTION("""COMPUTED_VALUE"""),"LandPlane")</f>
        <v>LandPlane</v>
      </c>
      <c r="E2616" s="5" t="str">
        <f ca="1">IFERROR(__xludf.DUMMYFUNCTION("""COMPUTED_VALUE"""),"Piston")</f>
        <v>Piston</v>
      </c>
      <c r="F2616" s="5">
        <f ca="1">IFERROR(__xludf.DUMMYFUNCTION("""COMPUTED_VALUE"""),1)</f>
        <v>1</v>
      </c>
    </row>
    <row r="2617" spans="1:6" ht="15" customHeight="1" x14ac:dyDescent="0.2">
      <c r="A2617" s="5" t="str">
        <f ca="1">IFERROR(__xludf.DUMMYFUNCTION("""COMPUTED_VALUE"""),"WACO")</f>
        <v>WACO</v>
      </c>
      <c r="B2617" s="5" t="str">
        <f ca="1">IFERROR(__xludf.DUMMYFUNCTION("""COMPUTED_VALUE"""),"WACO")</f>
        <v>WACO</v>
      </c>
      <c r="C2617" s="5" t="str">
        <f ca="1">IFERROR(__xludf.DUMMYFUNCTION("""COMPUTED_VALUE"""),"O")</f>
        <v>O</v>
      </c>
      <c r="D2617" s="5" t="str">
        <f ca="1">IFERROR(__xludf.DUMMYFUNCTION("""COMPUTED_VALUE"""),"LandPlane")</f>
        <v>LandPlane</v>
      </c>
      <c r="E2617" s="5" t="str">
        <f ca="1">IFERROR(__xludf.DUMMYFUNCTION("""COMPUTED_VALUE"""),"Piston")</f>
        <v>Piston</v>
      </c>
      <c r="F2617" s="5">
        <f ca="1">IFERROR(__xludf.DUMMYFUNCTION("""COMPUTED_VALUE"""),1)</f>
        <v>1</v>
      </c>
    </row>
    <row r="2618" spans="1:6" ht="15" customHeight="1" x14ac:dyDescent="0.2">
      <c r="A2618" s="5" t="str">
        <f ca="1">IFERROR(__xludf.DUMMYFUNCTION("""COMPUTED_VALUE"""),"WACT")</f>
        <v>WACT</v>
      </c>
      <c r="B2618" s="5" t="str">
        <f ca="1">IFERROR(__xludf.DUMMYFUNCTION("""COMPUTED_VALUE"""),"WACO")</f>
        <v>WACO</v>
      </c>
      <c r="C2618" s="5" t="str">
        <f ca="1">IFERROR(__xludf.DUMMYFUNCTION("""COMPUTED_VALUE"""),"RPT")</f>
        <v>RPT</v>
      </c>
      <c r="D2618" s="5" t="str">
        <f ca="1">IFERROR(__xludf.DUMMYFUNCTION("""COMPUTED_VALUE"""),"LandPlane")</f>
        <v>LandPlane</v>
      </c>
      <c r="E2618" s="5" t="str">
        <f ca="1">IFERROR(__xludf.DUMMYFUNCTION("""COMPUTED_VALUE"""),"Piston")</f>
        <v>Piston</v>
      </c>
      <c r="F2618" s="5">
        <f ca="1">IFERROR(__xludf.DUMMYFUNCTION("""COMPUTED_VALUE"""),1)</f>
        <v>1</v>
      </c>
    </row>
    <row r="2619" spans="1:6" ht="15" customHeight="1" x14ac:dyDescent="0.2">
      <c r="A2619" s="5" t="str">
        <f ca="1">IFERROR(__xludf.DUMMYFUNCTION("""COMPUTED_VALUE"""),"WAIX")</f>
        <v>WAIX</v>
      </c>
      <c r="B2619" s="5" t="str">
        <f ca="1">IFERROR(__xludf.DUMMYFUNCTION("""COMPUTED_VALUE"""),"SONEX")</f>
        <v>SONEX</v>
      </c>
      <c r="C2619" s="5" t="str">
        <f ca="1">IFERROR(__xludf.DUMMYFUNCTION("""COMPUTED_VALUE"""),"Waiex")</f>
        <v>Waiex</v>
      </c>
      <c r="D2619" s="5" t="str">
        <f ca="1">IFERROR(__xludf.DUMMYFUNCTION("""COMPUTED_VALUE"""),"LandPlane")</f>
        <v>LandPlane</v>
      </c>
      <c r="E2619" s="5" t="str">
        <f ca="1">IFERROR(__xludf.DUMMYFUNCTION("""COMPUTED_VALUE"""),"Piston")</f>
        <v>Piston</v>
      </c>
      <c r="F2619" s="5">
        <f ca="1">IFERROR(__xludf.DUMMYFUNCTION("""COMPUTED_VALUE"""),1)</f>
        <v>1</v>
      </c>
    </row>
    <row r="2620" spans="1:6" ht="15" customHeight="1" x14ac:dyDescent="0.2">
      <c r="A2620" s="5" t="str">
        <f ca="1">IFERROR(__xludf.DUMMYFUNCTION("""COMPUTED_VALUE"""),"WASP")</f>
        <v>WASP</v>
      </c>
      <c r="B2620" s="5" t="str">
        <f ca="1">IFERROR(__xludf.DUMMYFUNCTION("""COMPUTED_VALUE"""),"WESTLAND")</f>
        <v>WESTLAND</v>
      </c>
      <c r="C2620" s="5" t="str">
        <f ca="1">IFERROR(__xludf.DUMMYFUNCTION("""COMPUTED_VALUE"""),"Wasp")</f>
        <v>Wasp</v>
      </c>
      <c r="D2620" s="5" t="str">
        <f ca="1">IFERROR(__xludf.DUMMYFUNCTION("""COMPUTED_VALUE"""),"Helicopter")</f>
        <v>Helicopter</v>
      </c>
      <c r="E2620" s="5" t="str">
        <f ca="1">IFERROR(__xludf.DUMMYFUNCTION("""COMPUTED_VALUE"""),"Turboprop/Turboshaft")</f>
        <v>Turboprop/Turboshaft</v>
      </c>
      <c r="F2620" s="5">
        <f ca="1">IFERROR(__xludf.DUMMYFUNCTION("""COMPUTED_VALUE"""),1)</f>
        <v>1</v>
      </c>
    </row>
    <row r="2621" spans="1:6" ht="15" customHeight="1" x14ac:dyDescent="0.2">
      <c r="A2621" s="5" t="str">
        <f ca="1">IFERROR(__xludf.DUMMYFUNCTION("""COMPUTED_VALUE"""),"WB57")</f>
        <v>WB57</v>
      </c>
      <c r="B2621" s="5" t="str">
        <f ca="1">IFERROR(__xludf.DUMMYFUNCTION("""COMPUTED_VALUE"""),"MARTIN")</f>
        <v>MARTIN</v>
      </c>
      <c r="C2621" s="5" t="str">
        <f ca="1">IFERROR(__xludf.DUMMYFUNCTION("""COMPUTED_VALUE"""),"WB-57")</f>
        <v>WB-57</v>
      </c>
      <c r="D2621" s="5" t="str">
        <f ca="1">IFERROR(__xludf.DUMMYFUNCTION("""COMPUTED_VALUE"""),"LandPlane")</f>
        <v>LandPlane</v>
      </c>
      <c r="E2621" s="5" t="str">
        <f ca="1">IFERROR(__xludf.DUMMYFUNCTION("""COMPUTED_VALUE"""),"Jet")</f>
        <v>Jet</v>
      </c>
      <c r="F2621" s="5">
        <f ca="1">IFERROR(__xludf.DUMMYFUNCTION("""COMPUTED_VALUE"""),2)</f>
        <v>2</v>
      </c>
    </row>
    <row r="2622" spans="1:6" ht="15" customHeight="1" x14ac:dyDescent="0.2">
      <c r="A2622" s="5" t="str">
        <f ca="1">IFERROR(__xludf.DUMMYFUNCTION("""COMPUTED_VALUE"""),"WBOO")</f>
        <v>WBOO</v>
      </c>
      <c r="B2622" s="5" t="str">
        <f ca="1">IFERROR(__xludf.DUMMYFUNCTION("""COMPUTED_VALUE"""),"DEAN-WILSON")</f>
        <v>DEAN-WILSON</v>
      </c>
      <c r="C2622" s="5" t="str">
        <f ca="1">IFERROR(__xludf.DUMMYFUNCTION("""COMPUTED_VALUE"""),"DW-200 Whitney Boomerang")</f>
        <v>DW-200 Whitney Boomerang</v>
      </c>
      <c r="D2622" s="5" t="str">
        <f ca="1">IFERROR(__xludf.DUMMYFUNCTION("""COMPUTED_VALUE"""),"LandPlane")</f>
        <v>LandPlane</v>
      </c>
      <c r="E2622" s="5" t="str">
        <f ca="1">IFERROR(__xludf.DUMMYFUNCTION("""COMPUTED_VALUE"""),"Piston")</f>
        <v>Piston</v>
      </c>
      <c r="F2622" s="5">
        <f ca="1">IFERROR(__xludf.DUMMYFUNCTION("""COMPUTED_VALUE"""),1)</f>
        <v>1</v>
      </c>
    </row>
    <row r="2623" spans="1:6" ht="15" customHeight="1" x14ac:dyDescent="0.2">
      <c r="A2623" s="5" t="str">
        <f ca="1">IFERROR(__xludf.DUMMYFUNCTION("""COMPUTED_VALUE"""),"WCAT")</f>
        <v>WCAT</v>
      </c>
      <c r="B2623" s="5" t="str">
        <f ca="1">IFERROR(__xludf.DUMMYFUNCTION("""COMPUTED_VALUE"""),"GRUMMAN")</f>
        <v>GRUMMAN</v>
      </c>
      <c r="C2623" s="5" t="str">
        <f ca="1">IFERROR(__xludf.DUMMYFUNCTION("""COMPUTED_VALUE"""),"F4F Wildcat")</f>
        <v>F4F Wildcat</v>
      </c>
      <c r="D2623" s="5" t="str">
        <f ca="1">IFERROR(__xludf.DUMMYFUNCTION("""COMPUTED_VALUE"""),"LandPlane")</f>
        <v>LandPlane</v>
      </c>
      <c r="E2623" s="5" t="str">
        <f ca="1">IFERROR(__xludf.DUMMYFUNCTION("""COMPUTED_VALUE"""),"Piston")</f>
        <v>Piston</v>
      </c>
      <c r="F2623" s="5">
        <f ca="1">IFERROR(__xludf.DUMMYFUNCTION("""COMPUTED_VALUE"""),1)</f>
        <v>1</v>
      </c>
    </row>
    <row r="2624" spans="1:6" ht="15" customHeight="1" x14ac:dyDescent="0.2">
      <c r="A2624" s="5" t="str">
        <f ca="1">IFERROR(__xludf.DUMMYFUNCTION("""COMPUTED_VALUE"""),"WDEX")</f>
        <v>WDEX</v>
      </c>
      <c r="B2624" s="5" t="str">
        <f ca="1">IFERROR(__xludf.DUMMYFUNCTION("""COMPUTED_VALUE"""),"RADAB")</f>
        <v>RADAB</v>
      </c>
      <c r="C2624" s="5" t="str">
        <f ca="1">IFERROR(__xludf.DUMMYFUNCTION("""COMPUTED_VALUE"""),"Windex")</f>
        <v>Windex</v>
      </c>
      <c r="D2624" s="5" t="str">
        <f ca="1">IFERROR(__xludf.DUMMYFUNCTION("""COMPUTED_VALUE"""),"LandPlane")</f>
        <v>LandPlane</v>
      </c>
      <c r="E2624" s="5" t="str">
        <f ca="1">IFERROR(__xludf.DUMMYFUNCTION("""COMPUTED_VALUE"""),"Piston")</f>
        <v>Piston</v>
      </c>
      <c r="F2624" s="5">
        <f ca="1">IFERROR(__xludf.DUMMYFUNCTION("""COMPUTED_VALUE"""),1)</f>
        <v>1</v>
      </c>
    </row>
    <row r="2625" spans="1:6" ht="15" customHeight="1" x14ac:dyDescent="0.2">
      <c r="A2625" s="5" t="str">
        <f ca="1">IFERROR(__xludf.DUMMYFUNCTION("""COMPUTED_VALUE"""),"WESX")</f>
        <v>WESX</v>
      </c>
      <c r="B2625" s="5" t="str">
        <f ca="1">IFERROR(__xludf.DUMMYFUNCTION("""COMPUTED_VALUE"""),"WESTLAND")</f>
        <v>WESTLAND</v>
      </c>
      <c r="C2625" s="5" t="str">
        <f ca="1">IFERROR(__xludf.DUMMYFUNCTION("""COMPUTED_VALUE"""),"WS-58 Wessex")</f>
        <v>WS-58 Wessex</v>
      </c>
      <c r="D2625" s="5" t="str">
        <f ca="1">IFERROR(__xludf.DUMMYFUNCTION("""COMPUTED_VALUE"""),"Helicopter")</f>
        <v>Helicopter</v>
      </c>
      <c r="E2625" s="5" t="str">
        <f ca="1">IFERROR(__xludf.DUMMYFUNCTION("""COMPUTED_VALUE"""),"Turboprop/Turboshaft")</f>
        <v>Turboprop/Turboshaft</v>
      </c>
      <c r="F2625" s="5">
        <f ca="1">IFERROR(__xludf.DUMMYFUNCTION("""COMPUTED_VALUE"""),2)</f>
        <v>2</v>
      </c>
    </row>
    <row r="2626" spans="1:6" ht="15" customHeight="1" x14ac:dyDescent="0.2">
      <c r="A2626" s="5" t="str">
        <f ca="1">IFERROR(__xludf.DUMMYFUNCTION("""COMPUTED_VALUE"""),"WF4U")</f>
        <v>WF4U</v>
      </c>
      <c r="B2626" s="5" t="str">
        <f ca="1">IFERROR(__xludf.DUMMYFUNCTION("""COMPUTED_VALUE"""),"WAR")</f>
        <v>WAR</v>
      </c>
      <c r="C2626" s="5" t="str">
        <f ca="1">IFERROR(__xludf.DUMMYFUNCTION("""COMPUTED_VALUE"""),"Vought F4U Corsair")</f>
        <v>Vought F4U Corsair</v>
      </c>
      <c r="D2626" s="5" t="str">
        <f ca="1">IFERROR(__xludf.DUMMYFUNCTION("""COMPUTED_VALUE"""),"LandPlane")</f>
        <v>LandPlane</v>
      </c>
      <c r="E2626" s="5" t="str">
        <f ca="1">IFERROR(__xludf.DUMMYFUNCTION("""COMPUTED_VALUE"""),"Piston")</f>
        <v>Piston</v>
      </c>
      <c r="F2626" s="5">
        <f ca="1">IFERROR(__xludf.DUMMYFUNCTION("""COMPUTED_VALUE"""),1)</f>
        <v>1</v>
      </c>
    </row>
    <row r="2627" spans="1:6" ht="15" customHeight="1" x14ac:dyDescent="0.2">
      <c r="A2627" s="5" t="str">
        <f ca="1">IFERROR(__xludf.DUMMYFUNCTION("""COMPUTED_VALUE"""),"WFOC")</f>
        <v>WFOC</v>
      </c>
      <c r="B2627" s="5" t="str">
        <f ca="1">IFERROR(__xludf.DUMMYFUNCTION("""COMPUTED_VALUE"""),"WAR")</f>
        <v>WAR</v>
      </c>
      <c r="C2627" s="5" t="str">
        <f ca="1">IFERROR(__xludf.DUMMYFUNCTION("""COMPUTED_VALUE"""),"Focke-Wulf 190")</f>
        <v>Focke-Wulf 190</v>
      </c>
      <c r="D2627" s="5" t="str">
        <f ca="1">IFERROR(__xludf.DUMMYFUNCTION("""COMPUTED_VALUE"""),"LandPlane")</f>
        <v>LandPlane</v>
      </c>
      <c r="E2627" s="5" t="str">
        <f ca="1">IFERROR(__xludf.DUMMYFUNCTION("""COMPUTED_VALUE"""),"Piston")</f>
        <v>Piston</v>
      </c>
      <c r="F2627" s="5">
        <f ca="1">IFERROR(__xludf.DUMMYFUNCTION("""COMPUTED_VALUE"""),1)</f>
        <v>1</v>
      </c>
    </row>
    <row r="2628" spans="1:6" ht="15" customHeight="1" x14ac:dyDescent="0.2">
      <c r="A2628" s="5" t="str">
        <f ca="1">IFERROR(__xludf.DUMMYFUNCTION("""COMPUTED_VALUE"""),"WFUR")</f>
        <v>WFUR</v>
      </c>
      <c r="B2628" s="5" t="str">
        <f ca="1">IFERROR(__xludf.DUMMYFUNCTION("""COMPUTED_VALUE"""),"WAR")</f>
        <v>WAR</v>
      </c>
      <c r="C2628" s="5" t="str">
        <f ca="1">IFERROR(__xludf.DUMMYFUNCTION("""COMPUTED_VALUE"""),"Hawker Sea Fury")</f>
        <v>Hawker Sea Fury</v>
      </c>
      <c r="D2628" s="5" t="str">
        <f ca="1">IFERROR(__xludf.DUMMYFUNCTION("""COMPUTED_VALUE"""),"LandPlane")</f>
        <v>LandPlane</v>
      </c>
      <c r="E2628" s="5" t="str">
        <f ca="1">IFERROR(__xludf.DUMMYFUNCTION("""COMPUTED_VALUE"""),"Piston")</f>
        <v>Piston</v>
      </c>
      <c r="F2628" s="5">
        <f ca="1">IFERROR(__xludf.DUMMYFUNCTION("""COMPUTED_VALUE"""),1)</f>
        <v>1</v>
      </c>
    </row>
    <row r="2629" spans="1:6" ht="15" customHeight="1" x14ac:dyDescent="0.2">
      <c r="A2629" s="5" t="str">
        <f ca="1">IFERROR(__xludf.DUMMYFUNCTION("""COMPUTED_VALUE"""),"WG30")</f>
        <v>WG30</v>
      </c>
      <c r="B2629" s="5" t="str">
        <f ca="1">IFERROR(__xludf.DUMMYFUNCTION("""COMPUTED_VALUE"""),"WESTLAND")</f>
        <v>WESTLAND</v>
      </c>
      <c r="C2629" s="5" t="str">
        <f ca="1">IFERROR(__xludf.DUMMYFUNCTION("""COMPUTED_VALUE"""),"WG-30")</f>
        <v>WG-30</v>
      </c>
      <c r="D2629" s="5" t="str">
        <f ca="1">IFERROR(__xludf.DUMMYFUNCTION("""COMPUTED_VALUE"""),"Helicopter")</f>
        <v>Helicopter</v>
      </c>
      <c r="E2629" s="5" t="str">
        <f ca="1">IFERROR(__xludf.DUMMYFUNCTION("""COMPUTED_VALUE"""),"Turboprop/Turboshaft")</f>
        <v>Turboprop/Turboshaft</v>
      </c>
      <c r="F2629" s="5">
        <f ca="1">IFERROR(__xludf.DUMMYFUNCTION("""COMPUTED_VALUE"""),2)</f>
        <v>2</v>
      </c>
    </row>
    <row r="2630" spans="1:6" ht="15" customHeight="1" x14ac:dyDescent="0.2">
      <c r="A2630" s="5" t="str">
        <f ca="1">IFERROR(__xludf.DUMMYFUNCTION("""COMPUTED_VALUE"""),"WH1")</f>
        <v>WH1</v>
      </c>
      <c r="B2630" s="5" t="str">
        <f ca="1">IFERROR(__xludf.DUMMYFUNCTION("""COMPUTED_VALUE"""),"WENDT")</f>
        <v>WENDT</v>
      </c>
      <c r="C2630" s="5" t="str">
        <f ca="1">IFERROR(__xludf.DUMMYFUNCTION("""COMPUTED_VALUE"""),"WH-1 Traveler")</f>
        <v>WH-1 Traveler</v>
      </c>
      <c r="D2630" s="5" t="str">
        <f ca="1">IFERROR(__xludf.DUMMYFUNCTION("""COMPUTED_VALUE"""),"LandPlane")</f>
        <v>LandPlane</v>
      </c>
      <c r="E2630" s="5" t="str">
        <f ca="1">IFERROR(__xludf.DUMMYFUNCTION("""COMPUTED_VALUE"""),"Piston")</f>
        <v>Piston</v>
      </c>
      <c r="F2630" s="5">
        <f ca="1">IFERROR(__xludf.DUMMYFUNCTION("""COMPUTED_VALUE"""),1)</f>
        <v>1</v>
      </c>
    </row>
    <row r="2631" spans="1:6" ht="15" customHeight="1" x14ac:dyDescent="0.2">
      <c r="A2631" s="5" t="str">
        <f ca="1">IFERROR(__xludf.DUMMYFUNCTION("""COMPUTED_VALUE"""),"WH4")</f>
        <v>WH4</v>
      </c>
      <c r="B2631" s="5" t="str">
        <f ca="1">IFERROR(__xludf.DUMMYFUNCTION("""COMPUTED_VALUE"""),"HALL")</f>
        <v>HALL</v>
      </c>
      <c r="C2631" s="5" t="str">
        <f ca="1">IFERROR(__xludf.DUMMYFUNCTION("""COMPUTED_VALUE"""),"WH-4 Harpoon")</f>
        <v>WH-4 Harpoon</v>
      </c>
      <c r="D2631" s="5" t="str">
        <f ca="1">IFERROR(__xludf.DUMMYFUNCTION("""COMPUTED_VALUE"""),"LandPlane")</f>
        <v>LandPlane</v>
      </c>
      <c r="E2631" s="5" t="str">
        <f ca="1">IFERROR(__xludf.DUMMYFUNCTION("""COMPUTED_VALUE"""),"Turboprop/Turboshaft")</f>
        <v>Turboprop/Turboshaft</v>
      </c>
      <c r="F2631" s="5">
        <f ca="1">IFERROR(__xludf.DUMMYFUNCTION("""COMPUTED_VALUE"""),1)</f>
        <v>1</v>
      </c>
    </row>
    <row r="2632" spans="1:6" ht="15" customHeight="1" x14ac:dyDescent="0.2">
      <c r="A2632" s="5" t="str">
        <f ca="1">IFERROR(__xludf.DUMMYFUNCTION("""COMPUTED_VALUE"""),"WHAT")</f>
        <v>WHAT</v>
      </c>
      <c r="B2632" s="5" t="str">
        <f ca="1">IFERROR(__xludf.DUMMYFUNCTION("""COMPUTED_VALUE"""),"WHATLEY")</f>
        <v>WHATLEY</v>
      </c>
      <c r="C2632" s="5" t="str">
        <f ca="1">IFERROR(__xludf.DUMMYFUNCTION("""COMPUTED_VALUE"""),"Special")</f>
        <v>Special</v>
      </c>
      <c r="D2632" s="5" t="str">
        <f ca="1">IFERROR(__xludf.DUMMYFUNCTION("""COMPUTED_VALUE"""),"LandPlane")</f>
        <v>LandPlane</v>
      </c>
      <c r="E2632" s="5" t="str">
        <f ca="1">IFERROR(__xludf.DUMMYFUNCTION("""COMPUTED_VALUE"""),"Piston")</f>
        <v>Piston</v>
      </c>
      <c r="F2632" s="5">
        <f ca="1">IFERROR(__xludf.DUMMYFUNCTION("""COMPUTED_VALUE"""),1)</f>
        <v>1</v>
      </c>
    </row>
    <row r="2633" spans="1:6" ht="15" customHeight="1" x14ac:dyDescent="0.2">
      <c r="A2633" s="5" t="str">
        <f ca="1">IFERROR(__xludf.DUMMYFUNCTION("""COMPUTED_VALUE"""),"WHIL")</f>
        <v>WHIL</v>
      </c>
      <c r="B2633" s="5" t="str">
        <f ca="1">IFERROR(__xludf.DUMMYFUNCTION("""COMPUTED_VALUE"""),"WHITE LIGHTNING")</f>
        <v>WHITE LIGHTNING</v>
      </c>
      <c r="C2633" s="5" t="str">
        <f ca="1">IFERROR(__xludf.DUMMYFUNCTION("""COMPUTED_VALUE"""),"WLAC-1 White Lightning")</f>
        <v>WLAC-1 White Lightning</v>
      </c>
      <c r="D2633" s="5" t="str">
        <f ca="1">IFERROR(__xludf.DUMMYFUNCTION("""COMPUTED_VALUE"""),"LandPlane")</f>
        <v>LandPlane</v>
      </c>
      <c r="E2633" s="5" t="str">
        <f ca="1">IFERROR(__xludf.DUMMYFUNCTION("""COMPUTED_VALUE"""),"Piston")</f>
        <v>Piston</v>
      </c>
      <c r="F2633" s="5">
        <f ca="1">IFERROR(__xludf.DUMMYFUNCTION("""COMPUTED_VALUE"""),1)</f>
        <v>1</v>
      </c>
    </row>
    <row r="2634" spans="1:6" ht="15" customHeight="1" x14ac:dyDescent="0.2">
      <c r="A2634" s="5" t="str">
        <f ca="1">IFERROR(__xludf.DUMMYFUNCTION("""COMPUTED_VALUE"""),"WHIS")</f>
        <v>WHIS</v>
      </c>
      <c r="B2634" s="5" t="str">
        <f ca="1">IFERROR(__xludf.DUMMYFUNCTION("""COMPUTED_VALUE"""),"GROVE")</f>
        <v>GROVE</v>
      </c>
      <c r="C2634" s="5" t="str">
        <f ca="1">IFERROR(__xludf.DUMMYFUNCTION("""COMPUTED_VALUE"""),"GR-2 Whisper")</f>
        <v>GR-2 Whisper</v>
      </c>
      <c r="D2634" s="5" t="str">
        <f ca="1">IFERROR(__xludf.DUMMYFUNCTION("""COMPUTED_VALUE"""),"LandPlane")</f>
        <v>LandPlane</v>
      </c>
      <c r="E2634" s="5" t="str">
        <f ca="1">IFERROR(__xludf.DUMMYFUNCTION("""COMPUTED_VALUE"""),"Piston")</f>
        <v>Piston</v>
      </c>
      <c r="F2634" s="5">
        <f ca="1">IFERROR(__xludf.DUMMYFUNCTION("""COMPUTED_VALUE"""),1)</f>
        <v>1</v>
      </c>
    </row>
    <row r="2635" spans="1:6" ht="15" customHeight="1" x14ac:dyDescent="0.2">
      <c r="A2635" s="5" t="str">
        <f ca="1">IFERROR(__xludf.DUMMYFUNCTION("""COMPUTED_VALUE"""),"WHIT")</f>
        <v>WHIT</v>
      </c>
      <c r="B2635" s="5" t="str">
        <f ca="1">IFERROR(__xludf.DUMMYFUNCTION("""COMPUTED_VALUE"""),"MILES")</f>
        <v>MILES</v>
      </c>
      <c r="C2635" s="5" t="str">
        <f ca="1">IFERROR(__xludf.DUMMYFUNCTION("""COMPUTED_VALUE"""),"M-11 Whitney Straight")</f>
        <v>M-11 Whitney Straight</v>
      </c>
      <c r="D2635" s="5" t="str">
        <f ca="1">IFERROR(__xludf.DUMMYFUNCTION("""COMPUTED_VALUE"""),"LandPlane")</f>
        <v>LandPlane</v>
      </c>
      <c r="E2635" s="5" t="str">
        <f ca="1">IFERROR(__xludf.DUMMYFUNCTION("""COMPUTED_VALUE"""),"Piston")</f>
        <v>Piston</v>
      </c>
      <c r="F2635" s="5">
        <f ca="1">IFERROR(__xludf.DUMMYFUNCTION("""COMPUTED_VALUE"""),1)</f>
        <v>1</v>
      </c>
    </row>
    <row r="2636" spans="1:6" ht="15" customHeight="1" x14ac:dyDescent="0.2">
      <c r="A2636" s="5" t="str">
        <f ca="1">IFERROR(__xludf.DUMMYFUNCTION("""COMPUTED_VALUE"""),"WHK2")</f>
        <v>WHK2</v>
      </c>
      <c r="B2636" s="5" t="str">
        <f ca="1">IFERROR(__xludf.DUMMYFUNCTION("""COMPUTED_VALUE"""),"SCALED")</f>
        <v>SCALED</v>
      </c>
      <c r="C2636" s="5" t="str">
        <f ca="1">IFERROR(__xludf.DUMMYFUNCTION("""COMPUTED_VALUE"""),"348 White Knight Two")</f>
        <v>348 White Knight Two</v>
      </c>
      <c r="D2636" s="5" t="str">
        <f ca="1">IFERROR(__xludf.DUMMYFUNCTION("""COMPUTED_VALUE"""),"LandPlane")</f>
        <v>LandPlane</v>
      </c>
      <c r="E2636" s="5" t="str">
        <f ca="1">IFERROR(__xludf.DUMMYFUNCTION("""COMPUTED_VALUE"""),"Jet")</f>
        <v>Jet</v>
      </c>
      <c r="F2636" s="5">
        <f ca="1">IFERROR(__xludf.DUMMYFUNCTION("""COMPUTED_VALUE"""),4)</f>
        <v>4</v>
      </c>
    </row>
    <row r="2637" spans="1:6" ht="15" customHeight="1" x14ac:dyDescent="0.2">
      <c r="A2637" s="5" t="str">
        <f ca="1">IFERROR(__xludf.DUMMYFUNCTION("""COMPUTED_VALUE"""),"WICH")</f>
        <v>WICH</v>
      </c>
      <c r="B2637" s="5" t="str">
        <f ca="1">IFERROR(__xludf.DUMMYFUNCTION("""COMPUTED_VALUE"""),"JAVELIN")</f>
        <v>JAVELIN</v>
      </c>
      <c r="C2637" s="5" t="str">
        <f ca="1">IFERROR(__xludf.DUMMYFUNCTION("""COMPUTED_VALUE"""),"Wichawk")</f>
        <v>Wichawk</v>
      </c>
      <c r="D2637" s="5" t="str">
        <f ca="1">IFERROR(__xludf.DUMMYFUNCTION("""COMPUTED_VALUE"""),"LandPlane")</f>
        <v>LandPlane</v>
      </c>
      <c r="E2637" s="5" t="str">
        <f ca="1">IFERROR(__xludf.DUMMYFUNCTION("""COMPUTED_VALUE"""),"Piston")</f>
        <v>Piston</v>
      </c>
      <c r="F2637" s="5">
        <f ca="1">IFERROR(__xludf.DUMMYFUNCTION("""COMPUTED_VALUE"""),1)</f>
        <v>1</v>
      </c>
    </row>
    <row r="2638" spans="1:6" ht="15" customHeight="1" x14ac:dyDescent="0.2">
      <c r="A2638" s="5" t="str">
        <f ca="1">IFERROR(__xludf.DUMMYFUNCTION("""COMPUTED_VALUE"""),"WILT")</f>
        <v>WILT</v>
      </c>
      <c r="B2638" s="5" t="str">
        <f ca="1">IFERROR(__xludf.DUMMYFUNCTION("""COMPUTED_VALUE"""),"ULTRALEICHTBAU")</f>
        <v>ULTRALEICHTBAU</v>
      </c>
      <c r="C2638" s="5" t="str">
        <f ca="1">IFERROR(__xludf.DUMMYFUNCTION("""COMPUTED_VALUE"""),"WT-01 Wild Thing")</f>
        <v>WT-01 Wild Thing</v>
      </c>
      <c r="D2638" s="5" t="str">
        <f ca="1">IFERROR(__xludf.DUMMYFUNCTION("""COMPUTED_VALUE"""),"LandPlane")</f>
        <v>LandPlane</v>
      </c>
      <c r="E2638" s="5" t="str">
        <f ca="1">IFERROR(__xludf.DUMMYFUNCTION("""COMPUTED_VALUE"""),"Piston")</f>
        <v>Piston</v>
      </c>
      <c r="F2638" s="5">
        <f ca="1">IFERROR(__xludf.DUMMYFUNCTION("""COMPUTED_VALUE"""),1)</f>
        <v>1</v>
      </c>
    </row>
    <row r="2639" spans="1:6" ht="15" customHeight="1" x14ac:dyDescent="0.2">
      <c r="A2639" s="5" t="str">
        <f ca="1">IFERROR(__xludf.DUMMYFUNCTION("""COMPUTED_VALUE"""),"WIND")</f>
        <v>WIND</v>
      </c>
      <c r="B2639" s="5" t="str">
        <f ca="1">IFERROR(__xludf.DUMMYFUNCTION("""COMPUTED_VALUE"""),"WATSON")</f>
        <v>WATSON</v>
      </c>
      <c r="C2639" s="5" t="str">
        <f ca="1">IFERROR(__xludf.DUMMYFUNCTION("""COMPUTED_VALUE"""),"GW-1 Windwagon")</f>
        <v>GW-1 Windwagon</v>
      </c>
      <c r="D2639" s="5" t="str">
        <f ca="1">IFERROR(__xludf.DUMMYFUNCTION("""COMPUTED_VALUE"""),"LandPlane")</f>
        <v>LandPlane</v>
      </c>
      <c r="E2639" s="5" t="str">
        <f ca="1">IFERROR(__xludf.DUMMYFUNCTION("""COMPUTED_VALUE"""),"Piston")</f>
        <v>Piston</v>
      </c>
      <c r="F2639" s="5">
        <f ca="1">IFERROR(__xludf.DUMMYFUNCTION("""COMPUTED_VALUE"""),1)</f>
        <v>1</v>
      </c>
    </row>
    <row r="2640" spans="1:6" s="7" customFormat="1" ht="15" customHeight="1" x14ac:dyDescent="0.2">
      <c r="A2640" s="6" t="str">
        <f ca="1">IFERROR(__xludf.DUMMYFUNCTION("""COMPUTED_VALUE"""),"WINE")</f>
        <v>WINE</v>
      </c>
      <c r="B2640" s="6" t="str">
        <f ca="1">IFERROR(__xludf.DUMMYFUNCTION("""COMPUTED_VALUE"""),"WINDECKER")</f>
        <v>WINDECKER</v>
      </c>
      <c r="C2640" s="6" t="str">
        <f ca="1">IFERROR(__xludf.DUMMYFUNCTION("""COMPUTED_VALUE"""),"Eagle")</f>
        <v>Eagle</v>
      </c>
      <c r="D2640" s="6" t="str">
        <f ca="1">IFERROR(__xludf.DUMMYFUNCTION("""COMPUTED_VALUE"""),"LandPlane")</f>
        <v>LandPlane</v>
      </c>
      <c r="E2640" s="6" t="str">
        <f ca="1">IFERROR(__xludf.DUMMYFUNCTION("""COMPUTED_VALUE"""),"Piston")</f>
        <v>Piston</v>
      </c>
      <c r="F2640" s="6">
        <f ca="1">IFERROR(__xludf.DUMMYFUNCTION("""COMPUTED_VALUE"""),1)</f>
        <v>1</v>
      </c>
    </row>
    <row r="2641" spans="1:6" ht="15" customHeight="1" x14ac:dyDescent="0.2">
      <c r="A2641" s="5" t="str">
        <f ca="1">IFERROR(__xludf.DUMMYFUNCTION("""COMPUTED_VALUE"""),"WIRR")</f>
        <v>WIRR</v>
      </c>
      <c r="B2641" s="5" t="str">
        <f ca="1">IFERROR(__xludf.DUMMYFUNCTION("""COMPUTED_VALUE"""),"COMMONWEALTH (1)")</f>
        <v>COMMONWEALTH (1)</v>
      </c>
      <c r="C2641" s="5" t="str">
        <f ca="1">IFERROR(__xludf.DUMMYFUNCTION("""COMPUTED_VALUE"""),"CA-16 Wirraway")</f>
        <v>CA-16 Wirraway</v>
      </c>
      <c r="D2641" s="5" t="str">
        <f ca="1">IFERROR(__xludf.DUMMYFUNCTION("""COMPUTED_VALUE"""),"LandPlane")</f>
        <v>LandPlane</v>
      </c>
      <c r="E2641" s="5" t="str">
        <f ca="1">IFERROR(__xludf.DUMMYFUNCTION("""COMPUTED_VALUE"""),"Piston")</f>
        <v>Piston</v>
      </c>
      <c r="F2641" s="5">
        <f ca="1">IFERROR(__xludf.DUMMYFUNCTION("""COMPUTED_VALUE"""),1)</f>
        <v>1</v>
      </c>
    </row>
    <row r="2642" spans="1:6" ht="15" customHeight="1" x14ac:dyDescent="0.2">
      <c r="A2642" s="5" t="str">
        <f ca="1">IFERROR(__xludf.DUMMYFUNCTION("""COMPUTED_VALUE"""),"WISP")</f>
        <v>WISP</v>
      </c>
      <c r="B2642" s="5" t="str">
        <f ca="1">IFERROR(__xludf.DUMMYFUNCTION("""COMPUTED_VALUE"""),"WHISPER")</f>
        <v>WHISPER</v>
      </c>
      <c r="C2642" s="5" t="str">
        <f ca="1">IFERROR(__xludf.DUMMYFUNCTION("""COMPUTED_VALUE"""),"Whisper")</f>
        <v>Whisper</v>
      </c>
      <c r="D2642" s="5" t="str">
        <f ca="1">IFERROR(__xludf.DUMMYFUNCTION("""COMPUTED_VALUE"""),"LandPlane")</f>
        <v>LandPlane</v>
      </c>
      <c r="E2642" s="5" t="str">
        <f ca="1">IFERROR(__xludf.DUMMYFUNCTION("""COMPUTED_VALUE"""),"Piston")</f>
        <v>Piston</v>
      </c>
      <c r="F2642" s="5">
        <f ca="1">IFERROR(__xludf.DUMMYFUNCTION("""COMPUTED_VALUE"""),1)</f>
        <v>1</v>
      </c>
    </row>
    <row r="2643" spans="1:6" ht="15" customHeight="1" x14ac:dyDescent="0.2">
      <c r="A2643" s="5" t="str">
        <f ca="1">IFERROR(__xludf.DUMMYFUNCTION("""COMPUTED_VALUE"""),"WLBY")</f>
        <v>WLBY</v>
      </c>
      <c r="B2643" s="5" t="str">
        <f ca="1">IFERROR(__xludf.DUMMYFUNCTION("""COMPUTED_VALUE"""),"FLY SYNTHESIS")</f>
        <v>FLY SYNTHESIS</v>
      </c>
      <c r="C2643" s="5" t="str">
        <f ca="1">IFERROR(__xludf.DUMMYFUNCTION("""COMPUTED_VALUE"""),"Wallaby")</f>
        <v>Wallaby</v>
      </c>
      <c r="D2643" s="5" t="str">
        <f ca="1">IFERROR(__xludf.DUMMYFUNCTION("""COMPUTED_VALUE"""),"LandPlane")</f>
        <v>LandPlane</v>
      </c>
      <c r="E2643" s="5" t="str">
        <f ca="1">IFERROR(__xludf.DUMMYFUNCTION("""COMPUTED_VALUE"""),"Piston")</f>
        <v>Piston</v>
      </c>
      <c r="F2643" s="5">
        <f ca="1">IFERROR(__xludf.DUMMYFUNCTION("""COMPUTED_VALUE"""),1)</f>
        <v>1</v>
      </c>
    </row>
    <row r="2644" spans="1:6" ht="15" customHeight="1" x14ac:dyDescent="0.2">
      <c r="A2644" s="5" t="str">
        <f ca="1">IFERROR(__xludf.DUMMYFUNCTION("""COMPUTED_VALUE"""),"WM2")</f>
        <v>WM2</v>
      </c>
      <c r="B2644" s="5" t="str">
        <f ca="1">IFERROR(__xludf.DUMMYFUNCTION("""COMPUTED_VALUE"""),"MILLER (2)")</f>
        <v>MILLER (2)</v>
      </c>
      <c r="C2644" s="5" t="str">
        <f ca="1">IFERROR(__xludf.DUMMYFUNCTION("""COMPUTED_VALUE"""),"WM-2")</f>
        <v>WM-2</v>
      </c>
      <c r="D2644" s="5" t="str">
        <f ca="1">IFERROR(__xludf.DUMMYFUNCTION("""COMPUTED_VALUE"""),"LandPlane")</f>
        <v>LandPlane</v>
      </c>
      <c r="E2644" s="5" t="str">
        <f ca="1">IFERROR(__xludf.DUMMYFUNCTION("""COMPUTED_VALUE"""),"Piston")</f>
        <v>Piston</v>
      </c>
      <c r="F2644" s="5">
        <f ca="1">IFERROR(__xludf.DUMMYFUNCTION("""COMPUTED_VALUE"""),1)</f>
        <v>1</v>
      </c>
    </row>
    <row r="2645" spans="1:6" ht="15" customHeight="1" x14ac:dyDescent="0.2">
      <c r="A2645" s="5" t="str">
        <f ca="1">IFERROR(__xludf.DUMMYFUNCTION("""COMPUTED_VALUE"""),"WOPU")</f>
        <v>WOPU</v>
      </c>
      <c r="B2645" s="5" t="str">
        <f ca="1">IFERROR(__xludf.DUMMYFUNCTION("""COMPUTED_VALUE"""),"AEROSPORT")</f>
        <v>AEROSPORT</v>
      </c>
      <c r="C2645" s="5" t="str">
        <f ca="1">IFERROR(__xludf.DUMMYFUNCTION("""COMPUTED_VALUE"""),"Woody Pusher")</f>
        <v>Woody Pusher</v>
      </c>
      <c r="D2645" s="5" t="str">
        <f ca="1">IFERROR(__xludf.DUMMYFUNCTION("""COMPUTED_VALUE"""),"LandPlane")</f>
        <v>LandPlane</v>
      </c>
      <c r="E2645" s="5" t="str">
        <f ca="1">IFERROR(__xludf.DUMMYFUNCTION("""COMPUTED_VALUE"""),"Piston")</f>
        <v>Piston</v>
      </c>
      <c r="F2645" s="5">
        <f ca="1">IFERROR(__xludf.DUMMYFUNCTION("""COMPUTED_VALUE"""),1)</f>
        <v>1</v>
      </c>
    </row>
    <row r="2646" spans="1:6" ht="15" customHeight="1" x14ac:dyDescent="0.2">
      <c r="A2646" s="5" t="str">
        <f ca="1">IFERROR(__xludf.DUMMYFUNCTION("""COMPUTED_VALUE"""),"WP40")</f>
        <v>WP40</v>
      </c>
      <c r="B2646" s="5" t="str">
        <f ca="1">IFERROR(__xludf.DUMMYFUNCTION("""COMPUTED_VALUE"""),"WAR")</f>
        <v>WAR</v>
      </c>
      <c r="C2646" s="5" t="str">
        <f ca="1">IFERROR(__xludf.DUMMYFUNCTION("""COMPUTED_VALUE"""),"Curtiss P-40 Kittyhawk")</f>
        <v>Curtiss P-40 Kittyhawk</v>
      </c>
      <c r="D2646" s="5" t="str">
        <f ca="1">IFERROR(__xludf.DUMMYFUNCTION("""COMPUTED_VALUE"""),"LandPlane")</f>
        <v>LandPlane</v>
      </c>
      <c r="E2646" s="5" t="str">
        <f ca="1">IFERROR(__xludf.DUMMYFUNCTION("""COMPUTED_VALUE"""),"Piston")</f>
        <v>Piston</v>
      </c>
      <c r="F2646" s="5">
        <f ca="1">IFERROR(__xludf.DUMMYFUNCTION("""COMPUTED_VALUE"""),1)</f>
        <v>1</v>
      </c>
    </row>
    <row r="2647" spans="1:6" ht="15" customHeight="1" x14ac:dyDescent="0.2">
      <c r="A2647" s="5" t="str">
        <f ca="1">IFERROR(__xludf.DUMMYFUNCTION("""COMPUTED_VALUE"""),"WP47")</f>
        <v>WP47</v>
      </c>
      <c r="B2647" s="5" t="str">
        <f ca="1">IFERROR(__xludf.DUMMYFUNCTION("""COMPUTED_VALUE"""),"WAR")</f>
        <v>WAR</v>
      </c>
      <c r="C2647" s="5" t="str">
        <f ca="1">IFERROR(__xludf.DUMMYFUNCTION("""COMPUTED_VALUE"""),"Republic P-47 Thunderbolt")</f>
        <v>Republic P-47 Thunderbolt</v>
      </c>
      <c r="D2647" s="5" t="str">
        <f ca="1">IFERROR(__xludf.DUMMYFUNCTION("""COMPUTED_VALUE"""),"LandPlane")</f>
        <v>LandPlane</v>
      </c>
      <c r="E2647" s="5" t="str">
        <f ca="1">IFERROR(__xludf.DUMMYFUNCTION("""COMPUTED_VALUE"""),"Piston")</f>
        <v>Piston</v>
      </c>
      <c r="F2647" s="5">
        <f ca="1">IFERROR(__xludf.DUMMYFUNCTION("""COMPUTED_VALUE"""),1)</f>
        <v>1</v>
      </c>
    </row>
    <row r="2648" spans="1:6" ht="15" customHeight="1" x14ac:dyDescent="0.2">
      <c r="A2648" s="5" t="str">
        <f ca="1">IFERROR(__xludf.DUMMYFUNCTION("""COMPUTED_VALUE"""),"WS22")</f>
        <v>WS22</v>
      </c>
      <c r="B2648" s="5" t="str">
        <f ca="1">IFERROR(__xludf.DUMMYFUNCTION("""COMPUTED_VALUE"""),"SPRING")</f>
        <v>SPRING</v>
      </c>
      <c r="C2648" s="5" t="str">
        <f ca="1">IFERROR(__xludf.DUMMYFUNCTION("""COMPUTED_VALUE"""),"WS-202 Sprint")</f>
        <v>WS-202 Sprint</v>
      </c>
      <c r="D2648" s="5" t="str">
        <f ca="1">IFERROR(__xludf.DUMMYFUNCTION("""COMPUTED_VALUE"""),"LandPlane")</f>
        <v>LandPlane</v>
      </c>
      <c r="E2648" s="5" t="str">
        <f ca="1">IFERROR(__xludf.DUMMYFUNCTION("""COMPUTED_VALUE"""),"Piston")</f>
        <v>Piston</v>
      </c>
      <c r="F2648" s="5">
        <f ca="1">IFERROR(__xludf.DUMMYFUNCTION("""COMPUTED_VALUE"""),1)</f>
        <v>1</v>
      </c>
    </row>
    <row r="2649" spans="1:6" ht="15" customHeight="1" x14ac:dyDescent="0.2">
      <c r="A2649" s="5" t="str">
        <f ca="1">IFERROR(__xludf.DUMMYFUNCTION("""COMPUTED_VALUE"""),"WSP")</f>
        <v>WSP</v>
      </c>
      <c r="B2649" s="5" t="str">
        <f ca="1">IFERROR(__xludf.DUMMYFUNCTION("""COMPUTED_VALUE"""),"AAK")</f>
        <v>AAK</v>
      </c>
      <c r="C2649" s="5" t="str">
        <f ca="1">IFERROR(__xludf.DUMMYFUNCTION("""COMPUTED_VALUE"""),"Wasp")</f>
        <v>Wasp</v>
      </c>
      <c r="D2649" s="5" t="str">
        <f ca="1">IFERROR(__xludf.DUMMYFUNCTION("""COMPUTED_VALUE"""),"LandPlane")</f>
        <v>LandPlane</v>
      </c>
      <c r="E2649" s="5" t="str">
        <f ca="1">IFERROR(__xludf.DUMMYFUNCTION("""COMPUTED_VALUE"""),"Piston")</f>
        <v>Piston</v>
      </c>
      <c r="F2649" s="5">
        <f ca="1">IFERROR(__xludf.DUMMYFUNCTION("""COMPUTED_VALUE"""),1)</f>
        <v>1</v>
      </c>
    </row>
    <row r="2650" spans="1:6" ht="15" customHeight="1" x14ac:dyDescent="0.2">
      <c r="A2650" s="5" t="str">
        <f ca="1">IFERROR(__xludf.DUMMYFUNCTION("""COMPUTED_VALUE"""),"WT9")</f>
        <v>WT9</v>
      </c>
      <c r="B2650" s="5" t="str">
        <f ca="1">IFERROR(__xludf.DUMMYFUNCTION("""COMPUTED_VALUE"""),"AEROSPOOL")</f>
        <v>AEROSPOOL</v>
      </c>
      <c r="C2650" s="5" t="str">
        <f ca="1">IFERROR(__xludf.DUMMYFUNCTION("""COMPUTED_VALUE"""),"WT-9 Dynamic")</f>
        <v>WT-9 Dynamic</v>
      </c>
      <c r="D2650" s="5" t="str">
        <f ca="1">IFERROR(__xludf.DUMMYFUNCTION("""COMPUTED_VALUE"""),"LandPlane")</f>
        <v>LandPlane</v>
      </c>
      <c r="E2650" s="5" t="str">
        <f ca="1">IFERROR(__xludf.DUMMYFUNCTION("""COMPUTED_VALUE"""),"Piston")</f>
        <v>Piston</v>
      </c>
      <c r="F2650" s="5">
        <f ca="1">IFERROR(__xludf.DUMMYFUNCTION("""COMPUTED_VALUE"""),1)</f>
        <v>1</v>
      </c>
    </row>
    <row r="2651" spans="1:6" ht="15" customHeight="1" x14ac:dyDescent="0.2">
      <c r="A2651" s="5" t="str">
        <f ca="1">IFERROR(__xludf.DUMMYFUNCTION("""COMPUTED_VALUE"""),"WUSH")</f>
        <v>WUSH</v>
      </c>
      <c r="B2651" s="5" t="str">
        <f ca="1">IFERROR(__xludf.DUMMYFUNCTION("""COMPUTED_VALUE"""),"WÜST")</f>
        <v>WÜST</v>
      </c>
      <c r="C2651" s="5" t="str">
        <f ca="1">IFERROR(__xludf.DUMMYFUNCTION("""COMPUTED_VALUE"""),"Shark")</f>
        <v>Shark</v>
      </c>
      <c r="D2651" s="5" t="str">
        <f ca="1">IFERROR(__xludf.DUMMYFUNCTION("""COMPUTED_VALUE"""),"Amphibian")</f>
        <v>Amphibian</v>
      </c>
      <c r="E2651" s="5" t="str">
        <f ca="1">IFERROR(__xludf.DUMMYFUNCTION("""COMPUTED_VALUE"""),"Piston")</f>
        <v>Piston</v>
      </c>
      <c r="F2651" s="5">
        <f ca="1">IFERROR(__xludf.DUMMYFUNCTION("""COMPUTED_VALUE"""),1)</f>
        <v>1</v>
      </c>
    </row>
    <row r="2652" spans="1:6" ht="15" customHeight="1" x14ac:dyDescent="0.2">
      <c r="A2652" s="5" t="str">
        <f ca="1">IFERROR(__xludf.DUMMYFUNCTION("""COMPUTED_VALUE"""),"WW1")</f>
        <v>WW1</v>
      </c>
      <c r="B2652" s="5" t="str">
        <f ca="1">IFERROR(__xludf.DUMMYFUNCTION("""COMPUTED_VALUE"""),"WHITE")</f>
        <v>WHITE</v>
      </c>
      <c r="C2652" s="5" t="str">
        <f ca="1">IFERROR(__xludf.DUMMYFUNCTION("""COMPUTED_VALUE"""),"WW-1 Der Jäger D-9")</f>
        <v>WW-1 Der Jäger D-9</v>
      </c>
      <c r="D2652" s="5" t="str">
        <f ca="1">IFERROR(__xludf.DUMMYFUNCTION("""COMPUTED_VALUE"""),"LandPlane")</f>
        <v>LandPlane</v>
      </c>
      <c r="E2652" s="5" t="str">
        <f ca="1">IFERROR(__xludf.DUMMYFUNCTION("""COMPUTED_VALUE"""),"Piston")</f>
        <v>Piston</v>
      </c>
      <c r="F2652" s="5">
        <f ca="1">IFERROR(__xludf.DUMMYFUNCTION("""COMPUTED_VALUE"""),1)</f>
        <v>1</v>
      </c>
    </row>
    <row r="2653" spans="1:6" ht="15" customHeight="1" x14ac:dyDescent="0.2">
      <c r="A2653" s="5" t="str">
        <f ca="1">IFERROR(__xludf.DUMMYFUNCTION("""COMPUTED_VALUE"""),"WW23")</f>
        <v>WW23</v>
      </c>
      <c r="B2653" s="5" t="str">
        <f ca="1">IFERROR(__xludf.DUMMYFUNCTION("""COMPUTED_VALUE"""),"IAI")</f>
        <v>IAI</v>
      </c>
      <c r="C2653" s="5" t="str">
        <f ca="1">IFERROR(__xludf.DUMMYFUNCTION("""COMPUTED_VALUE"""),"1123 Westwind")</f>
        <v>1123 Westwind</v>
      </c>
      <c r="D2653" s="5" t="str">
        <f ca="1">IFERROR(__xludf.DUMMYFUNCTION("""COMPUTED_VALUE"""),"LandPlane")</f>
        <v>LandPlane</v>
      </c>
      <c r="E2653" s="5" t="str">
        <f ca="1">IFERROR(__xludf.DUMMYFUNCTION("""COMPUTED_VALUE"""),"Jet")</f>
        <v>Jet</v>
      </c>
      <c r="F2653" s="5">
        <f ca="1">IFERROR(__xludf.DUMMYFUNCTION("""COMPUTED_VALUE"""),2)</f>
        <v>2</v>
      </c>
    </row>
    <row r="2654" spans="1:6" ht="15" customHeight="1" x14ac:dyDescent="0.2">
      <c r="A2654" s="5" t="str">
        <f ca="1">IFERROR(__xludf.DUMMYFUNCTION("""COMPUTED_VALUE"""),"WW24")</f>
        <v>WW24</v>
      </c>
      <c r="B2654" s="5" t="str">
        <f ca="1">IFERROR(__xludf.DUMMYFUNCTION("""COMPUTED_VALUE"""),"IAI")</f>
        <v>IAI</v>
      </c>
      <c r="C2654" s="5" t="str">
        <f ca="1">IFERROR(__xludf.DUMMYFUNCTION("""COMPUTED_VALUE"""),"1124 Westwind 2")</f>
        <v>1124 Westwind 2</v>
      </c>
      <c r="D2654" s="5" t="str">
        <f ca="1">IFERROR(__xludf.DUMMYFUNCTION("""COMPUTED_VALUE"""),"LandPlane")</f>
        <v>LandPlane</v>
      </c>
      <c r="E2654" s="5" t="str">
        <f ca="1">IFERROR(__xludf.DUMMYFUNCTION("""COMPUTED_VALUE"""),"Jet")</f>
        <v>Jet</v>
      </c>
      <c r="F2654" s="5">
        <f ca="1">IFERROR(__xludf.DUMMYFUNCTION("""COMPUTED_VALUE"""),2)</f>
        <v>2</v>
      </c>
    </row>
    <row r="2655" spans="1:6" ht="15" customHeight="1" x14ac:dyDescent="0.2">
      <c r="A2655" s="5" t="str">
        <f ca="1">IFERROR(__xludf.DUMMYFUNCTION("""COMPUTED_VALUE"""),"WZ10")</f>
        <v>WZ10</v>
      </c>
      <c r="B2655" s="5" t="str">
        <f ca="1">IFERROR(__xludf.DUMMYFUNCTION("""COMPUTED_VALUE"""),"CHANGHE")</f>
        <v>CHANGHE</v>
      </c>
      <c r="C2655" s="5" t="str">
        <f ca="1">IFERROR(__xludf.DUMMYFUNCTION("""COMPUTED_VALUE"""),"WZ-10")</f>
        <v>WZ-10</v>
      </c>
      <c r="D2655" s="5" t="str">
        <f ca="1">IFERROR(__xludf.DUMMYFUNCTION("""COMPUTED_VALUE"""),"Helicopter")</f>
        <v>Helicopter</v>
      </c>
      <c r="E2655" s="5" t="str">
        <f ca="1">IFERROR(__xludf.DUMMYFUNCTION("""COMPUTED_VALUE"""),"Turboprop/Turboshaft")</f>
        <v>Turboprop/Turboshaft</v>
      </c>
      <c r="F2655" s="5">
        <f ca="1">IFERROR(__xludf.DUMMYFUNCTION("""COMPUTED_VALUE"""),2)</f>
        <v>2</v>
      </c>
    </row>
    <row r="2656" spans="1:6" ht="15" customHeight="1" x14ac:dyDescent="0.2">
      <c r="A2656" s="5" t="str">
        <f ca="1">IFERROR(__xludf.DUMMYFUNCTION("""COMPUTED_VALUE"""),"WZER")</f>
        <v>WZER</v>
      </c>
      <c r="B2656" s="5" t="str">
        <f ca="1">IFERROR(__xludf.DUMMYFUNCTION("""COMPUTED_VALUE"""),"WAR")</f>
        <v>WAR</v>
      </c>
      <c r="C2656" s="5" t="str">
        <f ca="1">IFERROR(__xludf.DUMMYFUNCTION("""COMPUTED_VALUE"""),"Mitsubishi Zero")</f>
        <v>Mitsubishi Zero</v>
      </c>
      <c r="D2656" s="5" t="str">
        <f ca="1">IFERROR(__xludf.DUMMYFUNCTION("""COMPUTED_VALUE"""),"LandPlane")</f>
        <v>LandPlane</v>
      </c>
      <c r="E2656" s="5" t="str">
        <f ca="1">IFERROR(__xludf.DUMMYFUNCTION("""COMPUTED_VALUE"""),"Piston")</f>
        <v>Piston</v>
      </c>
      <c r="F2656" s="5">
        <f ca="1">IFERROR(__xludf.DUMMYFUNCTION("""COMPUTED_VALUE"""),1)</f>
        <v>1</v>
      </c>
    </row>
    <row r="2657" spans="1:6" ht="15" customHeight="1" x14ac:dyDescent="0.2">
      <c r="A2657" s="5" t="str">
        <f ca="1">IFERROR(__xludf.DUMMYFUNCTION("""COMPUTED_VALUE"""),"X2")</f>
        <v>X2</v>
      </c>
      <c r="B2657" s="5" t="str">
        <f ca="1">IFERROR(__xludf.DUMMYFUNCTION("""COMPUTED_VALUE"""),"SIKORSKY")</f>
        <v>SIKORSKY</v>
      </c>
      <c r="C2657" s="5" t="str">
        <f ca="1">IFERROR(__xludf.DUMMYFUNCTION("""COMPUTED_VALUE"""),"X-2")</f>
        <v>X-2</v>
      </c>
      <c r="D2657" s="5" t="str">
        <f ca="1">IFERROR(__xludf.DUMMYFUNCTION("""COMPUTED_VALUE"""),"Helicopter")</f>
        <v>Helicopter</v>
      </c>
      <c r="E2657" s="5" t="str">
        <f ca="1">IFERROR(__xludf.DUMMYFUNCTION("""COMPUTED_VALUE"""),"Turboprop/Turboshaft")</f>
        <v>Turboprop/Turboshaft</v>
      </c>
      <c r="F2657" s="5">
        <f ca="1">IFERROR(__xludf.DUMMYFUNCTION("""COMPUTED_VALUE"""),1)</f>
        <v>1</v>
      </c>
    </row>
    <row r="2658" spans="1:6" ht="15" customHeight="1" x14ac:dyDescent="0.2">
      <c r="A2658" s="5" t="str">
        <f ca="1">IFERROR(__xludf.DUMMYFUNCTION("""COMPUTED_VALUE"""),"X3")</f>
        <v>X3</v>
      </c>
      <c r="B2658" s="5" t="str">
        <f ca="1">IFERROR(__xludf.DUMMYFUNCTION("""COMPUTED_VALUE"""),"EUROCOPTER")</f>
        <v>EUROCOPTER</v>
      </c>
      <c r="C2658" s="5" t="str">
        <f ca="1">IFERROR(__xludf.DUMMYFUNCTION("""COMPUTED_VALUE"""),"X-3")</f>
        <v>X-3</v>
      </c>
      <c r="D2658" s="5" t="str">
        <f ca="1">IFERROR(__xludf.DUMMYFUNCTION("""COMPUTED_VALUE"""),"Helicopter")</f>
        <v>Helicopter</v>
      </c>
      <c r="E2658" s="5" t="str">
        <f ca="1">IFERROR(__xludf.DUMMYFUNCTION("""COMPUTED_VALUE"""),"Turboprop/Turboshaft")</f>
        <v>Turboprop/Turboshaft</v>
      </c>
      <c r="F2658" s="5">
        <f ca="1">IFERROR(__xludf.DUMMYFUNCTION("""COMPUTED_VALUE"""),2)</f>
        <v>2</v>
      </c>
    </row>
    <row r="2659" spans="1:6" ht="15" customHeight="1" x14ac:dyDescent="0.2">
      <c r="A2659" s="5" t="str">
        <f ca="1">IFERROR(__xludf.DUMMYFUNCTION("""COMPUTED_VALUE"""),"X4")</f>
        <v>X4</v>
      </c>
      <c r="B2659" s="5" t="str">
        <f ca="1">IFERROR(__xludf.DUMMYFUNCTION("""COMPUTED_VALUE"""),"ROBIN")</f>
        <v>ROBIN</v>
      </c>
      <c r="C2659" s="5" t="str">
        <f ca="1">IFERROR(__xludf.DUMMYFUNCTION("""COMPUTED_VALUE"""),"X-4")</f>
        <v>X-4</v>
      </c>
      <c r="D2659" s="5" t="str">
        <f ca="1">IFERROR(__xludf.DUMMYFUNCTION("""COMPUTED_VALUE"""),"LandPlane")</f>
        <v>LandPlane</v>
      </c>
      <c r="E2659" s="5" t="str">
        <f ca="1">IFERROR(__xludf.DUMMYFUNCTION("""COMPUTED_VALUE"""),"Piston")</f>
        <v>Piston</v>
      </c>
      <c r="F2659" s="5">
        <f ca="1">IFERROR(__xludf.DUMMYFUNCTION("""COMPUTED_VALUE"""),1)</f>
        <v>1</v>
      </c>
    </row>
    <row r="2660" spans="1:6" ht="15" customHeight="1" x14ac:dyDescent="0.2">
      <c r="A2660" s="5" t="str">
        <f ca="1">IFERROR(__xludf.DUMMYFUNCTION("""COMPUTED_VALUE"""),"X47B")</f>
        <v>X47B</v>
      </c>
      <c r="B2660" s="5" t="str">
        <f ca="1">IFERROR(__xludf.DUMMYFUNCTION("""COMPUTED_VALUE"""),"NORTHROP GRUMMAN")</f>
        <v>NORTHROP GRUMMAN</v>
      </c>
      <c r="C2660" s="5" t="str">
        <f ca="1">IFERROR(__xludf.DUMMYFUNCTION("""COMPUTED_VALUE"""),"X-47B")</f>
        <v>X-47B</v>
      </c>
      <c r="D2660" s="5" t="str">
        <f ca="1">IFERROR(__xludf.DUMMYFUNCTION("""COMPUTED_VALUE"""),"LandPlane")</f>
        <v>LandPlane</v>
      </c>
      <c r="E2660" s="5" t="str">
        <f ca="1">IFERROR(__xludf.DUMMYFUNCTION("""COMPUTED_VALUE"""),"Jet")</f>
        <v>Jet</v>
      </c>
      <c r="F2660" s="5">
        <f ca="1">IFERROR(__xludf.DUMMYFUNCTION("""COMPUTED_VALUE"""),1)</f>
        <v>1</v>
      </c>
    </row>
    <row r="2661" spans="1:6" ht="15" customHeight="1" x14ac:dyDescent="0.2">
      <c r="A2661" s="5" t="str">
        <f ca="1">IFERROR(__xludf.DUMMYFUNCTION("""COMPUTED_VALUE"""),"X49")</f>
        <v>X49</v>
      </c>
      <c r="B2661" s="5" t="str">
        <f ca="1">IFERROR(__xludf.DUMMYFUNCTION("""COMPUTED_VALUE"""),"PIASECKI")</f>
        <v>PIASECKI</v>
      </c>
      <c r="C2661" s="5" t="str">
        <f ca="1">IFERROR(__xludf.DUMMYFUNCTION("""COMPUTED_VALUE"""),"X-49 SpeedHawk")</f>
        <v>X-49 SpeedHawk</v>
      </c>
      <c r="D2661" s="5" t="str">
        <f ca="1">IFERROR(__xludf.DUMMYFUNCTION("""COMPUTED_VALUE"""),"Helicopter")</f>
        <v>Helicopter</v>
      </c>
      <c r="E2661" s="5" t="str">
        <f ca="1">IFERROR(__xludf.DUMMYFUNCTION("""COMPUTED_VALUE"""),"Turboprop/Turboshaft")</f>
        <v>Turboprop/Turboshaft</v>
      </c>
      <c r="F2661" s="5">
        <f ca="1">IFERROR(__xludf.DUMMYFUNCTION("""COMPUTED_VALUE"""),2)</f>
        <v>2</v>
      </c>
    </row>
    <row r="2662" spans="1:6" ht="15" customHeight="1" x14ac:dyDescent="0.2">
      <c r="A2662" s="5" t="str">
        <f ca="1">IFERROR(__xludf.DUMMYFUNCTION("""COMPUTED_VALUE"""),"XA41")</f>
        <v>XA41</v>
      </c>
      <c r="B2662" s="5" t="str">
        <f ca="1">IFERROR(__xludf.DUMMYFUNCTION("""COMPUTED_VALUE"""),"XTREMEAIR")</f>
        <v>XTREMEAIR</v>
      </c>
      <c r="C2662" s="5" t="str">
        <f ca="1">IFERROR(__xludf.DUMMYFUNCTION("""COMPUTED_VALUE"""),"XA-41")</f>
        <v>XA-41</v>
      </c>
      <c r="D2662" s="5" t="str">
        <f ca="1">IFERROR(__xludf.DUMMYFUNCTION("""COMPUTED_VALUE"""),"LandPlane")</f>
        <v>LandPlane</v>
      </c>
      <c r="E2662" s="5" t="str">
        <f ca="1">IFERROR(__xludf.DUMMYFUNCTION("""COMPUTED_VALUE"""),"Piston")</f>
        <v>Piston</v>
      </c>
      <c r="F2662" s="5">
        <f ca="1">IFERROR(__xludf.DUMMYFUNCTION("""COMPUTED_VALUE"""),1)</f>
        <v>1</v>
      </c>
    </row>
    <row r="2663" spans="1:6" ht="15" customHeight="1" x14ac:dyDescent="0.2">
      <c r="A2663" s="5" t="str">
        <f ca="1">IFERROR(__xludf.DUMMYFUNCTION("""COMPUTED_VALUE"""),"XA42")</f>
        <v>XA42</v>
      </c>
      <c r="B2663" s="5" t="str">
        <f ca="1">IFERROR(__xludf.DUMMYFUNCTION("""COMPUTED_VALUE"""),"XTREMEAIR")</f>
        <v>XTREMEAIR</v>
      </c>
      <c r="C2663" s="5" t="str">
        <f ca="1">IFERROR(__xludf.DUMMYFUNCTION("""COMPUTED_VALUE"""),"XA-42")</f>
        <v>XA-42</v>
      </c>
      <c r="D2663" s="5" t="str">
        <f ca="1">IFERROR(__xludf.DUMMYFUNCTION("""COMPUTED_VALUE"""),"LandPlane")</f>
        <v>LandPlane</v>
      </c>
      <c r="E2663" s="5" t="str">
        <f ca="1">IFERROR(__xludf.DUMMYFUNCTION("""COMPUTED_VALUE"""),"Piston")</f>
        <v>Piston</v>
      </c>
      <c r="F2663" s="5">
        <f ca="1">IFERROR(__xludf.DUMMYFUNCTION("""COMPUTED_VALUE"""),1)</f>
        <v>1</v>
      </c>
    </row>
    <row r="2664" spans="1:6" ht="15" customHeight="1" x14ac:dyDescent="0.2">
      <c r="A2664" s="5" t="str">
        <f ca="1">IFERROR(__xludf.DUMMYFUNCTION("""COMPUTED_VALUE"""),"XA85")</f>
        <v>XA85</v>
      </c>
      <c r="B2664" s="5" t="str">
        <f ca="1">IFERROR(__xludf.DUMMYFUNCTION("""COMPUTED_VALUE"""),"RAJ HAMSA")</f>
        <v>RAJ HAMSA</v>
      </c>
      <c r="C2664" s="5" t="str">
        <f ca="1">IFERROR(__xludf.DUMMYFUNCTION("""COMPUTED_VALUE"""),"XA-85 X-Air LS")</f>
        <v>XA-85 X-Air LS</v>
      </c>
      <c r="D2664" s="5" t="str">
        <f ca="1">IFERROR(__xludf.DUMMYFUNCTION("""COMPUTED_VALUE"""),"LandPlane")</f>
        <v>LandPlane</v>
      </c>
      <c r="E2664" s="5" t="str">
        <f ca="1">IFERROR(__xludf.DUMMYFUNCTION("""COMPUTED_VALUE"""),"Piston")</f>
        <v>Piston</v>
      </c>
      <c r="F2664" s="5">
        <f ca="1">IFERROR(__xludf.DUMMYFUNCTION("""COMPUTED_VALUE"""),1)</f>
        <v>1</v>
      </c>
    </row>
    <row r="2665" spans="1:6" ht="15" customHeight="1" x14ac:dyDescent="0.2">
      <c r="A2665" s="5" t="str">
        <f ca="1">IFERROR(__xludf.DUMMYFUNCTION("""COMPUTED_VALUE"""),"XAIR")</f>
        <v>XAIR</v>
      </c>
      <c r="B2665" s="5" t="str">
        <f ca="1">IFERROR(__xludf.DUMMYFUNCTION("""COMPUTED_VALUE"""),"RAJ HAMSA")</f>
        <v>RAJ HAMSA</v>
      </c>
      <c r="C2665" s="5" t="str">
        <f ca="1">IFERROR(__xludf.DUMMYFUNCTION("""COMPUTED_VALUE"""),"X-AIR Falcon")</f>
        <v>X-AIR Falcon</v>
      </c>
      <c r="D2665" s="5" t="str">
        <f ca="1">IFERROR(__xludf.DUMMYFUNCTION("""COMPUTED_VALUE"""),"LandPlane")</f>
        <v>LandPlane</v>
      </c>
      <c r="E2665" s="5" t="str">
        <f ca="1">IFERROR(__xludf.DUMMYFUNCTION("""COMPUTED_VALUE"""),"Piston")</f>
        <v>Piston</v>
      </c>
      <c r="F2665" s="5">
        <f ca="1">IFERROR(__xludf.DUMMYFUNCTION("""COMPUTED_VALUE"""),1)</f>
        <v>1</v>
      </c>
    </row>
    <row r="2666" spans="1:6" ht="15" customHeight="1" x14ac:dyDescent="0.2">
      <c r="A2666" s="5" t="str">
        <f ca="1">IFERROR(__xludf.DUMMYFUNCTION("""COMPUTED_VALUE"""),"XB1")</f>
        <v>XB1</v>
      </c>
      <c r="B2666" s="5" t="str">
        <f ca="1">IFERROR(__xludf.DUMMYFUNCTION("""COMPUTED_VALUE"""),"BOOM")</f>
        <v>BOOM</v>
      </c>
      <c r="C2666" s="5" t="str">
        <f ca="1">IFERROR(__xludf.DUMMYFUNCTION("""COMPUTED_VALUE"""),"XB-1")</f>
        <v>XB-1</v>
      </c>
      <c r="D2666" s="5" t="str">
        <f ca="1">IFERROR(__xludf.DUMMYFUNCTION("""COMPUTED_VALUE"""),"LandPlane")</f>
        <v>LandPlane</v>
      </c>
      <c r="E2666" s="5" t="str">
        <f ca="1">IFERROR(__xludf.DUMMYFUNCTION("""COMPUTED_VALUE"""),"Jet")</f>
        <v>Jet</v>
      </c>
      <c r="F2666" s="5">
        <f ca="1">IFERROR(__xludf.DUMMYFUNCTION("""COMPUTED_VALUE"""),3)</f>
        <v>3</v>
      </c>
    </row>
    <row r="2667" spans="1:6" ht="15" customHeight="1" x14ac:dyDescent="0.2">
      <c r="A2667" s="5" t="str">
        <f ca="1">IFERROR(__xludf.DUMMYFUNCTION("""COMPUTED_VALUE"""),"XL2")</f>
        <v>XL2</v>
      </c>
      <c r="B2667" s="5" t="str">
        <f ca="1">IFERROR(__xludf.DUMMYFUNCTION("""COMPUTED_VALUE"""),"LIBERTY (2)")</f>
        <v>LIBERTY (2)</v>
      </c>
      <c r="C2667" s="5" t="str">
        <f ca="1">IFERROR(__xludf.DUMMYFUNCTION("""COMPUTED_VALUE"""),"XL-2")</f>
        <v>XL-2</v>
      </c>
      <c r="D2667" s="5" t="str">
        <f ca="1">IFERROR(__xludf.DUMMYFUNCTION("""COMPUTED_VALUE"""),"LandPlane")</f>
        <v>LandPlane</v>
      </c>
      <c r="E2667" s="5" t="str">
        <f ca="1">IFERROR(__xludf.DUMMYFUNCTION("""COMPUTED_VALUE"""),"Piston")</f>
        <v>Piston</v>
      </c>
      <c r="F2667" s="5">
        <f ca="1">IFERROR(__xludf.DUMMYFUNCTION("""COMPUTED_VALUE"""),1)</f>
        <v>1</v>
      </c>
    </row>
    <row r="2668" spans="1:6" ht="15" customHeight="1" x14ac:dyDescent="0.2">
      <c r="A2668" s="5" t="str">
        <f ca="1">IFERROR(__xludf.DUMMYFUNCTION("""COMPUTED_VALUE"""),"XNON")</f>
        <v>XNON</v>
      </c>
      <c r="B2668" s="5" t="str">
        <f ca="1">IFERROR(__xludf.DUMMYFUNCTION("""COMPUTED_VALUE"""),"ABS AEROLIGHT")</f>
        <v>ABS AEROLIGHT</v>
      </c>
      <c r="C2668" s="5" t="str">
        <f ca="1">IFERROR(__xludf.DUMMYFUNCTION("""COMPUTED_VALUE"""),"Xenon")</f>
        <v>Xenon</v>
      </c>
      <c r="D2668" s="5" t="str">
        <f ca="1">IFERROR(__xludf.DUMMYFUNCTION("""COMPUTED_VALUE"""),"Gyrocopter")</f>
        <v>Gyrocopter</v>
      </c>
      <c r="E2668" s="5" t="str">
        <f ca="1">IFERROR(__xludf.DUMMYFUNCTION("""COMPUTED_VALUE"""),"Piston")</f>
        <v>Piston</v>
      </c>
      <c r="F2668" s="5">
        <f ca="1">IFERROR(__xludf.DUMMYFUNCTION("""COMPUTED_VALUE"""),1)</f>
        <v>1</v>
      </c>
    </row>
    <row r="2669" spans="1:6" ht="15" customHeight="1" x14ac:dyDescent="0.2">
      <c r="A2669" s="5" t="str">
        <f ca="1">IFERROR(__xludf.DUMMYFUNCTION("""COMPUTED_VALUE"""),"XNOS")</f>
        <v>XNOS</v>
      </c>
      <c r="B2669" s="5" t="str">
        <f ca="1">IFERROR(__xludf.DUMMYFUNCTION("""COMPUTED_VALUE"""),"SONEX")</f>
        <v>SONEX</v>
      </c>
      <c r="C2669" s="5" t="str">
        <f ca="1">IFERROR(__xludf.DUMMYFUNCTION("""COMPUTED_VALUE"""),"Xenos")</f>
        <v>Xenos</v>
      </c>
      <c r="D2669" s="5" t="str">
        <f ca="1">IFERROR(__xludf.DUMMYFUNCTION("""COMPUTED_VALUE"""),"LandPlane")</f>
        <v>LandPlane</v>
      </c>
      <c r="E2669" s="5" t="str">
        <f ca="1">IFERROR(__xludf.DUMMYFUNCTION("""COMPUTED_VALUE"""),"Piston")</f>
        <v>Piston</v>
      </c>
      <c r="F2669" s="5">
        <f ca="1">IFERROR(__xludf.DUMMYFUNCTION("""COMPUTED_VALUE"""),1)</f>
        <v>1</v>
      </c>
    </row>
    <row r="2670" spans="1:6" ht="15" customHeight="1" x14ac:dyDescent="0.2">
      <c r="A2670" s="5" t="str">
        <f ca="1">IFERROR(__xludf.DUMMYFUNCTION("""COMPUTED_VALUE"""),"XV15")</f>
        <v>XV15</v>
      </c>
      <c r="B2670" s="5" t="str">
        <f ca="1">IFERROR(__xludf.DUMMYFUNCTION("""COMPUTED_VALUE"""),"BELL")</f>
        <v>BELL</v>
      </c>
      <c r="C2670" s="5" t="str">
        <f ca="1">IFERROR(__xludf.DUMMYFUNCTION("""COMPUTED_VALUE"""),"XV-15")</f>
        <v>XV-15</v>
      </c>
      <c r="D2670" s="5" t="str">
        <f ca="1">IFERROR(__xludf.DUMMYFUNCTION("""COMPUTED_VALUE"""),"Tiltrotor")</f>
        <v>Tiltrotor</v>
      </c>
      <c r="E2670" s="5" t="str">
        <f ca="1">IFERROR(__xludf.DUMMYFUNCTION("""COMPUTED_VALUE"""),"Turboprop/Turboshaft")</f>
        <v>Turboprop/Turboshaft</v>
      </c>
      <c r="F2670" s="5">
        <f ca="1">IFERROR(__xludf.DUMMYFUNCTION("""COMPUTED_VALUE"""),2)</f>
        <v>2</v>
      </c>
    </row>
    <row r="2671" spans="1:6" ht="15" customHeight="1" x14ac:dyDescent="0.2">
      <c r="A2671" s="5" t="str">
        <f ca="1">IFERROR(__xludf.DUMMYFUNCTION("""COMPUTED_VALUE"""),"Y11")</f>
        <v>Y11</v>
      </c>
      <c r="B2671" s="5" t="str">
        <f ca="1">IFERROR(__xludf.DUMMYFUNCTION("""COMPUTED_VALUE"""),"HARBIN")</f>
        <v>HARBIN</v>
      </c>
      <c r="C2671" s="5" t="str">
        <f ca="1">IFERROR(__xludf.DUMMYFUNCTION("""COMPUTED_VALUE"""),"Y-11")</f>
        <v>Y-11</v>
      </c>
      <c r="D2671" s="5" t="str">
        <f ca="1">IFERROR(__xludf.DUMMYFUNCTION("""COMPUTED_VALUE"""),"LandPlane")</f>
        <v>LandPlane</v>
      </c>
      <c r="E2671" s="5" t="str">
        <f ca="1">IFERROR(__xludf.DUMMYFUNCTION("""COMPUTED_VALUE"""),"Piston")</f>
        <v>Piston</v>
      </c>
      <c r="F2671" s="5">
        <f ca="1">IFERROR(__xludf.DUMMYFUNCTION("""COMPUTED_VALUE"""),2)</f>
        <v>2</v>
      </c>
    </row>
    <row r="2672" spans="1:6" ht="15" customHeight="1" x14ac:dyDescent="0.2">
      <c r="A2672" s="5" t="str">
        <f ca="1">IFERROR(__xludf.DUMMYFUNCTION("""COMPUTED_VALUE"""),"Y112")</f>
        <v>Y112</v>
      </c>
      <c r="B2672" s="5" t="str">
        <f ca="1">IFERROR(__xludf.DUMMYFUNCTION("""COMPUTED_VALUE"""),"YAKOVLEV")</f>
        <v>YAKOVLEV</v>
      </c>
      <c r="C2672" s="5" t="str">
        <f ca="1">IFERROR(__xludf.DUMMYFUNCTION("""COMPUTED_VALUE"""),"Yak-112")</f>
        <v>Yak-112</v>
      </c>
      <c r="D2672" s="5" t="str">
        <f ca="1">IFERROR(__xludf.DUMMYFUNCTION("""COMPUTED_VALUE"""),"LandPlane")</f>
        <v>LandPlane</v>
      </c>
      <c r="E2672" s="5" t="str">
        <f ca="1">IFERROR(__xludf.DUMMYFUNCTION("""COMPUTED_VALUE"""),"Piston")</f>
        <v>Piston</v>
      </c>
      <c r="F2672" s="5">
        <f ca="1">IFERROR(__xludf.DUMMYFUNCTION("""COMPUTED_VALUE"""),1)</f>
        <v>1</v>
      </c>
    </row>
    <row r="2673" spans="1:6" ht="15" customHeight="1" x14ac:dyDescent="0.2">
      <c r="A2673" s="5" t="str">
        <f ca="1">IFERROR(__xludf.DUMMYFUNCTION("""COMPUTED_VALUE"""),"Y12")</f>
        <v>Y12</v>
      </c>
      <c r="B2673" s="5" t="str">
        <f ca="1">IFERROR(__xludf.DUMMYFUNCTION("""COMPUTED_VALUE"""),"HARBIN")</f>
        <v>HARBIN</v>
      </c>
      <c r="C2673" s="5" t="str">
        <f ca="1">IFERROR(__xludf.DUMMYFUNCTION("""COMPUTED_VALUE"""),"Harbinger")</f>
        <v>Harbinger</v>
      </c>
      <c r="D2673" s="5" t="str">
        <f ca="1">IFERROR(__xludf.DUMMYFUNCTION("""COMPUTED_VALUE"""),"LandPlane")</f>
        <v>LandPlane</v>
      </c>
      <c r="E2673" s="5" t="str">
        <f ca="1">IFERROR(__xludf.DUMMYFUNCTION("""COMPUTED_VALUE"""),"Turboprop/Turboshaft")</f>
        <v>Turboprop/Turboshaft</v>
      </c>
      <c r="F2673" s="5">
        <f ca="1">IFERROR(__xludf.DUMMYFUNCTION("""COMPUTED_VALUE"""),2)</f>
        <v>2</v>
      </c>
    </row>
    <row r="2674" spans="1:6" ht="15" customHeight="1" x14ac:dyDescent="0.2">
      <c r="A2674" s="5" t="str">
        <f ca="1">IFERROR(__xludf.DUMMYFUNCTION("""COMPUTED_VALUE"""),"Y12")</f>
        <v>Y12</v>
      </c>
      <c r="B2674" s="5" t="str">
        <f ca="1">IFERROR(__xludf.DUMMYFUNCTION("""COMPUTED_VALUE"""),"HARBIN")</f>
        <v>HARBIN</v>
      </c>
      <c r="C2674" s="5" t="str">
        <f ca="1">IFERROR(__xludf.DUMMYFUNCTION("""COMPUTED_VALUE"""),"Y-12E Harbinger")</f>
        <v>Y-12E Harbinger</v>
      </c>
      <c r="D2674" s="5" t="str">
        <f ca="1">IFERROR(__xludf.DUMMYFUNCTION("""COMPUTED_VALUE"""),"LandPlane")</f>
        <v>LandPlane</v>
      </c>
      <c r="E2674" s="5" t="str">
        <f ca="1">IFERROR(__xludf.DUMMYFUNCTION("""COMPUTED_VALUE"""),"Turboprop/Turboshaft")</f>
        <v>Turboprop/Turboshaft</v>
      </c>
      <c r="F2674" s="5">
        <f ca="1">IFERROR(__xludf.DUMMYFUNCTION("""COMPUTED_VALUE"""),2)</f>
        <v>2</v>
      </c>
    </row>
    <row r="2675" spans="1:6" ht="15" customHeight="1" x14ac:dyDescent="0.2">
      <c r="A2675" s="5" t="str">
        <f ca="1">IFERROR(__xludf.DUMMYFUNCTION("""COMPUTED_VALUE"""),"Y12F")</f>
        <v>Y12F</v>
      </c>
      <c r="B2675" s="5" t="str">
        <f ca="1">IFERROR(__xludf.DUMMYFUNCTION("""COMPUTED_VALUE"""),"HARBIN")</f>
        <v>HARBIN</v>
      </c>
      <c r="C2675" s="5" t="str">
        <f ca="1">IFERROR(__xludf.DUMMYFUNCTION("""COMPUTED_VALUE"""),"Y-12F Aircar")</f>
        <v>Y-12F Aircar</v>
      </c>
      <c r="D2675" s="5" t="str">
        <f ca="1">IFERROR(__xludf.DUMMYFUNCTION("""COMPUTED_VALUE"""),"LandPlane")</f>
        <v>LandPlane</v>
      </c>
      <c r="E2675" s="5" t="str">
        <f ca="1">IFERROR(__xludf.DUMMYFUNCTION("""COMPUTED_VALUE"""),"Turboprop/Turboshaft")</f>
        <v>Turboprop/Turboshaft</v>
      </c>
      <c r="F2675" s="5">
        <f ca="1">IFERROR(__xludf.DUMMYFUNCTION("""COMPUTED_VALUE"""),2)</f>
        <v>2</v>
      </c>
    </row>
    <row r="2676" spans="1:6" ht="15" customHeight="1" x14ac:dyDescent="0.2">
      <c r="A2676" s="5" t="str">
        <f ca="1">IFERROR(__xludf.DUMMYFUNCTION("""COMPUTED_VALUE"""),"Y130")</f>
        <v>Y130</v>
      </c>
      <c r="B2676" s="5" t="str">
        <f ca="1">IFERROR(__xludf.DUMMYFUNCTION("""COMPUTED_VALUE"""),"YAKOVLEV")</f>
        <v>YAKOVLEV</v>
      </c>
      <c r="C2676" s="5" t="str">
        <f ca="1">IFERROR(__xludf.DUMMYFUNCTION("""COMPUTED_VALUE"""),"Yak-130")</f>
        <v>Yak-130</v>
      </c>
      <c r="D2676" s="5" t="str">
        <f ca="1">IFERROR(__xludf.DUMMYFUNCTION("""COMPUTED_VALUE"""),"LandPlane")</f>
        <v>LandPlane</v>
      </c>
      <c r="E2676" s="5" t="str">
        <f ca="1">IFERROR(__xludf.DUMMYFUNCTION("""COMPUTED_VALUE"""),"Jet")</f>
        <v>Jet</v>
      </c>
      <c r="F2676" s="5">
        <f ca="1">IFERROR(__xludf.DUMMYFUNCTION("""COMPUTED_VALUE"""),2)</f>
        <v>2</v>
      </c>
    </row>
    <row r="2677" spans="1:6" ht="15" customHeight="1" x14ac:dyDescent="0.2">
      <c r="A2677" s="5" t="str">
        <f ca="1">IFERROR(__xludf.DUMMYFUNCTION("""COMPUTED_VALUE"""),"Y18T")</f>
        <v>Y18T</v>
      </c>
      <c r="B2677" s="5" t="str">
        <f ca="1">IFERROR(__xludf.DUMMYFUNCTION("""COMPUTED_VALUE"""),"YAKOVLEV")</f>
        <v>YAKOVLEV</v>
      </c>
      <c r="C2677" s="5" t="str">
        <f ca="1">IFERROR(__xludf.DUMMYFUNCTION("""COMPUTED_VALUE"""),"Yak-18T")</f>
        <v>Yak-18T</v>
      </c>
      <c r="D2677" s="5" t="str">
        <f ca="1">IFERROR(__xludf.DUMMYFUNCTION("""COMPUTED_VALUE"""),"LandPlane")</f>
        <v>LandPlane</v>
      </c>
      <c r="E2677" s="5" t="str">
        <f ca="1">IFERROR(__xludf.DUMMYFUNCTION("""COMPUTED_VALUE"""),"Piston")</f>
        <v>Piston</v>
      </c>
      <c r="F2677" s="5">
        <f ca="1">IFERROR(__xludf.DUMMYFUNCTION("""COMPUTED_VALUE"""),1)</f>
        <v>1</v>
      </c>
    </row>
    <row r="2678" spans="1:6" ht="15" customHeight="1" x14ac:dyDescent="0.2">
      <c r="A2678" s="5" t="str">
        <f ca="1">IFERROR(__xludf.DUMMYFUNCTION("""COMPUTED_VALUE"""),"Y20")</f>
        <v>Y20</v>
      </c>
      <c r="B2678" s="5" t="str">
        <f ca="1">IFERROR(__xludf.DUMMYFUNCTION("""COMPUTED_VALUE"""),"XIAN")</f>
        <v>XIAN</v>
      </c>
      <c r="C2678" s="5" t="str">
        <f ca="1">IFERROR(__xludf.DUMMYFUNCTION("""COMPUTED_VALUE"""),"Y-20 Kunpeng")</f>
        <v>Y-20 Kunpeng</v>
      </c>
      <c r="D2678" s="5" t="str">
        <f ca="1">IFERROR(__xludf.DUMMYFUNCTION("""COMPUTED_VALUE"""),"LandPlane")</f>
        <v>LandPlane</v>
      </c>
      <c r="E2678" s="5" t="str">
        <f ca="1">IFERROR(__xludf.DUMMYFUNCTION("""COMPUTED_VALUE"""),"Jet")</f>
        <v>Jet</v>
      </c>
      <c r="F2678" s="5">
        <f ca="1">IFERROR(__xludf.DUMMYFUNCTION("""COMPUTED_VALUE"""),4)</f>
        <v>4</v>
      </c>
    </row>
    <row r="2679" spans="1:6" ht="15" customHeight="1" x14ac:dyDescent="0.2">
      <c r="A2679" s="5" t="str">
        <f ca="1">IFERROR(__xludf.DUMMYFUNCTION("""COMPUTED_VALUE"""),"YA1")</f>
        <v>YA1</v>
      </c>
      <c r="B2679" s="5" t="str">
        <f ca="1">IFERROR(__xludf.DUMMYFUNCTION("""COMPUTED_VALUE"""),"YEOMAN")</f>
        <v>YEOMAN</v>
      </c>
      <c r="C2679" s="5" t="str">
        <f ca="1">IFERROR(__xludf.DUMMYFUNCTION("""COMPUTED_VALUE"""),"YA-1 Cropmaster")</f>
        <v>YA-1 Cropmaster</v>
      </c>
      <c r="D2679" s="5" t="str">
        <f ca="1">IFERROR(__xludf.DUMMYFUNCTION("""COMPUTED_VALUE"""),"LandPlane")</f>
        <v>LandPlane</v>
      </c>
      <c r="E2679" s="5" t="str">
        <f ca="1">IFERROR(__xludf.DUMMYFUNCTION("""COMPUTED_VALUE"""),"Piston")</f>
        <v>Piston</v>
      </c>
      <c r="F2679" s="5">
        <f ca="1">IFERROR(__xludf.DUMMYFUNCTION("""COMPUTED_VALUE"""),1)</f>
        <v>1</v>
      </c>
    </row>
    <row r="2680" spans="1:6" ht="15" customHeight="1" x14ac:dyDescent="0.2">
      <c r="A2680" s="5" t="str">
        <f ca="1">IFERROR(__xludf.DUMMYFUNCTION("""COMPUTED_VALUE"""),"YAK3")</f>
        <v>YAK3</v>
      </c>
      <c r="B2680" s="5" t="str">
        <f ca="1">IFERROR(__xludf.DUMMYFUNCTION("""COMPUTED_VALUE"""),"YAKOVLEV")</f>
        <v>YAKOVLEV</v>
      </c>
      <c r="C2680" s="5" t="str">
        <f ca="1">IFERROR(__xludf.DUMMYFUNCTION("""COMPUTED_VALUE"""),"Yak-3")</f>
        <v>Yak-3</v>
      </c>
      <c r="D2680" s="5" t="str">
        <f ca="1">IFERROR(__xludf.DUMMYFUNCTION("""COMPUTED_VALUE"""),"LandPlane")</f>
        <v>LandPlane</v>
      </c>
      <c r="E2680" s="5" t="str">
        <f ca="1">IFERROR(__xludf.DUMMYFUNCTION("""COMPUTED_VALUE"""),"Piston")</f>
        <v>Piston</v>
      </c>
      <c r="F2680" s="5">
        <f ca="1">IFERROR(__xludf.DUMMYFUNCTION("""COMPUTED_VALUE"""),1)</f>
        <v>1</v>
      </c>
    </row>
    <row r="2681" spans="1:6" ht="15" customHeight="1" x14ac:dyDescent="0.2">
      <c r="A2681" s="5" t="str">
        <f ca="1">IFERROR(__xludf.DUMMYFUNCTION("""COMPUTED_VALUE"""),"YAK9")</f>
        <v>YAK9</v>
      </c>
      <c r="B2681" s="5" t="str">
        <f ca="1">IFERROR(__xludf.DUMMYFUNCTION("""COMPUTED_VALUE"""),"YAKOVLEV")</f>
        <v>YAKOVLEV</v>
      </c>
      <c r="C2681" s="5" t="str">
        <f ca="1">IFERROR(__xludf.DUMMYFUNCTION("""COMPUTED_VALUE"""),"Yak-9")</f>
        <v>Yak-9</v>
      </c>
      <c r="D2681" s="5" t="str">
        <f ca="1">IFERROR(__xludf.DUMMYFUNCTION("""COMPUTED_VALUE"""),"LandPlane")</f>
        <v>LandPlane</v>
      </c>
      <c r="E2681" s="5" t="str">
        <f ca="1">IFERROR(__xludf.DUMMYFUNCTION("""COMPUTED_VALUE"""),"Piston")</f>
        <v>Piston</v>
      </c>
      <c r="F2681" s="5">
        <f ca="1">IFERROR(__xludf.DUMMYFUNCTION("""COMPUTED_VALUE"""),1)</f>
        <v>1</v>
      </c>
    </row>
    <row r="2682" spans="1:6" ht="15" customHeight="1" x14ac:dyDescent="0.2">
      <c r="A2682" s="5" t="str">
        <f ca="1">IFERROR(__xludf.DUMMYFUNCTION("""COMPUTED_VALUE"""),"YALE")</f>
        <v>YALE</v>
      </c>
      <c r="B2682" s="5" t="str">
        <f ca="1">IFERROR(__xludf.DUMMYFUNCTION("""COMPUTED_VALUE"""),"NORTH AMERICAN")</f>
        <v>NORTH AMERICAN</v>
      </c>
      <c r="C2682" s="5" t="str">
        <f ca="1">IFERROR(__xludf.DUMMYFUNCTION("""COMPUTED_VALUE"""),"BT-9 Yale")</f>
        <v>BT-9 Yale</v>
      </c>
      <c r="D2682" s="5" t="str">
        <f ca="1">IFERROR(__xludf.DUMMYFUNCTION("""COMPUTED_VALUE"""),"LandPlane")</f>
        <v>LandPlane</v>
      </c>
      <c r="E2682" s="5" t="str">
        <f ca="1">IFERROR(__xludf.DUMMYFUNCTION("""COMPUTED_VALUE"""),"Piston")</f>
        <v>Piston</v>
      </c>
      <c r="F2682" s="5">
        <f ca="1">IFERROR(__xludf.DUMMYFUNCTION("""COMPUTED_VALUE"""),1)</f>
        <v>1</v>
      </c>
    </row>
    <row r="2683" spans="1:6" ht="15" customHeight="1" x14ac:dyDescent="0.2">
      <c r="A2683" s="5" t="str">
        <f ca="1">IFERROR(__xludf.DUMMYFUNCTION("""COMPUTED_VALUE"""),"YARR")</f>
        <v>YARR</v>
      </c>
      <c r="B2683" s="5" t="str">
        <f ca="1">IFERROR(__xludf.DUMMYFUNCTION("""COMPUTED_VALUE"""),"ARROW (2)")</f>
        <v>ARROW (2)</v>
      </c>
      <c r="C2683" s="5" t="str">
        <f ca="1">IFERROR(__xludf.DUMMYFUNCTION("""COMPUTED_VALUE"""),"Yarrow Arrow")</f>
        <v>Yarrow Arrow</v>
      </c>
      <c r="D2683" s="5" t="str">
        <f ca="1">IFERROR(__xludf.DUMMYFUNCTION("""COMPUTED_VALUE"""),"LandPlane")</f>
        <v>LandPlane</v>
      </c>
      <c r="E2683" s="5" t="str">
        <f ca="1">IFERROR(__xludf.DUMMYFUNCTION("""COMPUTED_VALUE"""),"Piston")</f>
        <v>Piston</v>
      </c>
      <c r="F2683" s="5">
        <f ca="1">IFERROR(__xludf.DUMMYFUNCTION("""COMPUTED_VALUE"""),1)</f>
        <v>1</v>
      </c>
    </row>
    <row r="2684" spans="1:6" ht="15" customHeight="1" x14ac:dyDescent="0.2">
      <c r="A2684" s="5" t="str">
        <f ca="1">IFERROR(__xludf.DUMMYFUNCTION("""COMPUTED_VALUE"""),"YAST")</f>
        <v>YAST</v>
      </c>
      <c r="B2684" s="5" t="str">
        <f ca="1">IFERROR(__xludf.DUMMYFUNCTION("""COMPUTED_VALUE"""),"SGAU")</f>
        <v>SGAU</v>
      </c>
      <c r="C2684" s="5" t="str">
        <f ca="1">IFERROR(__xludf.DUMMYFUNCTION("""COMPUTED_VALUE"""),"Yastreb")</f>
        <v>Yastreb</v>
      </c>
      <c r="D2684" s="5" t="str">
        <f ca="1">IFERROR(__xludf.DUMMYFUNCTION("""COMPUTED_VALUE"""),"LandPlane")</f>
        <v>LandPlane</v>
      </c>
      <c r="E2684" s="5" t="str">
        <f ca="1">IFERROR(__xludf.DUMMYFUNCTION("""COMPUTED_VALUE"""),"Piston")</f>
        <v>Piston</v>
      </c>
      <c r="F2684" s="5">
        <f ca="1">IFERROR(__xludf.DUMMYFUNCTION("""COMPUTED_VALUE"""),1)</f>
        <v>1</v>
      </c>
    </row>
    <row r="2685" spans="1:6" ht="15" customHeight="1" x14ac:dyDescent="0.2">
      <c r="A2685" s="5" t="str">
        <f ca="1">IFERROR(__xludf.DUMMYFUNCTION("""COMPUTED_VALUE"""),"YC12")</f>
        <v>YC12</v>
      </c>
      <c r="B2685" s="5" t="str">
        <f ca="1">IFERROR(__xludf.DUMMYFUNCTION("""COMPUTED_VALUE"""),"CHASLE")</f>
        <v>CHASLE</v>
      </c>
      <c r="C2685" s="5" t="str">
        <f ca="1">IFERROR(__xludf.DUMMYFUNCTION("""COMPUTED_VALUE"""),"YC-12 Tourbillon")</f>
        <v>YC-12 Tourbillon</v>
      </c>
      <c r="D2685" s="5" t="str">
        <f ca="1">IFERROR(__xludf.DUMMYFUNCTION("""COMPUTED_VALUE"""),"LandPlane")</f>
        <v>LandPlane</v>
      </c>
      <c r="E2685" s="5" t="str">
        <f ca="1">IFERROR(__xludf.DUMMYFUNCTION("""COMPUTED_VALUE"""),"Piston")</f>
        <v>Piston</v>
      </c>
      <c r="F2685" s="5">
        <f ca="1">IFERROR(__xludf.DUMMYFUNCTION("""COMPUTED_VALUE"""),1)</f>
        <v>1</v>
      </c>
    </row>
    <row r="2686" spans="1:6" ht="15" customHeight="1" x14ac:dyDescent="0.2">
      <c r="A2686" s="5" t="str">
        <f ca="1">IFERROR(__xludf.DUMMYFUNCTION("""COMPUTED_VALUE"""),"YK11")</f>
        <v>YK11</v>
      </c>
      <c r="B2686" s="5" t="str">
        <f ca="1">IFERROR(__xludf.DUMMYFUNCTION("""COMPUTED_VALUE"""),"LET")</f>
        <v>LET</v>
      </c>
      <c r="C2686" s="5" t="str">
        <f ca="1">IFERROR(__xludf.DUMMYFUNCTION("""COMPUTED_VALUE"""),"C-11")</f>
        <v>C-11</v>
      </c>
      <c r="D2686" s="5" t="str">
        <f ca="1">IFERROR(__xludf.DUMMYFUNCTION("""COMPUTED_VALUE"""),"LandPlane")</f>
        <v>LandPlane</v>
      </c>
      <c r="E2686" s="5" t="str">
        <f ca="1">IFERROR(__xludf.DUMMYFUNCTION("""COMPUTED_VALUE"""),"Piston")</f>
        <v>Piston</v>
      </c>
      <c r="F2686" s="5">
        <f ca="1">IFERROR(__xludf.DUMMYFUNCTION("""COMPUTED_VALUE"""),1)</f>
        <v>1</v>
      </c>
    </row>
    <row r="2687" spans="1:6" ht="15" customHeight="1" x14ac:dyDescent="0.2">
      <c r="A2687" s="5" t="str">
        <f ca="1">IFERROR(__xludf.DUMMYFUNCTION("""COMPUTED_VALUE"""),"YK11")</f>
        <v>YK11</v>
      </c>
      <c r="B2687" s="5" t="str">
        <f ca="1">IFERROR(__xludf.DUMMYFUNCTION("""COMPUTED_VALUE"""),"YAKOVLEV")</f>
        <v>YAKOVLEV</v>
      </c>
      <c r="C2687" s="5" t="str">
        <f ca="1">IFERROR(__xludf.DUMMYFUNCTION("""COMPUTED_VALUE"""),"Yak-11")</f>
        <v>Yak-11</v>
      </c>
      <c r="D2687" s="5" t="str">
        <f ca="1">IFERROR(__xludf.DUMMYFUNCTION("""COMPUTED_VALUE"""),"LandPlane")</f>
        <v>LandPlane</v>
      </c>
      <c r="E2687" s="5" t="str">
        <f ca="1">IFERROR(__xludf.DUMMYFUNCTION("""COMPUTED_VALUE"""),"Piston")</f>
        <v>Piston</v>
      </c>
      <c r="F2687" s="5">
        <f ca="1">IFERROR(__xludf.DUMMYFUNCTION("""COMPUTED_VALUE"""),1)</f>
        <v>1</v>
      </c>
    </row>
    <row r="2688" spans="1:6" ht="15" customHeight="1" x14ac:dyDescent="0.2">
      <c r="A2688" s="5" t="str">
        <f ca="1">IFERROR(__xludf.DUMMYFUNCTION("""COMPUTED_VALUE"""),"YK12")</f>
        <v>YK12</v>
      </c>
      <c r="B2688" s="5" t="str">
        <f ca="1">IFERROR(__xludf.DUMMYFUNCTION("""COMPUTED_VALUE"""),"YAKOVLEV")</f>
        <v>YAKOVLEV</v>
      </c>
      <c r="C2688" s="5" t="str">
        <f ca="1">IFERROR(__xludf.DUMMYFUNCTION("""COMPUTED_VALUE"""),"Yak-12")</f>
        <v>Yak-12</v>
      </c>
      <c r="D2688" s="5" t="str">
        <f ca="1">IFERROR(__xludf.DUMMYFUNCTION("""COMPUTED_VALUE"""),"LandPlane")</f>
        <v>LandPlane</v>
      </c>
      <c r="E2688" s="5" t="str">
        <f ca="1">IFERROR(__xludf.DUMMYFUNCTION("""COMPUTED_VALUE"""),"Piston")</f>
        <v>Piston</v>
      </c>
      <c r="F2688" s="5">
        <f ca="1">IFERROR(__xludf.DUMMYFUNCTION("""COMPUTED_VALUE"""),1)</f>
        <v>1</v>
      </c>
    </row>
    <row r="2689" spans="1:6" ht="15" customHeight="1" x14ac:dyDescent="0.2">
      <c r="A2689" s="5" t="str">
        <f ca="1">IFERROR(__xludf.DUMMYFUNCTION("""COMPUTED_VALUE"""),"YK18")</f>
        <v>YK18</v>
      </c>
      <c r="B2689" s="5" t="str">
        <f ca="1">IFERROR(__xludf.DUMMYFUNCTION("""COMPUTED_VALUE"""),"YAKOVLEV")</f>
        <v>YAKOVLEV</v>
      </c>
      <c r="C2689" s="5" t="str">
        <f ca="1">IFERROR(__xludf.DUMMYFUNCTION("""COMPUTED_VALUE"""),"Yak-18")</f>
        <v>Yak-18</v>
      </c>
      <c r="D2689" s="5" t="str">
        <f ca="1">IFERROR(__xludf.DUMMYFUNCTION("""COMPUTED_VALUE"""),"LandPlane")</f>
        <v>LandPlane</v>
      </c>
      <c r="E2689" s="5" t="str">
        <f ca="1">IFERROR(__xludf.DUMMYFUNCTION("""COMPUTED_VALUE"""),"Piston")</f>
        <v>Piston</v>
      </c>
      <c r="F2689" s="5">
        <f ca="1">IFERROR(__xludf.DUMMYFUNCTION("""COMPUTED_VALUE"""),1)</f>
        <v>1</v>
      </c>
    </row>
    <row r="2690" spans="1:6" ht="15" customHeight="1" x14ac:dyDescent="0.2">
      <c r="A2690" s="5" t="str">
        <f ca="1">IFERROR(__xludf.DUMMYFUNCTION("""COMPUTED_VALUE"""),"YK28")</f>
        <v>YK28</v>
      </c>
      <c r="B2690" s="5" t="str">
        <f ca="1">IFERROR(__xludf.DUMMYFUNCTION("""COMPUTED_VALUE"""),"YAKOVLEV")</f>
        <v>YAKOVLEV</v>
      </c>
      <c r="C2690" s="5" t="str">
        <f ca="1">IFERROR(__xludf.DUMMYFUNCTION("""COMPUTED_VALUE"""),"Yak-28")</f>
        <v>Yak-28</v>
      </c>
      <c r="D2690" s="5" t="str">
        <f ca="1">IFERROR(__xludf.DUMMYFUNCTION("""COMPUTED_VALUE"""),"LandPlane")</f>
        <v>LandPlane</v>
      </c>
      <c r="E2690" s="5" t="str">
        <f ca="1">IFERROR(__xludf.DUMMYFUNCTION("""COMPUTED_VALUE"""),"Jet")</f>
        <v>Jet</v>
      </c>
      <c r="F2690" s="5">
        <f ca="1">IFERROR(__xludf.DUMMYFUNCTION("""COMPUTED_VALUE"""),2)</f>
        <v>2</v>
      </c>
    </row>
    <row r="2691" spans="1:6" ht="15" customHeight="1" x14ac:dyDescent="0.2">
      <c r="A2691" s="5" t="str">
        <f ca="1">IFERROR(__xludf.DUMMYFUNCTION("""COMPUTED_VALUE"""),"YK30")</f>
        <v>YK30</v>
      </c>
      <c r="B2691" s="5" t="str">
        <f ca="1">IFERROR(__xludf.DUMMYFUNCTION("""COMPUTED_VALUE"""),"YAKOVLEV")</f>
        <v>YAKOVLEV</v>
      </c>
      <c r="C2691" s="5" t="str">
        <f ca="1">IFERROR(__xludf.DUMMYFUNCTION("""COMPUTED_VALUE"""),"Yak-30")</f>
        <v>Yak-30</v>
      </c>
      <c r="D2691" s="5" t="str">
        <f ca="1">IFERROR(__xludf.DUMMYFUNCTION("""COMPUTED_VALUE"""),"LandPlane")</f>
        <v>LandPlane</v>
      </c>
      <c r="E2691" s="5" t="str">
        <f ca="1">IFERROR(__xludf.DUMMYFUNCTION("""COMPUTED_VALUE"""),"Jet")</f>
        <v>Jet</v>
      </c>
      <c r="F2691" s="5">
        <f ca="1">IFERROR(__xludf.DUMMYFUNCTION("""COMPUTED_VALUE"""),1)</f>
        <v>1</v>
      </c>
    </row>
    <row r="2692" spans="1:6" ht="15" customHeight="1" x14ac:dyDescent="0.2">
      <c r="A2692" s="5" t="str">
        <f ca="1">IFERROR(__xludf.DUMMYFUNCTION("""COMPUTED_VALUE"""),"YK38")</f>
        <v>YK38</v>
      </c>
      <c r="B2692" s="5" t="str">
        <f ca="1">IFERROR(__xludf.DUMMYFUNCTION("""COMPUTED_VALUE"""),"YAKOVLEV")</f>
        <v>YAKOVLEV</v>
      </c>
      <c r="C2692" s="5" t="str">
        <f ca="1">IFERROR(__xludf.DUMMYFUNCTION("""COMPUTED_VALUE"""),"Yak-38")</f>
        <v>Yak-38</v>
      </c>
      <c r="D2692" s="5" t="str">
        <f ca="1">IFERROR(__xludf.DUMMYFUNCTION("""COMPUTED_VALUE"""),"LandPlane")</f>
        <v>LandPlane</v>
      </c>
      <c r="E2692" s="5" t="str">
        <f ca="1">IFERROR(__xludf.DUMMYFUNCTION("""COMPUTED_VALUE"""),"Jet")</f>
        <v>Jet</v>
      </c>
      <c r="F2692" s="5">
        <f ca="1">IFERROR(__xludf.DUMMYFUNCTION("""COMPUTED_VALUE"""),3)</f>
        <v>3</v>
      </c>
    </row>
    <row r="2693" spans="1:6" ht="15" customHeight="1" x14ac:dyDescent="0.2">
      <c r="A2693" s="5" t="str">
        <f ca="1">IFERROR(__xludf.DUMMYFUNCTION("""COMPUTED_VALUE"""),"YK40")</f>
        <v>YK40</v>
      </c>
      <c r="B2693" s="5" t="str">
        <f ca="1">IFERROR(__xludf.DUMMYFUNCTION("""COMPUTED_VALUE"""),"YAKOVLEV")</f>
        <v>YAKOVLEV</v>
      </c>
      <c r="C2693" s="5" t="str">
        <f ca="1">IFERROR(__xludf.DUMMYFUNCTION("""COMPUTED_VALUE"""),"Yak-40")</f>
        <v>Yak-40</v>
      </c>
      <c r="D2693" s="5" t="str">
        <f ca="1">IFERROR(__xludf.DUMMYFUNCTION("""COMPUTED_VALUE"""),"LandPlane")</f>
        <v>LandPlane</v>
      </c>
      <c r="E2693" s="5" t="str">
        <f ca="1">IFERROR(__xludf.DUMMYFUNCTION("""COMPUTED_VALUE"""),"Jet")</f>
        <v>Jet</v>
      </c>
      <c r="F2693" s="5">
        <f ca="1">IFERROR(__xludf.DUMMYFUNCTION("""COMPUTED_VALUE"""),3)</f>
        <v>3</v>
      </c>
    </row>
    <row r="2694" spans="1:6" ht="15" customHeight="1" x14ac:dyDescent="0.2">
      <c r="A2694" s="5" t="str">
        <f ca="1">IFERROR(__xludf.DUMMYFUNCTION("""COMPUTED_VALUE"""),"YK42")</f>
        <v>YK42</v>
      </c>
      <c r="B2694" s="5" t="str">
        <f ca="1">IFERROR(__xludf.DUMMYFUNCTION("""COMPUTED_VALUE"""),"YAKOVLEV")</f>
        <v>YAKOVLEV</v>
      </c>
      <c r="C2694" s="5" t="str">
        <f ca="1">IFERROR(__xludf.DUMMYFUNCTION("""COMPUTED_VALUE"""),"Yak-42")</f>
        <v>Yak-42</v>
      </c>
      <c r="D2694" s="5" t="str">
        <f ca="1">IFERROR(__xludf.DUMMYFUNCTION("""COMPUTED_VALUE"""),"LandPlane")</f>
        <v>LandPlane</v>
      </c>
      <c r="E2694" s="5" t="str">
        <f ca="1">IFERROR(__xludf.DUMMYFUNCTION("""COMPUTED_VALUE"""),"Jet")</f>
        <v>Jet</v>
      </c>
      <c r="F2694" s="5">
        <f ca="1">IFERROR(__xludf.DUMMYFUNCTION("""COMPUTED_VALUE"""),3)</f>
        <v>3</v>
      </c>
    </row>
    <row r="2695" spans="1:6" ht="15" customHeight="1" x14ac:dyDescent="0.2">
      <c r="A2695" s="5" t="str">
        <f ca="1">IFERROR(__xludf.DUMMYFUNCTION("""COMPUTED_VALUE"""),"YK50")</f>
        <v>YK50</v>
      </c>
      <c r="B2695" s="5" t="str">
        <f ca="1">IFERROR(__xludf.DUMMYFUNCTION("""COMPUTED_VALUE"""),"YAKOVLEV")</f>
        <v>YAKOVLEV</v>
      </c>
      <c r="C2695" s="5" t="str">
        <f ca="1">IFERROR(__xludf.DUMMYFUNCTION("""COMPUTED_VALUE"""),"Yak-50")</f>
        <v>Yak-50</v>
      </c>
      <c r="D2695" s="5" t="str">
        <f ca="1">IFERROR(__xludf.DUMMYFUNCTION("""COMPUTED_VALUE"""),"LandPlane")</f>
        <v>LandPlane</v>
      </c>
      <c r="E2695" s="5" t="str">
        <f ca="1">IFERROR(__xludf.DUMMYFUNCTION("""COMPUTED_VALUE"""),"Piston")</f>
        <v>Piston</v>
      </c>
      <c r="F2695" s="5">
        <f ca="1">IFERROR(__xludf.DUMMYFUNCTION("""COMPUTED_VALUE"""),1)</f>
        <v>1</v>
      </c>
    </row>
    <row r="2696" spans="1:6" ht="15" customHeight="1" x14ac:dyDescent="0.2">
      <c r="A2696" s="5" t="str">
        <f ca="1">IFERROR(__xludf.DUMMYFUNCTION("""COMPUTED_VALUE"""),"YK52")</f>
        <v>YK52</v>
      </c>
      <c r="B2696" s="5" t="str">
        <f ca="1">IFERROR(__xludf.DUMMYFUNCTION("""COMPUTED_VALUE"""),"YAKOVLEV")</f>
        <v>YAKOVLEV</v>
      </c>
      <c r="C2696" s="5" t="str">
        <f ca="1">IFERROR(__xludf.DUMMYFUNCTION("""COMPUTED_VALUE"""),"Yak-52")</f>
        <v>Yak-52</v>
      </c>
      <c r="D2696" s="5" t="str">
        <f ca="1">IFERROR(__xludf.DUMMYFUNCTION("""COMPUTED_VALUE"""),"LandPlane")</f>
        <v>LandPlane</v>
      </c>
      <c r="E2696" s="5" t="str">
        <f ca="1">IFERROR(__xludf.DUMMYFUNCTION("""COMPUTED_VALUE"""),"Piston")</f>
        <v>Piston</v>
      </c>
      <c r="F2696" s="5">
        <f ca="1">IFERROR(__xludf.DUMMYFUNCTION("""COMPUTED_VALUE"""),1)</f>
        <v>1</v>
      </c>
    </row>
    <row r="2697" spans="1:6" ht="15" customHeight="1" x14ac:dyDescent="0.2">
      <c r="A2697" s="5" t="str">
        <f ca="1">IFERROR(__xludf.DUMMYFUNCTION("""COMPUTED_VALUE"""),"YK53")</f>
        <v>YK53</v>
      </c>
      <c r="B2697" s="5" t="str">
        <f ca="1">IFERROR(__xludf.DUMMYFUNCTION("""COMPUTED_VALUE"""),"YAKOVLEV")</f>
        <v>YAKOVLEV</v>
      </c>
      <c r="C2697" s="5" t="str">
        <f ca="1">IFERROR(__xludf.DUMMYFUNCTION("""COMPUTED_VALUE"""),"Yak-53")</f>
        <v>Yak-53</v>
      </c>
      <c r="D2697" s="5" t="str">
        <f ca="1">IFERROR(__xludf.DUMMYFUNCTION("""COMPUTED_VALUE"""),"LandPlane")</f>
        <v>LandPlane</v>
      </c>
      <c r="E2697" s="5" t="str">
        <f ca="1">IFERROR(__xludf.DUMMYFUNCTION("""COMPUTED_VALUE"""),"Piston")</f>
        <v>Piston</v>
      </c>
      <c r="F2697" s="5">
        <f ca="1">IFERROR(__xludf.DUMMYFUNCTION("""COMPUTED_VALUE"""),1)</f>
        <v>1</v>
      </c>
    </row>
    <row r="2698" spans="1:6" ht="15" customHeight="1" x14ac:dyDescent="0.2">
      <c r="A2698" s="5" t="str">
        <f ca="1">IFERROR(__xludf.DUMMYFUNCTION("""COMPUTED_VALUE"""),"YK54")</f>
        <v>YK54</v>
      </c>
      <c r="B2698" s="5" t="str">
        <f ca="1">IFERROR(__xludf.DUMMYFUNCTION("""COMPUTED_VALUE"""),"YAKOVLEV")</f>
        <v>YAKOVLEV</v>
      </c>
      <c r="C2698" s="5" t="str">
        <f ca="1">IFERROR(__xludf.DUMMYFUNCTION("""COMPUTED_VALUE"""),"Yak-54")</f>
        <v>Yak-54</v>
      </c>
      <c r="D2698" s="5" t="str">
        <f ca="1">IFERROR(__xludf.DUMMYFUNCTION("""COMPUTED_VALUE"""),"LandPlane")</f>
        <v>LandPlane</v>
      </c>
      <c r="E2698" s="5" t="str">
        <f ca="1">IFERROR(__xludf.DUMMYFUNCTION("""COMPUTED_VALUE"""),"Piston")</f>
        <v>Piston</v>
      </c>
      <c r="F2698" s="5">
        <f ca="1">IFERROR(__xludf.DUMMYFUNCTION("""COMPUTED_VALUE"""),1)</f>
        <v>1</v>
      </c>
    </row>
    <row r="2699" spans="1:6" ht="15" customHeight="1" x14ac:dyDescent="0.2">
      <c r="A2699" s="5" t="str">
        <f ca="1">IFERROR(__xludf.DUMMYFUNCTION("""COMPUTED_VALUE"""),"YK55")</f>
        <v>YK55</v>
      </c>
      <c r="B2699" s="5" t="str">
        <f ca="1">IFERROR(__xludf.DUMMYFUNCTION("""COMPUTED_VALUE"""),"YAKOVLEV")</f>
        <v>YAKOVLEV</v>
      </c>
      <c r="C2699" s="5" t="str">
        <f ca="1">IFERROR(__xludf.DUMMYFUNCTION("""COMPUTED_VALUE"""),"Yak-55")</f>
        <v>Yak-55</v>
      </c>
      <c r="D2699" s="5" t="str">
        <f ca="1">IFERROR(__xludf.DUMMYFUNCTION("""COMPUTED_VALUE"""),"LandPlane")</f>
        <v>LandPlane</v>
      </c>
      <c r="E2699" s="5" t="str">
        <f ca="1">IFERROR(__xludf.DUMMYFUNCTION("""COMPUTED_VALUE"""),"Piston")</f>
        <v>Piston</v>
      </c>
      <c r="F2699" s="5">
        <f ca="1">IFERROR(__xludf.DUMMYFUNCTION("""COMPUTED_VALUE"""),1)</f>
        <v>1</v>
      </c>
    </row>
    <row r="2700" spans="1:6" ht="15" customHeight="1" x14ac:dyDescent="0.2">
      <c r="A2700" s="5" t="str">
        <f ca="1">IFERROR(__xludf.DUMMYFUNCTION("""COMPUTED_VALUE"""),"YK58")</f>
        <v>YK58</v>
      </c>
      <c r="B2700" s="5" t="str">
        <f ca="1">IFERROR(__xludf.DUMMYFUNCTION("""COMPUTED_VALUE"""),"YAKOVLEV")</f>
        <v>YAKOVLEV</v>
      </c>
      <c r="C2700" s="5" t="str">
        <f ca="1">IFERROR(__xludf.DUMMYFUNCTION("""COMPUTED_VALUE"""),"Yak-58")</f>
        <v>Yak-58</v>
      </c>
      <c r="D2700" s="5" t="str">
        <f ca="1">IFERROR(__xludf.DUMMYFUNCTION("""COMPUTED_VALUE"""),"LandPlane")</f>
        <v>LandPlane</v>
      </c>
      <c r="E2700" s="5" t="str">
        <f ca="1">IFERROR(__xludf.DUMMYFUNCTION("""COMPUTED_VALUE"""),"Piston")</f>
        <v>Piston</v>
      </c>
      <c r="F2700" s="5">
        <f ca="1">IFERROR(__xludf.DUMMYFUNCTION("""COMPUTED_VALUE"""),1)</f>
        <v>1</v>
      </c>
    </row>
    <row r="2701" spans="1:6" ht="15" customHeight="1" x14ac:dyDescent="0.2">
      <c r="A2701" s="5" t="str">
        <f ca="1">IFERROR(__xludf.DUMMYFUNCTION("""COMPUTED_VALUE"""),"YL15")</f>
        <v>YL15</v>
      </c>
      <c r="B2701" s="5" t="str">
        <f ca="1">IFERROR(__xludf.DUMMYFUNCTION("""COMPUTED_VALUE"""),"BOEING")</f>
        <v>BOEING</v>
      </c>
      <c r="C2701" s="5" t="str">
        <f ca="1">IFERROR(__xludf.DUMMYFUNCTION("""COMPUTED_VALUE"""),"YL-15 Scout")</f>
        <v>YL-15 Scout</v>
      </c>
      <c r="D2701" s="5" t="str">
        <f ca="1">IFERROR(__xludf.DUMMYFUNCTION("""COMPUTED_VALUE"""),"LandPlane")</f>
        <v>LandPlane</v>
      </c>
      <c r="E2701" s="5" t="str">
        <f ca="1">IFERROR(__xludf.DUMMYFUNCTION("""COMPUTED_VALUE"""),"Piston")</f>
        <v>Piston</v>
      </c>
      <c r="F2701" s="5">
        <f ca="1">IFERROR(__xludf.DUMMYFUNCTION("""COMPUTED_VALUE"""),1)</f>
        <v>1</v>
      </c>
    </row>
    <row r="2702" spans="1:6" ht="15" customHeight="1" x14ac:dyDescent="0.2">
      <c r="A2702" s="5" t="str">
        <f ca="1">IFERROR(__xludf.DUMMYFUNCTION("""COMPUTED_VALUE"""),"YNHL")</f>
        <v>YNHL</v>
      </c>
      <c r="B2702" s="5" t="str">
        <f ca="1">IFERROR(__xludf.DUMMYFUNCTION("""COMPUTED_VALUE"""),"AVIAIMPEX")</f>
        <v>AVIAIMPEX</v>
      </c>
      <c r="C2702" s="5" t="str">
        <f ca="1">IFERROR(__xludf.DUMMYFUNCTION("""COMPUTED_VALUE"""),"KT-112 Yanhol")</f>
        <v>KT-112 Yanhol</v>
      </c>
      <c r="D2702" s="5" t="str">
        <f ca="1">IFERROR(__xludf.DUMMYFUNCTION("""COMPUTED_VALUE"""),"Helicopter")</f>
        <v>Helicopter</v>
      </c>
      <c r="E2702" s="5" t="str">
        <f ca="1">IFERROR(__xludf.DUMMYFUNCTION("""COMPUTED_VALUE"""),"Piston")</f>
        <v>Piston</v>
      </c>
      <c r="F2702" s="5">
        <f ca="1">IFERROR(__xludf.DUMMYFUNCTION("""COMPUTED_VALUE"""),2)</f>
        <v>2</v>
      </c>
    </row>
    <row r="2703" spans="1:6" ht="15" customHeight="1" x14ac:dyDescent="0.2">
      <c r="A2703" s="5" t="str">
        <f ca="1">IFERROR(__xludf.DUMMYFUNCTION("""COMPUTED_VALUE"""),"YS11")</f>
        <v>YS11</v>
      </c>
      <c r="B2703" s="5" t="str">
        <f ca="1">IFERROR(__xludf.DUMMYFUNCTION("""COMPUTED_VALUE"""),"NAMC")</f>
        <v>NAMC</v>
      </c>
      <c r="C2703" s="5" t="str">
        <f ca="1">IFERROR(__xludf.DUMMYFUNCTION("""COMPUTED_VALUE"""),"YS-11")</f>
        <v>YS-11</v>
      </c>
      <c r="D2703" s="5" t="str">
        <f ca="1">IFERROR(__xludf.DUMMYFUNCTION("""COMPUTED_VALUE"""),"LandPlane")</f>
        <v>LandPlane</v>
      </c>
      <c r="E2703" s="5" t="str">
        <f ca="1">IFERROR(__xludf.DUMMYFUNCTION("""COMPUTED_VALUE"""),"Turboprop/Turboshaft")</f>
        <v>Turboprop/Turboshaft</v>
      </c>
      <c r="F2703" s="5">
        <f ca="1">IFERROR(__xludf.DUMMYFUNCTION("""COMPUTED_VALUE"""),2)</f>
        <v>2</v>
      </c>
    </row>
    <row r="2704" spans="1:6" ht="15" customHeight="1" x14ac:dyDescent="0.2">
      <c r="A2704" s="5" t="str">
        <f ca="1">IFERROR(__xludf.DUMMYFUNCTION("""COMPUTED_VALUE"""),"YUKN")</f>
        <v>YUKN</v>
      </c>
      <c r="B2704" s="5" t="str">
        <f ca="1">IFERROR(__xludf.DUMMYFUNCTION("""COMPUTED_VALUE"""),"MURPHY")</f>
        <v>MURPHY</v>
      </c>
      <c r="C2704" s="5" t="str">
        <f ca="1">IFERROR(__xludf.DUMMYFUNCTION("""COMPUTED_VALUE"""),"Yukon")</f>
        <v>Yukon</v>
      </c>
      <c r="D2704" s="5" t="str">
        <f ca="1">IFERROR(__xludf.DUMMYFUNCTION("""COMPUTED_VALUE"""),"LandPlane")</f>
        <v>LandPlane</v>
      </c>
      <c r="E2704" s="5" t="str">
        <f ca="1">IFERROR(__xludf.DUMMYFUNCTION("""COMPUTED_VALUE"""),"Piston")</f>
        <v>Piston</v>
      </c>
      <c r="F2704" s="5">
        <f ca="1">IFERROR(__xludf.DUMMYFUNCTION("""COMPUTED_VALUE"""),1)</f>
        <v>1</v>
      </c>
    </row>
    <row r="2705" spans="1:6" ht="15" customHeight="1" x14ac:dyDescent="0.2">
      <c r="A2705" s="5" t="str">
        <f ca="1">IFERROR(__xludf.DUMMYFUNCTION("""COMPUTED_VALUE"""),"YUNO")</f>
        <v>YUNO</v>
      </c>
      <c r="B2705" s="5" t="str">
        <f ca="1">IFERROR(__xludf.DUMMYFUNCTION("""COMPUTED_VALUE"""),"SHUYA")</f>
        <v>SHUYA</v>
      </c>
      <c r="C2705" s="5" t="str">
        <f ca="1">IFERROR(__xludf.DUMMYFUNCTION("""COMPUTED_VALUE"""),"Yunona")</f>
        <v>Yunona</v>
      </c>
      <c r="D2705" s="5" t="str">
        <f ca="1">IFERROR(__xludf.DUMMYFUNCTION("""COMPUTED_VALUE"""),"LandPlane")</f>
        <v>LandPlane</v>
      </c>
      <c r="E2705" s="5" t="str">
        <f ca="1">IFERROR(__xludf.DUMMYFUNCTION("""COMPUTED_VALUE"""),"Piston")</f>
        <v>Piston</v>
      </c>
      <c r="F2705" s="5">
        <f ca="1">IFERROR(__xludf.DUMMYFUNCTION("""COMPUTED_VALUE"""),1)</f>
        <v>1</v>
      </c>
    </row>
    <row r="2706" spans="1:6" ht="15" customHeight="1" x14ac:dyDescent="0.2">
      <c r="A2706" s="5" t="str">
        <f ca="1">IFERROR(__xludf.DUMMYFUNCTION("""COMPUTED_VALUE"""),"YURO")</f>
        <v>YURO</v>
      </c>
      <c r="B2706" s="5" t="str">
        <f ca="1">IFERROR(__xludf.DUMMYFUNCTION("""COMPUTED_VALUE"""),"SOKO-CNIAR")</f>
        <v>SOKO-CNIAR</v>
      </c>
      <c r="C2706" s="5" t="str">
        <f ca="1">IFERROR(__xludf.DUMMYFUNCTION("""COMPUTED_VALUE"""),"J-22 Orao")</f>
        <v>J-22 Orao</v>
      </c>
      <c r="D2706" s="5" t="str">
        <f ca="1">IFERROR(__xludf.DUMMYFUNCTION("""COMPUTED_VALUE"""),"LandPlane")</f>
        <v>LandPlane</v>
      </c>
      <c r="E2706" s="5" t="str">
        <f ca="1">IFERROR(__xludf.DUMMYFUNCTION("""COMPUTED_VALUE"""),"Jet")</f>
        <v>Jet</v>
      </c>
      <c r="F2706" s="5">
        <f ca="1">IFERROR(__xludf.DUMMYFUNCTION("""COMPUTED_VALUE"""),2)</f>
        <v>2</v>
      </c>
    </row>
    <row r="2707" spans="1:6" ht="15" customHeight="1" x14ac:dyDescent="0.2">
      <c r="A2707" s="5" t="str">
        <f ca="1">IFERROR(__xludf.DUMMYFUNCTION("""COMPUTED_VALUE"""),"Z22")</f>
        <v>Z22</v>
      </c>
      <c r="B2707" s="5" t="str">
        <f ca="1">IFERROR(__xludf.DUMMYFUNCTION("""COMPUTED_VALUE"""),"ZLIN")</f>
        <v>ZLIN</v>
      </c>
      <c r="C2707" s="5" t="str">
        <f ca="1">IFERROR(__xludf.DUMMYFUNCTION("""COMPUTED_VALUE"""),"Z-22 Junak")</f>
        <v>Z-22 Junak</v>
      </c>
      <c r="D2707" s="5" t="str">
        <f ca="1">IFERROR(__xludf.DUMMYFUNCTION("""COMPUTED_VALUE"""),"LandPlane")</f>
        <v>LandPlane</v>
      </c>
      <c r="E2707" s="5" t="str">
        <f ca="1">IFERROR(__xludf.DUMMYFUNCTION("""COMPUTED_VALUE"""),"Piston")</f>
        <v>Piston</v>
      </c>
      <c r="F2707" s="5">
        <f ca="1">IFERROR(__xludf.DUMMYFUNCTION("""COMPUTED_VALUE"""),1)</f>
        <v>1</v>
      </c>
    </row>
    <row r="2708" spans="1:6" ht="15" customHeight="1" x14ac:dyDescent="0.2">
      <c r="A2708" s="5" t="str">
        <f ca="1">IFERROR(__xludf.DUMMYFUNCTION("""COMPUTED_VALUE"""),"Z26")</f>
        <v>Z26</v>
      </c>
      <c r="B2708" s="5" t="str">
        <f ca="1">IFERROR(__xludf.DUMMYFUNCTION("""COMPUTED_VALUE"""),"ZLIN")</f>
        <v>ZLIN</v>
      </c>
      <c r="C2708" s="5" t="str">
        <f ca="1">IFERROR(__xludf.DUMMYFUNCTION("""COMPUTED_VALUE"""),"Z-26 Trener")</f>
        <v>Z-26 Trener</v>
      </c>
      <c r="D2708" s="5" t="str">
        <f ca="1">IFERROR(__xludf.DUMMYFUNCTION("""COMPUTED_VALUE"""),"LandPlane")</f>
        <v>LandPlane</v>
      </c>
      <c r="E2708" s="5" t="str">
        <f ca="1">IFERROR(__xludf.DUMMYFUNCTION("""COMPUTED_VALUE"""),"Piston")</f>
        <v>Piston</v>
      </c>
      <c r="F2708" s="5">
        <f ca="1">IFERROR(__xludf.DUMMYFUNCTION("""COMPUTED_VALUE"""),1)</f>
        <v>1</v>
      </c>
    </row>
    <row r="2709" spans="1:6" ht="15" customHeight="1" x14ac:dyDescent="0.2">
      <c r="A2709" s="5" t="str">
        <f ca="1">IFERROR(__xludf.DUMMYFUNCTION("""COMPUTED_VALUE"""),"Z37P")</f>
        <v>Z37P</v>
      </c>
      <c r="B2709" s="5" t="str">
        <f ca="1">IFERROR(__xludf.DUMMYFUNCTION("""COMPUTED_VALUE"""),"LET")</f>
        <v>LET</v>
      </c>
      <c r="C2709" s="5" t="str">
        <f ca="1">IFERROR(__xludf.DUMMYFUNCTION("""COMPUTED_VALUE"""),"Z-37 Cmelák")</f>
        <v>Z-37 Cmelák</v>
      </c>
      <c r="D2709" s="5" t="str">
        <f ca="1">IFERROR(__xludf.DUMMYFUNCTION("""COMPUTED_VALUE"""),"LandPlane")</f>
        <v>LandPlane</v>
      </c>
      <c r="E2709" s="5" t="str">
        <f ca="1">IFERROR(__xludf.DUMMYFUNCTION("""COMPUTED_VALUE"""),"Piston")</f>
        <v>Piston</v>
      </c>
      <c r="F2709" s="5">
        <f ca="1">IFERROR(__xludf.DUMMYFUNCTION("""COMPUTED_VALUE"""),1)</f>
        <v>1</v>
      </c>
    </row>
    <row r="2710" spans="1:6" ht="15" customHeight="1" x14ac:dyDescent="0.2">
      <c r="A2710" s="5" t="str">
        <f ca="1">IFERROR(__xludf.DUMMYFUNCTION("""COMPUTED_VALUE"""),"Z37T")</f>
        <v>Z37T</v>
      </c>
      <c r="B2710" s="5" t="str">
        <f ca="1">IFERROR(__xludf.DUMMYFUNCTION("""COMPUTED_VALUE"""),"MORAVAN")</f>
        <v>MORAVAN</v>
      </c>
      <c r="C2710" s="5" t="str">
        <f ca="1">IFERROR(__xludf.DUMMYFUNCTION("""COMPUTED_VALUE"""),"Z-37T Agro Turbo")</f>
        <v>Z-37T Agro Turbo</v>
      </c>
      <c r="D2710" s="5" t="str">
        <f ca="1">IFERROR(__xludf.DUMMYFUNCTION("""COMPUTED_VALUE"""),"LandPlane")</f>
        <v>LandPlane</v>
      </c>
      <c r="E2710" s="5" t="str">
        <f ca="1">IFERROR(__xludf.DUMMYFUNCTION("""COMPUTED_VALUE"""),"Turboprop/Turboshaft")</f>
        <v>Turboprop/Turboshaft</v>
      </c>
      <c r="F2710" s="5">
        <f ca="1">IFERROR(__xludf.DUMMYFUNCTION("""COMPUTED_VALUE"""),1)</f>
        <v>1</v>
      </c>
    </row>
    <row r="2711" spans="1:6" ht="15" customHeight="1" x14ac:dyDescent="0.2">
      <c r="A2711" s="5" t="str">
        <f ca="1">IFERROR(__xludf.DUMMYFUNCTION("""COMPUTED_VALUE"""),"Z42")</f>
        <v>Z42</v>
      </c>
      <c r="B2711" s="5" t="str">
        <f ca="1">IFERROR(__xludf.DUMMYFUNCTION("""COMPUTED_VALUE"""),"ZLIN")</f>
        <v>ZLIN</v>
      </c>
      <c r="C2711" s="5" t="str">
        <f ca="1">IFERROR(__xludf.DUMMYFUNCTION("""COMPUTED_VALUE"""),"Z-42")</f>
        <v>Z-42</v>
      </c>
      <c r="D2711" s="5" t="str">
        <f ca="1">IFERROR(__xludf.DUMMYFUNCTION("""COMPUTED_VALUE"""),"LandPlane")</f>
        <v>LandPlane</v>
      </c>
      <c r="E2711" s="5" t="str">
        <f ca="1">IFERROR(__xludf.DUMMYFUNCTION("""COMPUTED_VALUE"""),"Piston")</f>
        <v>Piston</v>
      </c>
      <c r="F2711" s="5">
        <f ca="1">IFERROR(__xludf.DUMMYFUNCTION("""COMPUTED_VALUE"""),1)</f>
        <v>1</v>
      </c>
    </row>
    <row r="2712" spans="1:6" ht="15" customHeight="1" x14ac:dyDescent="0.2">
      <c r="A2712" s="5" t="str">
        <f ca="1">IFERROR(__xludf.DUMMYFUNCTION("""COMPUTED_VALUE"""),"Z43")</f>
        <v>Z43</v>
      </c>
      <c r="B2712" s="5" t="str">
        <f ca="1">IFERROR(__xludf.DUMMYFUNCTION("""COMPUTED_VALUE"""),"ZLIN")</f>
        <v>ZLIN</v>
      </c>
      <c r="C2712" s="5" t="str">
        <f ca="1">IFERROR(__xludf.DUMMYFUNCTION("""COMPUTED_VALUE"""),"Z-43")</f>
        <v>Z-43</v>
      </c>
      <c r="D2712" s="5" t="str">
        <f ca="1">IFERROR(__xludf.DUMMYFUNCTION("""COMPUTED_VALUE"""),"LandPlane")</f>
        <v>LandPlane</v>
      </c>
      <c r="E2712" s="5" t="str">
        <f ca="1">IFERROR(__xludf.DUMMYFUNCTION("""COMPUTED_VALUE"""),"Piston")</f>
        <v>Piston</v>
      </c>
      <c r="F2712" s="5">
        <f ca="1">IFERROR(__xludf.DUMMYFUNCTION("""COMPUTED_VALUE"""),1)</f>
        <v>1</v>
      </c>
    </row>
    <row r="2713" spans="1:6" ht="15" customHeight="1" x14ac:dyDescent="0.2">
      <c r="A2713" s="5" t="str">
        <f ca="1">IFERROR(__xludf.DUMMYFUNCTION("""COMPUTED_VALUE"""),"Z43")</f>
        <v>Z43</v>
      </c>
      <c r="B2713" s="5" t="str">
        <f ca="1">IFERROR(__xludf.DUMMYFUNCTION("""COMPUTED_VALUE"""),"ZLIN")</f>
        <v>ZLIN</v>
      </c>
      <c r="C2713" s="5" t="str">
        <f ca="1">IFERROR(__xludf.DUMMYFUNCTION("""COMPUTED_VALUE"""),"Z-143")</f>
        <v>Z-143</v>
      </c>
      <c r="D2713" s="5" t="str">
        <f ca="1">IFERROR(__xludf.DUMMYFUNCTION("""COMPUTED_VALUE"""),"LandPlane")</f>
        <v>LandPlane</v>
      </c>
      <c r="E2713" s="5" t="str">
        <f ca="1">IFERROR(__xludf.DUMMYFUNCTION("""COMPUTED_VALUE"""),"Piston")</f>
        <v>Piston</v>
      </c>
      <c r="F2713" s="5">
        <f ca="1">IFERROR(__xludf.DUMMYFUNCTION("""COMPUTED_VALUE"""),1)</f>
        <v>1</v>
      </c>
    </row>
    <row r="2714" spans="1:6" ht="15" customHeight="1" x14ac:dyDescent="0.2">
      <c r="A2714" s="5" t="str">
        <f ca="1">IFERROR(__xludf.DUMMYFUNCTION("""COMPUTED_VALUE"""),"Z50")</f>
        <v>Z50</v>
      </c>
      <c r="B2714" s="5" t="str">
        <f ca="1">IFERROR(__xludf.DUMMYFUNCTION("""COMPUTED_VALUE"""),"ZLIN")</f>
        <v>ZLIN</v>
      </c>
      <c r="C2714" s="5" t="str">
        <f ca="1">IFERROR(__xludf.DUMMYFUNCTION("""COMPUTED_VALUE"""),"Z-50")</f>
        <v>Z-50</v>
      </c>
      <c r="D2714" s="5" t="str">
        <f ca="1">IFERROR(__xludf.DUMMYFUNCTION("""COMPUTED_VALUE"""),"LandPlane")</f>
        <v>LandPlane</v>
      </c>
      <c r="E2714" s="5" t="str">
        <f ca="1">IFERROR(__xludf.DUMMYFUNCTION("""COMPUTED_VALUE"""),"Piston")</f>
        <v>Piston</v>
      </c>
      <c r="F2714" s="5">
        <f ca="1">IFERROR(__xludf.DUMMYFUNCTION("""COMPUTED_VALUE"""),1)</f>
        <v>1</v>
      </c>
    </row>
    <row r="2715" spans="1:6" ht="15" customHeight="1" x14ac:dyDescent="0.2">
      <c r="A2715" s="5" t="str">
        <f ca="1">IFERROR(__xludf.DUMMYFUNCTION("""COMPUTED_VALUE"""),"ZA6")</f>
        <v>ZA6</v>
      </c>
      <c r="B2715" s="5" t="str">
        <f ca="1">IFERROR(__xludf.DUMMYFUNCTION("""COMPUTED_VALUE"""),"AEROKOPTER")</f>
        <v>AEROKOPTER</v>
      </c>
      <c r="C2715" s="5" t="str">
        <f ca="1">IFERROR(__xludf.DUMMYFUNCTION("""COMPUTED_VALUE"""),"ZA-6 Sanka")</f>
        <v>ZA-6 Sanka</v>
      </c>
      <c r="D2715" s="5" t="str">
        <f ca="1">IFERROR(__xludf.DUMMYFUNCTION("""COMPUTED_VALUE"""),"Helicopter")</f>
        <v>Helicopter</v>
      </c>
      <c r="E2715" s="5" t="str">
        <f ca="1">IFERROR(__xludf.DUMMYFUNCTION("""COMPUTED_VALUE"""),"Piston")</f>
        <v>Piston</v>
      </c>
      <c r="F2715" s="5">
        <f ca="1">IFERROR(__xludf.DUMMYFUNCTION("""COMPUTED_VALUE"""),1)</f>
        <v>1</v>
      </c>
    </row>
    <row r="2716" spans="1:6" ht="15" customHeight="1" x14ac:dyDescent="0.2">
      <c r="A2716" s="5" t="str">
        <f ca="1">IFERROR(__xludf.DUMMYFUNCTION("""COMPUTED_VALUE"""),"ZEP2")</f>
        <v>ZEP2</v>
      </c>
      <c r="B2716" s="5" t="str">
        <f ca="1">IFERROR(__xludf.DUMMYFUNCTION("""COMPUTED_VALUE"""),"ARNET PEREYRA")</f>
        <v>ARNET PEREYRA</v>
      </c>
      <c r="C2716" s="5" t="str">
        <f ca="1">IFERROR(__xludf.DUMMYFUNCTION("""COMPUTED_VALUE"""),"Zephyr 2")</f>
        <v>Zephyr 2</v>
      </c>
      <c r="D2716" s="5" t="str">
        <f ca="1">IFERROR(__xludf.DUMMYFUNCTION("""COMPUTED_VALUE"""),"LandPlane")</f>
        <v>LandPlane</v>
      </c>
      <c r="E2716" s="5" t="str">
        <f ca="1">IFERROR(__xludf.DUMMYFUNCTION("""COMPUTED_VALUE"""),"Piston")</f>
        <v>Piston</v>
      </c>
      <c r="F2716" s="5">
        <f ca="1">IFERROR(__xludf.DUMMYFUNCTION("""COMPUTED_VALUE"""),1)</f>
        <v>1</v>
      </c>
    </row>
    <row r="2717" spans="1:6" ht="15" customHeight="1" x14ac:dyDescent="0.2">
      <c r="A2717" s="5" t="str">
        <f ca="1">IFERROR(__xludf.DUMMYFUNCTION("""COMPUTED_VALUE"""),"ZEPH")</f>
        <v>ZEPH</v>
      </c>
      <c r="B2717" s="5" t="str">
        <f ca="1">IFERROR(__xludf.DUMMYFUNCTION("""COMPUTED_VALUE"""),"ATEC")</f>
        <v>ATEC</v>
      </c>
      <c r="C2717" s="5" t="str">
        <f ca="1">IFERROR(__xludf.DUMMYFUNCTION("""COMPUTED_VALUE"""),"122 Zephyr")</f>
        <v>122 Zephyr</v>
      </c>
      <c r="D2717" s="5" t="str">
        <f ca="1">IFERROR(__xludf.DUMMYFUNCTION("""COMPUTED_VALUE"""),"LandPlane")</f>
        <v>LandPlane</v>
      </c>
      <c r="E2717" s="5" t="str">
        <f ca="1">IFERROR(__xludf.DUMMYFUNCTION("""COMPUTED_VALUE"""),"Piston")</f>
        <v>Piston</v>
      </c>
      <c r="F2717" s="5">
        <f ca="1">IFERROR(__xludf.DUMMYFUNCTION("""COMPUTED_VALUE"""),1)</f>
        <v>1</v>
      </c>
    </row>
    <row r="2718" spans="1:6" ht="15" customHeight="1" x14ac:dyDescent="0.2">
      <c r="A2718" s="5" t="str">
        <f ca="1">IFERROR(__xludf.DUMMYFUNCTION("""COMPUTED_VALUE"""),"ZERO")</f>
        <v>ZERO</v>
      </c>
      <c r="B2718" s="5" t="str">
        <f ca="1">IFERROR(__xludf.DUMMYFUNCTION("""COMPUTED_VALUE"""),"MITSUBISHI")</f>
        <v>MITSUBISHI</v>
      </c>
      <c r="C2718" s="5" t="str">
        <f ca="1">IFERROR(__xludf.DUMMYFUNCTION("""COMPUTED_VALUE"""),"A6M Zero")</f>
        <v>A6M Zero</v>
      </c>
      <c r="D2718" s="5" t="str">
        <f ca="1">IFERROR(__xludf.DUMMYFUNCTION("""COMPUTED_VALUE"""),"LandPlane")</f>
        <v>LandPlane</v>
      </c>
      <c r="E2718" s="5" t="str">
        <f ca="1">IFERROR(__xludf.DUMMYFUNCTION("""COMPUTED_VALUE"""),"Piston")</f>
        <v>Piston</v>
      </c>
      <c r="F2718" s="5">
        <f ca="1">IFERROR(__xludf.DUMMYFUNCTION("""COMPUTED_VALUE"""),1)</f>
        <v>1</v>
      </c>
    </row>
    <row r="2719" spans="1:6" ht="15" customHeight="1" x14ac:dyDescent="0.2">
      <c r="A2719" s="5" t="str">
        <f ca="1">IFERROR(__xludf.DUMMYFUNCTION("""COMPUTED_VALUE"""),"ZIA")</f>
        <v>ZIA</v>
      </c>
      <c r="B2719" s="5" t="str">
        <f ca="1">IFERROR(__xludf.DUMMYFUNCTION("""COMPUTED_VALUE"""),"APPLEBAY")</f>
        <v>APPLEBAY</v>
      </c>
      <c r="C2719" s="5" t="str">
        <f ca="1">IFERROR(__xludf.DUMMYFUNCTION("""COMPUTED_VALUE"""),"Zia")</f>
        <v>Zia</v>
      </c>
      <c r="D2719" s="5" t="str">
        <f ca="1">IFERROR(__xludf.DUMMYFUNCTION("""COMPUTED_VALUE"""),"LandPlane")</f>
        <v>LandPlane</v>
      </c>
      <c r="E2719" s="5" t="str">
        <f ca="1">IFERROR(__xludf.DUMMYFUNCTION("""COMPUTED_VALUE"""),"Piston")</f>
        <v>Piston</v>
      </c>
      <c r="F2719" s="5">
        <f ca="1">IFERROR(__xludf.DUMMYFUNCTION("""COMPUTED_VALUE"""),1)</f>
        <v>1</v>
      </c>
    </row>
    <row r="2720" spans="1:6" ht="15" customHeight="1" x14ac:dyDescent="0.2">
      <c r="A2720" s="5" t="str">
        <f ca="1">IFERROR(__xludf.DUMMYFUNCTION("""COMPUTED_VALUE"""),"ZIU")</f>
        <v>ZIU</v>
      </c>
      <c r="B2720" s="5" t="str">
        <f ca="1">IFERROR(__xludf.DUMMYFUNCTION("""COMPUTED_VALUE"""),"TAI")</f>
        <v>TAI</v>
      </c>
      <c r="C2720" s="5" t="str">
        <f ca="1">IFERROR(__xludf.DUMMYFUNCTION("""COMPUTED_VALUE"""),"ZIU")</f>
        <v>ZIU</v>
      </c>
      <c r="D2720" s="5" t="str">
        <f ca="1">IFERROR(__xludf.DUMMYFUNCTION("""COMPUTED_VALUE"""),"LandPlane")</f>
        <v>LandPlane</v>
      </c>
      <c r="E2720" s="5" t="str">
        <f ca="1">IFERROR(__xludf.DUMMYFUNCTION("""COMPUTED_VALUE"""),"Piston")</f>
        <v>Piston</v>
      </c>
      <c r="F2720" s="5">
        <f ca="1">IFERROR(__xludf.DUMMYFUNCTION("""COMPUTED_VALUE"""),1)</f>
        <v>1</v>
      </c>
    </row>
    <row r="2721" spans="1:6" ht="15" customHeight="1" x14ac:dyDescent="0.2">
      <c r="A2721" s="5" t="str">
        <f ca="1">IFERROR(__xludf.DUMMYFUNCTION("""COMPUTED_VALUE"""),"ZULU")</f>
        <v>ZULU</v>
      </c>
      <c r="B2721" s="5" t="str">
        <f ca="1">IFERROR(__xludf.DUMMYFUNCTION("""COMPUTED_VALUE"""),"BUL")</f>
        <v>BUL</v>
      </c>
      <c r="C2721" s="5" t="str">
        <f ca="1">IFERROR(__xludf.DUMMYFUNCTION("""COMPUTED_VALUE"""),"Zùlù")</f>
        <v>Zùlù</v>
      </c>
      <c r="D2721" s="5" t="str">
        <f ca="1">IFERROR(__xludf.DUMMYFUNCTION("""COMPUTED_VALUE"""),"LandPlane")</f>
        <v>LandPlane</v>
      </c>
      <c r="E2721" s="5" t="str">
        <f ca="1">IFERROR(__xludf.DUMMYFUNCTION("""COMPUTED_VALUE"""),"Piston")</f>
        <v>Piston</v>
      </c>
      <c r="F2721" s="5">
        <f ca="1">IFERROR(__xludf.DUMMYFUNCTION("""COMPUTED_VALUE"""),1)</f>
        <v>1</v>
      </c>
    </row>
    <row r="2722" spans="1:6" ht="15" customHeight="1" x14ac:dyDescent="0.2">
      <c r="A2722" s="5" t="str">
        <f ca="1">IFERROR(__xludf.DUMMYFUNCTION("""COMPUTED_VALUE"""),"​Type Designator")</f>
        <v>​Type Designator</v>
      </c>
      <c r="B2722" s="5" t="str">
        <f ca="1">IFERROR(__xludf.DUMMYFUNCTION("""COMPUTED_VALUE"""),"​​Manufacturer")</f>
        <v>​​Manufacturer</v>
      </c>
      <c r="C2722" s="5" t="str">
        <f ca="1">IFERROR(__xludf.DUMMYFUNCTION("""COMPUTED_VALUE"""),"​Model")</f>
        <v>​Model</v>
      </c>
      <c r="D2722" s="5" t="str">
        <f ca="1">IFERROR(__xludf.DUMMYFUNCTION("""COMPUTED_VALUE"""),"​Description")</f>
        <v>​Description</v>
      </c>
      <c r="E2722" s="5" t="str">
        <f ca="1">IFERROR(__xludf.DUMMYFUNCTION("""COMPUTED_VALUE"""),"​Engine Type")</f>
        <v>​Engine Type</v>
      </c>
      <c r="F27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C5B6-27B7-452B-B0B3-848951797059}">
  <dimension ref="A1:F2731"/>
  <sheetViews>
    <sheetView topLeftCell="A2692" workbookViewId="0">
      <selection activeCell="A2724" sqref="A2724"/>
    </sheetView>
  </sheetViews>
  <sheetFormatPr defaultRowHeight="12.75" x14ac:dyDescent="0.2"/>
  <sheetData>
    <row r="1" spans="1:6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t="s">
        <v>6955</v>
      </c>
      <c r="B2" t="s">
        <v>6951</v>
      </c>
      <c r="C2" t="s">
        <v>6954</v>
      </c>
      <c r="D2" t="s">
        <v>64</v>
      </c>
      <c r="E2" t="s">
        <v>16</v>
      </c>
      <c r="F2">
        <v>1</v>
      </c>
    </row>
    <row r="3" spans="1:6" x14ac:dyDescent="0.2">
      <c r="A3" t="s">
        <v>4767</v>
      </c>
      <c r="B3" t="s">
        <v>4753</v>
      </c>
      <c r="C3" t="s">
        <v>4859</v>
      </c>
      <c r="D3" t="s">
        <v>10</v>
      </c>
      <c r="E3" t="s">
        <v>16</v>
      </c>
      <c r="F3">
        <v>1</v>
      </c>
    </row>
    <row r="4" spans="1:6" x14ac:dyDescent="0.2">
      <c r="A4" t="s">
        <v>5350</v>
      </c>
      <c r="B4" t="s">
        <v>5348</v>
      </c>
      <c r="C4" t="s">
        <v>5349</v>
      </c>
      <c r="D4" t="s">
        <v>10</v>
      </c>
      <c r="E4" t="s">
        <v>11</v>
      </c>
      <c r="F4">
        <v>2</v>
      </c>
    </row>
    <row r="5" spans="1:6" x14ac:dyDescent="0.2">
      <c r="A5" t="s">
        <v>782</v>
      </c>
      <c r="B5" t="s">
        <v>847</v>
      </c>
      <c r="C5" t="s">
        <v>835</v>
      </c>
      <c r="D5" t="s">
        <v>56</v>
      </c>
      <c r="E5" t="s">
        <v>52</v>
      </c>
      <c r="F5">
        <v>2</v>
      </c>
    </row>
    <row r="6" spans="1:6" x14ac:dyDescent="0.2">
      <c r="A6" t="s">
        <v>786</v>
      </c>
      <c r="B6" t="s">
        <v>847</v>
      </c>
      <c r="C6" t="s">
        <v>810</v>
      </c>
      <c r="D6" t="s">
        <v>56</v>
      </c>
      <c r="E6" t="s">
        <v>52</v>
      </c>
      <c r="F6">
        <v>1</v>
      </c>
    </row>
    <row r="7" spans="1:6" x14ac:dyDescent="0.2">
      <c r="A7" t="s">
        <v>719</v>
      </c>
      <c r="B7" t="s">
        <v>717</v>
      </c>
      <c r="C7" t="s">
        <v>718</v>
      </c>
      <c r="D7" t="s">
        <v>10</v>
      </c>
      <c r="E7" t="s">
        <v>16</v>
      </c>
      <c r="F7">
        <v>1</v>
      </c>
    </row>
    <row r="8" spans="1:6" x14ac:dyDescent="0.2">
      <c r="A8" t="s">
        <v>1645</v>
      </c>
      <c r="B8" t="s">
        <v>1613</v>
      </c>
      <c r="C8" t="s">
        <v>1644</v>
      </c>
      <c r="D8" t="s">
        <v>10</v>
      </c>
      <c r="E8" t="s">
        <v>11</v>
      </c>
      <c r="F8">
        <v>4</v>
      </c>
    </row>
    <row r="9" spans="1:6" x14ac:dyDescent="0.2">
      <c r="A9" t="s">
        <v>788</v>
      </c>
      <c r="B9" t="s">
        <v>847</v>
      </c>
      <c r="C9" t="s">
        <v>841</v>
      </c>
      <c r="D9" t="s">
        <v>56</v>
      </c>
      <c r="E9" t="s">
        <v>52</v>
      </c>
      <c r="F9">
        <v>2</v>
      </c>
    </row>
    <row r="10" spans="1:6" x14ac:dyDescent="0.2">
      <c r="A10" t="s">
        <v>812</v>
      </c>
      <c r="B10" t="s">
        <v>847</v>
      </c>
      <c r="C10" t="s">
        <v>811</v>
      </c>
      <c r="D10" t="s">
        <v>56</v>
      </c>
      <c r="E10" t="s">
        <v>52</v>
      </c>
      <c r="F10">
        <v>2</v>
      </c>
    </row>
    <row r="11" spans="1:6" x14ac:dyDescent="0.2">
      <c r="A11" t="s">
        <v>1647</v>
      </c>
      <c r="B11" t="s">
        <v>1613</v>
      </c>
      <c r="C11" t="s">
        <v>1646</v>
      </c>
      <c r="D11" t="s">
        <v>10</v>
      </c>
      <c r="E11" t="s">
        <v>52</v>
      </c>
      <c r="F11">
        <v>2</v>
      </c>
    </row>
    <row r="12" spans="1:6" x14ac:dyDescent="0.2">
      <c r="A12" t="s">
        <v>1649</v>
      </c>
      <c r="B12" t="s">
        <v>1613</v>
      </c>
      <c r="C12" t="s">
        <v>1648</v>
      </c>
      <c r="D12" t="s">
        <v>10</v>
      </c>
      <c r="E12" t="s">
        <v>11</v>
      </c>
      <c r="F12">
        <v>2</v>
      </c>
    </row>
    <row r="13" spans="1:6" x14ac:dyDescent="0.2">
      <c r="A13" t="s">
        <v>838</v>
      </c>
      <c r="B13" t="s">
        <v>847</v>
      </c>
      <c r="C13" t="s">
        <v>837</v>
      </c>
      <c r="D13" t="s">
        <v>56</v>
      </c>
      <c r="E13" t="s">
        <v>52</v>
      </c>
      <c r="F13">
        <v>2</v>
      </c>
    </row>
    <row r="14" spans="1:6" x14ac:dyDescent="0.2">
      <c r="A14" t="s">
        <v>1658</v>
      </c>
      <c r="B14" t="s">
        <v>1613</v>
      </c>
      <c r="C14" t="s">
        <v>1657</v>
      </c>
      <c r="D14" t="s">
        <v>10</v>
      </c>
      <c r="E14" t="s">
        <v>11</v>
      </c>
      <c r="F14">
        <v>2</v>
      </c>
    </row>
    <row r="15" spans="1:6" x14ac:dyDescent="0.2">
      <c r="A15" t="s">
        <v>1901</v>
      </c>
      <c r="B15" t="s">
        <v>1899</v>
      </c>
      <c r="C15" t="s">
        <v>1900</v>
      </c>
      <c r="D15" t="s">
        <v>10</v>
      </c>
      <c r="E15" t="s">
        <v>16</v>
      </c>
      <c r="F15">
        <v>1</v>
      </c>
    </row>
    <row r="16" spans="1:6" x14ac:dyDescent="0.2">
      <c r="A16" t="s">
        <v>868</v>
      </c>
      <c r="B16" t="s">
        <v>847</v>
      </c>
      <c r="C16" t="s">
        <v>867</v>
      </c>
      <c r="D16" t="s">
        <v>56</v>
      </c>
      <c r="E16" t="s">
        <v>52</v>
      </c>
      <c r="F16">
        <v>2</v>
      </c>
    </row>
    <row r="17" spans="1:6" x14ac:dyDescent="0.2">
      <c r="A17" t="s">
        <v>1660</v>
      </c>
      <c r="B17" t="s">
        <v>1613</v>
      </c>
      <c r="C17" t="s">
        <v>1659</v>
      </c>
      <c r="D17" t="s">
        <v>10</v>
      </c>
      <c r="E17" t="s">
        <v>11</v>
      </c>
      <c r="F17">
        <v>2</v>
      </c>
    </row>
    <row r="18" spans="1:6" x14ac:dyDescent="0.2">
      <c r="A18" t="s">
        <v>870</v>
      </c>
      <c r="B18" t="s">
        <v>847</v>
      </c>
      <c r="C18" t="s">
        <v>869</v>
      </c>
      <c r="D18" t="s">
        <v>56</v>
      </c>
      <c r="E18" t="s">
        <v>52</v>
      </c>
      <c r="F18">
        <v>2</v>
      </c>
    </row>
    <row r="19" spans="1:6" x14ac:dyDescent="0.2">
      <c r="A19" t="s">
        <v>501</v>
      </c>
      <c r="B19" t="s">
        <v>499</v>
      </c>
      <c r="C19" t="s">
        <v>500</v>
      </c>
      <c r="D19" t="s">
        <v>10</v>
      </c>
      <c r="E19" t="s">
        <v>16</v>
      </c>
      <c r="F19">
        <v>1</v>
      </c>
    </row>
    <row r="20" spans="1:6" x14ac:dyDescent="0.2">
      <c r="A20" t="s">
        <v>1073</v>
      </c>
      <c r="B20" t="s">
        <v>1066</v>
      </c>
      <c r="C20" t="s">
        <v>1072</v>
      </c>
      <c r="D20" t="s">
        <v>10</v>
      </c>
      <c r="E20" t="s">
        <v>11</v>
      </c>
      <c r="F20">
        <v>2</v>
      </c>
    </row>
    <row r="21" spans="1:6" x14ac:dyDescent="0.2">
      <c r="A21" t="s">
        <v>4759</v>
      </c>
      <c r="B21" t="s">
        <v>4753</v>
      </c>
      <c r="C21" t="s">
        <v>4758</v>
      </c>
      <c r="D21" t="s">
        <v>10</v>
      </c>
      <c r="E21" t="s">
        <v>16</v>
      </c>
      <c r="F21">
        <v>2</v>
      </c>
    </row>
    <row r="22" spans="1:6" x14ac:dyDescent="0.2">
      <c r="A22" t="s">
        <v>8859</v>
      </c>
      <c r="B22" t="s">
        <v>8854</v>
      </c>
      <c r="C22" t="s">
        <v>8858</v>
      </c>
      <c r="D22" t="s">
        <v>64</v>
      </c>
      <c r="E22" t="s">
        <v>16</v>
      </c>
      <c r="F22">
        <v>1</v>
      </c>
    </row>
    <row r="23" spans="1:6" x14ac:dyDescent="0.2">
      <c r="A23" t="s">
        <v>10275</v>
      </c>
      <c r="B23" t="s">
        <v>10237</v>
      </c>
      <c r="C23" t="s">
        <v>10274</v>
      </c>
      <c r="D23" t="s">
        <v>10</v>
      </c>
      <c r="E23" t="s">
        <v>11</v>
      </c>
      <c r="F23">
        <v>1</v>
      </c>
    </row>
    <row r="24" spans="1:6" x14ac:dyDescent="0.2">
      <c r="A24" t="s">
        <v>1075</v>
      </c>
      <c r="B24" t="s">
        <v>1066</v>
      </c>
      <c r="C24" t="s">
        <v>1074</v>
      </c>
      <c r="D24" t="s">
        <v>10</v>
      </c>
      <c r="E24" t="s">
        <v>11</v>
      </c>
      <c r="F24">
        <v>2</v>
      </c>
    </row>
    <row r="25" spans="1:6" x14ac:dyDescent="0.2">
      <c r="A25" t="s">
        <v>503</v>
      </c>
      <c r="B25" t="s">
        <v>499</v>
      </c>
      <c r="C25" t="s">
        <v>502</v>
      </c>
      <c r="D25" t="s">
        <v>10</v>
      </c>
      <c r="E25" t="s">
        <v>16</v>
      </c>
      <c r="F25">
        <v>1</v>
      </c>
    </row>
    <row r="26" spans="1:6" x14ac:dyDescent="0.2">
      <c r="A26" t="s">
        <v>1675</v>
      </c>
      <c r="B26" t="s">
        <v>1673</v>
      </c>
      <c r="C26" t="s">
        <v>1674</v>
      </c>
      <c r="D26" t="s">
        <v>10</v>
      </c>
      <c r="E26" t="s">
        <v>16</v>
      </c>
      <c r="F26">
        <v>1</v>
      </c>
    </row>
    <row r="27" spans="1:6" x14ac:dyDescent="0.2">
      <c r="A27" t="s">
        <v>1077</v>
      </c>
      <c r="B27" t="s">
        <v>1066</v>
      </c>
      <c r="C27" t="s">
        <v>1076</v>
      </c>
      <c r="D27" t="s">
        <v>10</v>
      </c>
      <c r="E27" t="s">
        <v>11</v>
      </c>
      <c r="F27">
        <v>2</v>
      </c>
    </row>
    <row r="28" spans="1:6" x14ac:dyDescent="0.2">
      <c r="A28" t="s">
        <v>10093</v>
      </c>
      <c r="B28" t="s">
        <v>10091</v>
      </c>
      <c r="C28" t="s">
        <v>10092</v>
      </c>
      <c r="D28" t="s">
        <v>10</v>
      </c>
      <c r="E28" t="s">
        <v>16</v>
      </c>
      <c r="F28">
        <v>1</v>
      </c>
    </row>
    <row r="29" spans="1:6" x14ac:dyDescent="0.2">
      <c r="A29" t="s">
        <v>8857</v>
      </c>
      <c r="B29" t="s">
        <v>8854</v>
      </c>
      <c r="C29" t="s">
        <v>8860</v>
      </c>
      <c r="D29" t="s">
        <v>10</v>
      </c>
      <c r="E29" t="s">
        <v>16</v>
      </c>
      <c r="F29">
        <v>1</v>
      </c>
    </row>
    <row r="30" spans="1:6" x14ac:dyDescent="0.2">
      <c r="A30" t="s">
        <v>1651</v>
      </c>
      <c r="B30" t="s">
        <v>1613</v>
      </c>
      <c r="C30" t="s">
        <v>1650</v>
      </c>
      <c r="D30" t="s">
        <v>10</v>
      </c>
      <c r="E30" t="s">
        <v>11</v>
      </c>
      <c r="F30">
        <v>6</v>
      </c>
    </row>
    <row r="31" spans="1:6" x14ac:dyDescent="0.2">
      <c r="A31" t="s">
        <v>505</v>
      </c>
      <c r="B31" t="s">
        <v>499</v>
      </c>
      <c r="C31" t="s">
        <v>504</v>
      </c>
      <c r="D31" t="s">
        <v>10</v>
      </c>
      <c r="E31" t="s">
        <v>16</v>
      </c>
      <c r="F31">
        <v>1</v>
      </c>
    </row>
    <row r="32" spans="1:6" x14ac:dyDescent="0.2">
      <c r="A32" t="s">
        <v>507</v>
      </c>
      <c r="B32" t="s">
        <v>499</v>
      </c>
      <c r="C32" t="s">
        <v>506</v>
      </c>
      <c r="D32" t="s">
        <v>29</v>
      </c>
      <c r="E32" t="s">
        <v>16</v>
      </c>
      <c r="F32">
        <v>1</v>
      </c>
    </row>
    <row r="33" spans="1:6" x14ac:dyDescent="0.2">
      <c r="A33" t="s">
        <v>1938</v>
      </c>
      <c r="B33" t="s">
        <v>1936</v>
      </c>
      <c r="C33" t="s">
        <v>1937</v>
      </c>
      <c r="D33" t="s">
        <v>29</v>
      </c>
      <c r="E33" t="s">
        <v>16</v>
      </c>
      <c r="F33">
        <v>2</v>
      </c>
    </row>
    <row r="34" spans="1:6" x14ac:dyDescent="0.2">
      <c r="A34" t="s">
        <v>509</v>
      </c>
      <c r="B34" t="s">
        <v>499</v>
      </c>
      <c r="C34" t="s">
        <v>508</v>
      </c>
      <c r="D34" t="s">
        <v>10</v>
      </c>
      <c r="E34" t="s">
        <v>16</v>
      </c>
      <c r="F34">
        <v>1</v>
      </c>
    </row>
    <row r="35" spans="1:6" x14ac:dyDescent="0.2">
      <c r="A35" t="s">
        <v>224</v>
      </c>
      <c r="B35" t="s">
        <v>198</v>
      </c>
      <c r="C35" t="s">
        <v>223</v>
      </c>
      <c r="D35" t="s">
        <v>10</v>
      </c>
      <c r="E35" t="s">
        <v>52</v>
      </c>
      <c r="F35">
        <v>1</v>
      </c>
    </row>
    <row r="36" spans="1:6" x14ac:dyDescent="0.2">
      <c r="A36" t="s">
        <v>1870</v>
      </c>
      <c r="B36" t="s">
        <v>1868</v>
      </c>
      <c r="C36" t="s">
        <v>1869</v>
      </c>
      <c r="D36" t="s">
        <v>10</v>
      </c>
      <c r="E36" t="s">
        <v>16</v>
      </c>
      <c r="F36">
        <v>1</v>
      </c>
    </row>
    <row r="37" spans="1:6" x14ac:dyDescent="0.2">
      <c r="A37" t="s">
        <v>7270</v>
      </c>
      <c r="B37" t="s">
        <v>7266</v>
      </c>
      <c r="C37" t="s">
        <v>7269</v>
      </c>
      <c r="D37" t="s">
        <v>56</v>
      </c>
      <c r="E37" t="s">
        <v>52</v>
      </c>
      <c r="F37">
        <v>2</v>
      </c>
    </row>
    <row r="38" spans="1:6" x14ac:dyDescent="0.2">
      <c r="A38" t="s">
        <v>4755</v>
      </c>
      <c r="B38" t="s">
        <v>4753</v>
      </c>
      <c r="C38" t="s">
        <v>4754</v>
      </c>
      <c r="D38" t="s">
        <v>10</v>
      </c>
      <c r="E38" t="s">
        <v>11</v>
      </c>
      <c r="F38">
        <v>2</v>
      </c>
    </row>
    <row r="39" spans="1:6" x14ac:dyDescent="0.2">
      <c r="A39" t="s">
        <v>1159</v>
      </c>
      <c r="B39" t="s">
        <v>1066</v>
      </c>
      <c r="C39" t="s">
        <v>1158</v>
      </c>
      <c r="D39" t="s">
        <v>10</v>
      </c>
      <c r="E39" t="s">
        <v>11</v>
      </c>
      <c r="F39">
        <v>2</v>
      </c>
    </row>
    <row r="40" spans="1:6" x14ac:dyDescent="0.2">
      <c r="A40" t="s">
        <v>1150</v>
      </c>
      <c r="B40" t="s">
        <v>1066</v>
      </c>
      <c r="C40" t="s">
        <v>1157</v>
      </c>
      <c r="D40" t="s">
        <v>10</v>
      </c>
      <c r="E40" t="s">
        <v>11</v>
      </c>
      <c r="F40">
        <v>2</v>
      </c>
    </row>
    <row r="41" spans="1:6" x14ac:dyDescent="0.2">
      <c r="A41" t="s">
        <v>1872</v>
      </c>
      <c r="B41" t="s">
        <v>1868</v>
      </c>
      <c r="C41" t="s">
        <v>1871</v>
      </c>
      <c r="D41" t="s">
        <v>10</v>
      </c>
      <c r="E41" t="s">
        <v>16</v>
      </c>
      <c r="F41">
        <v>1</v>
      </c>
    </row>
    <row r="42" spans="1:6" x14ac:dyDescent="0.2">
      <c r="A42" t="s">
        <v>1168</v>
      </c>
      <c r="B42" t="s">
        <v>1066</v>
      </c>
      <c r="C42" t="s">
        <v>1167</v>
      </c>
      <c r="D42" t="s">
        <v>10</v>
      </c>
      <c r="E42" t="s">
        <v>11</v>
      </c>
      <c r="F42">
        <v>2</v>
      </c>
    </row>
    <row r="43" spans="1:6" x14ac:dyDescent="0.2">
      <c r="A43" t="s">
        <v>1107</v>
      </c>
      <c r="B43" t="s">
        <v>1066</v>
      </c>
      <c r="C43" t="s">
        <v>1169</v>
      </c>
      <c r="D43" t="s">
        <v>10</v>
      </c>
      <c r="E43" t="s">
        <v>11</v>
      </c>
      <c r="F43">
        <v>2</v>
      </c>
    </row>
    <row r="44" spans="1:6" x14ac:dyDescent="0.2">
      <c r="A44" t="s">
        <v>1104</v>
      </c>
      <c r="B44" t="s">
        <v>1066</v>
      </c>
      <c r="C44" t="s">
        <v>1170</v>
      </c>
      <c r="D44" t="s">
        <v>10</v>
      </c>
      <c r="E44" t="s">
        <v>11</v>
      </c>
      <c r="F44">
        <v>2</v>
      </c>
    </row>
    <row r="45" spans="1:6" x14ac:dyDescent="0.2">
      <c r="A45" t="s">
        <v>1109</v>
      </c>
      <c r="B45" t="s">
        <v>1066</v>
      </c>
      <c r="C45" t="s">
        <v>1172</v>
      </c>
      <c r="D45" t="s">
        <v>10</v>
      </c>
      <c r="E45" t="s">
        <v>11</v>
      </c>
      <c r="F45">
        <v>2</v>
      </c>
    </row>
    <row r="46" spans="1:6" x14ac:dyDescent="0.2">
      <c r="A46" t="s">
        <v>1174</v>
      </c>
      <c r="B46" t="s">
        <v>1066</v>
      </c>
      <c r="C46" t="s">
        <v>1173</v>
      </c>
      <c r="D46" t="s">
        <v>10</v>
      </c>
      <c r="E46" t="s">
        <v>11</v>
      </c>
      <c r="F46">
        <v>2</v>
      </c>
    </row>
    <row r="47" spans="1:6" x14ac:dyDescent="0.2">
      <c r="A47" t="s">
        <v>10262</v>
      </c>
      <c r="B47" t="s">
        <v>10237</v>
      </c>
      <c r="C47" t="s">
        <v>10261</v>
      </c>
      <c r="D47" t="s">
        <v>10</v>
      </c>
      <c r="E47" t="s">
        <v>1080</v>
      </c>
      <c r="F47">
        <v>1</v>
      </c>
    </row>
    <row r="48" spans="1:6" x14ac:dyDescent="0.2">
      <c r="A48" t="s">
        <v>10264</v>
      </c>
      <c r="B48" t="s">
        <v>10237</v>
      </c>
      <c r="C48" t="s">
        <v>10263</v>
      </c>
      <c r="D48" t="s">
        <v>10</v>
      </c>
      <c r="E48" t="s">
        <v>16</v>
      </c>
      <c r="F48">
        <v>1</v>
      </c>
    </row>
    <row r="49" spans="1:6" x14ac:dyDescent="0.2">
      <c r="A49" t="s">
        <v>511</v>
      </c>
      <c r="B49" t="s">
        <v>499</v>
      </c>
      <c r="C49" t="s">
        <v>510</v>
      </c>
      <c r="D49" t="s">
        <v>10</v>
      </c>
      <c r="E49" t="s">
        <v>16</v>
      </c>
      <c r="F49">
        <v>1</v>
      </c>
    </row>
    <row r="50" spans="1:6" x14ac:dyDescent="0.2">
      <c r="A50" t="s">
        <v>1068</v>
      </c>
      <c r="B50" t="s">
        <v>1066</v>
      </c>
      <c r="C50" t="s">
        <v>1175</v>
      </c>
      <c r="D50" t="s">
        <v>10</v>
      </c>
      <c r="E50" t="s">
        <v>11</v>
      </c>
      <c r="F50">
        <v>2</v>
      </c>
    </row>
    <row r="51" spans="1:6" x14ac:dyDescent="0.2">
      <c r="A51" t="s">
        <v>1177</v>
      </c>
      <c r="B51" t="s">
        <v>1066</v>
      </c>
      <c r="C51" t="s">
        <v>1176</v>
      </c>
      <c r="D51" t="s">
        <v>10</v>
      </c>
      <c r="E51" t="s">
        <v>11</v>
      </c>
      <c r="F51">
        <v>2</v>
      </c>
    </row>
    <row r="52" spans="1:6" x14ac:dyDescent="0.2">
      <c r="A52" t="s">
        <v>1131</v>
      </c>
      <c r="B52" t="s">
        <v>1066</v>
      </c>
      <c r="C52" t="s">
        <v>1130</v>
      </c>
      <c r="D52" t="s">
        <v>10</v>
      </c>
      <c r="E52" t="s">
        <v>11</v>
      </c>
      <c r="F52">
        <v>2</v>
      </c>
    </row>
    <row r="53" spans="1:6" x14ac:dyDescent="0.2">
      <c r="A53" t="s">
        <v>1131</v>
      </c>
      <c r="B53" t="s">
        <v>1066</v>
      </c>
      <c r="C53" t="s">
        <v>1132</v>
      </c>
      <c r="D53" t="s">
        <v>10</v>
      </c>
      <c r="E53" t="s">
        <v>11</v>
      </c>
      <c r="F53">
        <v>2</v>
      </c>
    </row>
    <row r="54" spans="1:6" x14ac:dyDescent="0.2">
      <c r="A54" t="s">
        <v>1134</v>
      </c>
      <c r="B54" t="s">
        <v>1066</v>
      </c>
      <c r="C54" t="s">
        <v>1133</v>
      </c>
      <c r="D54" t="s">
        <v>10</v>
      </c>
      <c r="E54" t="s">
        <v>11</v>
      </c>
      <c r="F54">
        <v>2</v>
      </c>
    </row>
    <row r="55" spans="1:6" x14ac:dyDescent="0.2">
      <c r="A55" t="s">
        <v>1071</v>
      </c>
      <c r="B55" t="s">
        <v>1066</v>
      </c>
      <c r="C55" t="s">
        <v>1070</v>
      </c>
      <c r="D55" t="s">
        <v>10</v>
      </c>
      <c r="E55" t="s">
        <v>11</v>
      </c>
      <c r="F55">
        <v>2</v>
      </c>
    </row>
    <row r="56" spans="1:6" x14ac:dyDescent="0.2">
      <c r="A56" t="s">
        <v>10272</v>
      </c>
      <c r="B56" t="s">
        <v>10237</v>
      </c>
      <c r="C56" t="s">
        <v>10271</v>
      </c>
      <c r="D56" t="s">
        <v>10</v>
      </c>
      <c r="E56" t="s">
        <v>1080</v>
      </c>
      <c r="F56">
        <v>1</v>
      </c>
    </row>
    <row r="57" spans="1:6" x14ac:dyDescent="0.2">
      <c r="A57" t="s">
        <v>10270</v>
      </c>
      <c r="B57" t="s">
        <v>10237</v>
      </c>
      <c r="C57" t="s">
        <v>10269</v>
      </c>
      <c r="D57" t="s">
        <v>10</v>
      </c>
      <c r="E57" t="s">
        <v>16</v>
      </c>
      <c r="F57">
        <v>1</v>
      </c>
    </row>
    <row r="58" spans="1:6" x14ac:dyDescent="0.2">
      <c r="A58" t="s">
        <v>1112</v>
      </c>
      <c r="B58" t="s">
        <v>1066</v>
      </c>
      <c r="C58" t="s">
        <v>1178</v>
      </c>
      <c r="D58" t="s">
        <v>10</v>
      </c>
      <c r="E58" t="s">
        <v>11</v>
      </c>
      <c r="F58">
        <v>4</v>
      </c>
    </row>
    <row r="59" spans="1:6" x14ac:dyDescent="0.2">
      <c r="A59" t="s">
        <v>1114</v>
      </c>
      <c r="B59" t="s">
        <v>1066</v>
      </c>
      <c r="C59" t="s">
        <v>1179</v>
      </c>
      <c r="D59" t="s">
        <v>10</v>
      </c>
      <c r="E59" t="s">
        <v>11</v>
      </c>
      <c r="F59">
        <v>4</v>
      </c>
    </row>
    <row r="60" spans="1:6" x14ac:dyDescent="0.2">
      <c r="A60" t="s">
        <v>1116</v>
      </c>
      <c r="B60" t="s">
        <v>1066</v>
      </c>
      <c r="C60" t="s">
        <v>1180</v>
      </c>
      <c r="D60" t="s">
        <v>10</v>
      </c>
      <c r="E60" t="s">
        <v>11</v>
      </c>
      <c r="F60">
        <v>4</v>
      </c>
    </row>
    <row r="61" spans="1:6" x14ac:dyDescent="0.2">
      <c r="A61" t="s">
        <v>1118</v>
      </c>
      <c r="B61" t="s">
        <v>1066</v>
      </c>
      <c r="C61" t="s">
        <v>1181</v>
      </c>
      <c r="D61" t="s">
        <v>10</v>
      </c>
      <c r="E61" t="s">
        <v>11</v>
      </c>
      <c r="F61">
        <v>4</v>
      </c>
    </row>
    <row r="62" spans="1:6" x14ac:dyDescent="0.2">
      <c r="A62" t="s">
        <v>10268</v>
      </c>
      <c r="B62" t="s">
        <v>10237</v>
      </c>
      <c r="C62" t="s">
        <v>10267</v>
      </c>
      <c r="D62" t="s">
        <v>10</v>
      </c>
      <c r="E62" t="s">
        <v>1080</v>
      </c>
      <c r="F62">
        <v>1</v>
      </c>
    </row>
    <row r="63" spans="1:6" x14ac:dyDescent="0.2">
      <c r="A63" t="s">
        <v>1874</v>
      </c>
      <c r="B63" t="s">
        <v>1868</v>
      </c>
      <c r="C63" t="s">
        <v>1873</v>
      </c>
      <c r="D63" t="s">
        <v>10</v>
      </c>
      <c r="E63" t="s">
        <v>16</v>
      </c>
      <c r="F63">
        <v>1</v>
      </c>
    </row>
    <row r="64" spans="1:6" x14ac:dyDescent="0.2">
      <c r="A64" t="s">
        <v>1874</v>
      </c>
      <c r="B64" t="s">
        <v>1868</v>
      </c>
      <c r="C64" t="s">
        <v>1875</v>
      </c>
      <c r="D64" t="s">
        <v>10</v>
      </c>
      <c r="E64" t="s">
        <v>16</v>
      </c>
      <c r="F64">
        <v>1</v>
      </c>
    </row>
    <row r="65" spans="1:6" x14ac:dyDescent="0.2">
      <c r="A65" t="s">
        <v>1147</v>
      </c>
      <c r="B65" t="s">
        <v>1066</v>
      </c>
      <c r="C65" t="s">
        <v>1187</v>
      </c>
      <c r="D65" t="s">
        <v>10</v>
      </c>
      <c r="E65" t="s">
        <v>11</v>
      </c>
      <c r="F65">
        <v>2</v>
      </c>
    </row>
    <row r="66" spans="1:6" x14ac:dyDescent="0.2">
      <c r="A66" t="s">
        <v>1100</v>
      </c>
      <c r="B66" t="s">
        <v>1066</v>
      </c>
      <c r="C66" t="s">
        <v>1099</v>
      </c>
      <c r="D66" t="s">
        <v>10</v>
      </c>
      <c r="E66" t="s">
        <v>11</v>
      </c>
      <c r="F66">
        <v>2</v>
      </c>
    </row>
    <row r="67" spans="1:6" x14ac:dyDescent="0.2">
      <c r="A67" t="s">
        <v>3556</v>
      </c>
      <c r="B67" t="s">
        <v>3509</v>
      </c>
      <c r="C67" t="s">
        <v>3626</v>
      </c>
      <c r="D67" t="s">
        <v>10</v>
      </c>
      <c r="E67" t="s">
        <v>11</v>
      </c>
      <c r="F67">
        <v>2</v>
      </c>
    </row>
    <row r="68" spans="1:6" x14ac:dyDescent="0.2">
      <c r="A68" t="s">
        <v>1120</v>
      </c>
      <c r="B68" t="s">
        <v>1066</v>
      </c>
      <c r="C68" t="s">
        <v>1182</v>
      </c>
      <c r="D68" t="s">
        <v>10</v>
      </c>
      <c r="E68" t="s">
        <v>11</v>
      </c>
      <c r="F68">
        <v>4</v>
      </c>
    </row>
    <row r="69" spans="1:6" x14ac:dyDescent="0.2">
      <c r="A69" t="s">
        <v>1165</v>
      </c>
      <c r="B69" t="s">
        <v>1066</v>
      </c>
      <c r="C69" t="s">
        <v>1164</v>
      </c>
      <c r="D69" t="s">
        <v>10</v>
      </c>
      <c r="E69" t="s">
        <v>11</v>
      </c>
      <c r="F69">
        <v>2</v>
      </c>
    </row>
    <row r="70" spans="1:6" x14ac:dyDescent="0.2">
      <c r="A70" t="s">
        <v>4757</v>
      </c>
      <c r="B70" t="s">
        <v>8050</v>
      </c>
      <c r="C70" t="s">
        <v>4756</v>
      </c>
      <c r="D70" t="s">
        <v>10</v>
      </c>
      <c r="E70" t="s">
        <v>11</v>
      </c>
      <c r="F70">
        <v>1</v>
      </c>
    </row>
    <row r="71" spans="1:6" x14ac:dyDescent="0.2">
      <c r="A71" t="s">
        <v>1084</v>
      </c>
      <c r="B71" t="s">
        <v>1066</v>
      </c>
      <c r="C71" t="s">
        <v>1083</v>
      </c>
      <c r="D71" t="s">
        <v>10</v>
      </c>
      <c r="E71" t="s">
        <v>52</v>
      </c>
      <c r="F71">
        <v>4</v>
      </c>
    </row>
    <row r="72" spans="1:6" x14ac:dyDescent="0.2">
      <c r="A72" t="s">
        <v>8864</v>
      </c>
      <c r="B72" t="s">
        <v>8854</v>
      </c>
      <c r="C72" t="s">
        <v>8863</v>
      </c>
      <c r="D72" t="s">
        <v>10</v>
      </c>
      <c r="E72" t="s">
        <v>16</v>
      </c>
      <c r="F72">
        <v>2</v>
      </c>
    </row>
    <row r="73" spans="1:6" x14ac:dyDescent="0.2">
      <c r="A73" t="s">
        <v>6798</v>
      </c>
      <c r="B73" t="s">
        <v>6797</v>
      </c>
      <c r="C73" t="s">
        <v>6620</v>
      </c>
      <c r="D73" t="s">
        <v>29</v>
      </c>
      <c r="E73" t="s">
        <v>16</v>
      </c>
      <c r="F73">
        <v>1</v>
      </c>
    </row>
    <row r="74" spans="1:6" x14ac:dyDescent="0.2">
      <c r="A74" t="s">
        <v>2594</v>
      </c>
      <c r="B74" t="s">
        <v>2590</v>
      </c>
      <c r="C74" t="s">
        <v>2593</v>
      </c>
      <c r="D74" t="s">
        <v>10</v>
      </c>
      <c r="E74" t="s">
        <v>11</v>
      </c>
      <c r="F74">
        <v>4</v>
      </c>
    </row>
    <row r="75" spans="1:6" x14ac:dyDescent="0.2">
      <c r="A75" t="s">
        <v>110</v>
      </c>
      <c r="B75" t="s">
        <v>108</v>
      </c>
      <c r="C75" t="s">
        <v>111</v>
      </c>
      <c r="D75" t="s">
        <v>10</v>
      </c>
      <c r="E75" t="s">
        <v>16</v>
      </c>
      <c r="F75">
        <v>2</v>
      </c>
    </row>
    <row r="76" spans="1:6" x14ac:dyDescent="0.2">
      <c r="A76" t="s">
        <v>2039</v>
      </c>
      <c r="B76" t="s">
        <v>2038</v>
      </c>
      <c r="C76" t="s">
        <v>2040</v>
      </c>
      <c r="D76" t="s">
        <v>10</v>
      </c>
      <c r="E76" t="s">
        <v>16</v>
      </c>
      <c r="F76">
        <v>1</v>
      </c>
    </row>
    <row r="77" spans="1:6" x14ac:dyDescent="0.2">
      <c r="A77" t="s">
        <v>6075</v>
      </c>
      <c r="B77" t="s">
        <v>6073</v>
      </c>
      <c r="C77" t="s">
        <v>6074</v>
      </c>
      <c r="D77" t="s">
        <v>10</v>
      </c>
      <c r="E77" t="s">
        <v>11</v>
      </c>
      <c r="F77">
        <v>2</v>
      </c>
    </row>
    <row r="78" spans="1:6" x14ac:dyDescent="0.2">
      <c r="A78" t="s">
        <v>9970</v>
      </c>
      <c r="B78" t="s">
        <v>9968</v>
      </c>
      <c r="C78" t="s">
        <v>9969</v>
      </c>
      <c r="D78" t="s">
        <v>56</v>
      </c>
      <c r="E78" t="s">
        <v>16</v>
      </c>
      <c r="F78">
        <v>1</v>
      </c>
    </row>
    <row r="79" spans="1:6" x14ac:dyDescent="0.2">
      <c r="A79" t="s">
        <v>2077</v>
      </c>
      <c r="B79" t="s">
        <v>2060</v>
      </c>
      <c r="C79" t="s">
        <v>2076</v>
      </c>
      <c r="D79" t="s">
        <v>10</v>
      </c>
      <c r="E79" t="s">
        <v>52</v>
      </c>
      <c r="F79">
        <v>1</v>
      </c>
    </row>
    <row r="80" spans="1:6" x14ac:dyDescent="0.2">
      <c r="A80" t="s">
        <v>113</v>
      </c>
      <c r="B80" t="s">
        <v>108</v>
      </c>
      <c r="C80" t="s">
        <v>112</v>
      </c>
      <c r="D80" t="s">
        <v>10</v>
      </c>
      <c r="E80" t="s">
        <v>11</v>
      </c>
      <c r="F80">
        <v>2</v>
      </c>
    </row>
    <row r="81" spans="1:6" x14ac:dyDescent="0.2">
      <c r="A81" t="s">
        <v>1643</v>
      </c>
      <c r="B81" t="s">
        <v>1613</v>
      </c>
      <c r="C81" t="s">
        <v>1642</v>
      </c>
      <c r="D81" t="s">
        <v>10</v>
      </c>
      <c r="E81" t="s">
        <v>11</v>
      </c>
      <c r="F81">
        <v>2</v>
      </c>
    </row>
    <row r="82" spans="1:6" x14ac:dyDescent="0.2">
      <c r="A82" t="s">
        <v>1011</v>
      </c>
      <c r="B82" t="s">
        <v>6408</v>
      </c>
      <c r="C82" t="s">
        <v>6421</v>
      </c>
      <c r="D82" t="s">
        <v>10</v>
      </c>
      <c r="E82" t="s">
        <v>52</v>
      </c>
      <c r="F82">
        <v>2</v>
      </c>
    </row>
    <row r="83" spans="1:6" x14ac:dyDescent="0.2">
      <c r="A83" t="s">
        <v>1943</v>
      </c>
      <c r="B83" t="s">
        <v>8854</v>
      </c>
      <c r="C83" t="s">
        <v>1942</v>
      </c>
      <c r="D83" t="s">
        <v>10</v>
      </c>
      <c r="E83" t="s">
        <v>16</v>
      </c>
      <c r="F83">
        <v>1</v>
      </c>
    </row>
    <row r="84" spans="1:6" x14ac:dyDescent="0.2">
      <c r="A84" t="s">
        <v>47</v>
      </c>
      <c r="B84" t="s">
        <v>45</v>
      </c>
      <c r="C84" t="s">
        <v>46</v>
      </c>
      <c r="D84" t="s">
        <v>10</v>
      </c>
      <c r="E84" t="s">
        <v>16</v>
      </c>
      <c r="F84">
        <v>1</v>
      </c>
    </row>
    <row r="85" spans="1:6" x14ac:dyDescent="0.2">
      <c r="A85" t="s">
        <v>1941</v>
      </c>
      <c r="B85" t="s">
        <v>8854</v>
      </c>
      <c r="C85" t="s">
        <v>1944</v>
      </c>
      <c r="D85" t="s">
        <v>10</v>
      </c>
      <c r="E85" t="s">
        <v>16</v>
      </c>
      <c r="F85">
        <v>1</v>
      </c>
    </row>
    <row r="86" spans="1:6" x14ac:dyDescent="0.2">
      <c r="A86" t="s">
        <v>1946</v>
      </c>
      <c r="B86" t="s">
        <v>8854</v>
      </c>
      <c r="C86" t="s">
        <v>8861</v>
      </c>
      <c r="D86" t="s">
        <v>10</v>
      </c>
      <c r="E86" t="s">
        <v>16</v>
      </c>
      <c r="F86">
        <v>1</v>
      </c>
    </row>
    <row r="87" spans="1:6" x14ac:dyDescent="0.2">
      <c r="A87" t="s">
        <v>1516</v>
      </c>
      <c r="B87" t="s">
        <v>6170</v>
      </c>
      <c r="C87" t="s">
        <v>6171</v>
      </c>
      <c r="D87" t="s">
        <v>10</v>
      </c>
      <c r="E87" t="s">
        <v>16</v>
      </c>
      <c r="F87">
        <v>1</v>
      </c>
    </row>
    <row r="88" spans="1:6" x14ac:dyDescent="0.2">
      <c r="A88" t="s">
        <v>513</v>
      </c>
      <c r="B88" t="s">
        <v>499</v>
      </c>
      <c r="C88" t="s">
        <v>512</v>
      </c>
      <c r="D88" t="s">
        <v>10</v>
      </c>
      <c r="E88" t="s">
        <v>16</v>
      </c>
      <c r="F88">
        <v>2</v>
      </c>
    </row>
    <row r="89" spans="1:6" x14ac:dyDescent="0.2">
      <c r="A89" t="s">
        <v>1520</v>
      </c>
      <c r="B89" t="s">
        <v>6170</v>
      </c>
      <c r="C89" t="s">
        <v>1519</v>
      </c>
      <c r="D89" t="s">
        <v>10</v>
      </c>
      <c r="E89" t="s">
        <v>16</v>
      </c>
      <c r="F89">
        <v>1</v>
      </c>
    </row>
    <row r="90" spans="1:6" x14ac:dyDescent="0.2">
      <c r="A90" t="s">
        <v>230</v>
      </c>
      <c r="B90" t="s">
        <v>226</v>
      </c>
      <c r="C90" t="s">
        <v>229</v>
      </c>
      <c r="D90" t="s">
        <v>10</v>
      </c>
      <c r="E90" t="s">
        <v>16</v>
      </c>
      <c r="F90">
        <v>1</v>
      </c>
    </row>
    <row r="91" spans="1:6" x14ac:dyDescent="0.2">
      <c r="A91" t="s">
        <v>228</v>
      </c>
      <c r="B91" t="s">
        <v>226</v>
      </c>
      <c r="C91" t="s">
        <v>227</v>
      </c>
      <c r="D91" t="s">
        <v>10</v>
      </c>
      <c r="E91" t="s">
        <v>16</v>
      </c>
      <c r="F91">
        <v>1</v>
      </c>
    </row>
    <row r="92" spans="1:6" x14ac:dyDescent="0.2">
      <c r="A92" t="s">
        <v>243</v>
      </c>
      <c r="B92" t="s">
        <v>239</v>
      </c>
      <c r="C92" t="s">
        <v>242</v>
      </c>
      <c r="D92" t="s">
        <v>10</v>
      </c>
      <c r="E92" t="s">
        <v>16</v>
      </c>
      <c r="F92">
        <v>1</v>
      </c>
    </row>
    <row r="93" spans="1:6" x14ac:dyDescent="0.2">
      <c r="A93" t="s">
        <v>245</v>
      </c>
      <c r="B93" t="s">
        <v>239</v>
      </c>
      <c r="C93" t="s">
        <v>244</v>
      </c>
      <c r="D93" t="s">
        <v>10</v>
      </c>
      <c r="E93" t="s">
        <v>16</v>
      </c>
      <c r="F93">
        <v>1</v>
      </c>
    </row>
    <row r="94" spans="1:6" x14ac:dyDescent="0.2">
      <c r="A94" t="s">
        <v>247</v>
      </c>
      <c r="B94" t="s">
        <v>239</v>
      </c>
      <c r="C94" t="s">
        <v>246</v>
      </c>
      <c r="D94" t="s">
        <v>10</v>
      </c>
      <c r="E94" t="s">
        <v>16</v>
      </c>
      <c r="F94">
        <v>1</v>
      </c>
    </row>
    <row r="95" spans="1:6" x14ac:dyDescent="0.2">
      <c r="A95" t="s">
        <v>241</v>
      </c>
      <c r="B95" t="s">
        <v>239</v>
      </c>
      <c r="C95" t="s">
        <v>240</v>
      </c>
      <c r="D95" t="s">
        <v>10</v>
      </c>
      <c r="E95" t="s">
        <v>16</v>
      </c>
      <c r="F95">
        <v>1</v>
      </c>
    </row>
    <row r="96" spans="1:6" x14ac:dyDescent="0.2">
      <c r="A96" t="s">
        <v>5485</v>
      </c>
      <c r="B96" t="s">
        <v>5483</v>
      </c>
      <c r="C96" t="s">
        <v>5484</v>
      </c>
      <c r="D96" t="s">
        <v>64</v>
      </c>
      <c r="E96" t="s">
        <v>16</v>
      </c>
      <c r="F96">
        <v>1</v>
      </c>
    </row>
    <row r="97" spans="1:6" x14ac:dyDescent="0.2">
      <c r="A97" t="s">
        <v>4120</v>
      </c>
      <c r="B97" t="s">
        <v>8713</v>
      </c>
      <c r="C97" t="s">
        <v>8728</v>
      </c>
      <c r="D97" t="s">
        <v>10</v>
      </c>
      <c r="E97" t="s">
        <v>16</v>
      </c>
      <c r="F97">
        <v>1</v>
      </c>
    </row>
    <row r="98" spans="1:6" x14ac:dyDescent="0.2">
      <c r="A98" t="s">
        <v>1965</v>
      </c>
      <c r="B98" t="s">
        <v>1962</v>
      </c>
      <c r="C98" t="s">
        <v>1964</v>
      </c>
      <c r="D98" t="s">
        <v>56</v>
      </c>
      <c r="E98" t="s">
        <v>52</v>
      </c>
      <c r="F98">
        <v>1</v>
      </c>
    </row>
    <row r="99" spans="1:6" x14ac:dyDescent="0.2">
      <c r="A99" t="s">
        <v>1967</v>
      </c>
      <c r="B99" t="s">
        <v>1962</v>
      </c>
      <c r="C99" t="s">
        <v>1966</v>
      </c>
      <c r="D99" t="s">
        <v>56</v>
      </c>
      <c r="E99" t="s">
        <v>52</v>
      </c>
      <c r="F99">
        <v>3</v>
      </c>
    </row>
    <row r="100" spans="1:6" x14ac:dyDescent="0.2">
      <c r="A100" t="s">
        <v>7565</v>
      </c>
      <c r="B100" t="s">
        <v>7563</v>
      </c>
      <c r="C100" t="s">
        <v>7564</v>
      </c>
      <c r="D100" t="s">
        <v>10</v>
      </c>
      <c r="E100" t="s">
        <v>16</v>
      </c>
      <c r="F100">
        <v>1</v>
      </c>
    </row>
    <row r="101" spans="1:6" x14ac:dyDescent="0.2">
      <c r="A101" t="s">
        <v>183</v>
      </c>
      <c r="B101" t="s">
        <v>179</v>
      </c>
      <c r="C101" t="s">
        <v>182</v>
      </c>
      <c r="D101" t="s">
        <v>10</v>
      </c>
      <c r="E101" t="s">
        <v>16</v>
      </c>
      <c r="F101">
        <v>2</v>
      </c>
    </row>
    <row r="102" spans="1:6" x14ac:dyDescent="0.2">
      <c r="A102" t="s">
        <v>185</v>
      </c>
      <c r="B102" t="s">
        <v>179</v>
      </c>
      <c r="C102" t="s">
        <v>184</v>
      </c>
      <c r="D102" t="s">
        <v>10</v>
      </c>
      <c r="E102" t="s">
        <v>16</v>
      </c>
      <c r="F102">
        <v>2</v>
      </c>
    </row>
    <row r="103" spans="1:6" x14ac:dyDescent="0.2">
      <c r="A103" t="s">
        <v>187</v>
      </c>
      <c r="B103" t="s">
        <v>179</v>
      </c>
      <c r="C103" t="s">
        <v>186</v>
      </c>
      <c r="D103" t="s">
        <v>10</v>
      </c>
      <c r="E103" t="s">
        <v>16</v>
      </c>
      <c r="F103">
        <v>2</v>
      </c>
    </row>
    <row r="104" spans="1:6" x14ac:dyDescent="0.2">
      <c r="A104" t="s">
        <v>8540</v>
      </c>
      <c r="B104" t="s">
        <v>8538</v>
      </c>
      <c r="C104" t="s">
        <v>8539</v>
      </c>
      <c r="D104" t="s">
        <v>10</v>
      </c>
      <c r="E104" t="s">
        <v>16</v>
      </c>
      <c r="F104">
        <v>1</v>
      </c>
    </row>
    <row r="105" spans="1:6" x14ac:dyDescent="0.2">
      <c r="A105" t="s">
        <v>1918</v>
      </c>
      <c r="B105" t="s">
        <v>1916</v>
      </c>
      <c r="C105" t="s">
        <v>1917</v>
      </c>
      <c r="D105" t="s">
        <v>10</v>
      </c>
      <c r="E105" t="s">
        <v>16</v>
      </c>
      <c r="F105">
        <v>1</v>
      </c>
    </row>
    <row r="106" spans="1:6" x14ac:dyDescent="0.2">
      <c r="A106" t="s">
        <v>189</v>
      </c>
      <c r="B106" t="s">
        <v>179</v>
      </c>
      <c r="C106" t="s">
        <v>188</v>
      </c>
      <c r="D106" t="s">
        <v>10</v>
      </c>
      <c r="E106" t="s">
        <v>16</v>
      </c>
      <c r="F106">
        <v>2</v>
      </c>
    </row>
    <row r="107" spans="1:6" x14ac:dyDescent="0.2">
      <c r="A107" t="s">
        <v>257</v>
      </c>
      <c r="B107" t="s">
        <v>8713</v>
      </c>
      <c r="C107" t="s">
        <v>8729</v>
      </c>
      <c r="D107" t="s">
        <v>10</v>
      </c>
      <c r="E107" t="s">
        <v>16</v>
      </c>
      <c r="F107">
        <v>2</v>
      </c>
    </row>
    <row r="108" spans="1:6" x14ac:dyDescent="0.2">
      <c r="A108" t="s">
        <v>181</v>
      </c>
      <c r="B108" t="s">
        <v>179</v>
      </c>
      <c r="C108" t="s">
        <v>192</v>
      </c>
      <c r="D108" t="s">
        <v>10</v>
      </c>
      <c r="E108" t="s">
        <v>16</v>
      </c>
      <c r="F108">
        <v>2</v>
      </c>
    </row>
    <row r="109" spans="1:6" x14ac:dyDescent="0.2">
      <c r="A109" t="s">
        <v>260</v>
      </c>
      <c r="B109" t="s">
        <v>248</v>
      </c>
      <c r="C109" t="s">
        <v>259</v>
      </c>
      <c r="D109" t="s">
        <v>10</v>
      </c>
      <c r="E109" t="s">
        <v>52</v>
      </c>
      <c r="F109">
        <v>2</v>
      </c>
    </row>
    <row r="110" spans="1:6" x14ac:dyDescent="0.2">
      <c r="A110" t="s">
        <v>6204</v>
      </c>
      <c r="B110" t="s">
        <v>8713</v>
      </c>
      <c r="C110" t="s">
        <v>8746</v>
      </c>
      <c r="D110" t="s">
        <v>10</v>
      </c>
      <c r="E110" t="s">
        <v>52</v>
      </c>
      <c r="F110">
        <v>2</v>
      </c>
    </row>
    <row r="111" spans="1:6" x14ac:dyDescent="0.2">
      <c r="A111" t="s">
        <v>6207</v>
      </c>
      <c r="B111" t="s">
        <v>9914</v>
      </c>
      <c r="C111" t="s">
        <v>6251</v>
      </c>
      <c r="D111" t="s">
        <v>10</v>
      </c>
      <c r="E111" t="s">
        <v>52</v>
      </c>
      <c r="F111">
        <v>2</v>
      </c>
    </row>
    <row r="112" spans="1:6" x14ac:dyDescent="0.2">
      <c r="A112" t="s">
        <v>7549</v>
      </c>
      <c r="B112" t="s">
        <v>7793</v>
      </c>
      <c r="C112" t="s">
        <v>7548</v>
      </c>
      <c r="D112" t="s">
        <v>10</v>
      </c>
      <c r="E112" t="s">
        <v>16</v>
      </c>
      <c r="F112">
        <v>2</v>
      </c>
    </row>
    <row r="113" spans="1:6" x14ac:dyDescent="0.2">
      <c r="A113" t="s">
        <v>1819</v>
      </c>
      <c r="B113" t="s">
        <v>1795</v>
      </c>
      <c r="C113" t="s">
        <v>12056</v>
      </c>
      <c r="D113" t="s">
        <v>10</v>
      </c>
      <c r="E113" t="s">
        <v>16</v>
      </c>
      <c r="F113">
        <v>1</v>
      </c>
    </row>
    <row r="114" spans="1:6" x14ac:dyDescent="0.2">
      <c r="A114" t="s">
        <v>9427</v>
      </c>
      <c r="B114" t="s">
        <v>9425</v>
      </c>
      <c r="C114" t="s">
        <v>9428</v>
      </c>
      <c r="D114" t="s">
        <v>10</v>
      </c>
      <c r="E114" t="s">
        <v>16</v>
      </c>
      <c r="F114">
        <v>1</v>
      </c>
    </row>
    <row r="115" spans="1:6" x14ac:dyDescent="0.2">
      <c r="A115" t="s">
        <v>10881</v>
      </c>
      <c r="B115" t="s">
        <v>10877</v>
      </c>
      <c r="C115" t="s">
        <v>10880</v>
      </c>
      <c r="D115" t="s">
        <v>29</v>
      </c>
      <c r="E115" t="s">
        <v>16</v>
      </c>
      <c r="F115">
        <v>1</v>
      </c>
    </row>
    <row r="116" spans="1:6" x14ac:dyDescent="0.2">
      <c r="A116" t="s">
        <v>8844</v>
      </c>
      <c r="B116" t="s">
        <v>8842</v>
      </c>
      <c r="C116" t="s">
        <v>8843</v>
      </c>
      <c r="D116" t="s">
        <v>10</v>
      </c>
      <c r="E116" t="s">
        <v>16</v>
      </c>
      <c r="F116">
        <v>1</v>
      </c>
    </row>
    <row r="117" spans="1:6" x14ac:dyDescent="0.2">
      <c r="A117" t="s">
        <v>87</v>
      </c>
      <c r="B117" t="s">
        <v>83</v>
      </c>
      <c r="C117" t="s">
        <v>86</v>
      </c>
      <c r="D117" t="s">
        <v>10</v>
      </c>
      <c r="E117" t="s">
        <v>16</v>
      </c>
      <c r="F117">
        <v>1</v>
      </c>
    </row>
    <row r="118" spans="1:6" x14ac:dyDescent="0.2">
      <c r="A118" t="s">
        <v>87</v>
      </c>
      <c r="B118" t="s">
        <v>4930</v>
      </c>
      <c r="C118" t="s">
        <v>86</v>
      </c>
      <c r="D118" t="s">
        <v>10</v>
      </c>
      <c r="E118" t="s">
        <v>16</v>
      </c>
      <c r="F118">
        <v>1</v>
      </c>
    </row>
    <row r="119" spans="1:6" x14ac:dyDescent="0.2">
      <c r="A119" t="s">
        <v>1893</v>
      </c>
      <c r="B119" t="s">
        <v>1891</v>
      </c>
      <c r="C119" t="s">
        <v>1892</v>
      </c>
      <c r="D119" t="s">
        <v>10</v>
      </c>
      <c r="E119" t="s">
        <v>16</v>
      </c>
      <c r="F119">
        <v>2</v>
      </c>
    </row>
    <row r="120" spans="1:6" x14ac:dyDescent="0.2">
      <c r="A120" t="s">
        <v>85</v>
      </c>
      <c r="B120" t="s">
        <v>83</v>
      </c>
      <c r="C120" t="s">
        <v>84</v>
      </c>
      <c r="D120" t="s">
        <v>10</v>
      </c>
      <c r="E120" t="s">
        <v>16</v>
      </c>
      <c r="F120">
        <v>1</v>
      </c>
    </row>
    <row r="121" spans="1:6" x14ac:dyDescent="0.2">
      <c r="A121" t="s">
        <v>11622</v>
      </c>
      <c r="B121" t="s">
        <v>11620</v>
      </c>
      <c r="C121" t="s">
        <v>11621</v>
      </c>
      <c r="D121" t="s">
        <v>10</v>
      </c>
      <c r="E121" t="s">
        <v>16</v>
      </c>
      <c r="F121">
        <v>1</v>
      </c>
    </row>
    <row r="122" spans="1:6" x14ac:dyDescent="0.2">
      <c r="A122" t="s">
        <v>2409</v>
      </c>
      <c r="B122" t="s">
        <v>2407</v>
      </c>
      <c r="C122" t="s">
        <v>2408</v>
      </c>
      <c r="D122" t="s">
        <v>10</v>
      </c>
      <c r="E122" t="s">
        <v>16</v>
      </c>
      <c r="F122">
        <v>1</v>
      </c>
    </row>
    <row r="123" spans="1:6" x14ac:dyDescent="0.2">
      <c r="A123" t="s">
        <v>11535</v>
      </c>
      <c r="B123" t="s">
        <v>11533</v>
      </c>
      <c r="C123" t="s">
        <v>11534</v>
      </c>
      <c r="D123" t="s">
        <v>64</v>
      </c>
      <c r="E123" t="s">
        <v>16</v>
      </c>
      <c r="F123">
        <v>1</v>
      </c>
    </row>
    <row r="124" spans="1:6" x14ac:dyDescent="0.2">
      <c r="A124" t="s">
        <v>1817</v>
      </c>
      <c r="B124" t="s">
        <v>1795</v>
      </c>
      <c r="C124" t="s">
        <v>1816</v>
      </c>
      <c r="D124" t="s">
        <v>10</v>
      </c>
      <c r="E124" t="s">
        <v>16</v>
      </c>
      <c r="F124">
        <v>1</v>
      </c>
    </row>
    <row r="125" spans="1:6" x14ac:dyDescent="0.2">
      <c r="A125" t="s">
        <v>130</v>
      </c>
      <c r="B125" t="s">
        <v>128</v>
      </c>
      <c r="C125" t="s">
        <v>129</v>
      </c>
      <c r="D125" t="s">
        <v>29</v>
      </c>
      <c r="E125" t="s">
        <v>16</v>
      </c>
      <c r="F125">
        <v>1</v>
      </c>
    </row>
    <row r="126" spans="1:6" x14ac:dyDescent="0.2">
      <c r="A126" t="s">
        <v>199</v>
      </c>
      <c r="B126" t="s">
        <v>7525</v>
      </c>
      <c r="C126" t="s">
        <v>7526</v>
      </c>
      <c r="D126" t="s">
        <v>10</v>
      </c>
      <c r="E126" t="s">
        <v>16</v>
      </c>
      <c r="F126">
        <v>2</v>
      </c>
    </row>
    <row r="127" spans="1:6" x14ac:dyDescent="0.2">
      <c r="A127" t="s">
        <v>1553</v>
      </c>
      <c r="B127" t="s">
        <v>1551</v>
      </c>
      <c r="C127" t="s">
        <v>1552</v>
      </c>
      <c r="D127" t="s">
        <v>10</v>
      </c>
      <c r="E127" t="s">
        <v>16</v>
      </c>
      <c r="F127">
        <v>1</v>
      </c>
    </row>
    <row r="128" spans="1:6" x14ac:dyDescent="0.2">
      <c r="A128" t="s">
        <v>468</v>
      </c>
      <c r="B128" t="s">
        <v>450</v>
      </c>
      <c r="C128" t="s">
        <v>467</v>
      </c>
      <c r="D128" t="s">
        <v>10</v>
      </c>
      <c r="E128" t="s">
        <v>16</v>
      </c>
      <c r="F128">
        <v>1</v>
      </c>
    </row>
    <row r="129" spans="1:6" x14ac:dyDescent="0.2">
      <c r="A129" t="s">
        <v>693</v>
      </c>
      <c r="B129" t="s">
        <v>690</v>
      </c>
      <c r="C129" t="s">
        <v>12057</v>
      </c>
      <c r="D129" t="s">
        <v>10</v>
      </c>
      <c r="E129" t="s">
        <v>16</v>
      </c>
      <c r="F129">
        <v>2</v>
      </c>
    </row>
    <row r="130" spans="1:6" x14ac:dyDescent="0.2">
      <c r="A130" t="s">
        <v>6297</v>
      </c>
      <c r="B130" t="s">
        <v>6295</v>
      </c>
      <c r="C130" t="s">
        <v>6296</v>
      </c>
      <c r="D130" t="s">
        <v>10</v>
      </c>
      <c r="E130" t="s">
        <v>16</v>
      </c>
      <c r="F130">
        <v>1</v>
      </c>
    </row>
    <row r="131" spans="1:6" x14ac:dyDescent="0.2">
      <c r="A131" t="s">
        <v>5831</v>
      </c>
      <c r="B131" t="s">
        <v>5829</v>
      </c>
      <c r="C131" t="s">
        <v>5830</v>
      </c>
      <c r="D131" t="s">
        <v>10</v>
      </c>
      <c r="E131" t="s">
        <v>16</v>
      </c>
      <c r="F131">
        <v>1</v>
      </c>
    </row>
    <row r="132" spans="1:6" x14ac:dyDescent="0.2">
      <c r="A132" t="s">
        <v>3248</v>
      </c>
      <c r="B132" t="s">
        <v>3243</v>
      </c>
      <c r="C132" t="s">
        <v>3247</v>
      </c>
      <c r="D132" t="s">
        <v>10</v>
      </c>
      <c r="E132" t="s">
        <v>16</v>
      </c>
      <c r="F132">
        <v>1</v>
      </c>
    </row>
    <row r="133" spans="1:6" x14ac:dyDescent="0.2">
      <c r="A133" t="s">
        <v>3245</v>
      </c>
      <c r="B133" t="s">
        <v>3243</v>
      </c>
      <c r="C133" t="s">
        <v>3244</v>
      </c>
      <c r="D133" t="s">
        <v>29</v>
      </c>
      <c r="E133" t="s">
        <v>52</v>
      </c>
      <c r="F133">
        <v>4</v>
      </c>
    </row>
    <row r="134" spans="1:6" x14ac:dyDescent="0.2">
      <c r="A134" t="s">
        <v>286</v>
      </c>
      <c r="B134" t="s">
        <v>284</v>
      </c>
      <c r="C134" t="s">
        <v>285</v>
      </c>
      <c r="D134" t="s">
        <v>29</v>
      </c>
      <c r="E134" t="s">
        <v>16</v>
      </c>
      <c r="F134">
        <v>1</v>
      </c>
    </row>
    <row r="135" spans="1:6" x14ac:dyDescent="0.2">
      <c r="A135" t="s">
        <v>6819</v>
      </c>
      <c r="B135" t="s">
        <v>6817</v>
      </c>
      <c r="C135" t="s">
        <v>6818</v>
      </c>
      <c r="D135" t="s">
        <v>10</v>
      </c>
      <c r="E135" t="s">
        <v>16</v>
      </c>
      <c r="F135">
        <v>1</v>
      </c>
    </row>
    <row r="136" spans="1:6" x14ac:dyDescent="0.2">
      <c r="A136" t="s">
        <v>1822</v>
      </c>
      <c r="B136" t="s">
        <v>1795</v>
      </c>
      <c r="C136" t="s">
        <v>1821</v>
      </c>
      <c r="D136" t="s">
        <v>10</v>
      </c>
      <c r="E136" t="s">
        <v>16</v>
      </c>
      <c r="F136">
        <v>1</v>
      </c>
    </row>
    <row r="137" spans="1:6" x14ac:dyDescent="0.2">
      <c r="A137" t="s">
        <v>2149</v>
      </c>
      <c r="B137" t="s">
        <v>2163</v>
      </c>
      <c r="C137" t="s">
        <v>2148</v>
      </c>
      <c r="D137" t="s">
        <v>10</v>
      </c>
      <c r="E137" t="s">
        <v>16</v>
      </c>
      <c r="F137">
        <v>1</v>
      </c>
    </row>
    <row r="138" spans="1:6" x14ac:dyDescent="0.2">
      <c r="A138" t="s">
        <v>495</v>
      </c>
      <c r="B138" t="s">
        <v>493</v>
      </c>
      <c r="C138" t="s">
        <v>494</v>
      </c>
      <c r="D138" t="s">
        <v>10</v>
      </c>
      <c r="E138" t="s">
        <v>16</v>
      </c>
      <c r="F138">
        <v>2</v>
      </c>
    </row>
    <row r="139" spans="1:6" x14ac:dyDescent="0.2">
      <c r="A139" t="s">
        <v>4113</v>
      </c>
      <c r="B139" t="s">
        <v>4111</v>
      </c>
      <c r="C139" t="s">
        <v>4114</v>
      </c>
      <c r="D139" t="s">
        <v>10</v>
      </c>
      <c r="E139" t="s">
        <v>11</v>
      </c>
      <c r="F139">
        <v>2</v>
      </c>
    </row>
    <row r="140" spans="1:6" x14ac:dyDescent="0.2">
      <c r="A140" t="s">
        <v>1663</v>
      </c>
      <c r="B140" t="s">
        <v>4441</v>
      </c>
      <c r="C140" t="s">
        <v>1662</v>
      </c>
      <c r="D140" t="s">
        <v>10</v>
      </c>
      <c r="E140" t="s">
        <v>11</v>
      </c>
      <c r="F140">
        <v>2</v>
      </c>
    </row>
    <row r="141" spans="1:6" x14ac:dyDescent="0.2">
      <c r="A141" t="s">
        <v>1359</v>
      </c>
      <c r="B141" t="s">
        <v>1358</v>
      </c>
      <c r="C141" t="s">
        <v>424</v>
      </c>
      <c r="D141" t="s">
        <v>10</v>
      </c>
      <c r="E141" t="s">
        <v>16</v>
      </c>
      <c r="F141">
        <v>1</v>
      </c>
    </row>
    <row r="142" spans="1:6" x14ac:dyDescent="0.2">
      <c r="A142" t="s">
        <v>7586</v>
      </c>
      <c r="B142" t="s">
        <v>7584</v>
      </c>
      <c r="C142" t="s">
        <v>7585</v>
      </c>
      <c r="D142" t="s">
        <v>29</v>
      </c>
      <c r="E142" t="s">
        <v>16</v>
      </c>
      <c r="F142">
        <v>1</v>
      </c>
    </row>
    <row r="143" spans="1:6" x14ac:dyDescent="0.2">
      <c r="A143" t="s">
        <v>10978</v>
      </c>
      <c r="B143" t="s">
        <v>10976</v>
      </c>
      <c r="C143" t="s">
        <v>10977</v>
      </c>
      <c r="D143" t="s">
        <v>10</v>
      </c>
      <c r="E143" t="s">
        <v>16</v>
      </c>
      <c r="F143">
        <v>1</v>
      </c>
    </row>
    <row r="144" spans="1:6" x14ac:dyDescent="0.2">
      <c r="A144" t="s">
        <v>1950</v>
      </c>
      <c r="B144" t="s">
        <v>1948</v>
      </c>
      <c r="C144" t="s">
        <v>1949</v>
      </c>
      <c r="D144" t="s">
        <v>10</v>
      </c>
      <c r="E144" t="s">
        <v>16</v>
      </c>
      <c r="F144">
        <v>1</v>
      </c>
    </row>
    <row r="145" spans="1:6" x14ac:dyDescent="0.2">
      <c r="A145" t="s">
        <v>1463</v>
      </c>
      <c r="B145" t="s">
        <v>1461</v>
      </c>
      <c r="C145" t="s">
        <v>1462</v>
      </c>
      <c r="D145" t="s">
        <v>10</v>
      </c>
      <c r="E145" t="s">
        <v>16</v>
      </c>
      <c r="F145">
        <v>1</v>
      </c>
    </row>
    <row r="146" spans="1:6" x14ac:dyDescent="0.2">
      <c r="A146" t="s">
        <v>5473</v>
      </c>
      <c r="B146" t="s">
        <v>5471</v>
      </c>
      <c r="C146" t="s">
        <v>5472</v>
      </c>
      <c r="D146" t="s">
        <v>10</v>
      </c>
      <c r="E146" t="s">
        <v>16</v>
      </c>
      <c r="F146">
        <v>1</v>
      </c>
    </row>
    <row r="147" spans="1:6" x14ac:dyDescent="0.2">
      <c r="A147" t="s">
        <v>6540</v>
      </c>
      <c r="B147" t="s">
        <v>6538</v>
      </c>
      <c r="C147" t="s">
        <v>6539</v>
      </c>
      <c r="D147" t="s">
        <v>56</v>
      </c>
      <c r="E147" t="s">
        <v>52</v>
      </c>
      <c r="F147">
        <v>2</v>
      </c>
    </row>
    <row r="148" spans="1:6" x14ac:dyDescent="0.2">
      <c r="A148" t="s">
        <v>1696</v>
      </c>
      <c r="B148" t="s">
        <v>1694</v>
      </c>
      <c r="C148" t="s">
        <v>1697</v>
      </c>
      <c r="D148" t="s">
        <v>10</v>
      </c>
      <c r="E148" t="s">
        <v>16</v>
      </c>
      <c r="F148">
        <v>1</v>
      </c>
    </row>
    <row r="149" spans="1:6" x14ac:dyDescent="0.2">
      <c r="A149" t="s">
        <v>3074</v>
      </c>
      <c r="B149" t="s">
        <v>3070</v>
      </c>
      <c r="C149" t="s">
        <v>3073</v>
      </c>
      <c r="D149" t="s">
        <v>10</v>
      </c>
      <c r="E149" t="s">
        <v>52</v>
      </c>
      <c r="F149">
        <v>1</v>
      </c>
    </row>
    <row r="150" spans="1:6" x14ac:dyDescent="0.2">
      <c r="A150" t="s">
        <v>589</v>
      </c>
      <c r="B150" t="s">
        <v>587</v>
      </c>
      <c r="C150" t="s">
        <v>588</v>
      </c>
      <c r="D150" t="s">
        <v>56</v>
      </c>
      <c r="E150" t="s">
        <v>52</v>
      </c>
      <c r="F150">
        <v>1</v>
      </c>
    </row>
    <row r="151" spans="1:6" x14ac:dyDescent="0.2">
      <c r="A151" t="s">
        <v>591</v>
      </c>
      <c r="B151" t="s">
        <v>587</v>
      </c>
      <c r="C151" t="s">
        <v>590</v>
      </c>
      <c r="D151" t="s">
        <v>56</v>
      </c>
      <c r="E151" t="s">
        <v>52</v>
      </c>
      <c r="F151">
        <v>1</v>
      </c>
    </row>
    <row r="152" spans="1:6" x14ac:dyDescent="0.2">
      <c r="A152" t="s">
        <v>1445</v>
      </c>
      <c r="B152" t="s">
        <v>1795</v>
      </c>
      <c r="C152" t="s">
        <v>1829</v>
      </c>
      <c r="D152" t="s">
        <v>10</v>
      </c>
      <c r="E152" t="s">
        <v>16</v>
      </c>
      <c r="F152">
        <v>1</v>
      </c>
    </row>
    <row r="153" spans="1:6" x14ac:dyDescent="0.2">
      <c r="A153" t="s">
        <v>1305</v>
      </c>
      <c r="B153" t="s">
        <v>1303</v>
      </c>
      <c r="C153" t="s">
        <v>1304</v>
      </c>
      <c r="D153" t="s">
        <v>10</v>
      </c>
      <c r="E153" t="s">
        <v>16</v>
      </c>
      <c r="F153">
        <v>1</v>
      </c>
    </row>
    <row r="154" spans="1:6" x14ac:dyDescent="0.2">
      <c r="A154" t="s">
        <v>4697</v>
      </c>
      <c r="B154" t="s">
        <v>4695</v>
      </c>
      <c r="C154" t="s">
        <v>4696</v>
      </c>
      <c r="D154" t="s">
        <v>10</v>
      </c>
      <c r="E154" t="s">
        <v>16</v>
      </c>
      <c r="F154">
        <v>1</v>
      </c>
    </row>
    <row r="155" spans="1:6" x14ac:dyDescent="0.2">
      <c r="A155" t="s">
        <v>138</v>
      </c>
      <c r="B155" t="s">
        <v>147</v>
      </c>
      <c r="C155" t="s">
        <v>137</v>
      </c>
      <c r="D155" t="s">
        <v>10</v>
      </c>
      <c r="E155" t="s">
        <v>16</v>
      </c>
      <c r="F155">
        <v>1</v>
      </c>
    </row>
    <row r="156" spans="1:6" x14ac:dyDescent="0.2">
      <c r="A156" t="s">
        <v>141</v>
      </c>
      <c r="B156" t="s">
        <v>141</v>
      </c>
      <c r="C156" t="s">
        <v>141</v>
      </c>
      <c r="D156" t="s">
        <v>10</v>
      </c>
      <c r="E156" t="s">
        <v>11</v>
      </c>
      <c r="F156">
        <v>1</v>
      </c>
    </row>
    <row r="157" spans="1:6" x14ac:dyDescent="0.2">
      <c r="A157" t="s">
        <v>1619</v>
      </c>
      <c r="B157" t="s">
        <v>1613</v>
      </c>
      <c r="C157" t="s">
        <v>1618</v>
      </c>
      <c r="D157" t="s">
        <v>10</v>
      </c>
      <c r="E157" t="s">
        <v>52</v>
      </c>
      <c r="F157">
        <v>4</v>
      </c>
    </row>
    <row r="158" spans="1:6" x14ac:dyDescent="0.2">
      <c r="A158" t="s">
        <v>898</v>
      </c>
      <c r="B158" t="s">
        <v>1613</v>
      </c>
      <c r="C158" t="s">
        <v>897</v>
      </c>
      <c r="D158" t="s">
        <v>10</v>
      </c>
      <c r="E158" t="s">
        <v>16</v>
      </c>
      <c r="F158">
        <v>1</v>
      </c>
    </row>
    <row r="159" spans="1:6" x14ac:dyDescent="0.2">
      <c r="A159" t="s">
        <v>1621</v>
      </c>
      <c r="B159" t="s">
        <v>1613</v>
      </c>
      <c r="C159" t="s">
        <v>1620</v>
      </c>
      <c r="D159" t="s">
        <v>10</v>
      </c>
      <c r="E159" t="s">
        <v>52</v>
      </c>
      <c r="F159">
        <v>4</v>
      </c>
    </row>
    <row r="160" spans="1:6" x14ac:dyDescent="0.2">
      <c r="A160" t="s">
        <v>1623</v>
      </c>
      <c r="B160" t="s">
        <v>1613</v>
      </c>
      <c r="C160" t="s">
        <v>1622</v>
      </c>
      <c r="D160" t="s">
        <v>10</v>
      </c>
      <c r="E160" t="s">
        <v>52</v>
      </c>
      <c r="F160">
        <v>2</v>
      </c>
    </row>
    <row r="161" spans="1:6" x14ac:dyDescent="0.2">
      <c r="A161" t="s">
        <v>1625</v>
      </c>
      <c r="B161" t="s">
        <v>1613</v>
      </c>
      <c r="C161" t="s">
        <v>1624</v>
      </c>
      <c r="D161" t="s">
        <v>10</v>
      </c>
      <c r="E161" t="s">
        <v>52</v>
      </c>
      <c r="F161">
        <v>2</v>
      </c>
    </row>
    <row r="162" spans="1:6" x14ac:dyDescent="0.2">
      <c r="A162" t="s">
        <v>1627</v>
      </c>
      <c r="B162" t="s">
        <v>1613</v>
      </c>
      <c r="C162" t="s">
        <v>1626</v>
      </c>
      <c r="D162" t="s">
        <v>10</v>
      </c>
      <c r="E162" t="s">
        <v>52</v>
      </c>
      <c r="F162">
        <v>2</v>
      </c>
    </row>
    <row r="163" spans="1:6" x14ac:dyDescent="0.2">
      <c r="A163" t="s">
        <v>1615</v>
      </c>
      <c r="B163" t="s">
        <v>1613</v>
      </c>
      <c r="C163" t="s">
        <v>1614</v>
      </c>
      <c r="D163" t="s">
        <v>10</v>
      </c>
      <c r="E163" t="s">
        <v>52</v>
      </c>
      <c r="F163">
        <v>1</v>
      </c>
    </row>
    <row r="164" spans="1:6" x14ac:dyDescent="0.2">
      <c r="A164" t="s">
        <v>1629</v>
      </c>
      <c r="B164" t="s">
        <v>1613</v>
      </c>
      <c r="C164" t="s">
        <v>1628</v>
      </c>
      <c r="D164" t="s">
        <v>10</v>
      </c>
      <c r="E164" t="s">
        <v>52</v>
      </c>
      <c r="F164">
        <v>2</v>
      </c>
    </row>
    <row r="165" spans="1:6" x14ac:dyDescent="0.2">
      <c r="A165" t="s">
        <v>1631</v>
      </c>
      <c r="B165" t="s">
        <v>1613</v>
      </c>
      <c r="C165" t="s">
        <v>1630</v>
      </c>
      <c r="D165" t="s">
        <v>10</v>
      </c>
      <c r="E165" t="s">
        <v>52</v>
      </c>
      <c r="F165">
        <v>2</v>
      </c>
    </row>
    <row r="166" spans="1:6" x14ac:dyDescent="0.2">
      <c r="A166" t="s">
        <v>1635</v>
      </c>
      <c r="B166" t="s">
        <v>1613</v>
      </c>
      <c r="C166" t="s">
        <v>1634</v>
      </c>
      <c r="D166" t="s">
        <v>10</v>
      </c>
      <c r="E166" t="s">
        <v>52</v>
      </c>
      <c r="F166">
        <v>2</v>
      </c>
    </row>
    <row r="167" spans="1:6" x14ac:dyDescent="0.2">
      <c r="A167" t="s">
        <v>1637</v>
      </c>
      <c r="B167" t="s">
        <v>1613</v>
      </c>
      <c r="C167" t="s">
        <v>1636</v>
      </c>
      <c r="D167" t="s">
        <v>10</v>
      </c>
      <c r="E167" t="s">
        <v>52</v>
      </c>
      <c r="F167">
        <v>4</v>
      </c>
    </row>
    <row r="168" spans="1:6" x14ac:dyDescent="0.2">
      <c r="A168" t="s">
        <v>1639</v>
      </c>
      <c r="B168" t="s">
        <v>1613</v>
      </c>
      <c r="C168" t="s">
        <v>1638</v>
      </c>
      <c r="D168" t="s">
        <v>10</v>
      </c>
      <c r="E168" t="s">
        <v>11</v>
      </c>
      <c r="F168">
        <v>2</v>
      </c>
    </row>
    <row r="169" spans="1:6" x14ac:dyDescent="0.2">
      <c r="A169" t="s">
        <v>1617</v>
      </c>
      <c r="B169" t="s">
        <v>1613</v>
      </c>
      <c r="C169" t="s">
        <v>1616</v>
      </c>
      <c r="D169" t="s">
        <v>10</v>
      </c>
      <c r="E169" t="s">
        <v>52</v>
      </c>
      <c r="F169">
        <v>2</v>
      </c>
    </row>
    <row r="170" spans="1:6" x14ac:dyDescent="0.2">
      <c r="A170" t="s">
        <v>1599</v>
      </c>
      <c r="B170" t="s">
        <v>7324</v>
      </c>
      <c r="C170" t="s">
        <v>1598</v>
      </c>
      <c r="D170" t="s">
        <v>10</v>
      </c>
      <c r="E170" t="s">
        <v>16</v>
      </c>
      <c r="F170">
        <v>2</v>
      </c>
    </row>
    <row r="171" spans="1:6" x14ac:dyDescent="0.2">
      <c r="A171" t="s">
        <v>11173</v>
      </c>
      <c r="B171" t="s">
        <v>11166</v>
      </c>
      <c r="C171" t="s">
        <v>11172</v>
      </c>
      <c r="D171" t="s">
        <v>10</v>
      </c>
      <c r="E171" t="s">
        <v>16</v>
      </c>
      <c r="F171">
        <v>1</v>
      </c>
    </row>
    <row r="172" spans="1:6" x14ac:dyDescent="0.2">
      <c r="A172" t="s">
        <v>2047</v>
      </c>
      <c r="B172" t="s">
        <v>2038</v>
      </c>
      <c r="C172" t="s">
        <v>2046</v>
      </c>
      <c r="D172" t="s">
        <v>10</v>
      </c>
      <c r="E172" t="s">
        <v>16</v>
      </c>
      <c r="F172">
        <v>2</v>
      </c>
    </row>
    <row r="173" spans="1:6" x14ac:dyDescent="0.2">
      <c r="A173" t="s">
        <v>7268</v>
      </c>
      <c r="B173" t="s">
        <v>7266</v>
      </c>
      <c r="C173" t="s">
        <v>7267</v>
      </c>
      <c r="D173" t="s">
        <v>56</v>
      </c>
      <c r="E173" t="s">
        <v>52</v>
      </c>
      <c r="F173">
        <v>2</v>
      </c>
    </row>
    <row r="174" spans="1:6" x14ac:dyDescent="0.2">
      <c r="A174" t="s">
        <v>519</v>
      </c>
      <c r="B174" t="s">
        <v>517</v>
      </c>
      <c r="C174" t="s">
        <v>518</v>
      </c>
      <c r="D174" t="s">
        <v>10</v>
      </c>
      <c r="E174" t="s">
        <v>16</v>
      </c>
      <c r="F174">
        <v>1</v>
      </c>
    </row>
    <row r="175" spans="1:6" x14ac:dyDescent="0.2">
      <c r="A175" t="s">
        <v>525</v>
      </c>
      <c r="B175" t="s">
        <v>517</v>
      </c>
      <c r="C175" t="s">
        <v>524</v>
      </c>
      <c r="D175" t="s">
        <v>10</v>
      </c>
      <c r="E175" t="s">
        <v>16</v>
      </c>
      <c r="F175">
        <v>1</v>
      </c>
    </row>
    <row r="176" spans="1:6" x14ac:dyDescent="0.2">
      <c r="A176" t="s">
        <v>530</v>
      </c>
      <c r="B176" t="s">
        <v>517</v>
      </c>
      <c r="C176" t="s">
        <v>529</v>
      </c>
      <c r="D176" t="s">
        <v>29</v>
      </c>
      <c r="E176" t="s">
        <v>16</v>
      </c>
      <c r="F176">
        <v>1</v>
      </c>
    </row>
    <row r="177" spans="1:6" x14ac:dyDescent="0.2">
      <c r="A177" t="s">
        <v>532</v>
      </c>
      <c r="B177" t="s">
        <v>517</v>
      </c>
      <c r="C177" t="s">
        <v>531</v>
      </c>
      <c r="D177" t="s">
        <v>10</v>
      </c>
      <c r="E177" t="s">
        <v>16</v>
      </c>
      <c r="F177">
        <v>2</v>
      </c>
    </row>
    <row r="178" spans="1:6" x14ac:dyDescent="0.2">
      <c r="A178" t="s">
        <v>534</v>
      </c>
      <c r="B178" t="s">
        <v>517</v>
      </c>
      <c r="C178" t="s">
        <v>533</v>
      </c>
      <c r="D178" t="s">
        <v>10</v>
      </c>
      <c r="E178" t="s">
        <v>16</v>
      </c>
      <c r="F178">
        <v>2</v>
      </c>
    </row>
    <row r="179" spans="1:6" x14ac:dyDescent="0.2">
      <c r="A179" t="s">
        <v>552</v>
      </c>
      <c r="B179" t="s">
        <v>517</v>
      </c>
      <c r="C179" t="s">
        <v>551</v>
      </c>
      <c r="D179" t="s">
        <v>10</v>
      </c>
      <c r="E179" t="s">
        <v>16</v>
      </c>
      <c r="F179">
        <v>1</v>
      </c>
    </row>
    <row r="180" spans="1:6" x14ac:dyDescent="0.2">
      <c r="A180" t="s">
        <v>536</v>
      </c>
      <c r="B180" t="s">
        <v>517</v>
      </c>
      <c r="C180" t="s">
        <v>535</v>
      </c>
      <c r="D180" t="s">
        <v>10</v>
      </c>
      <c r="E180" t="s">
        <v>16</v>
      </c>
      <c r="F180">
        <v>2</v>
      </c>
    </row>
    <row r="181" spans="1:6" x14ac:dyDescent="0.2">
      <c r="A181" t="s">
        <v>6967</v>
      </c>
      <c r="B181" t="s">
        <v>6965</v>
      </c>
      <c r="C181" t="s">
        <v>6966</v>
      </c>
      <c r="D181" t="s">
        <v>10</v>
      </c>
      <c r="E181" t="s">
        <v>16</v>
      </c>
      <c r="F181">
        <v>1</v>
      </c>
    </row>
    <row r="182" spans="1:6" x14ac:dyDescent="0.2">
      <c r="A182" t="s">
        <v>6970</v>
      </c>
      <c r="B182" t="s">
        <v>6965</v>
      </c>
      <c r="C182" t="s">
        <v>6969</v>
      </c>
      <c r="D182" t="s">
        <v>10</v>
      </c>
      <c r="E182" t="s">
        <v>16</v>
      </c>
      <c r="F182">
        <v>1</v>
      </c>
    </row>
    <row r="183" spans="1:6" x14ac:dyDescent="0.2">
      <c r="A183" t="s">
        <v>6976</v>
      </c>
      <c r="B183" t="s">
        <v>6965</v>
      </c>
      <c r="C183" t="s">
        <v>6975</v>
      </c>
      <c r="D183" t="s">
        <v>10</v>
      </c>
      <c r="E183" t="s">
        <v>16</v>
      </c>
      <c r="F183">
        <v>1</v>
      </c>
    </row>
    <row r="184" spans="1:6" x14ac:dyDescent="0.2">
      <c r="A184" t="s">
        <v>570</v>
      </c>
      <c r="B184" t="s">
        <v>568</v>
      </c>
      <c r="C184" t="s">
        <v>569</v>
      </c>
      <c r="D184" t="s">
        <v>10</v>
      </c>
      <c r="E184" t="s">
        <v>16</v>
      </c>
      <c r="F184">
        <v>1</v>
      </c>
    </row>
    <row r="185" spans="1:6" x14ac:dyDescent="0.2">
      <c r="A185" t="s">
        <v>459</v>
      </c>
      <c r="B185" t="s">
        <v>450</v>
      </c>
      <c r="C185" t="s">
        <v>458</v>
      </c>
      <c r="D185" t="s">
        <v>10</v>
      </c>
      <c r="E185" t="s">
        <v>16</v>
      </c>
      <c r="F185">
        <v>1</v>
      </c>
    </row>
    <row r="186" spans="1:6" x14ac:dyDescent="0.2">
      <c r="A186" t="s">
        <v>461</v>
      </c>
      <c r="B186" t="s">
        <v>450</v>
      </c>
      <c r="C186" t="s">
        <v>460</v>
      </c>
      <c r="D186" t="s">
        <v>10</v>
      </c>
      <c r="E186" t="s">
        <v>16</v>
      </c>
      <c r="F186">
        <v>1</v>
      </c>
    </row>
    <row r="187" spans="1:6" x14ac:dyDescent="0.2">
      <c r="A187" t="s">
        <v>474</v>
      </c>
      <c r="B187" t="s">
        <v>450</v>
      </c>
      <c r="C187" t="s">
        <v>473</v>
      </c>
      <c r="D187" t="s">
        <v>10</v>
      </c>
      <c r="E187" t="s">
        <v>16</v>
      </c>
      <c r="F187">
        <v>1</v>
      </c>
    </row>
    <row r="188" spans="1:6" x14ac:dyDescent="0.2">
      <c r="A188" t="s">
        <v>480</v>
      </c>
      <c r="B188" t="s">
        <v>450</v>
      </c>
      <c r="C188" t="s">
        <v>479</v>
      </c>
      <c r="D188" t="s">
        <v>10</v>
      </c>
      <c r="E188" t="s">
        <v>16</v>
      </c>
      <c r="F188">
        <v>1</v>
      </c>
    </row>
    <row r="189" spans="1:6" x14ac:dyDescent="0.2">
      <c r="A189" t="s">
        <v>477</v>
      </c>
      <c r="B189" t="s">
        <v>450</v>
      </c>
      <c r="C189" t="s">
        <v>476</v>
      </c>
      <c r="D189" t="s">
        <v>10</v>
      </c>
      <c r="E189" t="s">
        <v>16</v>
      </c>
      <c r="F189">
        <v>1</v>
      </c>
    </row>
    <row r="190" spans="1:6" x14ac:dyDescent="0.2">
      <c r="A190" t="s">
        <v>483</v>
      </c>
      <c r="B190" t="s">
        <v>450</v>
      </c>
      <c r="C190" t="s">
        <v>482</v>
      </c>
      <c r="D190" t="s">
        <v>10</v>
      </c>
      <c r="E190" t="s">
        <v>16</v>
      </c>
      <c r="F190">
        <v>1</v>
      </c>
    </row>
    <row r="191" spans="1:6" x14ac:dyDescent="0.2">
      <c r="A191" t="s">
        <v>1680</v>
      </c>
      <c r="B191" t="s">
        <v>1678</v>
      </c>
      <c r="C191" t="s">
        <v>1679</v>
      </c>
      <c r="D191" t="s">
        <v>10</v>
      </c>
      <c r="E191" t="s">
        <v>16</v>
      </c>
      <c r="F191">
        <v>1</v>
      </c>
    </row>
    <row r="192" spans="1:6" x14ac:dyDescent="0.2">
      <c r="A192" t="s">
        <v>10204</v>
      </c>
      <c r="B192" t="s">
        <v>10193</v>
      </c>
      <c r="C192" t="s">
        <v>10203</v>
      </c>
      <c r="D192" t="s">
        <v>10</v>
      </c>
      <c r="E192" t="s">
        <v>1080</v>
      </c>
      <c r="F192">
        <v>1</v>
      </c>
    </row>
    <row r="193" spans="1:6" x14ac:dyDescent="0.2">
      <c r="A193" t="s">
        <v>10201</v>
      </c>
      <c r="B193" t="s">
        <v>10193</v>
      </c>
      <c r="C193" t="s">
        <v>10200</v>
      </c>
      <c r="D193" t="s">
        <v>10</v>
      </c>
      <c r="E193" t="s">
        <v>16</v>
      </c>
      <c r="F193">
        <v>1</v>
      </c>
    </row>
    <row r="194" spans="1:6" x14ac:dyDescent="0.2">
      <c r="A194" t="s">
        <v>10009</v>
      </c>
      <c r="B194" t="s">
        <v>10146</v>
      </c>
      <c r="C194" t="s">
        <v>10013</v>
      </c>
      <c r="D194" t="s">
        <v>10</v>
      </c>
      <c r="E194" t="s">
        <v>11</v>
      </c>
      <c r="F194">
        <v>1</v>
      </c>
    </row>
    <row r="195" spans="1:6" x14ac:dyDescent="0.2">
      <c r="A195" t="s">
        <v>76</v>
      </c>
      <c r="B195" t="s">
        <v>74</v>
      </c>
      <c r="C195" t="s">
        <v>75</v>
      </c>
      <c r="D195" t="s">
        <v>10</v>
      </c>
      <c r="E195" t="s">
        <v>16</v>
      </c>
      <c r="F195">
        <v>1</v>
      </c>
    </row>
    <row r="196" spans="1:6" x14ac:dyDescent="0.2">
      <c r="A196" t="s">
        <v>5873</v>
      </c>
      <c r="B196" t="s">
        <v>5871</v>
      </c>
      <c r="C196" t="s">
        <v>5884</v>
      </c>
      <c r="D196" t="s">
        <v>10</v>
      </c>
      <c r="E196" t="s">
        <v>16</v>
      </c>
      <c r="F196">
        <v>1</v>
      </c>
    </row>
    <row r="197" spans="1:6" x14ac:dyDescent="0.2">
      <c r="A197" t="s">
        <v>1716</v>
      </c>
      <c r="B197" t="s">
        <v>1714</v>
      </c>
      <c r="C197" t="s">
        <v>1717</v>
      </c>
      <c r="D197" t="s">
        <v>10</v>
      </c>
      <c r="E197" t="s">
        <v>16</v>
      </c>
      <c r="F197">
        <v>1</v>
      </c>
    </row>
    <row r="198" spans="1:6" x14ac:dyDescent="0.2">
      <c r="A198" t="s">
        <v>6718</v>
      </c>
      <c r="B198" t="s">
        <v>6716</v>
      </c>
      <c r="C198" t="s">
        <v>6720</v>
      </c>
      <c r="D198" t="s">
        <v>10</v>
      </c>
      <c r="E198" t="s">
        <v>52</v>
      </c>
      <c r="F198">
        <v>2</v>
      </c>
    </row>
    <row r="199" spans="1:6" x14ac:dyDescent="0.2">
      <c r="A199" t="s">
        <v>1709</v>
      </c>
      <c r="B199" t="s">
        <v>1707</v>
      </c>
      <c r="C199" t="s">
        <v>1708</v>
      </c>
      <c r="D199" t="s">
        <v>10</v>
      </c>
      <c r="E199" t="s">
        <v>16</v>
      </c>
      <c r="F199">
        <v>1</v>
      </c>
    </row>
    <row r="200" spans="1:6" x14ac:dyDescent="0.2">
      <c r="A200" t="s">
        <v>5494</v>
      </c>
      <c r="B200" t="s">
        <v>5492</v>
      </c>
      <c r="C200" t="s">
        <v>5493</v>
      </c>
      <c r="D200" t="s">
        <v>10</v>
      </c>
      <c r="E200" t="s">
        <v>16</v>
      </c>
      <c r="F200">
        <v>1</v>
      </c>
    </row>
    <row r="201" spans="1:6" x14ac:dyDescent="0.2">
      <c r="A201" t="s">
        <v>10245</v>
      </c>
      <c r="B201" t="s">
        <v>10237</v>
      </c>
      <c r="C201" t="s">
        <v>10244</v>
      </c>
      <c r="D201" t="s">
        <v>10</v>
      </c>
      <c r="E201" t="s">
        <v>16</v>
      </c>
      <c r="F201">
        <v>1</v>
      </c>
    </row>
    <row r="202" spans="1:6" x14ac:dyDescent="0.2">
      <c r="A202" t="s">
        <v>10247</v>
      </c>
      <c r="B202" t="s">
        <v>10237</v>
      </c>
      <c r="C202" t="s">
        <v>10246</v>
      </c>
      <c r="D202" t="s">
        <v>10</v>
      </c>
      <c r="E202" t="s">
        <v>16</v>
      </c>
      <c r="F202">
        <v>1</v>
      </c>
    </row>
    <row r="203" spans="1:6" x14ac:dyDescent="0.2">
      <c r="A203" t="s">
        <v>10251</v>
      </c>
      <c r="B203" t="s">
        <v>10237</v>
      </c>
      <c r="C203" t="s">
        <v>10250</v>
      </c>
      <c r="D203" t="s">
        <v>10</v>
      </c>
      <c r="E203" t="s">
        <v>16</v>
      </c>
      <c r="F203">
        <v>1</v>
      </c>
    </row>
    <row r="204" spans="1:6" x14ac:dyDescent="0.2">
      <c r="A204" t="s">
        <v>10249</v>
      </c>
      <c r="B204" t="s">
        <v>10237</v>
      </c>
      <c r="C204" t="s">
        <v>10248</v>
      </c>
      <c r="D204" t="s">
        <v>10</v>
      </c>
      <c r="E204" t="s">
        <v>16</v>
      </c>
      <c r="F204">
        <v>1</v>
      </c>
    </row>
    <row r="205" spans="1:6" x14ac:dyDescent="0.2">
      <c r="A205" t="s">
        <v>10253</v>
      </c>
      <c r="B205" t="s">
        <v>10237</v>
      </c>
      <c r="C205" t="s">
        <v>10255</v>
      </c>
      <c r="D205" t="s">
        <v>10</v>
      </c>
      <c r="E205" t="s">
        <v>16</v>
      </c>
      <c r="F205">
        <v>1</v>
      </c>
    </row>
    <row r="206" spans="1:6" x14ac:dyDescent="0.2">
      <c r="A206" t="s">
        <v>10257</v>
      </c>
      <c r="B206" t="s">
        <v>10237</v>
      </c>
      <c r="C206" t="s">
        <v>10256</v>
      </c>
      <c r="D206" t="s">
        <v>10</v>
      </c>
      <c r="E206" t="s">
        <v>16</v>
      </c>
      <c r="F206">
        <v>1</v>
      </c>
    </row>
    <row r="207" spans="1:6" x14ac:dyDescent="0.2">
      <c r="A207" t="s">
        <v>2634</v>
      </c>
      <c r="B207" t="s">
        <v>10237</v>
      </c>
      <c r="C207" t="s">
        <v>10239</v>
      </c>
      <c r="D207" t="s">
        <v>10</v>
      </c>
      <c r="E207" t="s">
        <v>16</v>
      </c>
      <c r="F207">
        <v>1</v>
      </c>
    </row>
    <row r="208" spans="1:6" x14ac:dyDescent="0.2">
      <c r="A208" t="s">
        <v>10243</v>
      </c>
      <c r="B208" t="s">
        <v>10237</v>
      </c>
      <c r="C208" t="s">
        <v>10242</v>
      </c>
      <c r="D208" t="s">
        <v>10</v>
      </c>
      <c r="E208" t="s">
        <v>16</v>
      </c>
      <c r="F208">
        <v>1</v>
      </c>
    </row>
    <row r="209" spans="1:6" x14ac:dyDescent="0.2">
      <c r="A209" t="s">
        <v>10260</v>
      </c>
      <c r="B209" t="s">
        <v>10237</v>
      </c>
      <c r="C209" t="s">
        <v>10259</v>
      </c>
      <c r="D209" t="s">
        <v>10</v>
      </c>
      <c r="E209" t="s">
        <v>16</v>
      </c>
      <c r="F209">
        <v>1</v>
      </c>
    </row>
    <row r="210" spans="1:6" x14ac:dyDescent="0.2">
      <c r="A210" t="s">
        <v>10266</v>
      </c>
      <c r="B210" t="s">
        <v>10237</v>
      </c>
      <c r="C210" t="s">
        <v>10273</v>
      </c>
      <c r="D210" t="s">
        <v>10</v>
      </c>
      <c r="E210" t="s">
        <v>16</v>
      </c>
      <c r="F210">
        <v>1</v>
      </c>
    </row>
    <row r="211" spans="1:6" x14ac:dyDescent="0.2">
      <c r="A211" t="s">
        <v>5499</v>
      </c>
      <c r="B211" t="s">
        <v>5492</v>
      </c>
      <c r="C211" t="s">
        <v>5498</v>
      </c>
      <c r="D211" t="s">
        <v>10</v>
      </c>
      <c r="E211" t="s">
        <v>52</v>
      </c>
      <c r="F211">
        <v>1</v>
      </c>
    </row>
    <row r="212" spans="1:6" x14ac:dyDescent="0.2">
      <c r="A212" t="s">
        <v>10278</v>
      </c>
      <c r="B212" t="s">
        <v>10237</v>
      </c>
      <c r="C212" t="s">
        <v>10277</v>
      </c>
      <c r="D212" t="s">
        <v>10</v>
      </c>
      <c r="E212" t="s">
        <v>16</v>
      </c>
      <c r="F212">
        <v>1</v>
      </c>
    </row>
    <row r="213" spans="1:6" x14ac:dyDescent="0.2">
      <c r="A213" t="s">
        <v>10280</v>
      </c>
      <c r="B213" t="s">
        <v>10237</v>
      </c>
      <c r="C213" t="s">
        <v>10279</v>
      </c>
      <c r="D213" t="s">
        <v>10</v>
      </c>
      <c r="E213" t="s">
        <v>16</v>
      </c>
      <c r="F213">
        <v>1</v>
      </c>
    </row>
    <row r="214" spans="1:6" x14ac:dyDescent="0.2">
      <c r="A214" t="s">
        <v>593</v>
      </c>
      <c r="B214" t="s">
        <v>587</v>
      </c>
      <c r="C214" t="s">
        <v>9983</v>
      </c>
      <c r="D214" t="s">
        <v>56</v>
      </c>
      <c r="E214" t="s">
        <v>52</v>
      </c>
      <c r="F214">
        <v>2</v>
      </c>
    </row>
    <row r="215" spans="1:6" x14ac:dyDescent="0.2">
      <c r="A215" t="s">
        <v>599</v>
      </c>
      <c r="B215" t="s">
        <v>587</v>
      </c>
      <c r="C215" t="s">
        <v>614</v>
      </c>
      <c r="D215" t="s">
        <v>56</v>
      </c>
      <c r="E215" t="s">
        <v>52</v>
      </c>
      <c r="F215">
        <v>2</v>
      </c>
    </row>
    <row r="216" spans="1:6" x14ac:dyDescent="0.2">
      <c r="A216" t="s">
        <v>605</v>
      </c>
      <c r="B216" t="s">
        <v>587</v>
      </c>
      <c r="C216" t="s">
        <v>606</v>
      </c>
      <c r="D216" t="s">
        <v>56</v>
      </c>
      <c r="E216" t="s">
        <v>52</v>
      </c>
      <c r="F216">
        <v>1</v>
      </c>
    </row>
    <row r="217" spans="1:6" x14ac:dyDescent="0.2">
      <c r="A217" t="s">
        <v>609</v>
      </c>
      <c r="B217" t="s">
        <v>587</v>
      </c>
      <c r="C217" t="s">
        <v>608</v>
      </c>
      <c r="D217" t="s">
        <v>56</v>
      </c>
      <c r="E217" t="s">
        <v>52</v>
      </c>
      <c r="F217">
        <v>2</v>
      </c>
    </row>
    <row r="218" spans="1:6" x14ac:dyDescent="0.2">
      <c r="A218" t="s">
        <v>612</v>
      </c>
      <c r="B218" t="s">
        <v>587</v>
      </c>
      <c r="C218" t="s">
        <v>611</v>
      </c>
      <c r="D218" t="s">
        <v>56</v>
      </c>
      <c r="E218" t="s">
        <v>52</v>
      </c>
      <c r="F218">
        <v>2</v>
      </c>
    </row>
    <row r="219" spans="1:6" x14ac:dyDescent="0.2">
      <c r="A219" t="s">
        <v>10926</v>
      </c>
      <c r="B219" t="s">
        <v>10924</v>
      </c>
      <c r="C219" t="s">
        <v>10925</v>
      </c>
      <c r="D219" t="s">
        <v>10</v>
      </c>
      <c r="E219" t="s">
        <v>16</v>
      </c>
      <c r="F219">
        <v>1</v>
      </c>
    </row>
    <row r="220" spans="1:6" x14ac:dyDescent="0.2">
      <c r="A220" t="s">
        <v>1726</v>
      </c>
      <c r="B220" t="s">
        <v>1724</v>
      </c>
      <c r="C220" t="s">
        <v>1725</v>
      </c>
      <c r="D220" t="s">
        <v>10</v>
      </c>
      <c r="E220" t="s">
        <v>16</v>
      </c>
      <c r="F220">
        <v>1</v>
      </c>
    </row>
    <row r="221" spans="1:6" x14ac:dyDescent="0.2">
      <c r="A221" t="s">
        <v>11308</v>
      </c>
      <c r="B221" t="s">
        <v>11294</v>
      </c>
      <c r="C221" t="s">
        <v>11307</v>
      </c>
      <c r="D221" t="s">
        <v>10</v>
      </c>
      <c r="E221" t="s">
        <v>16</v>
      </c>
      <c r="F221">
        <v>1</v>
      </c>
    </row>
    <row r="222" spans="1:6" x14ac:dyDescent="0.2">
      <c r="A222" t="s">
        <v>6263</v>
      </c>
      <c r="B222" t="s">
        <v>6716</v>
      </c>
      <c r="C222" t="s">
        <v>6731</v>
      </c>
      <c r="D222" t="s">
        <v>10</v>
      </c>
      <c r="E222" t="s">
        <v>11</v>
      </c>
      <c r="F222">
        <v>2</v>
      </c>
    </row>
    <row r="223" spans="1:6" x14ac:dyDescent="0.2">
      <c r="A223" t="s">
        <v>1063</v>
      </c>
      <c r="B223" t="s">
        <v>1040</v>
      </c>
      <c r="C223" t="s">
        <v>1062</v>
      </c>
      <c r="D223" t="s">
        <v>10</v>
      </c>
      <c r="E223" t="s">
        <v>16</v>
      </c>
      <c r="F223">
        <v>1</v>
      </c>
    </row>
    <row r="224" spans="1:6" x14ac:dyDescent="0.2">
      <c r="A224" t="s">
        <v>991</v>
      </c>
      <c r="B224" t="s">
        <v>987</v>
      </c>
      <c r="C224" t="s">
        <v>990</v>
      </c>
      <c r="D224" t="s">
        <v>10</v>
      </c>
      <c r="E224" t="s">
        <v>11</v>
      </c>
      <c r="F224">
        <v>2</v>
      </c>
    </row>
    <row r="225" spans="1:6" x14ac:dyDescent="0.2">
      <c r="A225" t="s">
        <v>1042</v>
      </c>
      <c r="B225" t="s">
        <v>1040</v>
      </c>
      <c r="C225" t="s">
        <v>1041</v>
      </c>
      <c r="D225" t="s">
        <v>10</v>
      </c>
      <c r="E225" t="s">
        <v>16</v>
      </c>
      <c r="F225">
        <v>1</v>
      </c>
    </row>
    <row r="226" spans="1:6" x14ac:dyDescent="0.2">
      <c r="A226" t="s">
        <v>1045</v>
      </c>
      <c r="B226" t="s">
        <v>1040</v>
      </c>
      <c r="C226" t="s">
        <v>1044</v>
      </c>
      <c r="D226" t="s">
        <v>10</v>
      </c>
      <c r="E226" t="s">
        <v>52</v>
      </c>
      <c r="F226">
        <v>1</v>
      </c>
    </row>
    <row r="227" spans="1:6" x14ac:dyDescent="0.2">
      <c r="A227" t="s">
        <v>1770</v>
      </c>
      <c r="B227" t="s">
        <v>1768</v>
      </c>
      <c r="C227" t="s">
        <v>1769</v>
      </c>
      <c r="D227" t="s">
        <v>10</v>
      </c>
      <c r="E227" t="s">
        <v>52</v>
      </c>
      <c r="F227">
        <v>2</v>
      </c>
    </row>
    <row r="228" spans="1:6" x14ac:dyDescent="0.2">
      <c r="A228" t="s">
        <v>1773</v>
      </c>
      <c r="B228" t="s">
        <v>1768</v>
      </c>
      <c r="C228" t="s">
        <v>1772</v>
      </c>
      <c r="D228" t="s">
        <v>10</v>
      </c>
      <c r="E228" t="s">
        <v>52</v>
      </c>
      <c r="F228">
        <v>2</v>
      </c>
    </row>
    <row r="229" spans="1:6" x14ac:dyDescent="0.2">
      <c r="A229" t="s">
        <v>1776</v>
      </c>
      <c r="B229" t="s">
        <v>1768</v>
      </c>
      <c r="C229" t="s">
        <v>1775</v>
      </c>
      <c r="D229" t="s">
        <v>10</v>
      </c>
      <c r="E229" t="s">
        <v>52</v>
      </c>
      <c r="F229">
        <v>2</v>
      </c>
    </row>
    <row r="230" spans="1:6" x14ac:dyDescent="0.2">
      <c r="A230" t="s">
        <v>1781</v>
      </c>
      <c r="B230" t="s">
        <v>1768</v>
      </c>
      <c r="C230" t="s">
        <v>1780</v>
      </c>
      <c r="D230" t="s">
        <v>10</v>
      </c>
      <c r="E230" t="s">
        <v>52</v>
      </c>
      <c r="F230">
        <v>2</v>
      </c>
    </row>
    <row r="231" spans="1:6" x14ac:dyDescent="0.2">
      <c r="A231" t="s">
        <v>1050</v>
      </c>
      <c r="B231" t="s">
        <v>1040</v>
      </c>
      <c r="C231" t="s">
        <v>1049</v>
      </c>
      <c r="D231" t="s">
        <v>10</v>
      </c>
      <c r="E231" t="s">
        <v>16</v>
      </c>
      <c r="F231">
        <v>1</v>
      </c>
    </row>
    <row r="232" spans="1:6" x14ac:dyDescent="0.2">
      <c r="A232" t="s">
        <v>1055</v>
      </c>
      <c r="B232" t="s">
        <v>1040</v>
      </c>
      <c r="C232" t="s">
        <v>1054</v>
      </c>
      <c r="D232" t="s">
        <v>10</v>
      </c>
      <c r="E232" t="s">
        <v>52</v>
      </c>
      <c r="F232">
        <v>1</v>
      </c>
    </row>
    <row r="233" spans="1:6" x14ac:dyDescent="0.2">
      <c r="A233" t="s">
        <v>1783</v>
      </c>
      <c r="B233" t="s">
        <v>1768</v>
      </c>
      <c r="C233" t="s">
        <v>1782</v>
      </c>
      <c r="D233" t="s">
        <v>10</v>
      </c>
      <c r="E233" t="s">
        <v>52</v>
      </c>
      <c r="F233">
        <v>2</v>
      </c>
    </row>
    <row r="234" spans="1:6" x14ac:dyDescent="0.2">
      <c r="A234" t="s">
        <v>1786</v>
      </c>
      <c r="B234" t="s">
        <v>1768</v>
      </c>
      <c r="C234" t="s">
        <v>1785</v>
      </c>
      <c r="D234" t="s">
        <v>10</v>
      </c>
      <c r="E234" t="s">
        <v>52</v>
      </c>
      <c r="F234">
        <v>2</v>
      </c>
    </row>
    <row r="235" spans="1:6" x14ac:dyDescent="0.2">
      <c r="A235" t="s">
        <v>1788</v>
      </c>
      <c r="B235" t="s">
        <v>1768</v>
      </c>
      <c r="C235" t="s">
        <v>1794</v>
      </c>
      <c r="D235" t="s">
        <v>10</v>
      </c>
      <c r="E235" t="s">
        <v>52</v>
      </c>
      <c r="F235">
        <v>2</v>
      </c>
    </row>
    <row r="236" spans="1:6" x14ac:dyDescent="0.2">
      <c r="A236" t="s">
        <v>1790</v>
      </c>
      <c r="B236" t="s">
        <v>1768</v>
      </c>
      <c r="C236" t="s">
        <v>1792</v>
      </c>
      <c r="D236" t="s">
        <v>10</v>
      </c>
      <c r="E236" t="s">
        <v>52</v>
      </c>
      <c r="F236">
        <v>2</v>
      </c>
    </row>
    <row r="237" spans="1:6" x14ac:dyDescent="0.2">
      <c r="A237" t="s">
        <v>1057</v>
      </c>
      <c r="B237" t="s">
        <v>1040</v>
      </c>
      <c r="C237" t="s">
        <v>1056</v>
      </c>
      <c r="D237" t="s">
        <v>10</v>
      </c>
      <c r="E237" t="s">
        <v>52</v>
      </c>
      <c r="F237">
        <v>1</v>
      </c>
    </row>
    <row r="238" spans="1:6" x14ac:dyDescent="0.2">
      <c r="A238" t="s">
        <v>1283</v>
      </c>
      <c r="B238" t="s">
        <v>1281</v>
      </c>
      <c r="C238" t="s">
        <v>1282</v>
      </c>
      <c r="D238" t="s">
        <v>10</v>
      </c>
      <c r="E238" t="s">
        <v>16</v>
      </c>
      <c r="F238">
        <v>1</v>
      </c>
    </row>
    <row r="239" spans="1:6" x14ac:dyDescent="0.2">
      <c r="A239" t="s">
        <v>1749</v>
      </c>
      <c r="B239" t="s">
        <v>1747</v>
      </c>
      <c r="C239" t="s">
        <v>1748</v>
      </c>
      <c r="D239" t="s">
        <v>10</v>
      </c>
      <c r="E239" t="s">
        <v>11</v>
      </c>
      <c r="F239">
        <v>2</v>
      </c>
    </row>
    <row r="240" spans="1:6" x14ac:dyDescent="0.2">
      <c r="A240" t="s">
        <v>1285</v>
      </c>
      <c r="B240" t="s">
        <v>1281</v>
      </c>
      <c r="C240" t="s">
        <v>1284</v>
      </c>
      <c r="D240" t="s">
        <v>10</v>
      </c>
      <c r="E240" t="s">
        <v>16</v>
      </c>
      <c r="F240">
        <v>1</v>
      </c>
    </row>
    <row r="241" spans="1:6" x14ac:dyDescent="0.2">
      <c r="A241" t="s">
        <v>9835</v>
      </c>
      <c r="B241" t="s">
        <v>9826</v>
      </c>
      <c r="C241" t="s">
        <v>9835</v>
      </c>
      <c r="D241" t="s">
        <v>10</v>
      </c>
      <c r="E241" t="s">
        <v>16</v>
      </c>
      <c r="F241">
        <v>1</v>
      </c>
    </row>
    <row r="242" spans="1:6" x14ac:dyDescent="0.2">
      <c r="A242" t="s">
        <v>3076</v>
      </c>
      <c r="B242" t="s">
        <v>4390</v>
      </c>
      <c r="C242" t="s">
        <v>4391</v>
      </c>
      <c r="D242" t="s">
        <v>10</v>
      </c>
      <c r="E242" t="s">
        <v>52</v>
      </c>
      <c r="F242">
        <v>2</v>
      </c>
    </row>
    <row r="243" spans="1:6" x14ac:dyDescent="0.2">
      <c r="A243" t="s">
        <v>3095</v>
      </c>
      <c r="B243" t="s">
        <v>3094</v>
      </c>
      <c r="C243" t="s">
        <v>3095</v>
      </c>
      <c r="D243" t="s">
        <v>10</v>
      </c>
      <c r="E243" t="s">
        <v>52</v>
      </c>
      <c r="F243">
        <v>2</v>
      </c>
    </row>
    <row r="244" spans="1:6" x14ac:dyDescent="0.2">
      <c r="A244" t="s">
        <v>2165</v>
      </c>
      <c r="B244" t="s">
        <v>2163</v>
      </c>
      <c r="C244" t="s">
        <v>2164</v>
      </c>
      <c r="D244" t="s">
        <v>10</v>
      </c>
      <c r="E244" t="s">
        <v>16</v>
      </c>
      <c r="F244">
        <v>1</v>
      </c>
    </row>
    <row r="245" spans="1:6" x14ac:dyDescent="0.2">
      <c r="A245" t="s">
        <v>1813</v>
      </c>
      <c r="B245" t="s">
        <v>1795</v>
      </c>
      <c r="C245" t="s">
        <v>1812</v>
      </c>
      <c r="D245" t="s">
        <v>10</v>
      </c>
      <c r="E245" t="s">
        <v>16</v>
      </c>
      <c r="F245">
        <v>1</v>
      </c>
    </row>
    <row r="246" spans="1:6" x14ac:dyDescent="0.2">
      <c r="A246" t="s">
        <v>1815</v>
      </c>
      <c r="B246" t="s">
        <v>1795</v>
      </c>
      <c r="C246" t="s">
        <v>1814</v>
      </c>
      <c r="D246" t="s">
        <v>10</v>
      </c>
      <c r="E246" t="s">
        <v>16</v>
      </c>
      <c r="F246">
        <v>1</v>
      </c>
    </row>
    <row r="247" spans="1:6" x14ac:dyDescent="0.2">
      <c r="A247" t="s">
        <v>11259</v>
      </c>
      <c r="B247" t="s">
        <v>11255</v>
      </c>
      <c r="C247" t="s">
        <v>11258</v>
      </c>
      <c r="D247" t="s">
        <v>10</v>
      </c>
      <c r="E247" t="s">
        <v>16</v>
      </c>
      <c r="F247">
        <v>1</v>
      </c>
    </row>
    <row r="248" spans="1:6" x14ac:dyDescent="0.2">
      <c r="A248" t="s">
        <v>11261</v>
      </c>
      <c r="B248" t="s">
        <v>11255</v>
      </c>
      <c r="C248" t="s">
        <v>11260</v>
      </c>
      <c r="D248" t="s">
        <v>10</v>
      </c>
      <c r="E248" t="s">
        <v>16</v>
      </c>
      <c r="F248">
        <v>1</v>
      </c>
    </row>
    <row r="249" spans="1:6" x14ac:dyDescent="0.2">
      <c r="A249" t="s">
        <v>1806</v>
      </c>
      <c r="B249" t="s">
        <v>1795</v>
      </c>
      <c r="C249" t="s">
        <v>1845</v>
      </c>
      <c r="D249" t="s">
        <v>10</v>
      </c>
      <c r="E249" t="s">
        <v>16</v>
      </c>
      <c r="F249">
        <v>1</v>
      </c>
    </row>
    <row r="250" spans="1:6" x14ac:dyDescent="0.2">
      <c r="A250" t="s">
        <v>1806</v>
      </c>
      <c r="B250" t="s">
        <v>11255</v>
      </c>
      <c r="C250" t="s">
        <v>1845</v>
      </c>
      <c r="D250" t="s">
        <v>10</v>
      </c>
      <c r="E250" t="s">
        <v>16</v>
      </c>
      <c r="F250">
        <v>1</v>
      </c>
    </row>
    <row r="251" spans="1:6" x14ac:dyDescent="0.2">
      <c r="A251" t="s">
        <v>1833</v>
      </c>
      <c r="B251" t="s">
        <v>1795</v>
      </c>
      <c r="C251" t="s">
        <v>1847</v>
      </c>
      <c r="D251" t="s">
        <v>10</v>
      </c>
      <c r="E251" t="s">
        <v>16</v>
      </c>
      <c r="F251">
        <v>1</v>
      </c>
    </row>
    <row r="252" spans="1:6" x14ac:dyDescent="0.2">
      <c r="A252" t="s">
        <v>1836</v>
      </c>
      <c r="B252" t="s">
        <v>1795</v>
      </c>
      <c r="C252" t="s">
        <v>1849</v>
      </c>
      <c r="D252" t="s">
        <v>10</v>
      </c>
      <c r="E252" t="s">
        <v>16</v>
      </c>
      <c r="F252">
        <v>1</v>
      </c>
    </row>
    <row r="253" spans="1:6" x14ac:dyDescent="0.2">
      <c r="A253" t="s">
        <v>1799</v>
      </c>
      <c r="B253" t="s">
        <v>1795</v>
      </c>
      <c r="C253" t="s">
        <v>1848</v>
      </c>
      <c r="D253" t="s">
        <v>10</v>
      </c>
      <c r="E253" t="s">
        <v>16</v>
      </c>
      <c r="F253">
        <v>1</v>
      </c>
    </row>
    <row r="254" spans="1:6" x14ac:dyDescent="0.2">
      <c r="A254" t="s">
        <v>1459</v>
      </c>
      <c r="B254" t="s">
        <v>1457</v>
      </c>
      <c r="C254" t="s">
        <v>1458</v>
      </c>
      <c r="D254" t="s">
        <v>10</v>
      </c>
      <c r="E254" t="s">
        <v>16</v>
      </c>
      <c r="F254">
        <v>1</v>
      </c>
    </row>
    <row r="255" spans="1:6" x14ac:dyDescent="0.2">
      <c r="A255" t="s">
        <v>1969</v>
      </c>
      <c r="B255" t="s">
        <v>1290</v>
      </c>
      <c r="C255" t="s">
        <v>1968</v>
      </c>
      <c r="D255" t="s">
        <v>29</v>
      </c>
      <c r="E255" t="s">
        <v>16</v>
      </c>
      <c r="F255">
        <v>1</v>
      </c>
    </row>
    <row r="256" spans="1:6" x14ac:dyDescent="0.2">
      <c r="A256" t="s">
        <v>1290</v>
      </c>
      <c r="B256" t="s">
        <v>7559</v>
      </c>
      <c r="C256" t="s">
        <v>1289</v>
      </c>
      <c r="D256" t="s">
        <v>10</v>
      </c>
      <c r="E256" t="s">
        <v>16</v>
      </c>
      <c r="F256">
        <v>1</v>
      </c>
    </row>
    <row r="257" spans="1:6" x14ac:dyDescent="0.2">
      <c r="A257" t="s">
        <v>2042</v>
      </c>
      <c r="B257" t="s">
        <v>2038</v>
      </c>
      <c r="C257" t="s">
        <v>2041</v>
      </c>
      <c r="D257" t="s">
        <v>10</v>
      </c>
      <c r="E257" t="s">
        <v>16</v>
      </c>
      <c r="F257">
        <v>1</v>
      </c>
    </row>
    <row r="258" spans="1:6" x14ac:dyDescent="0.2">
      <c r="A258" t="s">
        <v>2059</v>
      </c>
      <c r="B258" t="s">
        <v>2058</v>
      </c>
      <c r="C258" t="s">
        <v>12058</v>
      </c>
      <c r="D258" t="s">
        <v>10</v>
      </c>
      <c r="E258" t="s">
        <v>52</v>
      </c>
      <c r="F258">
        <v>2</v>
      </c>
    </row>
    <row r="259" spans="1:6" x14ac:dyDescent="0.2">
      <c r="A259" t="s">
        <v>1308</v>
      </c>
      <c r="B259" t="s">
        <v>1306</v>
      </c>
      <c r="C259" t="s">
        <v>1307</v>
      </c>
      <c r="D259" t="s">
        <v>29</v>
      </c>
      <c r="E259" t="s">
        <v>52</v>
      </c>
      <c r="F259">
        <v>1</v>
      </c>
    </row>
    <row r="260" spans="1:6" x14ac:dyDescent="0.2">
      <c r="A260" t="s">
        <v>236</v>
      </c>
      <c r="B260" t="s">
        <v>234</v>
      </c>
      <c r="C260" t="s">
        <v>235</v>
      </c>
      <c r="D260" t="s">
        <v>29</v>
      </c>
      <c r="E260" t="s">
        <v>16</v>
      </c>
      <c r="F260">
        <v>1</v>
      </c>
    </row>
    <row r="261" spans="1:6" x14ac:dyDescent="0.2">
      <c r="A261" t="s">
        <v>797</v>
      </c>
      <c r="B261" t="s">
        <v>2412</v>
      </c>
      <c r="C261" t="s">
        <v>2419</v>
      </c>
      <c r="D261" t="s">
        <v>56</v>
      </c>
      <c r="E261" t="s">
        <v>52</v>
      </c>
      <c r="F261">
        <v>1</v>
      </c>
    </row>
    <row r="262" spans="1:6" x14ac:dyDescent="0.2">
      <c r="A262" t="s">
        <v>2422</v>
      </c>
      <c r="B262" t="s">
        <v>2412</v>
      </c>
      <c r="C262" t="s">
        <v>2421</v>
      </c>
      <c r="D262" t="s">
        <v>56</v>
      </c>
      <c r="E262" t="s">
        <v>52</v>
      </c>
      <c r="F262">
        <v>2</v>
      </c>
    </row>
    <row r="263" spans="1:6" x14ac:dyDescent="0.2">
      <c r="A263" t="s">
        <v>9922</v>
      </c>
      <c r="B263" t="s">
        <v>9914</v>
      </c>
      <c r="C263" t="s">
        <v>9921</v>
      </c>
      <c r="D263" t="s">
        <v>10</v>
      </c>
      <c r="E263" t="s">
        <v>11</v>
      </c>
      <c r="F263">
        <v>4</v>
      </c>
    </row>
    <row r="264" spans="1:6" x14ac:dyDescent="0.2">
      <c r="A264" t="s">
        <v>2604</v>
      </c>
      <c r="B264" t="s">
        <v>2590</v>
      </c>
      <c r="C264" t="s">
        <v>2603</v>
      </c>
      <c r="D264" t="s">
        <v>29</v>
      </c>
      <c r="E264" t="s">
        <v>16</v>
      </c>
      <c r="F264">
        <v>2</v>
      </c>
    </row>
    <row r="265" spans="1:6" x14ac:dyDescent="0.2">
      <c r="A265" t="s">
        <v>2977</v>
      </c>
      <c r="B265" t="s">
        <v>8036</v>
      </c>
      <c r="C265" t="s">
        <v>2976</v>
      </c>
      <c r="D265" t="s">
        <v>56</v>
      </c>
      <c r="E265" t="s">
        <v>52</v>
      </c>
      <c r="F265">
        <v>2</v>
      </c>
    </row>
    <row r="266" spans="1:6" x14ac:dyDescent="0.2">
      <c r="A266" t="s">
        <v>1354</v>
      </c>
      <c r="B266" t="s">
        <v>1352</v>
      </c>
      <c r="C266" t="s">
        <v>1353</v>
      </c>
      <c r="D266" t="s">
        <v>10</v>
      </c>
      <c r="E266" t="s">
        <v>16</v>
      </c>
      <c r="F266">
        <v>1</v>
      </c>
    </row>
    <row r="267" spans="1:6" x14ac:dyDescent="0.2">
      <c r="A267" t="s">
        <v>2556</v>
      </c>
      <c r="B267" t="s">
        <v>2545</v>
      </c>
      <c r="C267" t="s">
        <v>2555</v>
      </c>
      <c r="D267" t="s">
        <v>10</v>
      </c>
      <c r="E267" t="s">
        <v>16</v>
      </c>
      <c r="F267">
        <v>1</v>
      </c>
    </row>
    <row r="268" spans="1:6" x14ac:dyDescent="0.2">
      <c r="A268" t="s">
        <v>4868</v>
      </c>
      <c r="B268" t="s">
        <v>4866</v>
      </c>
      <c r="C268" t="s">
        <v>4867</v>
      </c>
      <c r="D268" t="s">
        <v>10</v>
      </c>
      <c r="E268" t="s">
        <v>16</v>
      </c>
      <c r="F268">
        <v>1</v>
      </c>
    </row>
    <row r="269" spans="1:6" x14ac:dyDescent="0.2">
      <c r="A269" t="s">
        <v>2552</v>
      </c>
      <c r="B269" t="s">
        <v>2545</v>
      </c>
      <c r="C269" t="s">
        <v>2554</v>
      </c>
      <c r="D269" t="s">
        <v>10</v>
      </c>
      <c r="E269" t="s">
        <v>16</v>
      </c>
      <c r="F269">
        <v>1</v>
      </c>
    </row>
    <row r="270" spans="1:6" x14ac:dyDescent="0.2">
      <c r="A270" t="s">
        <v>11876</v>
      </c>
      <c r="B270" t="s">
        <v>11874</v>
      </c>
      <c r="C270" t="s">
        <v>11875</v>
      </c>
      <c r="D270" t="s">
        <v>56</v>
      </c>
      <c r="E270" t="s">
        <v>52</v>
      </c>
      <c r="F270">
        <v>1</v>
      </c>
    </row>
    <row r="271" spans="1:6" x14ac:dyDescent="0.2">
      <c r="A271" t="s">
        <v>2754</v>
      </c>
      <c r="B271" t="s">
        <v>2673</v>
      </c>
      <c r="C271" t="s">
        <v>2753</v>
      </c>
      <c r="D271" t="s">
        <v>10</v>
      </c>
      <c r="E271" t="s">
        <v>16</v>
      </c>
      <c r="F271">
        <v>4</v>
      </c>
    </row>
    <row r="272" spans="1:6" x14ac:dyDescent="0.2">
      <c r="A272" t="s">
        <v>2187</v>
      </c>
      <c r="B272" t="s">
        <v>2181</v>
      </c>
      <c r="C272" t="s">
        <v>2186</v>
      </c>
      <c r="D272" t="s">
        <v>10</v>
      </c>
      <c r="E272" t="s">
        <v>52</v>
      </c>
      <c r="F272">
        <v>2</v>
      </c>
    </row>
    <row r="273" spans="1:6" x14ac:dyDescent="0.2">
      <c r="A273" t="s">
        <v>2258</v>
      </c>
      <c r="B273" t="s">
        <v>2181</v>
      </c>
      <c r="C273" t="s">
        <v>12059</v>
      </c>
      <c r="D273" t="s">
        <v>10</v>
      </c>
      <c r="E273" t="s">
        <v>52</v>
      </c>
      <c r="F273">
        <v>2</v>
      </c>
    </row>
    <row r="274" spans="1:6" x14ac:dyDescent="0.2">
      <c r="A274" t="s">
        <v>8752</v>
      </c>
      <c r="B274" t="s">
        <v>8772</v>
      </c>
      <c r="C274" t="s">
        <v>8751</v>
      </c>
      <c r="D274" t="s">
        <v>10</v>
      </c>
      <c r="E274" t="s">
        <v>11</v>
      </c>
      <c r="F274">
        <v>4</v>
      </c>
    </row>
    <row r="275" spans="1:6" x14ac:dyDescent="0.2">
      <c r="A275" t="s">
        <v>2980</v>
      </c>
      <c r="B275" t="s">
        <v>8036</v>
      </c>
      <c r="C275" t="s">
        <v>2979</v>
      </c>
      <c r="D275" t="s">
        <v>10</v>
      </c>
      <c r="E275" t="s">
        <v>16</v>
      </c>
      <c r="F275">
        <v>1</v>
      </c>
    </row>
    <row r="276" spans="1:6" x14ac:dyDescent="0.2">
      <c r="A276" t="s">
        <v>2429</v>
      </c>
      <c r="B276" t="s">
        <v>2412</v>
      </c>
      <c r="C276" t="s">
        <v>2430</v>
      </c>
      <c r="D276" t="s">
        <v>56</v>
      </c>
      <c r="E276" t="s">
        <v>52</v>
      </c>
      <c r="F276">
        <v>1</v>
      </c>
    </row>
    <row r="277" spans="1:6" x14ac:dyDescent="0.2">
      <c r="A277" t="s">
        <v>4769</v>
      </c>
      <c r="B277" t="s">
        <v>4753</v>
      </c>
      <c r="C277" t="s">
        <v>4768</v>
      </c>
      <c r="D277" t="s">
        <v>10</v>
      </c>
      <c r="E277" t="s">
        <v>16</v>
      </c>
      <c r="F277">
        <v>2</v>
      </c>
    </row>
    <row r="278" spans="1:6" x14ac:dyDescent="0.2">
      <c r="A278" t="s">
        <v>2435</v>
      </c>
      <c r="B278" t="s">
        <v>2412</v>
      </c>
      <c r="C278" t="s">
        <v>12060</v>
      </c>
      <c r="D278" t="s">
        <v>56</v>
      </c>
      <c r="E278" t="s">
        <v>52</v>
      </c>
      <c r="F278">
        <v>2</v>
      </c>
    </row>
    <row r="279" spans="1:6" x14ac:dyDescent="0.2">
      <c r="A279" t="s">
        <v>3156</v>
      </c>
      <c r="B279" t="s">
        <v>3140</v>
      </c>
      <c r="C279" t="s">
        <v>3155</v>
      </c>
      <c r="D279" t="s">
        <v>10</v>
      </c>
      <c r="E279" t="s">
        <v>1080</v>
      </c>
      <c r="F279">
        <v>1</v>
      </c>
    </row>
    <row r="280" spans="1:6" x14ac:dyDescent="0.2">
      <c r="A280" t="s">
        <v>4170</v>
      </c>
      <c r="B280" t="s">
        <v>4167</v>
      </c>
      <c r="C280" t="s">
        <v>4169</v>
      </c>
      <c r="D280" t="s">
        <v>10</v>
      </c>
      <c r="E280" t="s">
        <v>16</v>
      </c>
      <c r="F280">
        <v>4</v>
      </c>
    </row>
    <row r="281" spans="1:6" x14ac:dyDescent="0.2">
      <c r="A281" t="s">
        <v>8668</v>
      </c>
      <c r="B281" t="s">
        <v>8663</v>
      </c>
      <c r="C281" t="s">
        <v>8667</v>
      </c>
      <c r="D281" t="s">
        <v>10</v>
      </c>
      <c r="E281" t="s">
        <v>16</v>
      </c>
      <c r="F281">
        <v>2</v>
      </c>
    </row>
    <row r="282" spans="1:6" x14ac:dyDescent="0.2">
      <c r="A282" t="s">
        <v>4763</v>
      </c>
      <c r="B282" t="s">
        <v>4753</v>
      </c>
      <c r="C282" t="s">
        <v>4770</v>
      </c>
      <c r="D282" t="s">
        <v>10</v>
      </c>
      <c r="E282" t="s">
        <v>16</v>
      </c>
      <c r="F282">
        <v>2</v>
      </c>
    </row>
    <row r="283" spans="1:6" x14ac:dyDescent="0.2">
      <c r="A283" t="s">
        <v>7951</v>
      </c>
      <c r="B283" t="s">
        <v>7947</v>
      </c>
      <c r="C283" t="s">
        <v>7954</v>
      </c>
      <c r="D283" t="s">
        <v>10</v>
      </c>
      <c r="E283" t="s">
        <v>16</v>
      </c>
      <c r="F283">
        <v>2</v>
      </c>
    </row>
    <row r="284" spans="1:6" x14ac:dyDescent="0.2">
      <c r="A284" t="s">
        <v>2756</v>
      </c>
      <c r="B284" t="s">
        <v>2673</v>
      </c>
      <c r="C284" t="s">
        <v>2755</v>
      </c>
      <c r="D284" t="s">
        <v>10</v>
      </c>
      <c r="E284" t="s">
        <v>16</v>
      </c>
      <c r="F284">
        <v>4</v>
      </c>
    </row>
    <row r="285" spans="1:6" x14ac:dyDescent="0.2">
      <c r="A285" t="s">
        <v>3049</v>
      </c>
      <c r="B285" t="s">
        <v>3048</v>
      </c>
      <c r="C285" t="s">
        <v>12061</v>
      </c>
      <c r="D285" t="s">
        <v>56</v>
      </c>
      <c r="E285" t="s">
        <v>16</v>
      </c>
      <c r="F285">
        <v>1</v>
      </c>
    </row>
    <row r="286" spans="1:6" x14ac:dyDescent="0.2">
      <c r="A286" t="s">
        <v>2251</v>
      </c>
      <c r="B286" t="s">
        <v>2181</v>
      </c>
      <c r="C286" t="s">
        <v>2322</v>
      </c>
      <c r="D286" t="s">
        <v>10</v>
      </c>
      <c r="E286" t="s">
        <v>52</v>
      </c>
      <c r="F286">
        <v>2</v>
      </c>
    </row>
    <row r="287" spans="1:6" x14ac:dyDescent="0.2">
      <c r="A287" t="s">
        <v>11966</v>
      </c>
      <c r="B287" t="s">
        <v>11964</v>
      </c>
      <c r="C287" t="s">
        <v>11965</v>
      </c>
      <c r="D287" t="s">
        <v>10</v>
      </c>
      <c r="E287" t="s">
        <v>16</v>
      </c>
      <c r="F287">
        <v>1</v>
      </c>
    </row>
    <row r="288" spans="1:6" x14ac:dyDescent="0.2">
      <c r="A288" t="s">
        <v>1413</v>
      </c>
      <c r="B288" t="s">
        <v>2181</v>
      </c>
      <c r="C288" t="s">
        <v>2202</v>
      </c>
      <c r="D288" t="s">
        <v>10</v>
      </c>
      <c r="E288" t="s">
        <v>52</v>
      </c>
      <c r="F288">
        <v>1</v>
      </c>
    </row>
    <row r="289" spans="1:6" x14ac:dyDescent="0.2">
      <c r="A289" t="s">
        <v>2912</v>
      </c>
      <c r="B289" t="s">
        <v>2673</v>
      </c>
      <c r="C289" t="s">
        <v>2911</v>
      </c>
      <c r="D289" t="s">
        <v>10</v>
      </c>
      <c r="E289" t="s">
        <v>11</v>
      </c>
      <c r="F289">
        <v>2</v>
      </c>
    </row>
    <row r="290" spans="1:6" x14ac:dyDescent="0.2">
      <c r="A290" t="s">
        <v>2915</v>
      </c>
      <c r="B290" t="s">
        <v>2673</v>
      </c>
      <c r="C290" t="s">
        <v>2914</v>
      </c>
      <c r="D290" t="s">
        <v>10</v>
      </c>
      <c r="E290" t="s">
        <v>11</v>
      </c>
      <c r="F290">
        <v>2</v>
      </c>
    </row>
    <row r="291" spans="1:6" x14ac:dyDescent="0.2">
      <c r="A291" t="s">
        <v>2918</v>
      </c>
      <c r="B291" t="s">
        <v>2673</v>
      </c>
      <c r="C291" t="s">
        <v>2917</v>
      </c>
      <c r="D291" t="s">
        <v>10</v>
      </c>
      <c r="E291" t="s">
        <v>11</v>
      </c>
      <c r="F291">
        <v>2</v>
      </c>
    </row>
    <row r="292" spans="1:6" x14ac:dyDescent="0.2">
      <c r="A292" t="s">
        <v>2942</v>
      </c>
      <c r="B292" t="s">
        <v>2673</v>
      </c>
      <c r="C292" t="s">
        <v>2943</v>
      </c>
      <c r="D292" t="s">
        <v>10</v>
      </c>
      <c r="E292" t="s">
        <v>11</v>
      </c>
      <c r="F292">
        <v>2</v>
      </c>
    </row>
    <row r="293" spans="1:6" x14ac:dyDescent="0.2">
      <c r="A293" t="s">
        <v>2438</v>
      </c>
      <c r="B293" t="s">
        <v>2412</v>
      </c>
      <c r="C293" t="s">
        <v>12062</v>
      </c>
      <c r="D293" t="s">
        <v>56</v>
      </c>
      <c r="E293" t="s">
        <v>52</v>
      </c>
      <c r="F293">
        <v>1</v>
      </c>
    </row>
    <row r="294" spans="1:6" x14ac:dyDescent="0.2">
      <c r="A294" t="s">
        <v>802</v>
      </c>
      <c r="B294" t="s">
        <v>2412</v>
      </c>
      <c r="C294" t="s">
        <v>12063</v>
      </c>
      <c r="D294" t="s">
        <v>56</v>
      </c>
      <c r="E294" t="s">
        <v>52</v>
      </c>
      <c r="F294">
        <v>2</v>
      </c>
    </row>
    <row r="295" spans="1:6" x14ac:dyDescent="0.2">
      <c r="A295" t="s">
        <v>2441</v>
      </c>
      <c r="B295" t="s">
        <v>2412</v>
      </c>
      <c r="C295" t="s">
        <v>12064</v>
      </c>
      <c r="D295" t="s">
        <v>56</v>
      </c>
      <c r="E295" t="s">
        <v>52</v>
      </c>
      <c r="F295">
        <v>2</v>
      </c>
    </row>
    <row r="296" spans="1:6" x14ac:dyDescent="0.2">
      <c r="A296" t="s">
        <v>2443</v>
      </c>
      <c r="B296" t="s">
        <v>2412</v>
      </c>
      <c r="C296" t="s">
        <v>2442</v>
      </c>
      <c r="D296" t="s">
        <v>56</v>
      </c>
      <c r="E296" t="s">
        <v>52</v>
      </c>
      <c r="F296">
        <v>2</v>
      </c>
    </row>
    <row r="297" spans="1:6" x14ac:dyDescent="0.2">
      <c r="A297" t="s">
        <v>2444</v>
      </c>
      <c r="B297" t="s">
        <v>2412</v>
      </c>
      <c r="C297" t="s">
        <v>12065</v>
      </c>
      <c r="D297" t="s">
        <v>56</v>
      </c>
      <c r="E297" t="s">
        <v>52</v>
      </c>
      <c r="F297">
        <v>2</v>
      </c>
    </row>
    <row r="298" spans="1:6" x14ac:dyDescent="0.2">
      <c r="A298" t="s">
        <v>3103</v>
      </c>
      <c r="B298" t="s">
        <v>3094</v>
      </c>
      <c r="C298" t="s">
        <v>3102</v>
      </c>
      <c r="D298" t="s">
        <v>10</v>
      </c>
      <c r="E298" t="s">
        <v>11</v>
      </c>
      <c r="F298">
        <v>4</v>
      </c>
    </row>
    <row r="299" spans="1:6" x14ac:dyDescent="0.2">
      <c r="A299" t="s">
        <v>3106</v>
      </c>
      <c r="B299" t="s">
        <v>3094</v>
      </c>
      <c r="C299" t="s">
        <v>3105</v>
      </c>
      <c r="D299" t="s">
        <v>10</v>
      </c>
      <c r="E299" t="s">
        <v>11</v>
      </c>
      <c r="F299">
        <v>4</v>
      </c>
    </row>
    <row r="300" spans="1:6" x14ac:dyDescent="0.2">
      <c r="A300" t="s">
        <v>3110</v>
      </c>
      <c r="B300" t="s">
        <v>3094</v>
      </c>
      <c r="C300" t="s">
        <v>3109</v>
      </c>
      <c r="D300" t="s">
        <v>10</v>
      </c>
      <c r="E300" t="s">
        <v>11</v>
      </c>
      <c r="F300">
        <v>4</v>
      </c>
    </row>
    <row r="301" spans="1:6" x14ac:dyDescent="0.2">
      <c r="A301" t="s">
        <v>790</v>
      </c>
      <c r="B301" t="s">
        <v>2412</v>
      </c>
      <c r="C301" t="s">
        <v>2414</v>
      </c>
      <c r="D301" t="s">
        <v>56</v>
      </c>
      <c r="E301" t="s">
        <v>16</v>
      </c>
      <c r="F301">
        <v>1</v>
      </c>
    </row>
    <row r="302" spans="1:6" x14ac:dyDescent="0.2">
      <c r="A302" t="s">
        <v>792</v>
      </c>
      <c r="B302" t="s">
        <v>2412</v>
      </c>
      <c r="C302" t="s">
        <v>2417</v>
      </c>
      <c r="D302" t="s">
        <v>56</v>
      </c>
      <c r="E302" t="s">
        <v>16</v>
      </c>
      <c r="F302">
        <v>1</v>
      </c>
    </row>
    <row r="303" spans="1:6" x14ac:dyDescent="0.2">
      <c r="A303" t="s">
        <v>10827</v>
      </c>
      <c r="B303" t="s">
        <v>10822</v>
      </c>
      <c r="C303" t="s">
        <v>10826</v>
      </c>
      <c r="D303" t="s">
        <v>56</v>
      </c>
      <c r="E303" t="s">
        <v>52</v>
      </c>
      <c r="F303">
        <v>1</v>
      </c>
    </row>
    <row r="304" spans="1:6" x14ac:dyDescent="0.2">
      <c r="A304" t="s">
        <v>2527</v>
      </c>
      <c r="B304" t="s">
        <v>2412</v>
      </c>
      <c r="C304" t="s">
        <v>2526</v>
      </c>
      <c r="D304" t="s">
        <v>56</v>
      </c>
      <c r="E304" t="s">
        <v>52</v>
      </c>
      <c r="F304">
        <v>1</v>
      </c>
    </row>
    <row r="305" spans="1:6" x14ac:dyDescent="0.2">
      <c r="A305" t="s">
        <v>2758</v>
      </c>
      <c r="B305" t="s">
        <v>2673</v>
      </c>
      <c r="C305" t="s">
        <v>2757</v>
      </c>
      <c r="D305" t="s">
        <v>10</v>
      </c>
      <c r="E305" t="s">
        <v>11</v>
      </c>
      <c r="F305">
        <v>8</v>
      </c>
    </row>
    <row r="306" spans="1:6" x14ac:dyDescent="0.2">
      <c r="A306" t="s">
        <v>2531</v>
      </c>
      <c r="B306" t="s">
        <v>2412</v>
      </c>
      <c r="C306" t="s">
        <v>2530</v>
      </c>
      <c r="D306" t="s">
        <v>56</v>
      </c>
      <c r="E306" t="s">
        <v>52</v>
      </c>
      <c r="F306">
        <v>2</v>
      </c>
    </row>
    <row r="307" spans="1:6" x14ac:dyDescent="0.2">
      <c r="A307" t="s">
        <v>2363</v>
      </c>
      <c r="B307" t="s">
        <v>2181</v>
      </c>
      <c r="C307" t="s">
        <v>2362</v>
      </c>
      <c r="D307" t="s">
        <v>10</v>
      </c>
      <c r="E307" t="s">
        <v>16</v>
      </c>
      <c r="F307">
        <v>2</v>
      </c>
    </row>
    <row r="308" spans="1:6" x14ac:dyDescent="0.2">
      <c r="A308" t="s">
        <v>2967</v>
      </c>
      <c r="B308" t="s">
        <v>2965</v>
      </c>
      <c r="C308" t="s">
        <v>2966</v>
      </c>
      <c r="D308" t="s">
        <v>10</v>
      </c>
      <c r="E308" t="s">
        <v>16</v>
      </c>
      <c r="F308">
        <v>1</v>
      </c>
    </row>
    <row r="309" spans="1:6" x14ac:dyDescent="0.2">
      <c r="A309" t="s">
        <v>872</v>
      </c>
      <c r="B309" t="s">
        <v>2535</v>
      </c>
      <c r="C309" t="s">
        <v>2537</v>
      </c>
      <c r="D309" t="s">
        <v>873</v>
      </c>
      <c r="E309" t="s">
        <v>52</v>
      </c>
      <c r="F309">
        <v>2</v>
      </c>
    </row>
    <row r="310" spans="1:6" x14ac:dyDescent="0.2">
      <c r="A310" t="s">
        <v>2341</v>
      </c>
      <c r="B310" t="s">
        <v>2181</v>
      </c>
      <c r="C310" t="s">
        <v>2340</v>
      </c>
      <c r="D310" t="s">
        <v>10</v>
      </c>
      <c r="E310" t="s">
        <v>52</v>
      </c>
      <c r="F310">
        <v>2</v>
      </c>
    </row>
    <row r="311" spans="1:6" x14ac:dyDescent="0.2">
      <c r="A311" t="s">
        <v>2677</v>
      </c>
      <c r="B311" t="s">
        <v>2673</v>
      </c>
      <c r="C311" t="s">
        <v>2676</v>
      </c>
      <c r="D311" t="s">
        <v>10</v>
      </c>
      <c r="E311" t="s">
        <v>11</v>
      </c>
      <c r="F311">
        <v>4</v>
      </c>
    </row>
    <row r="312" spans="1:6" x14ac:dyDescent="0.2">
      <c r="A312" t="s">
        <v>2679</v>
      </c>
      <c r="B312" t="s">
        <v>2673</v>
      </c>
      <c r="C312" t="s">
        <v>2678</v>
      </c>
      <c r="D312" t="s">
        <v>10</v>
      </c>
      <c r="E312" t="s">
        <v>11</v>
      </c>
      <c r="F312">
        <v>4</v>
      </c>
    </row>
    <row r="313" spans="1:6" x14ac:dyDescent="0.2">
      <c r="A313" t="s">
        <v>2681</v>
      </c>
      <c r="B313" t="s">
        <v>2673</v>
      </c>
      <c r="C313" t="s">
        <v>2680</v>
      </c>
      <c r="D313" t="s">
        <v>10</v>
      </c>
      <c r="E313" t="s">
        <v>11</v>
      </c>
      <c r="F313">
        <v>2</v>
      </c>
    </row>
    <row r="314" spans="1:6" x14ac:dyDescent="0.2">
      <c r="A314" t="s">
        <v>2683</v>
      </c>
      <c r="B314" t="s">
        <v>2673</v>
      </c>
      <c r="C314" t="s">
        <v>12066</v>
      </c>
      <c r="D314" t="s">
        <v>10</v>
      </c>
      <c r="E314" t="s">
        <v>11</v>
      </c>
      <c r="F314">
        <v>4</v>
      </c>
    </row>
    <row r="315" spans="1:6" x14ac:dyDescent="0.2">
      <c r="A315" t="s">
        <v>2685</v>
      </c>
      <c r="B315" t="s">
        <v>2673</v>
      </c>
      <c r="C315" t="s">
        <v>2684</v>
      </c>
      <c r="D315" t="s">
        <v>10</v>
      </c>
      <c r="E315" t="s">
        <v>11</v>
      </c>
      <c r="F315">
        <v>3</v>
      </c>
    </row>
    <row r="316" spans="1:6" x14ac:dyDescent="0.2">
      <c r="A316" t="s">
        <v>2689</v>
      </c>
      <c r="B316" t="s">
        <v>2673</v>
      </c>
      <c r="C316" t="s">
        <v>2688</v>
      </c>
      <c r="D316" t="s">
        <v>10</v>
      </c>
      <c r="E316" t="s">
        <v>11</v>
      </c>
      <c r="F316">
        <v>3</v>
      </c>
    </row>
    <row r="317" spans="1:6" x14ac:dyDescent="0.2">
      <c r="A317" t="s">
        <v>2695</v>
      </c>
      <c r="B317" t="s">
        <v>2673</v>
      </c>
      <c r="C317" t="s">
        <v>2694</v>
      </c>
      <c r="D317" t="s">
        <v>10</v>
      </c>
      <c r="E317" t="s">
        <v>11</v>
      </c>
      <c r="F317">
        <v>2</v>
      </c>
    </row>
    <row r="318" spans="1:6" x14ac:dyDescent="0.2">
      <c r="A318" t="s">
        <v>2698</v>
      </c>
      <c r="B318" t="s">
        <v>2673</v>
      </c>
      <c r="C318" t="s">
        <v>2697</v>
      </c>
      <c r="D318" t="s">
        <v>10</v>
      </c>
      <c r="E318" t="s">
        <v>11</v>
      </c>
      <c r="F318">
        <v>2</v>
      </c>
    </row>
    <row r="319" spans="1:6" x14ac:dyDescent="0.2">
      <c r="A319" t="s">
        <v>2700</v>
      </c>
      <c r="B319" t="s">
        <v>2673</v>
      </c>
      <c r="C319" t="s">
        <v>2699</v>
      </c>
      <c r="D319" t="s">
        <v>10</v>
      </c>
      <c r="E319" t="s">
        <v>11</v>
      </c>
      <c r="F319">
        <v>2</v>
      </c>
    </row>
    <row r="320" spans="1:6" x14ac:dyDescent="0.2">
      <c r="A320" t="s">
        <v>2702</v>
      </c>
      <c r="B320" t="s">
        <v>2673</v>
      </c>
      <c r="C320" t="s">
        <v>2701</v>
      </c>
      <c r="D320" t="s">
        <v>10</v>
      </c>
      <c r="E320" t="s">
        <v>11</v>
      </c>
      <c r="F320">
        <v>2</v>
      </c>
    </row>
    <row r="321" spans="1:6" x14ac:dyDescent="0.2">
      <c r="A321" t="s">
        <v>2704</v>
      </c>
      <c r="B321" t="s">
        <v>2673</v>
      </c>
      <c r="C321" t="s">
        <v>2703</v>
      </c>
      <c r="D321" t="s">
        <v>10</v>
      </c>
      <c r="E321" t="s">
        <v>11</v>
      </c>
      <c r="F321">
        <v>2</v>
      </c>
    </row>
    <row r="322" spans="1:6" x14ac:dyDescent="0.2">
      <c r="A322" t="s">
        <v>2706</v>
      </c>
      <c r="B322" t="s">
        <v>2673</v>
      </c>
      <c r="C322" t="s">
        <v>2705</v>
      </c>
      <c r="D322" t="s">
        <v>10</v>
      </c>
      <c r="E322" t="s">
        <v>11</v>
      </c>
      <c r="F322">
        <v>2</v>
      </c>
    </row>
    <row r="323" spans="1:6" x14ac:dyDescent="0.2">
      <c r="A323" t="s">
        <v>2711</v>
      </c>
      <c r="B323" t="s">
        <v>2673</v>
      </c>
      <c r="C323" t="s">
        <v>2710</v>
      </c>
      <c r="D323" t="s">
        <v>10</v>
      </c>
      <c r="E323" t="s">
        <v>11</v>
      </c>
      <c r="F323">
        <v>2</v>
      </c>
    </row>
    <row r="324" spans="1:6" x14ac:dyDescent="0.2">
      <c r="A324" t="s">
        <v>2714</v>
      </c>
      <c r="B324" t="s">
        <v>2673</v>
      </c>
      <c r="C324" t="s">
        <v>2713</v>
      </c>
      <c r="D324" t="s">
        <v>10</v>
      </c>
      <c r="E324" t="s">
        <v>11</v>
      </c>
      <c r="F324">
        <v>2</v>
      </c>
    </row>
    <row r="325" spans="1:6" x14ac:dyDescent="0.2">
      <c r="A325" t="s">
        <v>2717</v>
      </c>
      <c r="B325" t="s">
        <v>2673</v>
      </c>
      <c r="C325" t="s">
        <v>2716</v>
      </c>
      <c r="D325" t="s">
        <v>10</v>
      </c>
      <c r="E325" t="s">
        <v>11</v>
      </c>
      <c r="F325">
        <v>4</v>
      </c>
    </row>
    <row r="326" spans="1:6" x14ac:dyDescent="0.2">
      <c r="A326" t="s">
        <v>2719</v>
      </c>
      <c r="B326" t="s">
        <v>2673</v>
      </c>
      <c r="C326" t="s">
        <v>2718</v>
      </c>
      <c r="D326" t="s">
        <v>10</v>
      </c>
      <c r="E326" t="s">
        <v>11</v>
      </c>
      <c r="F326">
        <v>4</v>
      </c>
    </row>
    <row r="327" spans="1:6" x14ac:dyDescent="0.2">
      <c r="A327" t="s">
        <v>2721</v>
      </c>
      <c r="B327" t="s">
        <v>2673</v>
      </c>
      <c r="C327" t="s">
        <v>2720</v>
      </c>
      <c r="D327" t="s">
        <v>10</v>
      </c>
      <c r="E327" t="s">
        <v>11</v>
      </c>
      <c r="F327">
        <v>4</v>
      </c>
    </row>
    <row r="328" spans="1:6" x14ac:dyDescent="0.2">
      <c r="A328" t="s">
        <v>2930</v>
      </c>
      <c r="B328" t="s">
        <v>2673</v>
      </c>
      <c r="C328" t="s">
        <v>2929</v>
      </c>
      <c r="D328" t="s">
        <v>10</v>
      </c>
      <c r="E328" t="s">
        <v>11</v>
      </c>
      <c r="F328">
        <v>4</v>
      </c>
    </row>
    <row r="329" spans="1:6" x14ac:dyDescent="0.2">
      <c r="A329" t="s">
        <v>2885</v>
      </c>
      <c r="B329" t="s">
        <v>2673</v>
      </c>
      <c r="C329" t="s">
        <v>2884</v>
      </c>
      <c r="D329" t="s">
        <v>10</v>
      </c>
      <c r="E329" t="s">
        <v>11</v>
      </c>
      <c r="F329">
        <v>4</v>
      </c>
    </row>
    <row r="330" spans="1:6" x14ac:dyDescent="0.2">
      <c r="A330" t="s">
        <v>2727</v>
      </c>
      <c r="B330" t="s">
        <v>2673</v>
      </c>
      <c r="C330" t="s">
        <v>2726</v>
      </c>
      <c r="D330" t="s">
        <v>10</v>
      </c>
      <c r="E330" t="s">
        <v>11</v>
      </c>
      <c r="F330">
        <v>4</v>
      </c>
    </row>
    <row r="331" spans="1:6" x14ac:dyDescent="0.2">
      <c r="A331" t="s">
        <v>2725</v>
      </c>
      <c r="B331" t="s">
        <v>2673</v>
      </c>
      <c r="C331" t="s">
        <v>2724</v>
      </c>
      <c r="D331" t="s">
        <v>10</v>
      </c>
      <c r="E331" t="s">
        <v>11</v>
      </c>
      <c r="F331">
        <v>4</v>
      </c>
    </row>
    <row r="332" spans="1:6" x14ac:dyDescent="0.2">
      <c r="A332" t="s">
        <v>2729</v>
      </c>
      <c r="B332" t="s">
        <v>2673</v>
      </c>
      <c r="C332" t="s">
        <v>2728</v>
      </c>
      <c r="D332" t="s">
        <v>10</v>
      </c>
      <c r="E332" t="s">
        <v>11</v>
      </c>
      <c r="F332">
        <v>2</v>
      </c>
    </row>
    <row r="333" spans="1:6" x14ac:dyDescent="0.2">
      <c r="A333" t="s">
        <v>2731</v>
      </c>
      <c r="B333" t="s">
        <v>2673</v>
      </c>
      <c r="C333" t="s">
        <v>2730</v>
      </c>
      <c r="D333" t="s">
        <v>10</v>
      </c>
      <c r="E333" t="s">
        <v>11</v>
      </c>
      <c r="F333">
        <v>2</v>
      </c>
    </row>
    <row r="334" spans="1:6" x14ac:dyDescent="0.2">
      <c r="A334" t="s">
        <v>2733</v>
      </c>
      <c r="B334" t="s">
        <v>2673</v>
      </c>
      <c r="C334" t="s">
        <v>2732</v>
      </c>
      <c r="D334" t="s">
        <v>10</v>
      </c>
      <c r="E334" t="s">
        <v>11</v>
      </c>
      <c r="F334">
        <v>2</v>
      </c>
    </row>
    <row r="335" spans="1:6" x14ac:dyDescent="0.2">
      <c r="A335" t="s">
        <v>2735</v>
      </c>
      <c r="B335" t="s">
        <v>2673</v>
      </c>
      <c r="C335" t="s">
        <v>2734</v>
      </c>
      <c r="D335" t="s">
        <v>10</v>
      </c>
      <c r="E335" t="s">
        <v>11</v>
      </c>
      <c r="F335">
        <v>2</v>
      </c>
    </row>
    <row r="336" spans="1:6" x14ac:dyDescent="0.2">
      <c r="A336" t="s">
        <v>2737</v>
      </c>
      <c r="B336" t="s">
        <v>2673</v>
      </c>
      <c r="C336" t="s">
        <v>2736</v>
      </c>
      <c r="D336" t="s">
        <v>10</v>
      </c>
      <c r="E336" t="s">
        <v>11</v>
      </c>
      <c r="F336">
        <v>2</v>
      </c>
    </row>
    <row r="337" spans="1:6" x14ac:dyDescent="0.2">
      <c r="A337" t="s">
        <v>2739</v>
      </c>
      <c r="B337" t="s">
        <v>2673</v>
      </c>
      <c r="C337" t="s">
        <v>2740</v>
      </c>
      <c r="D337" t="s">
        <v>10</v>
      </c>
      <c r="E337" t="s">
        <v>11</v>
      </c>
      <c r="F337">
        <v>2</v>
      </c>
    </row>
    <row r="338" spans="1:6" x14ac:dyDescent="0.2">
      <c r="A338" t="s">
        <v>2744</v>
      </c>
      <c r="B338" t="s">
        <v>2673</v>
      </c>
      <c r="C338" t="s">
        <v>2743</v>
      </c>
      <c r="D338" t="s">
        <v>10</v>
      </c>
      <c r="E338" t="s">
        <v>11</v>
      </c>
      <c r="F338">
        <v>2</v>
      </c>
    </row>
    <row r="339" spans="1:6" x14ac:dyDescent="0.2">
      <c r="A339" t="s">
        <v>2893</v>
      </c>
      <c r="B339" t="s">
        <v>2673</v>
      </c>
      <c r="C339" t="s">
        <v>2892</v>
      </c>
      <c r="D339" t="s">
        <v>10</v>
      </c>
      <c r="E339" t="s">
        <v>11</v>
      </c>
      <c r="F339">
        <v>2</v>
      </c>
    </row>
    <row r="340" spans="1:6" x14ac:dyDescent="0.2">
      <c r="A340" t="s">
        <v>2895</v>
      </c>
      <c r="B340" t="s">
        <v>2673</v>
      </c>
      <c r="C340" t="s">
        <v>2894</v>
      </c>
      <c r="D340" t="s">
        <v>10</v>
      </c>
      <c r="E340" t="s">
        <v>11</v>
      </c>
      <c r="F340">
        <v>2</v>
      </c>
    </row>
    <row r="341" spans="1:6" x14ac:dyDescent="0.2">
      <c r="A341" t="s">
        <v>2742</v>
      </c>
      <c r="B341" t="s">
        <v>2673</v>
      </c>
      <c r="C341" t="s">
        <v>2741</v>
      </c>
      <c r="D341" t="s">
        <v>10</v>
      </c>
      <c r="E341" t="s">
        <v>11</v>
      </c>
      <c r="F341">
        <v>2</v>
      </c>
    </row>
    <row r="342" spans="1:6" x14ac:dyDescent="0.2">
      <c r="A342" t="s">
        <v>2746</v>
      </c>
      <c r="B342" t="s">
        <v>2673</v>
      </c>
      <c r="C342" t="s">
        <v>2745</v>
      </c>
      <c r="D342" t="s">
        <v>10</v>
      </c>
      <c r="E342" t="s">
        <v>11</v>
      </c>
      <c r="F342">
        <v>2</v>
      </c>
    </row>
    <row r="343" spans="1:6" x14ac:dyDescent="0.2">
      <c r="A343" t="s">
        <v>2748</v>
      </c>
      <c r="B343" t="s">
        <v>2673</v>
      </c>
      <c r="C343" t="s">
        <v>2747</v>
      </c>
      <c r="D343" t="s">
        <v>10</v>
      </c>
      <c r="E343" t="s">
        <v>11</v>
      </c>
      <c r="F343">
        <v>2</v>
      </c>
    </row>
    <row r="344" spans="1:6" x14ac:dyDescent="0.2">
      <c r="A344" t="s">
        <v>2750</v>
      </c>
      <c r="B344" t="s">
        <v>2673</v>
      </c>
      <c r="C344" t="s">
        <v>2749</v>
      </c>
      <c r="D344" t="s">
        <v>10</v>
      </c>
      <c r="E344" t="s">
        <v>11</v>
      </c>
      <c r="F344">
        <v>2</v>
      </c>
    </row>
    <row r="345" spans="1:6" x14ac:dyDescent="0.2">
      <c r="A345" t="s">
        <v>2691</v>
      </c>
      <c r="B345" t="s">
        <v>2673</v>
      </c>
      <c r="C345" t="s">
        <v>2690</v>
      </c>
      <c r="D345" t="s">
        <v>10</v>
      </c>
      <c r="E345" t="s">
        <v>11</v>
      </c>
      <c r="F345">
        <v>2</v>
      </c>
    </row>
    <row r="346" spans="1:6" x14ac:dyDescent="0.2">
      <c r="A346" t="s">
        <v>2092</v>
      </c>
      <c r="B346" t="s">
        <v>2090</v>
      </c>
      <c r="C346" t="s">
        <v>2091</v>
      </c>
      <c r="D346" t="s">
        <v>10</v>
      </c>
      <c r="E346" t="s">
        <v>11</v>
      </c>
      <c r="F346">
        <v>2</v>
      </c>
    </row>
    <row r="347" spans="1:6" x14ac:dyDescent="0.2">
      <c r="A347" t="s">
        <v>3360</v>
      </c>
      <c r="B347" t="s">
        <v>3358</v>
      </c>
      <c r="C347" t="s">
        <v>3359</v>
      </c>
      <c r="D347" t="s">
        <v>56</v>
      </c>
      <c r="E347" t="s">
        <v>16</v>
      </c>
      <c r="F347">
        <v>1</v>
      </c>
    </row>
    <row r="348" spans="1:6" x14ac:dyDescent="0.2">
      <c r="A348" t="s">
        <v>2130</v>
      </c>
      <c r="B348" t="s">
        <v>2128</v>
      </c>
      <c r="C348" t="s">
        <v>2129</v>
      </c>
      <c r="D348" t="s">
        <v>10</v>
      </c>
      <c r="E348" t="s">
        <v>16</v>
      </c>
      <c r="F348">
        <v>1</v>
      </c>
    </row>
    <row r="349" spans="1:6" x14ac:dyDescent="0.2">
      <c r="A349" t="s">
        <v>3190</v>
      </c>
      <c r="B349" t="s">
        <v>3188</v>
      </c>
      <c r="C349" t="s">
        <v>3189</v>
      </c>
      <c r="D349" t="s">
        <v>10</v>
      </c>
      <c r="E349" t="s">
        <v>16</v>
      </c>
      <c r="F349">
        <v>1</v>
      </c>
    </row>
    <row r="350" spans="1:6" x14ac:dyDescent="0.2">
      <c r="A350" t="s">
        <v>2156</v>
      </c>
      <c r="B350" t="s">
        <v>2145</v>
      </c>
      <c r="C350" t="s">
        <v>2155</v>
      </c>
      <c r="D350" t="s">
        <v>10</v>
      </c>
      <c r="E350" t="s">
        <v>16</v>
      </c>
      <c r="F350">
        <v>2</v>
      </c>
    </row>
    <row r="351" spans="1:6" x14ac:dyDescent="0.2">
      <c r="A351" t="s">
        <v>3042</v>
      </c>
      <c r="B351" t="s">
        <v>3040</v>
      </c>
      <c r="C351" t="s">
        <v>3043</v>
      </c>
      <c r="D351" t="s">
        <v>10</v>
      </c>
      <c r="E351" t="s">
        <v>16</v>
      </c>
      <c r="F351">
        <v>1</v>
      </c>
    </row>
    <row r="352" spans="1:6" x14ac:dyDescent="0.2">
      <c r="A352" t="s">
        <v>6638</v>
      </c>
      <c r="B352" t="s">
        <v>6636</v>
      </c>
      <c r="C352" t="s">
        <v>6637</v>
      </c>
      <c r="D352" t="s">
        <v>10</v>
      </c>
      <c r="E352" t="s">
        <v>16</v>
      </c>
      <c r="F352">
        <v>1</v>
      </c>
    </row>
    <row r="353" spans="1:6" x14ac:dyDescent="0.2">
      <c r="A353" t="s">
        <v>3193</v>
      </c>
      <c r="B353" t="s">
        <v>3191</v>
      </c>
      <c r="C353" t="s">
        <v>3192</v>
      </c>
      <c r="D353" t="s">
        <v>10</v>
      </c>
      <c r="E353" t="s">
        <v>16</v>
      </c>
      <c r="F353">
        <v>1</v>
      </c>
    </row>
    <row r="354" spans="1:6" x14ac:dyDescent="0.2">
      <c r="A354" t="s">
        <v>6082</v>
      </c>
      <c r="B354" t="s">
        <v>6073</v>
      </c>
      <c r="C354" t="s">
        <v>6101</v>
      </c>
      <c r="D354" t="s">
        <v>10</v>
      </c>
      <c r="E354" t="s">
        <v>16</v>
      </c>
      <c r="F354">
        <v>1</v>
      </c>
    </row>
    <row r="355" spans="1:6" x14ac:dyDescent="0.2">
      <c r="A355" t="s">
        <v>1136</v>
      </c>
      <c r="B355" t="s">
        <v>1066</v>
      </c>
      <c r="C355" t="s">
        <v>1135</v>
      </c>
      <c r="D355" t="s">
        <v>10</v>
      </c>
      <c r="E355" t="s">
        <v>11</v>
      </c>
      <c r="F355">
        <v>2</v>
      </c>
    </row>
    <row r="356" spans="1:6" x14ac:dyDescent="0.2">
      <c r="A356" t="s">
        <v>1138</v>
      </c>
      <c r="B356" t="s">
        <v>1066</v>
      </c>
      <c r="C356" t="s">
        <v>1137</v>
      </c>
      <c r="D356" t="s">
        <v>10</v>
      </c>
      <c r="E356" t="s">
        <v>11</v>
      </c>
      <c r="F356">
        <v>2</v>
      </c>
    </row>
    <row r="357" spans="1:6" x14ac:dyDescent="0.2">
      <c r="A357" t="s">
        <v>2173</v>
      </c>
      <c r="B357" t="s">
        <v>2167</v>
      </c>
      <c r="C357" t="s">
        <v>2172</v>
      </c>
      <c r="D357" t="s">
        <v>10</v>
      </c>
      <c r="E357" t="s">
        <v>11</v>
      </c>
      <c r="F357">
        <v>1</v>
      </c>
    </row>
    <row r="358" spans="1:6" x14ac:dyDescent="0.2">
      <c r="A358" t="s">
        <v>2175</v>
      </c>
      <c r="B358" t="s">
        <v>2167</v>
      </c>
      <c r="C358" t="s">
        <v>2174</v>
      </c>
      <c r="D358" t="s">
        <v>10</v>
      </c>
      <c r="E358" t="s">
        <v>16</v>
      </c>
      <c r="F358">
        <v>1</v>
      </c>
    </row>
    <row r="359" spans="1:6" x14ac:dyDescent="0.2">
      <c r="A359" t="s">
        <v>2177</v>
      </c>
      <c r="B359" t="s">
        <v>2167</v>
      </c>
      <c r="C359" t="s">
        <v>2176</v>
      </c>
      <c r="D359" t="s">
        <v>10</v>
      </c>
      <c r="E359" t="s">
        <v>16</v>
      </c>
      <c r="F359">
        <v>1</v>
      </c>
    </row>
    <row r="360" spans="1:6" x14ac:dyDescent="0.2">
      <c r="A360" t="s">
        <v>2169</v>
      </c>
      <c r="B360" t="s">
        <v>2167</v>
      </c>
      <c r="C360" t="s">
        <v>2168</v>
      </c>
      <c r="D360" t="s">
        <v>10</v>
      </c>
      <c r="E360" t="s">
        <v>16</v>
      </c>
      <c r="F360">
        <v>1</v>
      </c>
    </row>
    <row r="361" spans="1:6" x14ac:dyDescent="0.2">
      <c r="A361" t="s">
        <v>1466</v>
      </c>
      <c r="B361" t="s">
        <v>2167</v>
      </c>
      <c r="C361" t="s">
        <v>2178</v>
      </c>
      <c r="D361" t="s">
        <v>10</v>
      </c>
      <c r="E361" t="s">
        <v>16</v>
      </c>
      <c r="F361">
        <v>1</v>
      </c>
    </row>
    <row r="362" spans="1:6" x14ac:dyDescent="0.2">
      <c r="A362" t="s">
        <v>1469</v>
      </c>
      <c r="B362" t="s">
        <v>2167</v>
      </c>
      <c r="C362" t="s">
        <v>1468</v>
      </c>
      <c r="D362" t="s">
        <v>10</v>
      </c>
      <c r="E362" t="s">
        <v>11</v>
      </c>
      <c r="F362">
        <v>1</v>
      </c>
    </row>
    <row r="363" spans="1:6" x14ac:dyDescent="0.2">
      <c r="A363" t="s">
        <v>2139</v>
      </c>
      <c r="B363" t="s">
        <v>2167</v>
      </c>
      <c r="C363" t="s">
        <v>2171</v>
      </c>
      <c r="D363" t="s">
        <v>10</v>
      </c>
      <c r="E363" t="s">
        <v>52</v>
      </c>
      <c r="F363">
        <v>1</v>
      </c>
    </row>
    <row r="364" spans="1:6" x14ac:dyDescent="0.2">
      <c r="A364" t="s">
        <v>2154</v>
      </c>
      <c r="B364" t="s">
        <v>10313</v>
      </c>
      <c r="C364" t="s">
        <v>3124</v>
      </c>
      <c r="D364" t="s">
        <v>10</v>
      </c>
      <c r="E364" t="s">
        <v>16</v>
      </c>
      <c r="F364">
        <v>1</v>
      </c>
    </row>
    <row r="365" spans="1:6" x14ac:dyDescent="0.2">
      <c r="A365" t="s">
        <v>2247</v>
      </c>
      <c r="B365" t="s">
        <v>2181</v>
      </c>
      <c r="C365" t="s">
        <v>2246</v>
      </c>
      <c r="D365" t="s">
        <v>10</v>
      </c>
      <c r="E365" t="s">
        <v>52</v>
      </c>
      <c r="F365">
        <v>2</v>
      </c>
    </row>
    <row r="366" spans="1:6" x14ac:dyDescent="0.2">
      <c r="A366" t="s">
        <v>2599</v>
      </c>
      <c r="B366" t="s">
        <v>2590</v>
      </c>
      <c r="C366" t="s">
        <v>2598</v>
      </c>
      <c r="D366" t="s">
        <v>29</v>
      </c>
      <c r="E366" t="s">
        <v>52</v>
      </c>
      <c r="F366">
        <v>2</v>
      </c>
    </row>
    <row r="367" spans="1:6" x14ac:dyDescent="0.2">
      <c r="A367" t="s">
        <v>2183</v>
      </c>
      <c r="B367" t="s">
        <v>2181</v>
      </c>
      <c r="C367" t="s">
        <v>2182</v>
      </c>
      <c r="D367" t="s">
        <v>10</v>
      </c>
      <c r="E367" t="s">
        <v>16</v>
      </c>
      <c r="F367">
        <v>1</v>
      </c>
    </row>
    <row r="368" spans="1:6" x14ac:dyDescent="0.2">
      <c r="A368" t="s">
        <v>2185</v>
      </c>
      <c r="B368" t="s">
        <v>2181</v>
      </c>
      <c r="C368" t="s">
        <v>2184</v>
      </c>
      <c r="D368" t="s">
        <v>10</v>
      </c>
      <c r="E368" t="s">
        <v>16</v>
      </c>
      <c r="F368">
        <v>2</v>
      </c>
    </row>
    <row r="369" spans="1:6" x14ac:dyDescent="0.2">
      <c r="A369" t="s">
        <v>2189</v>
      </c>
      <c r="B369" t="s">
        <v>2181</v>
      </c>
      <c r="C369" t="s">
        <v>2188</v>
      </c>
      <c r="D369" t="s">
        <v>10</v>
      </c>
      <c r="E369" t="s">
        <v>16</v>
      </c>
      <c r="F369">
        <v>1</v>
      </c>
    </row>
    <row r="370" spans="1:6" x14ac:dyDescent="0.2">
      <c r="A370" t="s">
        <v>2249</v>
      </c>
      <c r="B370" t="s">
        <v>2382</v>
      </c>
      <c r="C370" t="s">
        <v>2391</v>
      </c>
      <c r="D370" t="s">
        <v>10</v>
      </c>
      <c r="E370" t="s">
        <v>52</v>
      </c>
      <c r="F370">
        <v>2</v>
      </c>
    </row>
    <row r="371" spans="1:6" x14ac:dyDescent="0.2">
      <c r="A371" t="s">
        <v>2386</v>
      </c>
      <c r="B371" t="s">
        <v>2382</v>
      </c>
      <c r="C371" t="s">
        <v>2385</v>
      </c>
      <c r="D371" t="s">
        <v>10</v>
      </c>
      <c r="E371" t="s">
        <v>52</v>
      </c>
      <c r="F371">
        <v>1</v>
      </c>
    </row>
    <row r="372" spans="1:6" x14ac:dyDescent="0.2">
      <c r="A372" t="s">
        <v>2192</v>
      </c>
      <c r="B372" t="s">
        <v>2181</v>
      </c>
      <c r="C372" t="s">
        <v>2191</v>
      </c>
      <c r="D372" t="s">
        <v>10</v>
      </c>
      <c r="E372" t="s">
        <v>16</v>
      </c>
      <c r="F372">
        <v>1</v>
      </c>
    </row>
    <row r="373" spans="1:6" x14ac:dyDescent="0.2">
      <c r="A373" t="s">
        <v>2195</v>
      </c>
      <c r="B373" t="s">
        <v>2181</v>
      </c>
      <c r="C373" t="s">
        <v>2194</v>
      </c>
      <c r="D373" t="s">
        <v>10</v>
      </c>
      <c r="E373" t="s">
        <v>16</v>
      </c>
      <c r="F373">
        <v>1</v>
      </c>
    </row>
    <row r="374" spans="1:6" x14ac:dyDescent="0.2">
      <c r="A374" t="s">
        <v>2253</v>
      </c>
      <c r="B374" t="s">
        <v>9692</v>
      </c>
      <c r="C374" t="s">
        <v>2252</v>
      </c>
      <c r="D374" t="s">
        <v>10</v>
      </c>
      <c r="E374" t="s">
        <v>52</v>
      </c>
      <c r="F374">
        <v>2</v>
      </c>
    </row>
    <row r="375" spans="1:6" x14ac:dyDescent="0.2">
      <c r="A375" t="s">
        <v>2601</v>
      </c>
      <c r="B375" t="s">
        <v>2590</v>
      </c>
      <c r="C375" t="s">
        <v>2602</v>
      </c>
      <c r="D375" t="s">
        <v>10</v>
      </c>
      <c r="E375" t="s">
        <v>52</v>
      </c>
      <c r="F375">
        <v>2</v>
      </c>
    </row>
    <row r="376" spans="1:6" x14ac:dyDescent="0.2">
      <c r="A376" t="s">
        <v>2198</v>
      </c>
      <c r="B376" t="s">
        <v>2181</v>
      </c>
      <c r="C376" t="s">
        <v>2197</v>
      </c>
      <c r="D376" t="s">
        <v>10</v>
      </c>
      <c r="E376" t="s">
        <v>16</v>
      </c>
      <c r="F376">
        <v>1</v>
      </c>
    </row>
    <row r="377" spans="1:6" x14ac:dyDescent="0.2">
      <c r="A377" t="s">
        <v>2201</v>
      </c>
      <c r="B377" t="s">
        <v>2181</v>
      </c>
      <c r="C377" t="s">
        <v>2200</v>
      </c>
      <c r="D377" t="s">
        <v>10</v>
      </c>
      <c r="E377" t="s">
        <v>16</v>
      </c>
      <c r="F377">
        <v>1</v>
      </c>
    </row>
    <row r="378" spans="1:6" x14ac:dyDescent="0.2">
      <c r="A378" t="s">
        <v>2269</v>
      </c>
      <c r="B378" t="s">
        <v>2181</v>
      </c>
      <c r="C378" t="s">
        <v>2377</v>
      </c>
      <c r="D378" t="s">
        <v>10</v>
      </c>
      <c r="E378" t="s">
        <v>16</v>
      </c>
      <c r="F378">
        <v>1</v>
      </c>
    </row>
    <row r="379" spans="1:6" x14ac:dyDescent="0.2">
      <c r="A379" t="s">
        <v>2255</v>
      </c>
      <c r="B379" t="s">
        <v>9692</v>
      </c>
      <c r="C379" t="s">
        <v>6397</v>
      </c>
      <c r="D379" t="s">
        <v>10</v>
      </c>
      <c r="E379" t="s">
        <v>11</v>
      </c>
      <c r="F379">
        <v>2</v>
      </c>
    </row>
    <row r="380" spans="1:6" x14ac:dyDescent="0.2">
      <c r="A380" t="s">
        <v>2374</v>
      </c>
      <c r="B380" t="s">
        <v>9692</v>
      </c>
      <c r="C380" t="s">
        <v>6398</v>
      </c>
      <c r="D380" t="s">
        <v>10</v>
      </c>
      <c r="E380" t="s">
        <v>11</v>
      </c>
      <c r="F380">
        <v>2</v>
      </c>
    </row>
    <row r="381" spans="1:6" x14ac:dyDescent="0.2">
      <c r="A381" t="s">
        <v>2206</v>
      </c>
      <c r="B381" t="s">
        <v>2181</v>
      </c>
      <c r="C381" t="s">
        <v>2205</v>
      </c>
      <c r="D381" t="s">
        <v>10</v>
      </c>
      <c r="E381" t="s">
        <v>16</v>
      </c>
      <c r="F381">
        <v>2</v>
      </c>
    </row>
    <row r="382" spans="1:6" x14ac:dyDescent="0.2">
      <c r="A382" t="s">
        <v>2208</v>
      </c>
      <c r="B382" t="s">
        <v>2181</v>
      </c>
      <c r="C382" t="s">
        <v>2207</v>
      </c>
      <c r="D382" t="s">
        <v>10</v>
      </c>
      <c r="E382" t="s">
        <v>16</v>
      </c>
      <c r="F382">
        <v>2</v>
      </c>
    </row>
    <row r="383" spans="1:6" x14ac:dyDescent="0.2">
      <c r="A383" t="s">
        <v>2210</v>
      </c>
      <c r="B383" t="s">
        <v>2181</v>
      </c>
      <c r="C383" t="s">
        <v>2209</v>
      </c>
      <c r="D383" t="s">
        <v>10</v>
      </c>
      <c r="E383" t="s">
        <v>16</v>
      </c>
      <c r="F383">
        <v>2</v>
      </c>
    </row>
    <row r="384" spans="1:6" x14ac:dyDescent="0.2">
      <c r="A384" t="s">
        <v>2212</v>
      </c>
      <c r="B384" t="s">
        <v>9692</v>
      </c>
      <c r="C384" t="s">
        <v>2211</v>
      </c>
      <c r="D384" t="s">
        <v>10</v>
      </c>
      <c r="E384" t="s">
        <v>16</v>
      </c>
      <c r="F384">
        <v>2</v>
      </c>
    </row>
    <row r="385" spans="1:6" x14ac:dyDescent="0.2">
      <c r="A385" t="s">
        <v>2214</v>
      </c>
      <c r="B385" t="s">
        <v>2181</v>
      </c>
      <c r="C385" t="s">
        <v>2213</v>
      </c>
      <c r="D385" t="s">
        <v>10</v>
      </c>
      <c r="E385" t="s">
        <v>16</v>
      </c>
      <c r="F385">
        <v>2</v>
      </c>
    </row>
    <row r="386" spans="1:6" x14ac:dyDescent="0.2">
      <c r="A386" t="s">
        <v>2216</v>
      </c>
      <c r="B386" t="s">
        <v>2181</v>
      </c>
      <c r="C386" t="s">
        <v>2215</v>
      </c>
      <c r="D386" t="s">
        <v>10</v>
      </c>
      <c r="E386" t="s">
        <v>16</v>
      </c>
      <c r="F386">
        <v>2</v>
      </c>
    </row>
    <row r="387" spans="1:6" x14ac:dyDescent="0.2">
      <c r="A387" t="s">
        <v>2218</v>
      </c>
      <c r="B387" t="s">
        <v>2181</v>
      </c>
      <c r="C387" t="s">
        <v>2217</v>
      </c>
      <c r="D387" t="s">
        <v>10</v>
      </c>
      <c r="E387" t="s">
        <v>16</v>
      </c>
      <c r="F387">
        <v>2</v>
      </c>
    </row>
    <row r="388" spans="1:6" x14ac:dyDescent="0.2">
      <c r="A388" t="s">
        <v>2220</v>
      </c>
      <c r="B388" t="s">
        <v>2181</v>
      </c>
      <c r="C388" t="s">
        <v>2219</v>
      </c>
      <c r="D388" t="s">
        <v>10</v>
      </c>
      <c r="E388" t="s">
        <v>16</v>
      </c>
      <c r="F388">
        <v>2</v>
      </c>
    </row>
    <row r="389" spans="1:6" x14ac:dyDescent="0.2">
      <c r="A389" t="s">
        <v>2222</v>
      </c>
      <c r="B389" t="s">
        <v>2181</v>
      </c>
      <c r="C389" t="s">
        <v>2221</v>
      </c>
      <c r="D389" t="s">
        <v>10</v>
      </c>
      <c r="E389" t="s">
        <v>16</v>
      </c>
      <c r="F389">
        <v>1</v>
      </c>
    </row>
    <row r="390" spans="1:6" x14ac:dyDescent="0.2">
      <c r="A390" t="s">
        <v>2224</v>
      </c>
      <c r="B390" t="s">
        <v>2181</v>
      </c>
      <c r="C390" t="s">
        <v>2223</v>
      </c>
      <c r="D390" t="s">
        <v>10</v>
      </c>
      <c r="E390" t="s">
        <v>16</v>
      </c>
      <c r="F390">
        <v>2</v>
      </c>
    </row>
    <row r="391" spans="1:6" x14ac:dyDescent="0.2">
      <c r="A391" t="s">
        <v>2227</v>
      </c>
      <c r="B391" t="s">
        <v>2181</v>
      </c>
      <c r="C391" t="s">
        <v>2226</v>
      </c>
      <c r="D391" t="s">
        <v>10</v>
      </c>
      <c r="E391" t="s">
        <v>16</v>
      </c>
      <c r="F391">
        <v>2</v>
      </c>
    </row>
    <row r="392" spans="1:6" x14ac:dyDescent="0.2">
      <c r="A392" t="s">
        <v>2243</v>
      </c>
      <c r="B392" t="s">
        <v>2181</v>
      </c>
      <c r="C392" t="s">
        <v>2242</v>
      </c>
      <c r="D392" t="s">
        <v>10</v>
      </c>
      <c r="E392" t="s">
        <v>16</v>
      </c>
      <c r="F392">
        <v>2</v>
      </c>
    </row>
    <row r="393" spans="1:6" x14ac:dyDescent="0.2">
      <c r="A393" t="s">
        <v>2245</v>
      </c>
      <c r="B393" t="s">
        <v>2181</v>
      </c>
      <c r="C393" t="s">
        <v>2244</v>
      </c>
      <c r="D393" t="s">
        <v>10</v>
      </c>
      <c r="E393" t="s">
        <v>52</v>
      </c>
      <c r="F393">
        <v>2</v>
      </c>
    </row>
    <row r="394" spans="1:6" x14ac:dyDescent="0.2">
      <c r="A394" t="s">
        <v>2234</v>
      </c>
      <c r="B394" t="s">
        <v>2181</v>
      </c>
      <c r="C394" t="s">
        <v>2241</v>
      </c>
      <c r="D394" t="s">
        <v>10</v>
      </c>
      <c r="E394" t="s">
        <v>52</v>
      </c>
      <c r="F394">
        <v>2</v>
      </c>
    </row>
    <row r="395" spans="1:6" x14ac:dyDescent="0.2">
      <c r="A395" t="s">
        <v>2240</v>
      </c>
      <c r="B395" t="s">
        <v>2181</v>
      </c>
      <c r="C395" t="s">
        <v>2239</v>
      </c>
      <c r="D395" t="s">
        <v>10</v>
      </c>
      <c r="E395" t="s">
        <v>52</v>
      </c>
      <c r="F395">
        <v>2</v>
      </c>
    </row>
    <row r="396" spans="1:6" x14ac:dyDescent="0.2">
      <c r="A396" t="s">
        <v>2036</v>
      </c>
      <c r="B396" t="s">
        <v>2034</v>
      </c>
      <c r="C396" t="s">
        <v>2037</v>
      </c>
      <c r="D396" t="s">
        <v>10</v>
      </c>
      <c r="E396" t="s">
        <v>16</v>
      </c>
      <c r="F396">
        <v>1</v>
      </c>
    </row>
    <row r="397" spans="1:6" x14ac:dyDescent="0.2">
      <c r="A397" t="s">
        <v>10423</v>
      </c>
      <c r="B397" t="s">
        <v>10419</v>
      </c>
      <c r="C397" t="s">
        <v>10429</v>
      </c>
      <c r="D397" t="s">
        <v>10</v>
      </c>
      <c r="E397" t="s">
        <v>52</v>
      </c>
      <c r="F397">
        <v>4</v>
      </c>
    </row>
    <row r="398" spans="1:6" x14ac:dyDescent="0.2">
      <c r="A398" t="s">
        <v>2597</v>
      </c>
      <c r="B398" t="s">
        <v>2590</v>
      </c>
      <c r="C398" t="s">
        <v>2605</v>
      </c>
      <c r="D398" t="s">
        <v>29</v>
      </c>
      <c r="E398" t="s">
        <v>11</v>
      </c>
      <c r="F398">
        <v>2</v>
      </c>
    </row>
    <row r="399" spans="1:6" x14ac:dyDescent="0.2">
      <c r="A399" t="s">
        <v>2592</v>
      </c>
      <c r="B399" t="s">
        <v>2590</v>
      </c>
      <c r="C399" t="s">
        <v>2591</v>
      </c>
      <c r="D399" t="s">
        <v>29</v>
      </c>
      <c r="E399" t="s">
        <v>11</v>
      </c>
      <c r="F399">
        <v>2</v>
      </c>
    </row>
    <row r="400" spans="1:6" x14ac:dyDescent="0.2">
      <c r="A400" t="s">
        <v>9952</v>
      </c>
      <c r="B400" t="s">
        <v>9951</v>
      </c>
      <c r="C400" t="s">
        <v>9900</v>
      </c>
      <c r="D400" t="s">
        <v>10</v>
      </c>
      <c r="E400" t="s">
        <v>16</v>
      </c>
      <c r="F400">
        <v>1</v>
      </c>
    </row>
    <row r="401" spans="1:6" x14ac:dyDescent="0.2">
      <c r="A401" t="s">
        <v>1719</v>
      </c>
      <c r="B401" t="s">
        <v>1718</v>
      </c>
      <c r="C401" t="s">
        <v>1330</v>
      </c>
      <c r="D401" t="s">
        <v>10</v>
      </c>
      <c r="E401" t="s">
        <v>16</v>
      </c>
      <c r="F401">
        <v>1</v>
      </c>
    </row>
    <row r="402" spans="1:6" x14ac:dyDescent="0.2">
      <c r="A402" t="s">
        <v>9362</v>
      </c>
      <c r="B402" t="s">
        <v>9358</v>
      </c>
      <c r="C402" t="s">
        <v>9361</v>
      </c>
      <c r="D402" t="s">
        <v>10</v>
      </c>
      <c r="E402" t="s">
        <v>16</v>
      </c>
      <c r="F402">
        <v>1</v>
      </c>
    </row>
    <row r="403" spans="1:6" x14ac:dyDescent="0.2">
      <c r="A403" t="s">
        <v>3089</v>
      </c>
      <c r="B403" t="s">
        <v>3080</v>
      </c>
      <c r="C403" t="s">
        <v>3090</v>
      </c>
      <c r="D403" t="s">
        <v>10</v>
      </c>
      <c r="E403" t="s">
        <v>16</v>
      </c>
      <c r="F403">
        <v>1</v>
      </c>
    </row>
    <row r="404" spans="1:6" x14ac:dyDescent="0.2">
      <c r="A404" t="s">
        <v>8985</v>
      </c>
      <c r="B404" t="s">
        <v>8983</v>
      </c>
      <c r="C404" t="s">
        <v>8984</v>
      </c>
      <c r="D404" t="s">
        <v>10</v>
      </c>
      <c r="E404" t="s">
        <v>16</v>
      </c>
      <c r="F404">
        <v>1</v>
      </c>
    </row>
    <row r="405" spans="1:6" x14ac:dyDescent="0.2">
      <c r="A405" t="s">
        <v>4932</v>
      </c>
      <c r="B405" t="s">
        <v>4930</v>
      </c>
      <c r="C405" t="s">
        <v>4931</v>
      </c>
      <c r="D405" t="s">
        <v>10</v>
      </c>
      <c r="E405" t="s">
        <v>16</v>
      </c>
      <c r="F405">
        <v>1</v>
      </c>
    </row>
    <row r="406" spans="1:6" x14ac:dyDescent="0.2">
      <c r="A406" t="s">
        <v>11196</v>
      </c>
      <c r="B406" t="s">
        <v>11194</v>
      </c>
      <c r="C406" t="s">
        <v>11197</v>
      </c>
      <c r="D406" t="s">
        <v>10</v>
      </c>
      <c r="E406" t="s">
        <v>16</v>
      </c>
      <c r="F406">
        <v>1</v>
      </c>
    </row>
    <row r="407" spans="1:6" x14ac:dyDescent="0.2">
      <c r="A407" t="s">
        <v>2627</v>
      </c>
      <c r="B407" t="s">
        <v>2626</v>
      </c>
      <c r="C407" t="s">
        <v>541</v>
      </c>
      <c r="D407" t="s">
        <v>10</v>
      </c>
      <c r="E407" t="s">
        <v>16</v>
      </c>
      <c r="F407">
        <v>1</v>
      </c>
    </row>
    <row r="408" spans="1:6" x14ac:dyDescent="0.2">
      <c r="A408" t="s">
        <v>3404</v>
      </c>
      <c r="B408" t="s">
        <v>8040</v>
      </c>
      <c r="C408" t="s">
        <v>3403</v>
      </c>
      <c r="D408" t="s">
        <v>56</v>
      </c>
      <c r="E408" t="s">
        <v>52</v>
      </c>
      <c r="F408">
        <v>2</v>
      </c>
    </row>
    <row r="409" spans="1:6" x14ac:dyDescent="0.2">
      <c r="A409" t="s">
        <v>2613</v>
      </c>
      <c r="B409" t="s">
        <v>2611</v>
      </c>
      <c r="C409" t="s">
        <v>2612</v>
      </c>
      <c r="D409" t="s">
        <v>10</v>
      </c>
      <c r="E409" t="s">
        <v>16</v>
      </c>
      <c r="F409">
        <v>1</v>
      </c>
    </row>
    <row r="410" spans="1:6" x14ac:dyDescent="0.2">
      <c r="A410" t="s">
        <v>2664</v>
      </c>
      <c r="B410" t="s">
        <v>2663</v>
      </c>
      <c r="C410" t="s">
        <v>2665</v>
      </c>
      <c r="D410" t="s">
        <v>10</v>
      </c>
      <c r="E410" t="s">
        <v>16</v>
      </c>
      <c r="F410">
        <v>1</v>
      </c>
    </row>
    <row r="411" spans="1:6" x14ac:dyDescent="0.2">
      <c r="A411" t="s">
        <v>1406</v>
      </c>
      <c r="B411" t="s">
        <v>2545</v>
      </c>
      <c r="C411" t="s">
        <v>2562</v>
      </c>
      <c r="D411" t="s">
        <v>10</v>
      </c>
      <c r="E411" t="s">
        <v>16</v>
      </c>
      <c r="F411">
        <v>1</v>
      </c>
    </row>
    <row r="412" spans="1:6" x14ac:dyDescent="0.2">
      <c r="A412" t="s">
        <v>1897</v>
      </c>
      <c r="B412" t="s">
        <v>2545</v>
      </c>
      <c r="C412" t="s">
        <v>1896</v>
      </c>
      <c r="D412" t="s">
        <v>10</v>
      </c>
      <c r="E412" t="s">
        <v>16</v>
      </c>
      <c r="F412">
        <v>1</v>
      </c>
    </row>
    <row r="413" spans="1:6" x14ac:dyDescent="0.2">
      <c r="A413" t="s">
        <v>1544</v>
      </c>
      <c r="B413" t="s">
        <v>2545</v>
      </c>
      <c r="C413" t="s">
        <v>1543</v>
      </c>
      <c r="D413" t="s">
        <v>10</v>
      </c>
      <c r="E413" t="s">
        <v>16</v>
      </c>
      <c r="F413">
        <v>1</v>
      </c>
    </row>
    <row r="414" spans="1:6" x14ac:dyDescent="0.2">
      <c r="A414" t="s">
        <v>1576</v>
      </c>
      <c r="B414" t="s">
        <v>1574</v>
      </c>
      <c r="C414" t="s">
        <v>1575</v>
      </c>
      <c r="D414" t="s">
        <v>10</v>
      </c>
      <c r="E414" t="s">
        <v>16</v>
      </c>
      <c r="F414">
        <v>1</v>
      </c>
    </row>
    <row r="415" spans="1:6" x14ac:dyDescent="0.2">
      <c r="A415" t="s">
        <v>2723</v>
      </c>
      <c r="B415" t="s">
        <v>2673</v>
      </c>
      <c r="C415" t="s">
        <v>2722</v>
      </c>
      <c r="D415" t="s">
        <v>10</v>
      </c>
      <c r="E415" t="s">
        <v>11</v>
      </c>
      <c r="F415">
        <v>4</v>
      </c>
    </row>
    <row r="416" spans="1:6" x14ac:dyDescent="0.2">
      <c r="A416" t="s">
        <v>3082</v>
      </c>
      <c r="B416" t="s">
        <v>3080</v>
      </c>
      <c r="C416" t="s">
        <v>3081</v>
      </c>
      <c r="D416" t="s">
        <v>10</v>
      </c>
      <c r="E416" t="s">
        <v>16</v>
      </c>
      <c r="F416">
        <v>2</v>
      </c>
    </row>
    <row r="417" spans="1:6" x14ac:dyDescent="0.2">
      <c r="A417" t="s">
        <v>1267</v>
      </c>
      <c r="B417" t="s">
        <v>1265</v>
      </c>
      <c r="C417" t="s">
        <v>1266</v>
      </c>
      <c r="D417" t="s">
        <v>10</v>
      </c>
      <c r="E417" t="s">
        <v>16</v>
      </c>
      <c r="F417">
        <v>1</v>
      </c>
    </row>
    <row r="418" spans="1:6" x14ac:dyDescent="0.2">
      <c r="A418" t="s">
        <v>7923</v>
      </c>
      <c r="B418" t="s">
        <v>7917</v>
      </c>
      <c r="C418" t="s">
        <v>7922</v>
      </c>
      <c r="D418" t="s">
        <v>10</v>
      </c>
      <c r="E418" t="s">
        <v>16</v>
      </c>
      <c r="F418">
        <v>1</v>
      </c>
    </row>
    <row r="419" spans="1:6" x14ac:dyDescent="0.2">
      <c r="A419" t="s">
        <v>38</v>
      </c>
      <c r="B419" t="s">
        <v>36</v>
      </c>
      <c r="C419" t="s">
        <v>37</v>
      </c>
      <c r="D419" t="s">
        <v>10</v>
      </c>
      <c r="E419" t="s">
        <v>16</v>
      </c>
      <c r="F419">
        <v>1</v>
      </c>
    </row>
    <row r="420" spans="1:6" x14ac:dyDescent="0.2">
      <c r="A420" t="s">
        <v>2009</v>
      </c>
      <c r="B420" t="s">
        <v>3130</v>
      </c>
      <c r="C420" t="s">
        <v>3131</v>
      </c>
      <c r="D420" t="s">
        <v>10</v>
      </c>
      <c r="E420" t="s">
        <v>16</v>
      </c>
      <c r="F420">
        <v>2</v>
      </c>
    </row>
    <row r="421" spans="1:6" x14ac:dyDescent="0.2">
      <c r="A421" t="s">
        <v>3133</v>
      </c>
      <c r="B421" t="s">
        <v>3130</v>
      </c>
      <c r="C421" t="s">
        <v>3134</v>
      </c>
      <c r="D421" t="s">
        <v>10</v>
      </c>
      <c r="E421" t="s">
        <v>52</v>
      </c>
      <c r="F421">
        <v>2</v>
      </c>
    </row>
    <row r="422" spans="1:6" x14ac:dyDescent="0.2">
      <c r="A422" t="s">
        <v>2931</v>
      </c>
      <c r="B422" t="s">
        <v>2673</v>
      </c>
      <c r="C422" t="s">
        <v>12067</v>
      </c>
      <c r="D422" t="s">
        <v>10</v>
      </c>
      <c r="E422" t="s">
        <v>16</v>
      </c>
      <c r="F422">
        <v>1</v>
      </c>
    </row>
    <row r="423" spans="1:6" x14ac:dyDescent="0.2">
      <c r="A423" t="s">
        <v>10962</v>
      </c>
      <c r="B423" t="s">
        <v>10961</v>
      </c>
      <c r="C423" t="s">
        <v>3919</v>
      </c>
      <c r="D423" t="s">
        <v>10</v>
      </c>
      <c r="E423" t="s">
        <v>16</v>
      </c>
      <c r="F423">
        <v>1</v>
      </c>
    </row>
    <row r="424" spans="1:6" x14ac:dyDescent="0.2">
      <c r="A424" t="s">
        <v>3026</v>
      </c>
      <c r="B424" t="s">
        <v>9999</v>
      </c>
      <c r="C424" t="s">
        <v>10010</v>
      </c>
      <c r="D424" t="s">
        <v>10</v>
      </c>
      <c r="E424" t="s">
        <v>16</v>
      </c>
      <c r="F424">
        <v>2</v>
      </c>
    </row>
    <row r="425" spans="1:6" x14ac:dyDescent="0.2">
      <c r="A425" t="s">
        <v>9618</v>
      </c>
      <c r="B425" t="s">
        <v>9616</v>
      </c>
      <c r="C425" t="s">
        <v>9617</v>
      </c>
      <c r="D425" t="s">
        <v>10</v>
      </c>
      <c r="E425" t="s">
        <v>16</v>
      </c>
      <c r="F425">
        <v>1</v>
      </c>
    </row>
    <row r="426" spans="1:6" x14ac:dyDescent="0.2">
      <c r="A426" t="s">
        <v>10026</v>
      </c>
      <c r="B426" t="s">
        <v>10146</v>
      </c>
      <c r="C426" t="s">
        <v>10025</v>
      </c>
      <c r="D426" t="s">
        <v>10</v>
      </c>
      <c r="E426" t="s">
        <v>1080</v>
      </c>
      <c r="F426">
        <v>4</v>
      </c>
    </row>
    <row r="427" spans="1:6" x14ac:dyDescent="0.2">
      <c r="A427" t="s">
        <v>3072</v>
      </c>
      <c r="B427" t="s">
        <v>3070</v>
      </c>
      <c r="C427" t="s">
        <v>3071</v>
      </c>
      <c r="D427" t="s">
        <v>10</v>
      </c>
      <c r="E427" t="s">
        <v>16</v>
      </c>
      <c r="F427">
        <v>1</v>
      </c>
    </row>
    <row r="428" spans="1:6" x14ac:dyDescent="0.2">
      <c r="A428" t="s">
        <v>3154</v>
      </c>
      <c r="B428" t="s">
        <v>3140</v>
      </c>
      <c r="C428" t="s">
        <v>3153</v>
      </c>
      <c r="D428" t="s">
        <v>10</v>
      </c>
      <c r="E428" t="s">
        <v>16</v>
      </c>
      <c r="F428">
        <v>1</v>
      </c>
    </row>
    <row r="429" spans="1:6" x14ac:dyDescent="0.2">
      <c r="A429" t="s">
        <v>2126</v>
      </c>
      <c r="B429" t="s">
        <v>2124</v>
      </c>
      <c r="C429" t="s">
        <v>2125</v>
      </c>
      <c r="D429" t="s">
        <v>64</v>
      </c>
      <c r="E429" t="s">
        <v>16</v>
      </c>
      <c r="F429">
        <v>1</v>
      </c>
    </row>
    <row r="430" spans="1:6" x14ac:dyDescent="0.2">
      <c r="A430" t="s">
        <v>3170</v>
      </c>
      <c r="B430" t="s">
        <v>3167</v>
      </c>
      <c r="C430" t="s">
        <v>12057</v>
      </c>
      <c r="D430" t="s">
        <v>10</v>
      </c>
      <c r="E430" t="s">
        <v>16</v>
      </c>
      <c r="F430">
        <v>1</v>
      </c>
    </row>
    <row r="431" spans="1:6" x14ac:dyDescent="0.2">
      <c r="A431" t="s">
        <v>3168</v>
      </c>
      <c r="B431" t="s">
        <v>3167</v>
      </c>
      <c r="C431" t="s">
        <v>3171</v>
      </c>
      <c r="D431" t="s">
        <v>10</v>
      </c>
      <c r="E431" t="s">
        <v>16</v>
      </c>
      <c r="F431">
        <v>1</v>
      </c>
    </row>
    <row r="432" spans="1:6" x14ac:dyDescent="0.2">
      <c r="A432" t="s">
        <v>3158</v>
      </c>
      <c r="B432" t="s">
        <v>3140</v>
      </c>
      <c r="C432" t="s">
        <v>3157</v>
      </c>
      <c r="D432" t="s">
        <v>10</v>
      </c>
      <c r="E432" t="s">
        <v>16</v>
      </c>
      <c r="F432">
        <v>1</v>
      </c>
    </row>
    <row r="433" spans="1:6" x14ac:dyDescent="0.2">
      <c r="A433" t="s">
        <v>11295</v>
      </c>
      <c r="B433" t="s">
        <v>11294</v>
      </c>
      <c r="C433" t="s">
        <v>11305</v>
      </c>
      <c r="D433" t="s">
        <v>10</v>
      </c>
      <c r="E433" t="s">
        <v>16</v>
      </c>
      <c r="F433">
        <v>1</v>
      </c>
    </row>
    <row r="434" spans="1:6" x14ac:dyDescent="0.2">
      <c r="A434" t="s">
        <v>3051</v>
      </c>
      <c r="B434" t="s">
        <v>3048</v>
      </c>
      <c r="C434" t="s">
        <v>3050</v>
      </c>
      <c r="D434" t="s">
        <v>56</v>
      </c>
      <c r="E434" t="s">
        <v>16</v>
      </c>
      <c r="F434">
        <v>1</v>
      </c>
    </row>
    <row r="435" spans="1:6" x14ac:dyDescent="0.2">
      <c r="A435" t="s">
        <v>716</v>
      </c>
      <c r="B435" t="s">
        <v>714</v>
      </c>
      <c r="C435" t="s">
        <v>715</v>
      </c>
      <c r="D435" t="s">
        <v>10</v>
      </c>
      <c r="E435" t="s">
        <v>16</v>
      </c>
      <c r="F435">
        <v>1</v>
      </c>
    </row>
    <row r="436" spans="1:6" x14ac:dyDescent="0.2">
      <c r="A436" t="s">
        <v>8031</v>
      </c>
      <c r="B436" t="s">
        <v>8029</v>
      </c>
      <c r="C436" t="s">
        <v>8034</v>
      </c>
      <c r="D436" t="s">
        <v>10</v>
      </c>
      <c r="E436" t="s">
        <v>16</v>
      </c>
      <c r="F436">
        <v>1</v>
      </c>
    </row>
    <row r="437" spans="1:6" x14ac:dyDescent="0.2">
      <c r="A437" t="s">
        <v>2380</v>
      </c>
      <c r="B437" t="s">
        <v>2378</v>
      </c>
      <c r="C437" t="s">
        <v>2379</v>
      </c>
      <c r="D437" t="s">
        <v>10</v>
      </c>
      <c r="E437" t="s">
        <v>52</v>
      </c>
      <c r="F437">
        <v>2</v>
      </c>
    </row>
    <row r="438" spans="1:6" x14ac:dyDescent="0.2">
      <c r="A438" t="s">
        <v>2433</v>
      </c>
      <c r="B438" t="s">
        <v>2412</v>
      </c>
      <c r="C438" t="s">
        <v>2432</v>
      </c>
      <c r="D438" t="s">
        <v>56</v>
      </c>
      <c r="E438" t="s">
        <v>52</v>
      </c>
      <c r="F438">
        <v>2</v>
      </c>
    </row>
    <row r="439" spans="1:6" x14ac:dyDescent="0.2">
      <c r="A439" t="s">
        <v>2359</v>
      </c>
      <c r="B439" t="s">
        <v>2181</v>
      </c>
      <c r="C439" t="s">
        <v>2360</v>
      </c>
      <c r="D439" t="s">
        <v>10</v>
      </c>
      <c r="E439" t="s">
        <v>16</v>
      </c>
      <c r="F439">
        <v>1</v>
      </c>
    </row>
    <row r="440" spans="1:6" x14ac:dyDescent="0.2">
      <c r="A440" t="s">
        <v>2935</v>
      </c>
      <c r="B440" t="s">
        <v>2673</v>
      </c>
      <c r="C440" t="s">
        <v>2934</v>
      </c>
      <c r="D440" t="s">
        <v>10</v>
      </c>
      <c r="E440" t="s">
        <v>11</v>
      </c>
      <c r="F440">
        <v>1</v>
      </c>
    </row>
    <row r="441" spans="1:6" x14ac:dyDescent="0.2">
      <c r="A441" t="s">
        <v>7320</v>
      </c>
      <c r="B441" t="s">
        <v>7318</v>
      </c>
      <c r="C441" t="s">
        <v>7319</v>
      </c>
      <c r="D441" t="s">
        <v>10</v>
      </c>
      <c r="E441" t="s">
        <v>16</v>
      </c>
      <c r="F441">
        <v>1</v>
      </c>
    </row>
    <row r="442" spans="1:6" x14ac:dyDescent="0.2">
      <c r="A442" t="s">
        <v>1259</v>
      </c>
      <c r="B442" t="s">
        <v>1257</v>
      </c>
      <c r="C442" t="s">
        <v>1258</v>
      </c>
      <c r="D442" t="s">
        <v>10</v>
      </c>
      <c r="E442" t="s">
        <v>16</v>
      </c>
      <c r="F442">
        <v>3</v>
      </c>
    </row>
    <row r="443" spans="1:6" x14ac:dyDescent="0.2">
      <c r="A443" t="s">
        <v>207</v>
      </c>
      <c r="B443" t="s">
        <v>3176</v>
      </c>
      <c r="C443" t="s">
        <v>3179</v>
      </c>
      <c r="D443" t="s">
        <v>10</v>
      </c>
      <c r="E443" t="s">
        <v>16</v>
      </c>
      <c r="F443">
        <v>1</v>
      </c>
    </row>
    <row r="444" spans="1:6" x14ac:dyDescent="0.2">
      <c r="A444" t="s">
        <v>2645</v>
      </c>
      <c r="B444" t="s">
        <v>3176</v>
      </c>
      <c r="C444" t="s">
        <v>2644</v>
      </c>
      <c r="D444" t="s">
        <v>10</v>
      </c>
      <c r="E444" t="s">
        <v>16</v>
      </c>
      <c r="F444">
        <v>1</v>
      </c>
    </row>
    <row r="445" spans="1:6" x14ac:dyDescent="0.2">
      <c r="A445" t="s">
        <v>3178</v>
      </c>
      <c r="B445" t="s">
        <v>3176</v>
      </c>
      <c r="C445" t="s">
        <v>3180</v>
      </c>
      <c r="D445" t="s">
        <v>10</v>
      </c>
      <c r="E445" t="s">
        <v>16</v>
      </c>
      <c r="F445">
        <v>1</v>
      </c>
    </row>
    <row r="446" spans="1:6" x14ac:dyDescent="0.2">
      <c r="A446" t="s">
        <v>6410</v>
      </c>
      <c r="B446" t="s">
        <v>6408</v>
      </c>
      <c r="C446" t="s">
        <v>127</v>
      </c>
      <c r="D446" t="s">
        <v>10</v>
      </c>
      <c r="E446" t="s">
        <v>11</v>
      </c>
      <c r="F446">
        <v>2</v>
      </c>
    </row>
    <row r="447" spans="1:6" x14ac:dyDescent="0.2">
      <c r="A447" t="s">
        <v>119</v>
      </c>
      <c r="B447" t="s">
        <v>126</v>
      </c>
      <c r="C447" t="s">
        <v>127</v>
      </c>
      <c r="D447" t="s">
        <v>29</v>
      </c>
      <c r="E447" t="s">
        <v>16</v>
      </c>
      <c r="F447">
        <v>1</v>
      </c>
    </row>
    <row r="448" spans="1:6" x14ac:dyDescent="0.2">
      <c r="A448" t="s">
        <v>3161</v>
      </c>
      <c r="B448" t="s">
        <v>3159</v>
      </c>
      <c r="C448" t="s">
        <v>3160</v>
      </c>
      <c r="D448" t="s">
        <v>10</v>
      </c>
      <c r="E448" t="s">
        <v>16</v>
      </c>
      <c r="F448">
        <v>1</v>
      </c>
    </row>
    <row r="449" spans="1:6" x14ac:dyDescent="0.2">
      <c r="A449" t="s">
        <v>9643</v>
      </c>
      <c r="B449" t="s">
        <v>9641</v>
      </c>
      <c r="C449" t="s">
        <v>9642</v>
      </c>
      <c r="D449" t="s">
        <v>10</v>
      </c>
      <c r="E449" t="s">
        <v>16</v>
      </c>
      <c r="F449">
        <v>1</v>
      </c>
    </row>
    <row r="450" spans="1:6" x14ac:dyDescent="0.2">
      <c r="A450" t="s">
        <v>2660</v>
      </c>
      <c r="B450" t="s">
        <v>2658</v>
      </c>
      <c r="C450" t="s">
        <v>2659</v>
      </c>
      <c r="D450" t="s">
        <v>10</v>
      </c>
      <c r="E450" t="s">
        <v>16</v>
      </c>
      <c r="F450">
        <v>1</v>
      </c>
    </row>
    <row r="451" spans="1:6" x14ac:dyDescent="0.2">
      <c r="A451" t="s">
        <v>2662</v>
      </c>
      <c r="B451" t="s">
        <v>2658</v>
      </c>
      <c r="C451" t="s">
        <v>2661</v>
      </c>
      <c r="D451" t="s">
        <v>10</v>
      </c>
      <c r="E451" t="s">
        <v>16</v>
      </c>
      <c r="F451">
        <v>1</v>
      </c>
    </row>
    <row r="452" spans="1:6" x14ac:dyDescent="0.2">
      <c r="A452" t="s">
        <v>3046</v>
      </c>
      <c r="B452" t="s">
        <v>3044</v>
      </c>
      <c r="C452" t="s">
        <v>3045</v>
      </c>
      <c r="D452" t="s">
        <v>10</v>
      </c>
      <c r="E452" t="s">
        <v>16</v>
      </c>
      <c r="F452">
        <v>1</v>
      </c>
    </row>
    <row r="453" spans="1:6" x14ac:dyDescent="0.2">
      <c r="A453" t="s">
        <v>1349</v>
      </c>
      <c r="B453" t="s">
        <v>3509</v>
      </c>
      <c r="C453" t="s">
        <v>3566</v>
      </c>
      <c r="D453" t="s">
        <v>10</v>
      </c>
      <c r="E453" t="s">
        <v>52</v>
      </c>
      <c r="F453">
        <v>2</v>
      </c>
    </row>
    <row r="454" spans="1:6" x14ac:dyDescent="0.2">
      <c r="A454" t="s">
        <v>3570</v>
      </c>
      <c r="B454" t="s">
        <v>3509</v>
      </c>
      <c r="C454" t="s">
        <v>3569</v>
      </c>
      <c r="D454" t="s">
        <v>10</v>
      </c>
      <c r="E454" t="s">
        <v>52</v>
      </c>
      <c r="F454">
        <v>2</v>
      </c>
    </row>
    <row r="455" spans="1:6" x14ac:dyDescent="0.2">
      <c r="A455" t="s">
        <v>3534</v>
      </c>
      <c r="B455" t="s">
        <v>3509</v>
      </c>
      <c r="C455" t="s">
        <v>3533</v>
      </c>
      <c r="D455" t="s">
        <v>10</v>
      </c>
      <c r="E455" t="s">
        <v>52</v>
      </c>
      <c r="F455">
        <v>1</v>
      </c>
    </row>
    <row r="456" spans="1:6" x14ac:dyDescent="0.2">
      <c r="A456" t="s">
        <v>3538</v>
      </c>
      <c r="B456" t="s">
        <v>3509</v>
      </c>
      <c r="C456" t="s">
        <v>3537</v>
      </c>
      <c r="D456" t="s">
        <v>10</v>
      </c>
      <c r="E456" t="s">
        <v>52</v>
      </c>
      <c r="F456">
        <v>1</v>
      </c>
    </row>
    <row r="457" spans="1:6" x14ac:dyDescent="0.2">
      <c r="A457" t="s">
        <v>10824</v>
      </c>
      <c r="B457" t="s">
        <v>10822</v>
      </c>
      <c r="C457" t="s">
        <v>10823</v>
      </c>
      <c r="D457" t="s">
        <v>10</v>
      </c>
      <c r="E457" t="s">
        <v>52</v>
      </c>
    </row>
    <row r="458" spans="1:6" x14ac:dyDescent="0.2">
      <c r="A458" t="s">
        <v>7241</v>
      </c>
      <c r="B458" t="s">
        <v>7239</v>
      </c>
      <c r="C458" t="s">
        <v>7240</v>
      </c>
      <c r="D458" t="s">
        <v>10</v>
      </c>
      <c r="E458" t="s">
        <v>11</v>
      </c>
      <c r="F458">
        <v>2</v>
      </c>
    </row>
    <row r="459" spans="1:6" x14ac:dyDescent="0.2">
      <c r="A459" t="s">
        <v>3398</v>
      </c>
      <c r="B459" t="s">
        <v>3387</v>
      </c>
      <c r="C459" t="s">
        <v>3406</v>
      </c>
      <c r="D459" t="s">
        <v>10</v>
      </c>
      <c r="E459" t="s">
        <v>11</v>
      </c>
      <c r="F459">
        <v>1</v>
      </c>
    </row>
    <row r="460" spans="1:6" x14ac:dyDescent="0.2">
      <c r="A460" t="s">
        <v>124</v>
      </c>
      <c r="B460" t="s">
        <v>3509</v>
      </c>
      <c r="C460" t="s">
        <v>3770</v>
      </c>
      <c r="D460" t="s">
        <v>10</v>
      </c>
      <c r="E460" t="s">
        <v>52</v>
      </c>
      <c r="F460">
        <v>1</v>
      </c>
    </row>
    <row r="461" spans="1:6" x14ac:dyDescent="0.2">
      <c r="A461" t="s">
        <v>5358</v>
      </c>
      <c r="B461" t="s">
        <v>5348</v>
      </c>
      <c r="C461" t="s">
        <v>5357</v>
      </c>
      <c r="D461" t="s">
        <v>10</v>
      </c>
      <c r="E461" t="s">
        <v>16</v>
      </c>
      <c r="F461">
        <v>2</v>
      </c>
    </row>
    <row r="462" spans="1:6" x14ac:dyDescent="0.2">
      <c r="A462" t="s">
        <v>3510</v>
      </c>
      <c r="B462" t="s">
        <v>3509</v>
      </c>
      <c r="C462" t="s">
        <v>12068</v>
      </c>
      <c r="D462" t="s">
        <v>10</v>
      </c>
      <c r="E462" t="s">
        <v>16</v>
      </c>
      <c r="F462">
        <v>1</v>
      </c>
    </row>
    <row r="463" spans="1:6" x14ac:dyDescent="0.2">
      <c r="A463" t="s">
        <v>5360</v>
      </c>
      <c r="B463" t="s">
        <v>5348</v>
      </c>
      <c r="C463" t="s">
        <v>5359</v>
      </c>
      <c r="D463" t="s">
        <v>10</v>
      </c>
      <c r="E463" t="s">
        <v>16</v>
      </c>
      <c r="F463">
        <v>2</v>
      </c>
    </row>
    <row r="464" spans="1:6" x14ac:dyDescent="0.2">
      <c r="A464" t="s">
        <v>8756</v>
      </c>
      <c r="B464" t="s">
        <v>8748</v>
      </c>
      <c r="C464" t="s">
        <v>8755</v>
      </c>
      <c r="D464" t="s">
        <v>10</v>
      </c>
      <c r="E464" t="s">
        <v>16</v>
      </c>
      <c r="F464">
        <v>3</v>
      </c>
    </row>
    <row r="465" spans="1:6" x14ac:dyDescent="0.2">
      <c r="A465" t="s">
        <v>7599</v>
      </c>
      <c r="B465" t="s">
        <v>7597</v>
      </c>
      <c r="C465" t="s">
        <v>7619</v>
      </c>
      <c r="D465" t="s">
        <v>10</v>
      </c>
      <c r="E465" t="s">
        <v>52</v>
      </c>
      <c r="F465">
        <v>4</v>
      </c>
    </row>
    <row r="466" spans="1:6" x14ac:dyDescent="0.2">
      <c r="A466" t="s">
        <v>2779</v>
      </c>
      <c r="B466" t="s">
        <v>2673</v>
      </c>
      <c r="C466" t="s">
        <v>2873</v>
      </c>
      <c r="D466" t="s">
        <v>10</v>
      </c>
      <c r="E466" t="s">
        <v>11</v>
      </c>
      <c r="F466">
        <v>4</v>
      </c>
    </row>
    <row r="467" spans="1:6" x14ac:dyDescent="0.2">
      <c r="A467" t="s">
        <v>3511</v>
      </c>
      <c r="B467" t="s">
        <v>3509</v>
      </c>
      <c r="C467" t="s">
        <v>12069</v>
      </c>
      <c r="D467" t="s">
        <v>10</v>
      </c>
      <c r="E467" t="s">
        <v>16</v>
      </c>
      <c r="F467">
        <v>1</v>
      </c>
    </row>
    <row r="468" spans="1:6" x14ac:dyDescent="0.2">
      <c r="A468" t="s">
        <v>7622</v>
      </c>
      <c r="B468" t="s">
        <v>7597</v>
      </c>
      <c r="C468" t="s">
        <v>7621</v>
      </c>
      <c r="D468" t="s">
        <v>10</v>
      </c>
      <c r="E468" t="s">
        <v>11</v>
      </c>
      <c r="F468">
        <v>4</v>
      </c>
    </row>
    <row r="469" spans="1:6" x14ac:dyDescent="0.2">
      <c r="A469" t="s">
        <v>1351</v>
      </c>
      <c r="B469" t="s">
        <v>3509</v>
      </c>
      <c r="C469" t="s">
        <v>3574</v>
      </c>
      <c r="D469" t="s">
        <v>10</v>
      </c>
      <c r="E469" t="s">
        <v>52</v>
      </c>
      <c r="F469">
        <v>2</v>
      </c>
    </row>
    <row r="470" spans="1:6" x14ac:dyDescent="0.2">
      <c r="A470" t="s">
        <v>8085</v>
      </c>
      <c r="B470" t="s">
        <v>8050</v>
      </c>
      <c r="C470" t="s">
        <v>8084</v>
      </c>
      <c r="D470" t="s">
        <v>10</v>
      </c>
      <c r="E470" t="s">
        <v>11</v>
      </c>
      <c r="F470">
        <v>4</v>
      </c>
    </row>
    <row r="471" spans="1:6" x14ac:dyDescent="0.2">
      <c r="A471" t="s">
        <v>1983</v>
      </c>
      <c r="B471" t="s">
        <v>3509</v>
      </c>
      <c r="C471" t="s">
        <v>3627</v>
      </c>
      <c r="D471" t="s">
        <v>10</v>
      </c>
      <c r="E471" t="s">
        <v>16</v>
      </c>
      <c r="F471">
        <v>1</v>
      </c>
    </row>
    <row r="472" spans="1:6" x14ac:dyDescent="0.2">
      <c r="A472" t="s">
        <v>1984</v>
      </c>
      <c r="B472" t="s">
        <v>3509</v>
      </c>
      <c r="C472" t="s">
        <v>3628</v>
      </c>
      <c r="D472" t="s">
        <v>10</v>
      </c>
      <c r="E472" t="s">
        <v>16</v>
      </c>
      <c r="F472">
        <v>1</v>
      </c>
    </row>
    <row r="473" spans="1:6" x14ac:dyDescent="0.2">
      <c r="A473" t="s">
        <v>11433</v>
      </c>
      <c r="B473" t="s">
        <v>11431</v>
      </c>
      <c r="C473" t="s">
        <v>11432</v>
      </c>
      <c r="D473" t="s">
        <v>10</v>
      </c>
      <c r="E473" t="s">
        <v>52</v>
      </c>
      <c r="F473">
        <v>2</v>
      </c>
    </row>
    <row r="474" spans="1:6" x14ac:dyDescent="0.2">
      <c r="A474" t="s">
        <v>3524</v>
      </c>
      <c r="B474" t="s">
        <v>3509</v>
      </c>
      <c r="C474" t="s">
        <v>3523</v>
      </c>
      <c r="D474" t="s">
        <v>10</v>
      </c>
      <c r="E474" t="s">
        <v>16</v>
      </c>
      <c r="F474">
        <v>1</v>
      </c>
    </row>
    <row r="475" spans="1:6" x14ac:dyDescent="0.2">
      <c r="A475" t="s">
        <v>2763</v>
      </c>
      <c r="B475" t="s">
        <v>2673</v>
      </c>
      <c r="C475" t="s">
        <v>2762</v>
      </c>
      <c r="D475" t="s">
        <v>10</v>
      </c>
      <c r="E475" t="s">
        <v>11</v>
      </c>
      <c r="F475">
        <v>4</v>
      </c>
    </row>
    <row r="476" spans="1:6" x14ac:dyDescent="0.2">
      <c r="A476" t="s">
        <v>3513</v>
      </c>
      <c r="B476" t="s">
        <v>3509</v>
      </c>
      <c r="C476" t="s">
        <v>12070</v>
      </c>
      <c r="D476" t="s">
        <v>10</v>
      </c>
      <c r="E476" t="s">
        <v>16</v>
      </c>
      <c r="F476">
        <v>1</v>
      </c>
    </row>
    <row r="477" spans="1:6" x14ac:dyDescent="0.2">
      <c r="A477" t="s">
        <v>1985</v>
      </c>
      <c r="B477" t="s">
        <v>3509</v>
      </c>
      <c r="C477" t="s">
        <v>3515</v>
      </c>
      <c r="D477" t="s">
        <v>10</v>
      </c>
      <c r="E477" t="s">
        <v>16</v>
      </c>
      <c r="F477">
        <v>1</v>
      </c>
    </row>
    <row r="478" spans="1:6" x14ac:dyDescent="0.2">
      <c r="A478" t="s">
        <v>3517</v>
      </c>
      <c r="B478" t="s">
        <v>3509</v>
      </c>
      <c r="C478" t="s">
        <v>3518</v>
      </c>
      <c r="D478" t="s">
        <v>10</v>
      </c>
      <c r="E478" t="s">
        <v>16</v>
      </c>
      <c r="F478">
        <v>1</v>
      </c>
    </row>
    <row r="479" spans="1:6" x14ac:dyDescent="0.2">
      <c r="A479" t="s">
        <v>3519</v>
      </c>
      <c r="B479" t="s">
        <v>3509</v>
      </c>
      <c r="C479" t="s">
        <v>3520</v>
      </c>
      <c r="D479" t="s">
        <v>10</v>
      </c>
      <c r="E479" t="s">
        <v>16</v>
      </c>
      <c r="F479">
        <v>1</v>
      </c>
    </row>
    <row r="480" spans="1:6" x14ac:dyDescent="0.2">
      <c r="A480" t="s">
        <v>3522</v>
      </c>
      <c r="B480" t="s">
        <v>3509</v>
      </c>
      <c r="C480" t="s">
        <v>3525</v>
      </c>
      <c r="D480" t="s">
        <v>10</v>
      </c>
      <c r="E480" t="s">
        <v>16</v>
      </c>
      <c r="F480">
        <v>1</v>
      </c>
    </row>
    <row r="481" spans="1:6" x14ac:dyDescent="0.2">
      <c r="A481" t="s">
        <v>1990</v>
      </c>
      <c r="B481" t="s">
        <v>3509</v>
      </c>
      <c r="C481" t="s">
        <v>3526</v>
      </c>
      <c r="D481" t="s">
        <v>10</v>
      </c>
      <c r="E481" t="s">
        <v>16</v>
      </c>
      <c r="F481">
        <v>1</v>
      </c>
    </row>
    <row r="482" spans="1:6" x14ac:dyDescent="0.2">
      <c r="A482" t="s">
        <v>1935</v>
      </c>
      <c r="B482" t="s">
        <v>3509</v>
      </c>
      <c r="C482" t="s">
        <v>3527</v>
      </c>
      <c r="D482" t="s">
        <v>10</v>
      </c>
      <c r="E482" t="s">
        <v>16</v>
      </c>
      <c r="F482">
        <v>1</v>
      </c>
    </row>
    <row r="483" spans="1:6" x14ac:dyDescent="0.2">
      <c r="A483" t="s">
        <v>1991</v>
      </c>
      <c r="B483" t="s">
        <v>3509</v>
      </c>
      <c r="C483" t="s">
        <v>3529</v>
      </c>
      <c r="D483" t="s">
        <v>10</v>
      </c>
      <c r="E483" t="s">
        <v>16</v>
      </c>
      <c r="F483">
        <v>1</v>
      </c>
    </row>
    <row r="484" spans="1:6" x14ac:dyDescent="0.2">
      <c r="A484" t="s">
        <v>3530</v>
      </c>
      <c r="B484" t="s">
        <v>3509</v>
      </c>
      <c r="C484" t="s">
        <v>12071</v>
      </c>
      <c r="D484" t="s">
        <v>10</v>
      </c>
      <c r="E484" t="s">
        <v>16</v>
      </c>
      <c r="F484">
        <v>1</v>
      </c>
    </row>
    <row r="485" spans="1:6" x14ac:dyDescent="0.2">
      <c r="A485" t="s">
        <v>3531</v>
      </c>
      <c r="B485" t="s">
        <v>3509</v>
      </c>
      <c r="C485" t="s">
        <v>12072</v>
      </c>
      <c r="D485" t="s">
        <v>10</v>
      </c>
      <c r="E485" t="s">
        <v>16</v>
      </c>
      <c r="F485">
        <v>1</v>
      </c>
    </row>
    <row r="486" spans="1:6" x14ac:dyDescent="0.2">
      <c r="A486" t="s">
        <v>6086</v>
      </c>
      <c r="B486" t="s">
        <v>6073</v>
      </c>
      <c r="C486" t="s">
        <v>6085</v>
      </c>
      <c r="D486" t="s">
        <v>10</v>
      </c>
      <c r="E486" t="s">
        <v>52</v>
      </c>
      <c r="F486">
        <v>2</v>
      </c>
    </row>
    <row r="487" spans="1:6" x14ac:dyDescent="0.2">
      <c r="A487" t="s">
        <v>3532</v>
      </c>
      <c r="B487" t="s">
        <v>3509</v>
      </c>
      <c r="C487" t="s">
        <v>12073</v>
      </c>
      <c r="D487" t="s">
        <v>10</v>
      </c>
      <c r="E487" t="s">
        <v>16</v>
      </c>
      <c r="F487">
        <v>1</v>
      </c>
    </row>
    <row r="488" spans="1:6" x14ac:dyDescent="0.2">
      <c r="A488" t="s">
        <v>1992</v>
      </c>
      <c r="B488" t="s">
        <v>3509</v>
      </c>
      <c r="C488" t="s">
        <v>3535</v>
      </c>
      <c r="D488" t="s">
        <v>10</v>
      </c>
      <c r="E488" t="s">
        <v>16</v>
      </c>
      <c r="F488">
        <v>1</v>
      </c>
    </row>
    <row r="489" spans="1:6" x14ac:dyDescent="0.2">
      <c r="A489" t="s">
        <v>3540</v>
      </c>
      <c r="B489" t="s">
        <v>3509</v>
      </c>
      <c r="C489" t="s">
        <v>3541</v>
      </c>
      <c r="D489" t="s">
        <v>10</v>
      </c>
      <c r="E489" t="s">
        <v>16</v>
      </c>
      <c r="F489">
        <v>1</v>
      </c>
    </row>
    <row r="490" spans="1:6" x14ac:dyDescent="0.2">
      <c r="A490" t="s">
        <v>3544</v>
      </c>
      <c r="B490" t="s">
        <v>3509</v>
      </c>
      <c r="C490" t="s">
        <v>3543</v>
      </c>
      <c r="D490" t="s">
        <v>10</v>
      </c>
      <c r="E490" t="s">
        <v>52</v>
      </c>
      <c r="F490">
        <v>1</v>
      </c>
    </row>
    <row r="491" spans="1:6" x14ac:dyDescent="0.2">
      <c r="A491" t="s">
        <v>1993</v>
      </c>
      <c r="B491" t="s">
        <v>3509</v>
      </c>
      <c r="C491" t="s">
        <v>3548</v>
      </c>
      <c r="D491" t="s">
        <v>10</v>
      </c>
      <c r="E491" t="s">
        <v>16</v>
      </c>
      <c r="F491">
        <v>1</v>
      </c>
    </row>
    <row r="492" spans="1:6" x14ac:dyDescent="0.2">
      <c r="A492" t="s">
        <v>1191</v>
      </c>
      <c r="B492" t="s">
        <v>3387</v>
      </c>
      <c r="C492" t="s">
        <v>3410</v>
      </c>
      <c r="D492" t="s">
        <v>10</v>
      </c>
      <c r="E492" t="s">
        <v>52</v>
      </c>
      <c r="F492">
        <v>2</v>
      </c>
    </row>
    <row r="493" spans="1:6" x14ac:dyDescent="0.2">
      <c r="A493" t="s">
        <v>122</v>
      </c>
      <c r="B493" t="s">
        <v>3509</v>
      </c>
      <c r="C493" t="s">
        <v>3577</v>
      </c>
      <c r="D493" t="s">
        <v>10</v>
      </c>
      <c r="E493" t="s">
        <v>52</v>
      </c>
      <c r="F493">
        <v>2</v>
      </c>
    </row>
    <row r="494" spans="1:6" x14ac:dyDescent="0.2">
      <c r="A494" t="s">
        <v>3372</v>
      </c>
      <c r="B494" t="s">
        <v>3370</v>
      </c>
      <c r="C494" t="s">
        <v>3371</v>
      </c>
      <c r="D494" t="s">
        <v>10</v>
      </c>
      <c r="E494" t="s">
        <v>11</v>
      </c>
      <c r="F494">
        <v>2</v>
      </c>
    </row>
    <row r="495" spans="1:6" x14ac:dyDescent="0.2">
      <c r="A495" t="s">
        <v>3824</v>
      </c>
      <c r="B495" t="s">
        <v>3509</v>
      </c>
      <c r="C495" t="s">
        <v>3823</v>
      </c>
      <c r="D495" t="s">
        <v>10</v>
      </c>
      <c r="E495" t="s">
        <v>16</v>
      </c>
      <c r="F495">
        <v>1</v>
      </c>
    </row>
    <row r="496" spans="1:6" x14ac:dyDescent="0.2">
      <c r="A496" t="s">
        <v>3597</v>
      </c>
      <c r="B496" t="s">
        <v>3509</v>
      </c>
      <c r="C496" t="s">
        <v>3596</v>
      </c>
      <c r="D496" t="s">
        <v>10</v>
      </c>
      <c r="E496" t="s">
        <v>11</v>
      </c>
      <c r="F496">
        <v>2</v>
      </c>
    </row>
    <row r="497" spans="1:6" x14ac:dyDescent="0.2">
      <c r="A497" t="s">
        <v>3599</v>
      </c>
      <c r="B497" t="s">
        <v>3509</v>
      </c>
      <c r="C497" t="s">
        <v>3598</v>
      </c>
      <c r="D497" t="s">
        <v>10</v>
      </c>
      <c r="E497" t="s">
        <v>11</v>
      </c>
      <c r="F497">
        <v>2</v>
      </c>
    </row>
    <row r="498" spans="1:6" x14ac:dyDescent="0.2">
      <c r="A498" t="s">
        <v>3601</v>
      </c>
      <c r="B498" t="s">
        <v>3509</v>
      </c>
      <c r="C498" t="s">
        <v>3600</v>
      </c>
      <c r="D498" t="s">
        <v>10</v>
      </c>
      <c r="E498" t="s">
        <v>11</v>
      </c>
      <c r="F498">
        <v>2</v>
      </c>
    </row>
    <row r="499" spans="1:6" x14ac:dyDescent="0.2">
      <c r="A499" t="s">
        <v>3802</v>
      </c>
      <c r="B499" t="s">
        <v>3509</v>
      </c>
      <c r="C499" t="s">
        <v>3801</v>
      </c>
      <c r="D499" t="s">
        <v>10</v>
      </c>
      <c r="E499" t="s">
        <v>11</v>
      </c>
      <c r="F499">
        <v>2</v>
      </c>
    </row>
    <row r="500" spans="1:6" x14ac:dyDescent="0.2">
      <c r="A500" t="s">
        <v>3436</v>
      </c>
      <c r="B500" t="s">
        <v>3434</v>
      </c>
      <c r="C500" t="s">
        <v>3435</v>
      </c>
      <c r="D500" t="s">
        <v>10</v>
      </c>
      <c r="E500" t="s">
        <v>16</v>
      </c>
      <c r="F500">
        <v>1</v>
      </c>
    </row>
    <row r="501" spans="1:6" x14ac:dyDescent="0.2">
      <c r="A501" t="s">
        <v>1392</v>
      </c>
      <c r="B501" t="s">
        <v>1387</v>
      </c>
      <c r="C501" t="s">
        <v>1391</v>
      </c>
      <c r="D501" t="s">
        <v>10</v>
      </c>
      <c r="E501" t="s">
        <v>52</v>
      </c>
      <c r="F501">
        <v>2</v>
      </c>
    </row>
    <row r="502" spans="1:6" x14ac:dyDescent="0.2">
      <c r="A502" t="s">
        <v>1088</v>
      </c>
      <c r="B502" t="s">
        <v>3387</v>
      </c>
      <c r="C502" t="s">
        <v>1089</v>
      </c>
      <c r="D502" t="s">
        <v>10</v>
      </c>
      <c r="E502" t="s">
        <v>52</v>
      </c>
      <c r="F502">
        <v>2</v>
      </c>
    </row>
    <row r="503" spans="1:6" x14ac:dyDescent="0.2">
      <c r="A503" t="s">
        <v>2006</v>
      </c>
      <c r="B503" t="s">
        <v>3509</v>
      </c>
      <c r="C503" t="s">
        <v>3726</v>
      </c>
      <c r="D503" t="s">
        <v>10</v>
      </c>
      <c r="E503" t="s">
        <v>16</v>
      </c>
      <c r="F503">
        <v>2</v>
      </c>
    </row>
    <row r="504" spans="1:6" x14ac:dyDescent="0.2">
      <c r="A504" t="s">
        <v>3462</v>
      </c>
      <c r="B504" t="s">
        <v>3454</v>
      </c>
      <c r="C504" t="s">
        <v>3461</v>
      </c>
      <c r="D504" t="s">
        <v>10</v>
      </c>
      <c r="E504" t="s">
        <v>16</v>
      </c>
      <c r="F504">
        <v>1</v>
      </c>
    </row>
    <row r="505" spans="1:6" x14ac:dyDescent="0.2">
      <c r="A505" t="s">
        <v>3456</v>
      </c>
      <c r="B505" t="s">
        <v>3454</v>
      </c>
      <c r="C505" t="s">
        <v>3455</v>
      </c>
      <c r="D505" t="s">
        <v>10</v>
      </c>
      <c r="E505" t="s">
        <v>16</v>
      </c>
      <c r="F505">
        <v>1</v>
      </c>
    </row>
    <row r="506" spans="1:6" x14ac:dyDescent="0.2">
      <c r="A506" t="s">
        <v>7763</v>
      </c>
      <c r="B506" t="s">
        <v>7759</v>
      </c>
      <c r="C506" t="s">
        <v>7766</v>
      </c>
      <c r="D506" t="s">
        <v>10</v>
      </c>
      <c r="E506" t="s">
        <v>52</v>
      </c>
      <c r="F506">
        <v>4</v>
      </c>
    </row>
    <row r="507" spans="1:6" x14ac:dyDescent="0.2">
      <c r="A507" t="s">
        <v>1994</v>
      </c>
      <c r="B507" t="s">
        <v>3509</v>
      </c>
      <c r="C507" t="s">
        <v>12074</v>
      </c>
      <c r="D507" t="s">
        <v>10</v>
      </c>
      <c r="E507" t="s">
        <v>16</v>
      </c>
      <c r="F507">
        <v>2</v>
      </c>
    </row>
    <row r="508" spans="1:6" x14ac:dyDescent="0.2">
      <c r="A508" t="s">
        <v>3459</v>
      </c>
      <c r="B508" t="s">
        <v>3454</v>
      </c>
      <c r="C508" t="s">
        <v>3458</v>
      </c>
      <c r="D508" t="s">
        <v>10</v>
      </c>
      <c r="E508" t="s">
        <v>16</v>
      </c>
      <c r="F508">
        <v>1</v>
      </c>
    </row>
    <row r="509" spans="1:6" x14ac:dyDescent="0.2">
      <c r="A509" t="s">
        <v>3559</v>
      </c>
      <c r="B509" t="s">
        <v>3509</v>
      </c>
      <c r="C509" t="s">
        <v>3560</v>
      </c>
      <c r="D509" t="s">
        <v>10</v>
      </c>
      <c r="E509" t="s">
        <v>16</v>
      </c>
      <c r="F509">
        <v>2</v>
      </c>
    </row>
    <row r="510" spans="1:6" x14ac:dyDescent="0.2">
      <c r="A510" t="s">
        <v>3562</v>
      </c>
      <c r="B510" t="s">
        <v>3509</v>
      </c>
      <c r="C510" t="s">
        <v>12075</v>
      </c>
      <c r="D510" t="s">
        <v>10</v>
      </c>
      <c r="E510" t="s">
        <v>16</v>
      </c>
      <c r="F510">
        <v>2</v>
      </c>
    </row>
    <row r="511" spans="1:6" x14ac:dyDescent="0.2">
      <c r="A511" t="s">
        <v>3564</v>
      </c>
      <c r="B511" t="s">
        <v>3509</v>
      </c>
      <c r="C511" t="s">
        <v>3563</v>
      </c>
      <c r="D511" t="s">
        <v>10</v>
      </c>
      <c r="E511" t="s">
        <v>16</v>
      </c>
      <c r="F511">
        <v>2</v>
      </c>
    </row>
    <row r="512" spans="1:6" x14ac:dyDescent="0.2">
      <c r="A512" t="s">
        <v>1995</v>
      </c>
      <c r="B512" t="s">
        <v>3509</v>
      </c>
      <c r="C512" t="s">
        <v>3565</v>
      </c>
      <c r="D512" t="s">
        <v>10</v>
      </c>
      <c r="E512" t="s">
        <v>16</v>
      </c>
      <c r="F512">
        <v>2</v>
      </c>
    </row>
    <row r="513" spans="1:6" x14ac:dyDescent="0.2">
      <c r="A513" t="s">
        <v>1996</v>
      </c>
      <c r="B513" t="s">
        <v>3509</v>
      </c>
      <c r="C513" t="s">
        <v>12076</v>
      </c>
      <c r="D513" t="s">
        <v>10</v>
      </c>
      <c r="E513" t="s">
        <v>16</v>
      </c>
      <c r="F513">
        <v>2</v>
      </c>
    </row>
    <row r="514" spans="1:6" x14ac:dyDescent="0.2">
      <c r="A514" t="s">
        <v>4991</v>
      </c>
      <c r="B514" t="s">
        <v>4989</v>
      </c>
      <c r="C514" t="s">
        <v>4990</v>
      </c>
      <c r="D514" t="s">
        <v>10</v>
      </c>
      <c r="E514" t="s">
        <v>52</v>
      </c>
      <c r="F514">
        <v>1</v>
      </c>
    </row>
    <row r="515" spans="1:6" x14ac:dyDescent="0.2">
      <c r="A515" t="s">
        <v>1997</v>
      </c>
      <c r="B515" t="s">
        <v>3509</v>
      </c>
      <c r="C515" t="s">
        <v>3567</v>
      </c>
      <c r="D515" t="s">
        <v>10</v>
      </c>
      <c r="E515" t="s">
        <v>16</v>
      </c>
      <c r="F515">
        <v>2</v>
      </c>
    </row>
    <row r="516" spans="1:6" x14ac:dyDescent="0.2">
      <c r="A516" t="s">
        <v>3572</v>
      </c>
      <c r="B516" t="s">
        <v>3509</v>
      </c>
      <c r="C516" t="s">
        <v>3571</v>
      </c>
      <c r="D516" t="s">
        <v>10</v>
      </c>
      <c r="E516" t="s">
        <v>16</v>
      </c>
      <c r="F516">
        <v>2</v>
      </c>
    </row>
    <row r="517" spans="1:6" x14ac:dyDescent="0.2">
      <c r="A517" t="s">
        <v>3844</v>
      </c>
      <c r="B517" t="s">
        <v>3509</v>
      </c>
      <c r="C517" t="s">
        <v>3843</v>
      </c>
      <c r="D517" t="s">
        <v>10</v>
      </c>
      <c r="E517" t="s">
        <v>52</v>
      </c>
      <c r="F517">
        <v>2</v>
      </c>
    </row>
    <row r="518" spans="1:6" x14ac:dyDescent="0.2">
      <c r="A518" t="s">
        <v>3573</v>
      </c>
      <c r="B518" t="s">
        <v>3509</v>
      </c>
      <c r="C518" t="s">
        <v>12077</v>
      </c>
      <c r="D518" t="s">
        <v>10</v>
      </c>
      <c r="E518" t="s">
        <v>16</v>
      </c>
      <c r="F518">
        <v>2</v>
      </c>
    </row>
    <row r="519" spans="1:6" x14ac:dyDescent="0.2">
      <c r="A519" t="s">
        <v>1998</v>
      </c>
      <c r="B519" t="s">
        <v>3509</v>
      </c>
      <c r="C519" t="s">
        <v>3575</v>
      </c>
      <c r="D519" t="s">
        <v>10</v>
      </c>
      <c r="E519" t="s">
        <v>16</v>
      </c>
      <c r="F519">
        <v>2</v>
      </c>
    </row>
    <row r="520" spans="1:6" x14ac:dyDescent="0.2">
      <c r="A520" t="s">
        <v>6823</v>
      </c>
      <c r="B520" t="s">
        <v>6821</v>
      </c>
      <c r="C520" t="s">
        <v>6825</v>
      </c>
      <c r="D520" t="s">
        <v>10</v>
      </c>
      <c r="E520" t="s">
        <v>16</v>
      </c>
      <c r="F520">
        <v>1</v>
      </c>
    </row>
    <row r="521" spans="1:6" x14ac:dyDescent="0.2">
      <c r="A521" t="s">
        <v>3576</v>
      </c>
      <c r="B521" t="s">
        <v>3509</v>
      </c>
      <c r="C521" t="s">
        <v>3578</v>
      </c>
      <c r="D521" t="s">
        <v>10</v>
      </c>
      <c r="E521" t="s">
        <v>16</v>
      </c>
      <c r="F521">
        <v>2</v>
      </c>
    </row>
    <row r="522" spans="1:6" x14ac:dyDescent="0.2">
      <c r="A522" t="s">
        <v>3581</v>
      </c>
      <c r="B522" t="s">
        <v>3509</v>
      </c>
      <c r="C522" t="s">
        <v>3580</v>
      </c>
      <c r="D522" t="s">
        <v>10</v>
      </c>
      <c r="E522" t="s">
        <v>52</v>
      </c>
      <c r="F522">
        <v>2</v>
      </c>
    </row>
    <row r="523" spans="1:6" x14ac:dyDescent="0.2">
      <c r="A523" t="s">
        <v>3584</v>
      </c>
      <c r="B523" t="s">
        <v>3509</v>
      </c>
      <c r="C523" t="s">
        <v>3585</v>
      </c>
      <c r="D523" t="s">
        <v>10</v>
      </c>
      <c r="E523" t="s">
        <v>52</v>
      </c>
      <c r="F523">
        <v>2</v>
      </c>
    </row>
    <row r="524" spans="1:6" x14ac:dyDescent="0.2">
      <c r="A524" t="s">
        <v>4306</v>
      </c>
      <c r="B524" t="s">
        <v>4304</v>
      </c>
      <c r="C524" t="s">
        <v>4305</v>
      </c>
      <c r="D524" t="s">
        <v>10</v>
      </c>
      <c r="E524" t="s">
        <v>16</v>
      </c>
      <c r="F524">
        <v>2</v>
      </c>
    </row>
    <row r="525" spans="1:6" x14ac:dyDescent="0.2">
      <c r="A525" t="s">
        <v>3587</v>
      </c>
      <c r="B525" t="s">
        <v>3509</v>
      </c>
      <c r="C525" t="s">
        <v>3588</v>
      </c>
      <c r="D525" t="s">
        <v>10</v>
      </c>
      <c r="E525" t="s">
        <v>11</v>
      </c>
      <c r="F525">
        <v>2</v>
      </c>
    </row>
    <row r="526" spans="1:6" x14ac:dyDescent="0.2">
      <c r="A526" t="s">
        <v>3590</v>
      </c>
      <c r="B526" t="s">
        <v>3509</v>
      </c>
      <c r="C526" t="s">
        <v>3589</v>
      </c>
      <c r="D526" t="s">
        <v>10</v>
      </c>
      <c r="E526" t="s">
        <v>11</v>
      </c>
      <c r="F526">
        <v>2</v>
      </c>
    </row>
    <row r="527" spans="1:6" x14ac:dyDescent="0.2">
      <c r="A527" t="s">
        <v>3592</v>
      </c>
      <c r="B527" t="s">
        <v>3509</v>
      </c>
      <c r="C527" t="s">
        <v>3591</v>
      </c>
      <c r="D527" t="s">
        <v>10</v>
      </c>
      <c r="E527" t="s">
        <v>11</v>
      </c>
      <c r="F527">
        <v>2</v>
      </c>
    </row>
    <row r="528" spans="1:6" x14ac:dyDescent="0.2">
      <c r="A528" t="s">
        <v>3594</v>
      </c>
      <c r="B528" t="s">
        <v>3509</v>
      </c>
      <c r="C528" t="s">
        <v>3593</v>
      </c>
      <c r="D528" t="s">
        <v>10</v>
      </c>
      <c r="E528" t="s">
        <v>11</v>
      </c>
      <c r="F528">
        <v>2</v>
      </c>
    </row>
    <row r="529" spans="1:6" x14ac:dyDescent="0.2">
      <c r="A529" t="s">
        <v>3603</v>
      </c>
      <c r="B529" t="s">
        <v>3509</v>
      </c>
      <c r="C529" t="s">
        <v>3602</v>
      </c>
      <c r="D529" t="s">
        <v>10</v>
      </c>
      <c r="E529" t="s">
        <v>11</v>
      </c>
      <c r="F529">
        <v>2</v>
      </c>
    </row>
    <row r="530" spans="1:6" x14ac:dyDescent="0.2">
      <c r="A530" t="s">
        <v>3605</v>
      </c>
      <c r="B530" t="s">
        <v>3509</v>
      </c>
      <c r="C530" t="s">
        <v>3604</v>
      </c>
      <c r="D530" t="s">
        <v>10</v>
      </c>
      <c r="E530" t="s">
        <v>11</v>
      </c>
      <c r="F530">
        <v>2</v>
      </c>
    </row>
    <row r="531" spans="1:6" x14ac:dyDescent="0.2">
      <c r="A531" t="s">
        <v>3607</v>
      </c>
      <c r="B531" t="s">
        <v>3509</v>
      </c>
      <c r="C531" t="s">
        <v>3606</v>
      </c>
      <c r="D531" t="s">
        <v>10</v>
      </c>
      <c r="E531" t="s">
        <v>11</v>
      </c>
      <c r="F531">
        <v>2</v>
      </c>
    </row>
    <row r="532" spans="1:6" x14ac:dyDescent="0.2">
      <c r="A532" t="s">
        <v>3612</v>
      </c>
      <c r="B532" t="s">
        <v>3509</v>
      </c>
      <c r="C532" t="s">
        <v>3611</v>
      </c>
      <c r="D532" t="s">
        <v>10</v>
      </c>
      <c r="E532" t="s">
        <v>11</v>
      </c>
      <c r="F532">
        <v>2</v>
      </c>
    </row>
    <row r="533" spans="1:6" x14ac:dyDescent="0.2">
      <c r="A533" t="s">
        <v>3609</v>
      </c>
      <c r="B533" t="s">
        <v>3509</v>
      </c>
      <c r="C533" t="s">
        <v>3608</v>
      </c>
      <c r="D533" t="s">
        <v>10</v>
      </c>
      <c r="E533" t="s">
        <v>11</v>
      </c>
      <c r="F533">
        <v>2</v>
      </c>
    </row>
    <row r="534" spans="1:6" x14ac:dyDescent="0.2">
      <c r="A534" t="s">
        <v>3616</v>
      </c>
      <c r="B534" t="s">
        <v>3509</v>
      </c>
      <c r="C534" t="s">
        <v>3617</v>
      </c>
      <c r="D534" t="s">
        <v>10</v>
      </c>
      <c r="E534" t="s">
        <v>11</v>
      </c>
      <c r="F534">
        <v>2</v>
      </c>
    </row>
    <row r="535" spans="1:6" x14ac:dyDescent="0.2">
      <c r="A535" t="s">
        <v>7754</v>
      </c>
      <c r="B535" t="s">
        <v>7597</v>
      </c>
      <c r="C535" t="s">
        <v>7755</v>
      </c>
      <c r="D535" t="s">
        <v>10</v>
      </c>
      <c r="E535" t="s">
        <v>11</v>
      </c>
      <c r="F535">
        <v>4</v>
      </c>
    </row>
    <row r="536" spans="1:6" x14ac:dyDescent="0.2">
      <c r="A536" t="s">
        <v>3619</v>
      </c>
      <c r="B536" t="s">
        <v>3509</v>
      </c>
      <c r="C536" t="s">
        <v>3621</v>
      </c>
      <c r="D536" t="s">
        <v>10</v>
      </c>
      <c r="E536" t="s">
        <v>11</v>
      </c>
      <c r="F536">
        <v>2</v>
      </c>
    </row>
    <row r="537" spans="1:6" x14ac:dyDescent="0.2">
      <c r="A537" t="s">
        <v>3623</v>
      </c>
      <c r="B537" t="s">
        <v>3509</v>
      </c>
      <c r="C537" t="s">
        <v>3622</v>
      </c>
      <c r="D537" t="s">
        <v>10</v>
      </c>
      <c r="E537" t="s">
        <v>11</v>
      </c>
      <c r="F537">
        <v>2</v>
      </c>
    </row>
    <row r="538" spans="1:6" x14ac:dyDescent="0.2">
      <c r="A538" t="s">
        <v>3795</v>
      </c>
      <c r="B538" t="s">
        <v>3509</v>
      </c>
      <c r="C538" t="s">
        <v>3794</v>
      </c>
      <c r="D538" t="s">
        <v>10</v>
      </c>
      <c r="E538" t="s">
        <v>11</v>
      </c>
      <c r="F538">
        <v>2</v>
      </c>
    </row>
    <row r="539" spans="1:6" x14ac:dyDescent="0.2">
      <c r="A539" t="s">
        <v>3836</v>
      </c>
      <c r="B539" t="s">
        <v>3509</v>
      </c>
      <c r="C539" t="s">
        <v>3835</v>
      </c>
      <c r="D539" t="s">
        <v>10</v>
      </c>
      <c r="E539" t="s">
        <v>11</v>
      </c>
      <c r="F539">
        <v>2</v>
      </c>
    </row>
    <row r="540" spans="1:6" x14ac:dyDescent="0.2">
      <c r="A540" t="s">
        <v>1987</v>
      </c>
      <c r="B540" t="s">
        <v>3509</v>
      </c>
      <c r="C540" t="s">
        <v>3516</v>
      </c>
      <c r="D540" t="s">
        <v>10</v>
      </c>
      <c r="E540" t="s">
        <v>16</v>
      </c>
      <c r="F540">
        <v>1</v>
      </c>
    </row>
    <row r="541" spans="1:6" x14ac:dyDescent="0.2">
      <c r="A541" t="s">
        <v>3625</v>
      </c>
      <c r="B541" t="s">
        <v>3509</v>
      </c>
      <c r="C541" t="s">
        <v>3624</v>
      </c>
      <c r="D541" t="s">
        <v>10</v>
      </c>
      <c r="E541" t="s">
        <v>11</v>
      </c>
      <c r="F541">
        <v>2</v>
      </c>
    </row>
    <row r="542" spans="1:6" x14ac:dyDescent="0.2">
      <c r="A542" t="s">
        <v>1989</v>
      </c>
      <c r="B542" t="s">
        <v>3509</v>
      </c>
      <c r="C542" t="s">
        <v>3521</v>
      </c>
      <c r="D542" t="s">
        <v>10</v>
      </c>
      <c r="E542" t="s">
        <v>16</v>
      </c>
      <c r="F542">
        <v>1</v>
      </c>
    </row>
    <row r="543" spans="1:6" x14ac:dyDescent="0.2">
      <c r="A543" t="s">
        <v>5356</v>
      </c>
      <c r="B543" t="s">
        <v>5348</v>
      </c>
      <c r="C543" t="s">
        <v>5355</v>
      </c>
      <c r="D543" t="s">
        <v>10</v>
      </c>
      <c r="E543" t="s">
        <v>16</v>
      </c>
      <c r="F543">
        <v>2</v>
      </c>
    </row>
    <row r="544" spans="1:6" x14ac:dyDescent="0.2">
      <c r="A544" t="s">
        <v>2004</v>
      </c>
      <c r="B544" t="s">
        <v>3509</v>
      </c>
      <c r="C544" t="s">
        <v>3777</v>
      </c>
      <c r="D544" t="s">
        <v>10</v>
      </c>
      <c r="E544" t="s">
        <v>16</v>
      </c>
      <c r="F544">
        <v>1</v>
      </c>
    </row>
    <row r="545" spans="1:6" x14ac:dyDescent="0.2">
      <c r="A545" t="s">
        <v>3724</v>
      </c>
      <c r="B545" t="s">
        <v>3509</v>
      </c>
      <c r="C545" t="s">
        <v>3806</v>
      </c>
      <c r="D545" t="s">
        <v>10</v>
      </c>
      <c r="E545" t="s">
        <v>16</v>
      </c>
      <c r="F545">
        <v>1</v>
      </c>
    </row>
    <row r="546" spans="1:6" x14ac:dyDescent="0.2">
      <c r="A546" t="s">
        <v>3790</v>
      </c>
      <c r="B546" t="s">
        <v>3509</v>
      </c>
      <c r="C546" t="s">
        <v>3828</v>
      </c>
      <c r="D546" t="s">
        <v>10</v>
      </c>
      <c r="E546" t="s">
        <v>16</v>
      </c>
      <c r="F546">
        <v>1</v>
      </c>
    </row>
    <row r="547" spans="1:6" x14ac:dyDescent="0.2">
      <c r="A547" t="s">
        <v>4116</v>
      </c>
      <c r="B547" t="s">
        <v>4111</v>
      </c>
      <c r="C547" t="s">
        <v>4115</v>
      </c>
      <c r="D547" t="s">
        <v>10</v>
      </c>
      <c r="E547" t="s">
        <v>11</v>
      </c>
      <c r="F547">
        <v>2</v>
      </c>
    </row>
    <row r="548" spans="1:6" x14ac:dyDescent="0.2">
      <c r="A548" t="s">
        <v>2770</v>
      </c>
      <c r="B548" t="s">
        <v>2673</v>
      </c>
      <c r="C548" t="s">
        <v>2769</v>
      </c>
      <c r="D548" t="s">
        <v>10</v>
      </c>
      <c r="E548" t="s">
        <v>16</v>
      </c>
      <c r="F548">
        <v>4</v>
      </c>
    </row>
    <row r="549" spans="1:6" x14ac:dyDescent="0.2">
      <c r="A549" t="s">
        <v>4149</v>
      </c>
      <c r="B549" t="s">
        <v>4146</v>
      </c>
      <c r="C549" t="s">
        <v>4148</v>
      </c>
      <c r="D549" t="s">
        <v>10</v>
      </c>
      <c r="E549" t="s">
        <v>52</v>
      </c>
      <c r="F549">
        <v>1</v>
      </c>
    </row>
    <row r="550" spans="1:6" x14ac:dyDescent="0.2">
      <c r="A550" t="s">
        <v>4125</v>
      </c>
      <c r="B550" t="s">
        <v>4122</v>
      </c>
      <c r="C550" t="s">
        <v>4131</v>
      </c>
      <c r="D550" t="s">
        <v>10</v>
      </c>
      <c r="E550" t="s">
        <v>16</v>
      </c>
      <c r="F550">
        <v>1</v>
      </c>
    </row>
    <row r="551" spans="1:6" x14ac:dyDescent="0.2">
      <c r="A551" t="s">
        <v>387</v>
      </c>
      <c r="B551" t="s">
        <v>370</v>
      </c>
      <c r="C551" t="s">
        <v>386</v>
      </c>
      <c r="D551" t="s">
        <v>10</v>
      </c>
      <c r="E551" t="s">
        <v>16</v>
      </c>
      <c r="F551">
        <v>1</v>
      </c>
    </row>
    <row r="552" spans="1:6" x14ac:dyDescent="0.2">
      <c r="A552" t="s">
        <v>389</v>
      </c>
      <c r="B552" t="s">
        <v>370</v>
      </c>
      <c r="C552" t="s">
        <v>388</v>
      </c>
      <c r="D552" t="s">
        <v>10</v>
      </c>
      <c r="E552" t="s">
        <v>52</v>
      </c>
      <c r="F552">
        <v>1</v>
      </c>
    </row>
    <row r="553" spans="1:6" x14ac:dyDescent="0.2">
      <c r="A553" t="s">
        <v>4133</v>
      </c>
      <c r="B553" t="s">
        <v>4122</v>
      </c>
      <c r="C553" t="s">
        <v>4132</v>
      </c>
      <c r="D553" t="s">
        <v>10</v>
      </c>
      <c r="E553" t="s">
        <v>16</v>
      </c>
      <c r="F553">
        <v>1</v>
      </c>
    </row>
    <row r="554" spans="1:6" x14ac:dyDescent="0.2">
      <c r="A554" t="s">
        <v>372</v>
      </c>
      <c r="B554" t="s">
        <v>370</v>
      </c>
      <c r="C554" t="s">
        <v>371</v>
      </c>
      <c r="D554" t="s">
        <v>10</v>
      </c>
      <c r="E554" t="s">
        <v>16</v>
      </c>
      <c r="F554">
        <v>1</v>
      </c>
    </row>
    <row r="555" spans="1:6" x14ac:dyDescent="0.2">
      <c r="A555" t="s">
        <v>374</v>
      </c>
      <c r="B555" t="s">
        <v>370</v>
      </c>
      <c r="C555" t="s">
        <v>373</v>
      </c>
      <c r="D555" t="s">
        <v>10</v>
      </c>
      <c r="E555" t="s">
        <v>16</v>
      </c>
      <c r="F555">
        <v>1</v>
      </c>
    </row>
    <row r="556" spans="1:6" x14ac:dyDescent="0.2">
      <c r="A556" t="s">
        <v>4222</v>
      </c>
      <c r="B556" t="s">
        <v>4216</v>
      </c>
      <c r="C556" t="s">
        <v>4221</v>
      </c>
      <c r="D556" t="s">
        <v>10</v>
      </c>
      <c r="E556" t="s">
        <v>16</v>
      </c>
      <c r="F556">
        <v>1</v>
      </c>
    </row>
    <row r="557" spans="1:6" x14ac:dyDescent="0.2">
      <c r="A557" t="s">
        <v>377</v>
      </c>
      <c r="B557" t="s">
        <v>370</v>
      </c>
      <c r="C557" t="s">
        <v>376</v>
      </c>
      <c r="D557" t="s">
        <v>10</v>
      </c>
      <c r="E557" t="s">
        <v>16</v>
      </c>
      <c r="F557">
        <v>1</v>
      </c>
    </row>
    <row r="558" spans="1:6" x14ac:dyDescent="0.2">
      <c r="A558" t="s">
        <v>4329</v>
      </c>
      <c r="B558" t="s">
        <v>4327</v>
      </c>
      <c r="C558" t="s">
        <v>4328</v>
      </c>
      <c r="D558" t="s">
        <v>10</v>
      </c>
      <c r="E558" t="s">
        <v>16</v>
      </c>
      <c r="F558">
        <v>1</v>
      </c>
    </row>
    <row r="559" spans="1:6" x14ac:dyDescent="0.2">
      <c r="A559" t="s">
        <v>4331</v>
      </c>
      <c r="B559" t="s">
        <v>4327</v>
      </c>
      <c r="C559" t="s">
        <v>4330</v>
      </c>
      <c r="D559" t="s">
        <v>10</v>
      </c>
      <c r="E559" t="s">
        <v>16</v>
      </c>
      <c r="F559">
        <v>1</v>
      </c>
    </row>
    <row r="560" spans="1:6" x14ac:dyDescent="0.2">
      <c r="A560" t="s">
        <v>379</v>
      </c>
      <c r="B560" t="s">
        <v>370</v>
      </c>
      <c r="C560" t="s">
        <v>378</v>
      </c>
      <c r="D560" t="s">
        <v>10</v>
      </c>
      <c r="E560" t="s">
        <v>16</v>
      </c>
      <c r="F560">
        <v>1</v>
      </c>
    </row>
    <row r="561" spans="1:6" x14ac:dyDescent="0.2">
      <c r="A561" t="s">
        <v>382</v>
      </c>
      <c r="B561" t="s">
        <v>370</v>
      </c>
      <c r="C561" t="s">
        <v>383</v>
      </c>
      <c r="D561" t="s">
        <v>10</v>
      </c>
      <c r="E561" t="s">
        <v>52</v>
      </c>
      <c r="F561">
        <v>1</v>
      </c>
    </row>
    <row r="562" spans="1:6" x14ac:dyDescent="0.2">
      <c r="A562" t="s">
        <v>385</v>
      </c>
      <c r="B562" t="s">
        <v>370</v>
      </c>
      <c r="C562" t="s">
        <v>384</v>
      </c>
      <c r="D562" t="s">
        <v>10</v>
      </c>
      <c r="E562" t="s">
        <v>52</v>
      </c>
      <c r="F562">
        <v>1</v>
      </c>
    </row>
    <row r="563" spans="1:6" x14ac:dyDescent="0.2">
      <c r="A563" t="s">
        <v>385</v>
      </c>
      <c r="B563" t="s">
        <v>4146</v>
      </c>
      <c r="C563" t="s">
        <v>384</v>
      </c>
      <c r="D563" t="s">
        <v>10</v>
      </c>
      <c r="E563" t="s">
        <v>52</v>
      </c>
      <c r="F563">
        <v>1</v>
      </c>
    </row>
    <row r="564" spans="1:6" x14ac:dyDescent="0.2">
      <c r="A564" t="s">
        <v>4153</v>
      </c>
      <c r="B564" t="s">
        <v>4146</v>
      </c>
      <c r="C564" t="s">
        <v>4154</v>
      </c>
      <c r="D564" t="s">
        <v>10</v>
      </c>
      <c r="E564" t="s">
        <v>52</v>
      </c>
      <c r="F564">
        <v>1</v>
      </c>
    </row>
    <row r="565" spans="1:6" x14ac:dyDescent="0.2">
      <c r="A565" t="s">
        <v>11530</v>
      </c>
      <c r="B565" t="s">
        <v>11528</v>
      </c>
      <c r="C565" t="s">
        <v>11529</v>
      </c>
      <c r="D565" t="s">
        <v>10</v>
      </c>
      <c r="E565" t="s">
        <v>52</v>
      </c>
      <c r="F565">
        <v>1</v>
      </c>
    </row>
    <row r="566" spans="1:6" x14ac:dyDescent="0.2">
      <c r="A566" t="s">
        <v>8915</v>
      </c>
      <c r="B566" t="s">
        <v>8913</v>
      </c>
      <c r="C566" t="s">
        <v>8914</v>
      </c>
      <c r="D566" t="s">
        <v>10</v>
      </c>
      <c r="E566" t="s">
        <v>16</v>
      </c>
      <c r="F566">
        <v>1</v>
      </c>
    </row>
    <row r="567" spans="1:6" x14ac:dyDescent="0.2">
      <c r="A567" t="s">
        <v>4041</v>
      </c>
      <c r="B567" t="s">
        <v>4035</v>
      </c>
      <c r="C567" t="s">
        <v>4042</v>
      </c>
      <c r="D567" t="s">
        <v>10</v>
      </c>
      <c r="E567" t="s">
        <v>16</v>
      </c>
      <c r="F567">
        <v>1</v>
      </c>
    </row>
    <row r="568" spans="1:6" x14ac:dyDescent="0.2">
      <c r="A568" t="s">
        <v>4037</v>
      </c>
      <c r="B568" t="s">
        <v>4035</v>
      </c>
      <c r="C568" t="s">
        <v>4036</v>
      </c>
      <c r="D568" t="s">
        <v>10</v>
      </c>
      <c r="E568" t="s">
        <v>16</v>
      </c>
      <c r="F568">
        <v>1</v>
      </c>
    </row>
    <row r="569" spans="1:6" x14ac:dyDescent="0.2">
      <c r="A569" t="s">
        <v>392</v>
      </c>
      <c r="B569" t="s">
        <v>370</v>
      </c>
      <c r="C569" t="s">
        <v>391</v>
      </c>
      <c r="D569" t="s">
        <v>10</v>
      </c>
      <c r="E569" t="s">
        <v>11</v>
      </c>
      <c r="F569">
        <v>1</v>
      </c>
    </row>
    <row r="570" spans="1:6" x14ac:dyDescent="0.2">
      <c r="A570" t="s">
        <v>10851</v>
      </c>
      <c r="B570" t="s">
        <v>10848</v>
      </c>
      <c r="C570" t="s">
        <v>10852</v>
      </c>
      <c r="D570" t="s">
        <v>10</v>
      </c>
      <c r="E570" t="s">
        <v>16</v>
      </c>
      <c r="F570">
        <v>1</v>
      </c>
    </row>
    <row r="571" spans="1:6" x14ac:dyDescent="0.2">
      <c r="A571" t="s">
        <v>5994</v>
      </c>
      <c r="B571" t="s">
        <v>5992</v>
      </c>
      <c r="C571" t="s">
        <v>5995</v>
      </c>
      <c r="D571" t="s">
        <v>10</v>
      </c>
      <c r="E571" t="s">
        <v>16</v>
      </c>
      <c r="F571">
        <v>1</v>
      </c>
    </row>
    <row r="572" spans="1:6" x14ac:dyDescent="0.2">
      <c r="A572" t="s">
        <v>3269</v>
      </c>
      <c r="B572" t="s">
        <v>3267</v>
      </c>
      <c r="C572" t="s">
        <v>3268</v>
      </c>
      <c r="D572" t="s">
        <v>10</v>
      </c>
      <c r="E572" t="s">
        <v>16</v>
      </c>
      <c r="F572">
        <v>1</v>
      </c>
    </row>
    <row r="573" spans="1:6" x14ac:dyDescent="0.2">
      <c r="A573" t="s">
        <v>3367</v>
      </c>
      <c r="B573" t="s">
        <v>3365</v>
      </c>
      <c r="C573" t="s">
        <v>3366</v>
      </c>
      <c r="D573" t="s">
        <v>10</v>
      </c>
      <c r="E573" t="s">
        <v>16</v>
      </c>
      <c r="F573">
        <v>1</v>
      </c>
    </row>
    <row r="574" spans="1:6" x14ac:dyDescent="0.2">
      <c r="A574" t="s">
        <v>364</v>
      </c>
      <c r="B574" t="s">
        <v>362</v>
      </c>
      <c r="C574" t="s">
        <v>363</v>
      </c>
      <c r="D574" t="s">
        <v>10</v>
      </c>
      <c r="E574" t="s">
        <v>16</v>
      </c>
      <c r="F574">
        <v>1</v>
      </c>
    </row>
    <row r="575" spans="1:6" x14ac:dyDescent="0.2">
      <c r="A575" t="s">
        <v>1957</v>
      </c>
      <c r="B575" t="s">
        <v>1955</v>
      </c>
      <c r="C575" t="s">
        <v>1956</v>
      </c>
      <c r="D575" t="s">
        <v>10</v>
      </c>
      <c r="E575" t="s">
        <v>16</v>
      </c>
      <c r="F575">
        <v>4</v>
      </c>
    </row>
    <row r="576" spans="1:6" x14ac:dyDescent="0.2">
      <c r="A576" t="s">
        <v>3430</v>
      </c>
      <c r="B576" t="s">
        <v>3429</v>
      </c>
      <c r="C576" t="s">
        <v>1931</v>
      </c>
      <c r="D576" t="s">
        <v>10</v>
      </c>
      <c r="E576" t="s">
        <v>16</v>
      </c>
      <c r="F576">
        <v>1</v>
      </c>
    </row>
    <row r="577" spans="1:6" x14ac:dyDescent="0.2">
      <c r="A577" t="s">
        <v>2948</v>
      </c>
      <c r="B577" t="s">
        <v>4167</v>
      </c>
      <c r="C577" t="s">
        <v>2949</v>
      </c>
      <c r="D577" t="s">
        <v>29</v>
      </c>
      <c r="E577" t="s">
        <v>16</v>
      </c>
      <c r="F577">
        <v>2</v>
      </c>
    </row>
    <row r="578" spans="1:6" x14ac:dyDescent="0.2">
      <c r="A578" t="s">
        <v>4244</v>
      </c>
      <c r="B578" t="s">
        <v>4242</v>
      </c>
      <c r="C578" t="s">
        <v>4247</v>
      </c>
      <c r="D578" t="s">
        <v>10</v>
      </c>
      <c r="E578" t="s">
        <v>16</v>
      </c>
      <c r="F578">
        <v>1</v>
      </c>
    </row>
    <row r="579" spans="1:6" x14ac:dyDescent="0.2">
      <c r="A579" t="s">
        <v>4246</v>
      </c>
      <c r="B579" t="s">
        <v>4242</v>
      </c>
      <c r="C579" t="s">
        <v>4248</v>
      </c>
      <c r="D579" t="s">
        <v>10</v>
      </c>
      <c r="E579" t="s">
        <v>16</v>
      </c>
      <c r="F579">
        <v>2</v>
      </c>
    </row>
    <row r="580" spans="1:6" x14ac:dyDescent="0.2">
      <c r="A580" t="s">
        <v>3646</v>
      </c>
      <c r="B580" t="s">
        <v>3509</v>
      </c>
      <c r="C580" t="s">
        <v>3645</v>
      </c>
      <c r="D580" t="s">
        <v>10</v>
      </c>
      <c r="E580" t="s">
        <v>16</v>
      </c>
      <c r="F580">
        <v>1</v>
      </c>
    </row>
    <row r="581" spans="1:6" x14ac:dyDescent="0.2">
      <c r="A581" t="s">
        <v>6363</v>
      </c>
      <c r="B581" t="s">
        <v>6362</v>
      </c>
      <c r="C581" t="s">
        <v>6364</v>
      </c>
      <c r="D581" t="s">
        <v>10</v>
      </c>
      <c r="E581" t="s">
        <v>16</v>
      </c>
      <c r="F581">
        <v>1</v>
      </c>
    </row>
    <row r="582" spans="1:6" x14ac:dyDescent="0.2">
      <c r="A582" t="s">
        <v>4282</v>
      </c>
      <c r="B582" t="s">
        <v>4273</v>
      </c>
      <c r="C582" t="s">
        <v>4281</v>
      </c>
      <c r="D582" t="s">
        <v>10</v>
      </c>
      <c r="E582" t="s">
        <v>16</v>
      </c>
      <c r="F582">
        <v>1</v>
      </c>
    </row>
    <row r="583" spans="1:6" x14ac:dyDescent="0.2">
      <c r="A583" t="s">
        <v>4051</v>
      </c>
      <c r="B583" t="s">
        <v>4049</v>
      </c>
      <c r="C583" t="s">
        <v>4050</v>
      </c>
      <c r="D583" t="s">
        <v>29</v>
      </c>
      <c r="E583" t="s">
        <v>52</v>
      </c>
      <c r="F583">
        <v>2</v>
      </c>
    </row>
    <row r="584" spans="1:6" x14ac:dyDescent="0.2">
      <c r="A584" t="s">
        <v>3745</v>
      </c>
      <c r="B584" t="s">
        <v>3509</v>
      </c>
      <c r="C584" t="s">
        <v>3744</v>
      </c>
      <c r="D584" t="s">
        <v>10</v>
      </c>
      <c r="E584" t="s">
        <v>16</v>
      </c>
      <c r="F584">
        <v>1</v>
      </c>
    </row>
    <row r="585" spans="1:6" x14ac:dyDescent="0.2">
      <c r="A585" t="s">
        <v>1865</v>
      </c>
      <c r="B585" t="s">
        <v>9964</v>
      </c>
      <c r="C585" t="s">
        <v>1864</v>
      </c>
      <c r="D585" t="s">
        <v>64</v>
      </c>
      <c r="E585" t="s">
        <v>16</v>
      </c>
      <c r="F585">
        <v>1</v>
      </c>
    </row>
    <row r="586" spans="1:6" x14ac:dyDescent="0.2">
      <c r="A586" t="s">
        <v>3941</v>
      </c>
      <c r="B586" t="s">
        <v>3939</v>
      </c>
      <c r="C586" t="s">
        <v>3940</v>
      </c>
      <c r="D586" t="s">
        <v>10</v>
      </c>
      <c r="E586" t="s">
        <v>16</v>
      </c>
      <c r="F586">
        <v>1</v>
      </c>
    </row>
    <row r="587" spans="1:6" x14ac:dyDescent="0.2">
      <c r="A587" t="s">
        <v>3927</v>
      </c>
      <c r="B587" t="s">
        <v>3925</v>
      </c>
      <c r="C587" t="s">
        <v>3926</v>
      </c>
      <c r="D587" t="s">
        <v>3928</v>
      </c>
      <c r="E587" t="s">
        <v>16</v>
      </c>
      <c r="F587">
        <v>1</v>
      </c>
    </row>
    <row r="588" spans="1:6" x14ac:dyDescent="0.2">
      <c r="A588" t="s">
        <v>28</v>
      </c>
      <c r="B588" t="s">
        <v>3925</v>
      </c>
      <c r="C588" t="s">
        <v>3929</v>
      </c>
      <c r="D588" t="s">
        <v>29</v>
      </c>
      <c r="E588" t="s">
        <v>16</v>
      </c>
      <c r="F588">
        <v>2</v>
      </c>
    </row>
    <row r="589" spans="1:6" x14ac:dyDescent="0.2">
      <c r="A589" t="s">
        <v>3931</v>
      </c>
      <c r="B589" t="s">
        <v>3925</v>
      </c>
      <c r="C589" t="s">
        <v>3930</v>
      </c>
      <c r="D589" t="s">
        <v>29</v>
      </c>
      <c r="E589" t="s">
        <v>16</v>
      </c>
      <c r="F589">
        <v>1</v>
      </c>
    </row>
    <row r="590" spans="1:6" x14ac:dyDescent="0.2">
      <c r="A590" t="s">
        <v>3933</v>
      </c>
      <c r="B590" t="s">
        <v>3925</v>
      </c>
      <c r="C590" t="s">
        <v>3932</v>
      </c>
      <c r="D590" t="s">
        <v>29</v>
      </c>
      <c r="E590" t="s">
        <v>16</v>
      </c>
      <c r="F590">
        <v>2</v>
      </c>
    </row>
    <row r="591" spans="1:6" x14ac:dyDescent="0.2">
      <c r="A591" t="s">
        <v>3935</v>
      </c>
      <c r="B591" t="s">
        <v>3925</v>
      </c>
      <c r="C591" t="s">
        <v>3934</v>
      </c>
      <c r="D591" t="s">
        <v>29</v>
      </c>
      <c r="E591" t="s">
        <v>16</v>
      </c>
      <c r="F591">
        <v>2</v>
      </c>
    </row>
    <row r="592" spans="1:6" x14ac:dyDescent="0.2">
      <c r="A592" t="s">
        <v>3508</v>
      </c>
      <c r="B592" t="s">
        <v>3506</v>
      </c>
      <c r="C592" t="s">
        <v>3507</v>
      </c>
      <c r="D592" t="s">
        <v>10</v>
      </c>
      <c r="E592" t="s">
        <v>16</v>
      </c>
      <c r="F592">
        <v>1</v>
      </c>
    </row>
    <row r="593" spans="1:6" x14ac:dyDescent="0.2">
      <c r="A593" t="s">
        <v>3468</v>
      </c>
      <c r="B593" t="s">
        <v>3466</v>
      </c>
      <c r="C593" t="s">
        <v>3467</v>
      </c>
      <c r="D593" t="s">
        <v>10</v>
      </c>
      <c r="E593" t="s">
        <v>16</v>
      </c>
      <c r="F593">
        <v>1</v>
      </c>
    </row>
    <row r="594" spans="1:6" x14ac:dyDescent="0.2">
      <c r="A594" t="s">
        <v>8229</v>
      </c>
      <c r="B594" t="s">
        <v>8227</v>
      </c>
      <c r="C594" t="s">
        <v>8228</v>
      </c>
      <c r="D594" t="s">
        <v>10</v>
      </c>
      <c r="E594" t="s">
        <v>16</v>
      </c>
      <c r="F594">
        <v>1</v>
      </c>
    </row>
    <row r="595" spans="1:6" x14ac:dyDescent="0.2">
      <c r="A595" t="s">
        <v>5714</v>
      </c>
      <c r="B595" t="s">
        <v>5712</v>
      </c>
      <c r="C595" t="s">
        <v>5713</v>
      </c>
      <c r="D595" t="s">
        <v>10</v>
      </c>
      <c r="E595" t="s">
        <v>16</v>
      </c>
      <c r="F595">
        <v>1</v>
      </c>
    </row>
    <row r="596" spans="1:6" x14ac:dyDescent="0.2">
      <c r="A596" t="s">
        <v>4105</v>
      </c>
      <c r="B596" t="s">
        <v>4103</v>
      </c>
      <c r="C596" t="s">
        <v>4104</v>
      </c>
      <c r="D596" t="s">
        <v>29</v>
      </c>
      <c r="E596" t="s">
        <v>16</v>
      </c>
      <c r="F596">
        <v>1</v>
      </c>
    </row>
    <row r="597" spans="1:6" x14ac:dyDescent="0.2">
      <c r="A597" t="s">
        <v>3443</v>
      </c>
      <c r="B597" t="s">
        <v>3434</v>
      </c>
      <c r="C597" t="s">
        <v>3444</v>
      </c>
      <c r="D597" t="s">
        <v>10</v>
      </c>
      <c r="E597" t="s">
        <v>16</v>
      </c>
      <c r="F597">
        <v>1</v>
      </c>
    </row>
    <row r="598" spans="1:6" x14ac:dyDescent="0.2">
      <c r="A598" t="s">
        <v>4107</v>
      </c>
      <c r="B598" t="s">
        <v>4103</v>
      </c>
      <c r="C598" t="s">
        <v>4106</v>
      </c>
      <c r="D598" t="s">
        <v>3928</v>
      </c>
      <c r="E598" t="s">
        <v>16</v>
      </c>
      <c r="F598">
        <v>1</v>
      </c>
    </row>
    <row r="599" spans="1:6" x14ac:dyDescent="0.2">
      <c r="A599" t="s">
        <v>989</v>
      </c>
      <c r="B599" t="s">
        <v>987</v>
      </c>
      <c r="C599" t="s">
        <v>988</v>
      </c>
      <c r="D599" t="s">
        <v>10</v>
      </c>
      <c r="E599" t="s">
        <v>52</v>
      </c>
      <c r="F599">
        <v>1</v>
      </c>
    </row>
    <row r="600" spans="1:6" x14ac:dyDescent="0.2">
      <c r="A600" t="s">
        <v>11983</v>
      </c>
      <c r="B600" t="s">
        <v>11975</v>
      </c>
      <c r="C600" t="s">
        <v>11984</v>
      </c>
      <c r="D600" t="s">
        <v>10</v>
      </c>
      <c r="E600" t="s">
        <v>16</v>
      </c>
      <c r="F600">
        <v>1</v>
      </c>
    </row>
    <row r="601" spans="1:6" x14ac:dyDescent="0.2">
      <c r="A601" t="s">
        <v>4007</v>
      </c>
      <c r="B601" t="s">
        <v>4005</v>
      </c>
      <c r="C601" t="s">
        <v>4006</v>
      </c>
      <c r="D601" t="s">
        <v>56</v>
      </c>
      <c r="E601" t="s">
        <v>16</v>
      </c>
      <c r="F601">
        <v>1</v>
      </c>
    </row>
    <row r="602" spans="1:6" x14ac:dyDescent="0.2">
      <c r="A602" t="s">
        <v>4009</v>
      </c>
      <c r="B602" t="s">
        <v>4005</v>
      </c>
      <c r="C602" t="s">
        <v>4008</v>
      </c>
      <c r="D602" t="s">
        <v>56</v>
      </c>
      <c r="E602" t="s">
        <v>52</v>
      </c>
      <c r="F602">
        <v>1</v>
      </c>
    </row>
    <row r="603" spans="1:6" x14ac:dyDescent="0.2">
      <c r="A603" t="s">
        <v>11977</v>
      </c>
      <c r="B603" t="s">
        <v>11975</v>
      </c>
      <c r="C603" t="s">
        <v>11986</v>
      </c>
      <c r="D603" t="s">
        <v>10</v>
      </c>
      <c r="E603" t="s">
        <v>16</v>
      </c>
      <c r="F603">
        <v>1</v>
      </c>
    </row>
    <row r="604" spans="1:6" x14ac:dyDescent="0.2">
      <c r="A604" t="s">
        <v>11988</v>
      </c>
      <c r="B604" t="s">
        <v>11975</v>
      </c>
      <c r="C604" t="s">
        <v>11989</v>
      </c>
      <c r="D604" t="s">
        <v>10</v>
      </c>
      <c r="E604" t="s">
        <v>16</v>
      </c>
      <c r="F604">
        <v>1</v>
      </c>
    </row>
    <row r="605" spans="1:6" x14ac:dyDescent="0.2">
      <c r="A605" t="s">
        <v>6441</v>
      </c>
      <c r="B605" t="s">
        <v>11975</v>
      </c>
      <c r="C605" t="s">
        <v>6440</v>
      </c>
      <c r="D605" t="s">
        <v>10</v>
      </c>
      <c r="E605" t="s">
        <v>16</v>
      </c>
      <c r="F605">
        <v>1</v>
      </c>
    </row>
    <row r="606" spans="1:6" x14ac:dyDescent="0.2">
      <c r="A606" t="s">
        <v>11991</v>
      </c>
      <c r="B606" t="s">
        <v>11975</v>
      </c>
      <c r="C606" t="s">
        <v>11990</v>
      </c>
      <c r="D606" t="s">
        <v>10</v>
      </c>
      <c r="E606" t="s">
        <v>16</v>
      </c>
      <c r="F606">
        <v>1</v>
      </c>
    </row>
    <row r="607" spans="1:6" x14ac:dyDescent="0.2">
      <c r="A607" t="s">
        <v>1494</v>
      </c>
      <c r="B607" t="s">
        <v>11975</v>
      </c>
      <c r="C607" t="s">
        <v>1498</v>
      </c>
      <c r="D607" t="s">
        <v>10</v>
      </c>
      <c r="E607" t="s">
        <v>16</v>
      </c>
      <c r="F607">
        <v>1</v>
      </c>
    </row>
    <row r="608" spans="1:6" x14ac:dyDescent="0.2">
      <c r="A608" t="s">
        <v>3996</v>
      </c>
      <c r="B608" t="s">
        <v>3994</v>
      </c>
      <c r="C608" t="s">
        <v>3995</v>
      </c>
      <c r="D608" t="s">
        <v>10</v>
      </c>
      <c r="E608" t="s">
        <v>16</v>
      </c>
      <c r="F608">
        <v>1</v>
      </c>
    </row>
    <row r="609" spans="1:6" x14ac:dyDescent="0.2">
      <c r="A609" t="s">
        <v>11993</v>
      </c>
      <c r="B609" t="s">
        <v>11975</v>
      </c>
      <c r="C609" t="s">
        <v>11994</v>
      </c>
      <c r="D609" t="s">
        <v>10</v>
      </c>
      <c r="E609" t="s">
        <v>16</v>
      </c>
      <c r="F609">
        <v>1</v>
      </c>
    </row>
    <row r="610" spans="1:6" x14ac:dyDescent="0.2">
      <c r="A610" t="s">
        <v>3873</v>
      </c>
      <c r="B610" t="s">
        <v>3862</v>
      </c>
      <c r="C610" t="s">
        <v>3872</v>
      </c>
      <c r="D610" t="s">
        <v>10</v>
      </c>
      <c r="E610" t="s">
        <v>16</v>
      </c>
      <c r="F610">
        <v>2</v>
      </c>
    </row>
    <row r="611" spans="1:6" x14ac:dyDescent="0.2">
      <c r="A611" t="s">
        <v>11980</v>
      </c>
      <c r="B611" t="s">
        <v>11975</v>
      </c>
      <c r="C611" t="s">
        <v>11979</v>
      </c>
      <c r="D611" t="s">
        <v>10</v>
      </c>
      <c r="E611" t="s">
        <v>16</v>
      </c>
      <c r="F611">
        <v>1</v>
      </c>
    </row>
    <row r="612" spans="1:6" x14ac:dyDescent="0.2">
      <c r="A612" t="s">
        <v>1496</v>
      </c>
      <c r="B612" t="s">
        <v>11975</v>
      </c>
      <c r="C612" t="s">
        <v>11995</v>
      </c>
      <c r="D612" t="s">
        <v>10</v>
      </c>
      <c r="E612" t="s">
        <v>16</v>
      </c>
      <c r="F612">
        <v>1</v>
      </c>
    </row>
    <row r="613" spans="1:6" x14ac:dyDescent="0.2">
      <c r="A613" t="s">
        <v>11998</v>
      </c>
      <c r="B613" t="s">
        <v>11975</v>
      </c>
      <c r="C613" t="s">
        <v>11997</v>
      </c>
      <c r="D613" t="s">
        <v>10</v>
      </c>
      <c r="E613" t="s">
        <v>16</v>
      </c>
      <c r="F613">
        <v>2</v>
      </c>
    </row>
    <row r="614" spans="1:6" x14ac:dyDescent="0.2">
      <c r="A614" t="s">
        <v>12000</v>
      </c>
      <c r="B614" t="s">
        <v>11975</v>
      </c>
      <c r="C614" t="s">
        <v>11999</v>
      </c>
      <c r="D614" t="s">
        <v>10</v>
      </c>
      <c r="E614" t="s">
        <v>16</v>
      </c>
      <c r="F614">
        <v>1</v>
      </c>
    </row>
    <row r="615" spans="1:6" x14ac:dyDescent="0.2">
      <c r="A615" t="s">
        <v>1505</v>
      </c>
      <c r="B615" t="s">
        <v>1492</v>
      </c>
      <c r="C615" t="s">
        <v>1504</v>
      </c>
      <c r="D615" t="s">
        <v>10</v>
      </c>
      <c r="E615" t="s">
        <v>16</v>
      </c>
      <c r="F615">
        <v>1</v>
      </c>
    </row>
    <row r="616" spans="1:6" x14ac:dyDescent="0.2">
      <c r="A616" t="s">
        <v>6444</v>
      </c>
      <c r="B616" t="s">
        <v>6442</v>
      </c>
      <c r="C616" t="s">
        <v>6443</v>
      </c>
      <c r="D616" t="s">
        <v>56</v>
      </c>
      <c r="E616" t="s">
        <v>16</v>
      </c>
      <c r="F616">
        <v>1</v>
      </c>
    </row>
    <row r="617" spans="1:6" x14ac:dyDescent="0.2">
      <c r="A617" t="s">
        <v>358</v>
      </c>
      <c r="B617" t="s">
        <v>11975</v>
      </c>
      <c r="C617" t="s">
        <v>4335</v>
      </c>
      <c r="D617" t="s">
        <v>10</v>
      </c>
      <c r="E617" t="s">
        <v>16</v>
      </c>
      <c r="F617">
        <v>1</v>
      </c>
    </row>
    <row r="618" spans="1:6" x14ac:dyDescent="0.2">
      <c r="A618" t="s">
        <v>1502</v>
      </c>
      <c r="B618" t="s">
        <v>11975</v>
      </c>
      <c r="C618" t="s">
        <v>1501</v>
      </c>
      <c r="D618" t="s">
        <v>10</v>
      </c>
      <c r="E618" t="s">
        <v>16</v>
      </c>
      <c r="F618">
        <v>1</v>
      </c>
    </row>
    <row r="619" spans="1:6" x14ac:dyDescent="0.2">
      <c r="A619" t="s">
        <v>452</v>
      </c>
      <c r="B619" t="s">
        <v>450</v>
      </c>
      <c r="C619" t="s">
        <v>451</v>
      </c>
      <c r="D619" t="s">
        <v>10</v>
      </c>
      <c r="E619" t="s">
        <v>16</v>
      </c>
      <c r="F619">
        <v>1</v>
      </c>
    </row>
    <row r="620" spans="1:6" x14ac:dyDescent="0.2">
      <c r="A620" t="s">
        <v>1535</v>
      </c>
      <c r="B620" t="s">
        <v>1533</v>
      </c>
      <c r="C620" t="s">
        <v>1538</v>
      </c>
      <c r="D620" t="s">
        <v>10</v>
      </c>
      <c r="E620" t="s">
        <v>16</v>
      </c>
      <c r="F620">
        <v>1</v>
      </c>
    </row>
    <row r="621" spans="1:6" x14ac:dyDescent="0.2">
      <c r="A621" t="s">
        <v>4337</v>
      </c>
      <c r="B621" t="s">
        <v>11975</v>
      </c>
      <c r="C621" t="s">
        <v>4336</v>
      </c>
      <c r="D621" t="s">
        <v>10</v>
      </c>
      <c r="E621" t="s">
        <v>16</v>
      </c>
      <c r="F621">
        <v>1</v>
      </c>
    </row>
    <row r="622" spans="1:6" x14ac:dyDescent="0.2">
      <c r="A622" t="s">
        <v>3234</v>
      </c>
      <c r="B622" t="s">
        <v>3232</v>
      </c>
      <c r="C622" t="s">
        <v>3233</v>
      </c>
      <c r="D622" t="s">
        <v>10</v>
      </c>
      <c r="E622" t="s">
        <v>16</v>
      </c>
      <c r="F622">
        <v>1</v>
      </c>
    </row>
    <row r="623" spans="1:6" x14ac:dyDescent="0.2">
      <c r="A623" t="s">
        <v>1428</v>
      </c>
      <c r="B623" t="s">
        <v>1426</v>
      </c>
      <c r="C623" t="s">
        <v>1427</v>
      </c>
      <c r="D623" t="s">
        <v>10</v>
      </c>
      <c r="E623" t="s">
        <v>16</v>
      </c>
      <c r="F623">
        <v>1</v>
      </c>
    </row>
    <row r="624" spans="1:6" x14ac:dyDescent="0.2">
      <c r="A624" t="s">
        <v>7362</v>
      </c>
      <c r="B624" t="s">
        <v>7358</v>
      </c>
      <c r="C624" t="s">
        <v>7364</v>
      </c>
      <c r="D624" t="s">
        <v>10</v>
      </c>
      <c r="E624" t="s">
        <v>16</v>
      </c>
      <c r="F624">
        <v>1</v>
      </c>
    </row>
    <row r="625" spans="1:6" x14ac:dyDescent="0.2">
      <c r="A625" t="s">
        <v>9368</v>
      </c>
      <c r="B625" t="s">
        <v>9358</v>
      </c>
      <c r="C625" t="s">
        <v>9367</v>
      </c>
      <c r="D625" t="s">
        <v>10</v>
      </c>
      <c r="E625" t="s">
        <v>16</v>
      </c>
      <c r="F625">
        <v>1</v>
      </c>
    </row>
    <row r="626" spans="1:6" x14ac:dyDescent="0.2">
      <c r="A626" t="s">
        <v>8958</v>
      </c>
      <c r="B626" t="s">
        <v>8956</v>
      </c>
      <c r="C626" t="s">
        <v>8957</v>
      </c>
      <c r="D626" t="s">
        <v>56</v>
      </c>
      <c r="E626" t="s">
        <v>16</v>
      </c>
      <c r="F626">
        <v>1</v>
      </c>
    </row>
    <row r="627" spans="1:6" x14ac:dyDescent="0.2">
      <c r="A627" t="s">
        <v>1720</v>
      </c>
      <c r="B627" t="s">
        <v>1718</v>
      </c>
      <c r="C627" t="s">
        <v>876</v>
      </c>
      <c r="D627" t="s">
        <v>10</v>
      </c>
      <c r="E627" t="s">
        <v>16</v>
      </c>
      <c r="F627">
        <v>1</v>
      </c>
    </row>
    <row r="628" spans="1:6" x14ac:dyDescent="0.2">
      <c r="A628" t="s">
        <v>7519</v>
      </c>
      <c r="B628" t="s">
        <v>7517</v>
      </c>
      <c r="C628" t="s">
        <v>7518</v>
      </c>
      <c r="D628" t="s">
        <v>10</v>
      </c>
      <c r="E628" t="s">
        <v>16</v>
      </c>
      <c r="F628">
        <v>1</v>
      </c>
    </row>
    <row r="629" spans="1:6" x14ac:dyDescent="0.2">
      <c r="A629" t="s">
        <v>5026</v>
      </c>
      <c r="B629" t="s">
        <v>5024</v>
      </c>
      <c r="C629" t="s">
        <v>5025</v>
      </c>
      <c r="D629" t="s">
        <v>10</v>
      </c>
      <c r="E629" t="s">
        <v>16</v>
      </c>
      <c r="F629">
        <v>1</v>
      </c>
    </row>
    <row r="630" spans="1:6" x14ac:dyDescent="0.2">
      <c r="A630" t="s">
        <v>5028</v>
      </c>
      <c r="B630" t="s">
        <v>5024</v>
      </c>
      <c r="C630" t="s">
        <v>5027</v>
      </c>
      <c r="D630" t="s">
        <v>10</v>
      </c>
      <c r="E630" t="s">
        <v>16</v>
      </c>
      <c r="F630">
        <v>1</v>
      </c>
    </row>
    <row r="631" spans="1:6" x14ac:dyDescent="0.2">
      <c r="A631" t="s">
        <v>3902</v>
      </c>
      <c r="B631" t="s">
        <v>3901</v>
      </c>
      <c r="C631" t="s">
        <v>3093</v>
      </c>
      <c r="D631" t="s">
        <v>64</v>
      </c>
      <c r="E631" t="s">
        <v>16</v>
      </c>
      <c r="F631">
        <v>1</v>
      </c>
    </row>
    <row r="632" spans="1:6" x14ac:dyDescent="0.2">
      <c r="A632" t="s">
        <v>6712</v>
      </c>
      <c r="B632" t="s">
        <v>6709</v>
      </c>
      <c r="C632" t="s">
        <v>6713</v>
      </c>
      <c r="D632" t="s">
        <v>10</v>
      </c>
      <c r="E632" t="s">
        <v>16</v>
      </c>
      <c r="F632">
        <v>2</v>
      </c>
    </row>
    <row r="633" spans="1:6" x14ac:dyDescent="0.2">
      <c r="A633" t="s">
        <v>4214</v>
      </c>
      <c r="B633" t="s">
        <v>4212</v>
      </c>
      <c r="C633" t="s">
        <v>4213</v>
      </c>
      <c r="D633" t="s">
        <v>10</v>
      </c>
      <c r="E633" t="s">
        <v>16</v>
      </c>
      <c r="F633">
        <v>1</v>
      </c>
    </row>
    <row r="634" spans="1:6" x14ac:dyDescent="0.2">
      <c r="A634" t="s">
        <v>6623</v>
      </c>
      <c r="B634" t="s">
        <v>8532</v>
      </c>
      <c r="C634" t="s">
        <v>6624</v>
      </c>
      <c r="D634" t="s">
        <v>10</v>
      </c>
      <c r="E634" t="s">
        <v>16</v>
      </c>
      <c r="F634">
        <v>1</v>
      </c>
    </row>
    <row r="635" spans="1:6" x14ac:dyDescent="0.2">
      <c r="A635" t="s">
        <v>993</v>
      </c>
      <c r="B635" t="s">
        <v>987</v>
      </c>
      <c r="C635" t="s">
        <v>998</v>
      </c>
      <c r="D635" t="s">
        <v>10</v>
      </c>
      <c r="E635" t="s">
        <v>11</v>
      </c>
      <c r="F635">
        <v>2</v>
      </c>
    </row>
    <row r="636" spans="1:6" x14ac:dyDescent="0.2">
      <c r="A636" t="s">
        <v>3307</v>
      </c>
      <c r="B636" t="s">
        <v>3272</v>
      </c>
      <c r="C636" t="s">
        <v>3306</v>
      </c>
      <c r="D636" t="s">
        <v>29</v>
      </c>
      <c r="E636" t="s">
        <v>16</v>
      </c>
      <c r="F636">
        <v>2</v>
      </c>
    </row>
    <row r="637" spans="1:6" x14ac:dyDescent="0.2">
      <c r="A637" t="s">
        <v>3309</v>
      </c>
      <c r="B637" t="s">
        <v>3272</v>
      </c>
      <c r="C637" t="s">
        <v>3308</v>
      </c>
      <c r="D637" t="s">
        <v>29</v>
      </c>
      <c r="E637" t="s">
        <v>52</v>
      </c>
      <c r="F637">
        <v>2</v>
      </c>
    </row>
    <row r="638" spans="1:6" x14ac:dyDescent="0.2">
      <c r="A638" t="s">
        <v>3309</v>
      </c>
      <c r="B638" t="s">
        <v>3272</v>
      </c>
      <c r="C638" t="s">
        <v>3312</v>
      </c>
      <c r="D638" t="s">
        <v>29</v>
      </c>
      <c r="E638" t="s">
        <v>52</v>
      </c>
      <c r="F638">
        <v>2</v>
      </c>
    </row>
    <row r="639" spans="1:6" x14ac:dyDescent="0.2">
      <c r="A639" t="s">
        <v>3017</v>
      </c>
      <c r="B639" t="s">
        <v>2986</v>
      </c>
      <c r="C639" t="s">
        <v>3020</v>
      </c>
      <c r="D639" t="s">
        <v>10</v>
      </c>
      <c r="E639" t="s">
        <v>11</v>
      </c>
      <c r="F639">
        <v>2</v>
      </c>
    </row>
    <row r="640" spans="1:6" x14ac:dyDescent="0.2">
      <c r="A640" t="s">
        <v>2993</v>
      </c>
      <c r="B640" t="s">
        <v>2986</v>
      </c>
      <c r="C640" t="s">
        <v>2994</v>
      </c>
      <c r="D640" t="s">
        <v>10</v>
      </c>
      <c r="E640" t="s">
        <v>11</v>
      </c>
      <c r="F640">
        <v>2</v>
      </c>
    </row>
    <row r="641" spans="1:6" x14ac:dyDescent="0.2">
      <c r="A641" t="s">
        <v>3300</v>
      </c>
      <c r="B641" t="s">
        <v>3272</v>
      </c>
      <c r="C641" t="s">
        <v>3299</v>
      </c>
      <c r="D641" t="s">
        <v>10</v>
      </c>
      <c r="E641" t="s">
        <v>11</v>
      </c>
      <c r="F641">
        <v>1</v>
      </c>
    </row>
    <row r="642" spans="1:6" x14ac:dyDescent="0.2">
      <c r="A642" t="s">
        <v>3302</v>
      </c>
      <c r="B642" t="s">
        <v>3272</v>
      </c>
      <c r="C642" t="s">
        <v>3301</v>
      </c>
      <c r="D642" t="s">
        <v>10</v>
      </c>
      <c r="E642" t="s">
        <v>52</v>
      </c>
      <c r="F642">
        <v>4</v>
      </c>
    </row>
    <row r="643" spans="1:6" x14ac:dyDescent="0.2">
      <c r="A643" t="s">
        <v>2996</v>
      </c>
      <c r="B643" t="s">
        <v>3272</v>
      </c>
      <c r="C643" t="s">
        <v>3284</v>
      </c>
      <c r="D643" t="s">
        <v>10</v>
      </c>
      <c r="E643" t="s">
        <v>11</v>
      </c>
      <c r="F643">
        <v>2</v>
      </c>
    </row>
    <row r="644" spans="1:6" x14ac:dyDescent="0.2">
      <c r="A644" t="s">
        <v>3382</v>
      </c>
      <c r="B644" t="s">
        <v>3380</v>
      </c>
      <c r="C644" t="s">
        <v>3381</v>
      </c>
      <c r="D644" t="s">
        <v>10</v>
      </c>
      <c r="E644" t="s">
        <v>16</v>
      </c>
      <c r="F644">
        <v>1</v>
      </c>
    </row>
    <row r="645" spans="1:6" x14ac:dyDescent="0.2">
      <c r="A645" t="s">
        <v>3251</v>
      </c>
      <c r="B645" t="s">
        <v>3249</v>
      </c>
      <c r="C645" t="s">
        <v>3250</v>
      </c>
      <c r="D645" t="s">
        <v>10</v>
      </c>
      <c r="E645" t="s">
        <v>16</v>
      </c>
      <c r="F645">
        <v>1</v>
      </c>
    </row>
    <row r="646" spans="1:6" x14ac:dyDescent="0.2">
      <c r="A646" t="s">
        <v>267</v>
      </c>
      <c r="B646" t="s">
        <v>248</v>
      </c>
      <c r="C646" t="s">
        <v>270</v>
      </c>
      <c r="D646" t="s">
        <v>10</v>
      </c>
      <c r="E646" t="s">
        <v>16</v>
      </c>
      <c r="F646">
        <v>1</v>
      </c>
    </row>
    <row r="647" spans="1:6" x14ac:dyDescent="0.2">
      <c r="A647" t="s">
        <v>5528</v>
      </c>
      <c r="B647" t="s">
        <v>5536</v>
      </c>
      <c r="C647" t="s">
        <v>5527</v>
      </c>
      <c r="D647" t="s">
        <v>10</v>
      </c>
      <c r="E647" t="s">
        <v>16</v>
      </c>
      <c r="F647">
        <v>1</v>
      </c>
    </row>
    <row r="648" spans="1:6" x14ac:dyDescent="0.2">
      <c r="A648" t="s">
        <v>9967</v>
      </c>
      <c r="B648" t="s">
        <v>9965</v>
      </c>
      <c r="C648" t="s">
        <v>9966</v>
      </c>
      <c r="D648" t="s">
        <v>64</v>
      </c>
      <c r="E648" t="s">
        <v>16</v>
      </c>
      <c r="F648">
        <v>1</v>
      </c>
    </row>
    <row r="649" spans="1:6" x14ac:dyDescent="0.2">
      <c r="A649" t="s">
        <v>9720</v>
      </c>
      <c r="B649" t="s">
        <v>9707</v>
      </c>
      <c r="C649" t="s">
        <v>9723</v>
      </c>
      <c r="D649" t="s">
        <v>10</v>
      </c>
      <c r="E649" t="s">
        <v>16</v>
      </c>
      <c r="F649">
        <v>1</v>
      </c>
    </row>
    <row r="650" spans="1:6" x14ac:dyDescent="0.2">
      <c r="A650" t="s">
        <v>1867</v>
      </c>
      <c r="B650" t="s">
        <v>9964</v>
      </c>
      <c r="C650" t="s">
        <v>1866</v>
      </c>
      <c r="D650" t="s">
        <v>64</v>
      </c>
      <c r="E650" t="s">
        <v>16</v>
      </c>
      <c r="F650">
        <v>1</v>
      </c>
    </row>
    <row r="651" spans="1:6" x14ac:dyDescent="0.2">
      <c r="A651" t="s">
        <v>4109</v>
      </c>
      <c r="B651" t="s">
        <v>4103</v>
      </c>
      <c r="C651" t="s">
        <v>4108</v>
      </c>
      <c r="D651" t="s">
        <v>10</v>
      </c>
      <c r="E651" t="s">
        <v>16</v>
      </c>
      <c r="F651">
        <v>1</v>
      </c>
    </row>
    <row r="652" spans="1:6" x14ac:dyDescent="0.2">
      <c r="A652" t="s">
        <v>3641</v>
      </c>
      <c r="B652" t="s">
        <v>3509</v>
      </c>
      <c r="C652" t="s">
        <v>3655</v>
      </c>
      <c r="D652" t="s">
        <v>10</v>
      </c>
      <c r="E652" t="s">
        <v>16</v>
      </c>
      <c r="F652">
        <v>1</v>
      </c>
    </row>
    <row r="653" spans="1:6" x14ac:dyDescent="0.2">
      <c r="A653" t="s">
        <v>1028</v>
      </c>
      <c r="B653" t="s">
        <v>1026</v>
      </c>
      <c r="C653" t="s">
        <v>1027</v>
      </c>
      <c r="D653" t="s">
        <v>64</v>
      </c>
      <c r="E653" t="s">
        <v>16</v>
      </c>
      <c r="F653">
        <v>1</v>
      </c>
    </row>
    <row r="654" spans="1:6" x14ac:dyDescent="0.2">
      <c r="A654" t="s">
        <v>1032</v>
      </c>
      <c r="B654" t="s">
        <v>1026</v>
      </c>
      <c r="C654" t="s">
        <v>1031</v>
      </c>
      <c r="D654" t="s">
        <v>64</v>
      </c>
      <c r="E654" t="s">
        <v>16</v>
      </c>
      <c r="F654">
        <v>1</v>
      </c>
    </row>
    <row r="655" spans="1:6" x14ac:dyDescent="0.2">
      <c r="A655" t="s">
        <v>1030</v>
      </c>
      <c r="B655" t="s">
        <v>1026</v>
      </c>
      <c r="C655" t="s">
        <v>1029</v>
      </c>
      <c r="D655" t="s">
        <v>64</v>
      </c>
      <c r="E655" t="s">
        <v>16</v>
      </c>
      <c r="F655">
        <v>1</v>
      </c>
    </row>
    <row r="656" spans="1:6" x14ac:dyDescent="0.2">
      <c r="A656" t="s">
        <v>4013</v>
      </c>
      <c r="B656" t="s">
        <v>4011</v>
      </c>
      <c r="C656" t="s">
        <v>4012</v>
      </c>
      <c r="D656" t="s">
        <v>10</v>
      </c>
      <c r="E656" t="s">
        <v>16</v>
      </c>
      <c r="F656">
        <v>1</v>
      </c>
    </row>
    <row r="657" spans="1:6" x14ac:dyDescent="0.2">
      <c r="A657" t="s">
        <v>1094</v>
      </c>
      <c r="B657" t="s">
        <v>3387</v>
      </c>
      <c r="C657" t="s">
        <v>1095</v>
      </c>
      <c r="D657" t="s">
        <v>10</v>
      </c>
      <c r="E657" t="s">
        <v>52</v>
      </c>
      <c r="F657">
        <v>2</v>
      </c>
    </row>
    <row r="658" spans="1:6" x14ac:dyDescent="0.2">
      <c r="A658" t="s">
        <v>2096</v>
      </c>
      <c r="B658" t="s">
        <v>5208</v>
      </c>
      <c r="C658" t="s">
        <v>2095</v>
      </c>
      <c r="D658" t="s">
        <v>10</v>
      </c>
      <c r="E658" t="s">
        <v>11</v>
      </c>
      <c r="F658">
        <v>2</v>
      </c>
    </row>
    <row r="659" spans="1:6" x14ac:dyDescent="0.2">
      <c r="A659" t="s">
        <v>5874</v>
      </c>
      <c r="B659" t="s">
        <v>5871</v>
      </c>
      <c r="C659" t="s">
        <v>5880</v>
      </c>
      <c r="D659" t="s">
        <v>10</v>
      </c>
      <c r="E659" t="s">
        <v>52</v>
      </c>
      <c r="F659">
        <v>2</v>
      </c>
    </row>
    <row r="660" spans="1:6" x14ac:dyDescent="0.2">
      <c r="A660" t="s">
        <v>3761</v>
      </c>
      <c r="B660" t="s">
        <v>3509</v>
      </c>
      <c r="C660" t="s">
        <v>3760</v>
      </c>
      <c r="D660" t="s">
        <v>10</v>
      </c>
      <c r="E660" t="s">
        <v>16</v>
      </c>
      <c r="F660">
        <v>1</v>
      </c>
    </row>
    <row r="661" spans="1:6" x14ac:dyDescent="0.2">
      <c r="A661" t="s">
        <v>5556</v>
      </c>
      <c r="B661" t="s">
        <v>5547</v>
      </c>
      <c r="C661" t="s">
        <v>5555</v>
      </c>
      <c r="D661" t="s">
        <v>10</v>
      </c>
      <c r="E661" t="s">
        <v>16</v>
      </c>
      <c r="F661">
        <v>1</v>
      </c>
    </row>
    <row r="662" spans="1:6" x14ac:dyDescent="0.2">
      <c r="A662" t="s">
        <v>4062</v>
      </c>
      <c r="B662" t="s">
        <v>4060</v>
      </c>
      <c r="C662" t="s">
        <v>4061</v>
      </c>
      <c r="D662" t="s">
        <v>10</v>
      </c>
      <c r="E662" t="s">
        <v>16</v>
      </c>
      <c r="F662">
        <v>1</v>
      </c>
    </row>
    <row r="663" spans="1:6" x14ac:dyDescent="0.2">
      <c r="A663" t="s">
        <v>4067</v>
      </c>
      <c r="B663" t="s">
        <v>4066</v>
      </c>
      <c r="C663" t="s">
        <v>1844</v>
      </c>
      <c r="D663" t="s">
        <v>10</v>
      </c>
      <c r="E663" t="s">
        <v>16</v>
      </c>
      <c r="F663">
        <v>1</v>
      </c>
    </row>
    <row r="664" spans="1:6" x14ac:dyDescent="0.2">
      <c r="A664" t="s">
        <v>4583</v>
      </c>
      <c r="B664" t="s">
        <v>4581</v>
      </c>
      <c r="C664" t="s">
        <v>4582</v>
      </c>
      <c r="D664" t="s">
        <v>10</v>
      </c>
      <c r="E664" t="s">
        <v>16</v>
      </c>
      <c r="F664">
        <v>1</v>
      </c>
    </row>
    <row r="665" spans="1:6" x14ac:dyDescent="0.2">
      <c r="A665" t="s">
        <v>3797</v>
      </c>
      <c r="B665" t="s">
        <v>3509</v>
      </c>
      <c r="C665" t="s">
        <v>3800</v>
      </c>
      <c r="D665" t="s">
        <v>10</v>
      </c>
      <c r="E665" t="s">
        <v>16</v>
      </c>
      <c r="F665">
        <v>1</v>
      </c>
    </row>
    <row r="666" spans="1:6" x14ac:dyDescent="0.2">
      <c r="A666" t="s">
        <v>3719</v>
      </c>
      <c r="B666" t="s">
        <v>3509</v>
      </c>
      <c r="C666" t="s">
        <v>3805</v>
      </c>
      <c r="D666" t="s">
        <v>10</v>
      </c>
      <c r="E666" t="s">
        <v>16</v>
      </c>
      <c r="F666">
        <v>1</v>
      </c>
    </row>
    <row r="667" spans="1:6" x14ac:dyDescent="0.2">
      <c r="A667" t="s">
        <v>11345</v>
      </c>
      <c r="B667" t="s">
        <v>11343</v>
      </c>
      <c r="C667" t="s">
        <v>11344</v>
      </c>
      <c r="D667" t="s">
        <v>10</v>
      </c>
      <c r="E667" t="s">
        <v>16</v>
      </c>
      <c r="F667">
        <v>1</v>
      </c>
    </row>
    <row r="668" spans="1:6" x14ac:dyDescent="0.2">
      <c r="A668" t="s">
        <v>6460</v>
      </c>
      <c r="B668" t="s">
        <v>6459</v>
      </c>
      <c r="C668" t="s">
        <v>6461</v>
      </c>
      <c r="D668" t="s">
        <v>56</v>
      </c>
      <c r="E668" t="s">
        <v>16</v>
      </c>
      <c r="F668">
        <v>1</v>
      </c>
    </row>
    <row r="669" spans="1:6" x14ac:dyDescent="0.2">
      <c r="A669" t="s">
        <v>7613</v>
      </c>
      <c r="B669" t="s">
        <v>7597</v>
      </c>
      <c r="C669" t="s">
        <v>7612</v>
      </c>
      <c r="D669" t="s">
        <v>10</v>
      </c>
      <c r="E669" t="s">
        <v>16</v>
      </c>
      <c r="F669">
        <v>4</v>
      </c>
    </row>
    <row r="670" spans="1:6" x14ac:dyDescent="0.2">
      <c r="A670" t="s">
        <v>366</v>
      </c>
      <c r="B670" t="s">
        <v>11193</v>
      </c>
      <c r="C670" t="s">
        <v>365</v>
      </c>
      <c r="D670" t="s">
        <v>29</v>
      </c>
      <c r="E670" t="s">
        <v>16</v>
      </c>
      <c r="F670">
        <v>1</v>
      </c>
    </row>
    <row r="671" spans="1:6" x14ac:dyDescent="0.2">
      <c r="A671" t="s">
        <v>4218</v>
      </c>
      <c r="B671" t="s">
        <v>4216</v>
      </c>
      <c r="C671" t="s">
        <v>4219</v>
      </c>
      <c r="D671" t="s">
        <v>10</v>
      </c>
      <c r="E671" t="s">
        <v>16</v>
      </c>
      <c r="F671">
        <v>1</v>
      </c>
    </row>
    <row r="672" spans="1:6" x14ac:dyDescent="0.2">
      <c r="A672" t="s">
        <v>10639</v>
      </c>
      <c r="B672" t="s">
        <v>10637</v>
      </c>
      <c r="C672" t="s">
        <v>10640</v>
      </c>
      <c r="D672" t="s">
        <v>10</v>
      </c>
      <c r="E672" t="s">
        <v>16</v>
      </c>
      <c r="F672">
        <v>1</v>
      </c>
    </row>
    <row r="673" spans="1:6" x14ac:dyDescent="0.2">
      <c r="A673" t="s">
        <v>3882</v>
      </c>
      <c r="B673" t="s">
        <v>3880</v>
      </c>
      <c r="C673" t="s">
        <v>3884</v>
      </c>
      <c r="D673" t="s">
        <v>10</v>
      </c>
      <c r="E673" t="s">
        <v>16</v>
      </c>
      <c r="F673">
        <v>1</v>
      </c>
    </row>
    <row r="674" spans="1:6" x14ac:dyDescent="0.2">
      <c r="A674" t="s">
        <v>11887</v>
      </c>
      <c r="B674" t="s">
        <v>11885</v>
      </c>
      <c r="C674" t="s">
        <v>11886</v>
      </c>
      <c r="D674" t="s">
        <v>10</v>
      </c>
      <c r="E674" t="s">
        <v>16</v>
      </c>
      <c r="F674">
        <v>2</v>
      </c>
    </row>
    <row r="675" spans="1:6" x14ac:dyDescent="0.2">
      <c r="A675" t="s">
        <v>89</v>
      </c>
      <c r="B675" t="s">
        <v>8584</v>
      </c>
      <c r="C675" t="s">
        <v>88</v>
      </c>
      <c r="D675" t="s">
        <v>10</v>
      </c>
      <c r="E675" t="s">
        <v>16</v>
      </c>
      <c r="F675">
        <v>1</v>
      </c>
    </row>
    <row r="676" spans="1:6" x14ac:dyDescent="0.2">
      <c r="A676" t="s">
        <v>6466</v>
      </c>
      <c r="B676" t="s">
        <v>6462</v>
      </c>
      <c r="C676" t="s">
        <v>6484</v>
      </c>
      <c r="D676" t="s">
        <v>10</v>
      </c>
      <c r="E676" t="s">
        <v>16</v>
      </c>
      <c r="F676">
        <v>1</v>
      </c>
    </row>
    <row r="677" spans="1:6" x14ac:dyDescent="0.2">
      <c r="A677" t="s">
        <v>9664</v>
      </c>
      <c r="B677" t="s">
        <v>9659</v>
      </c>
      <c r="C677" t="s">
        <v>9667</v>
      </c>
      <c r="D677" t="s">
        <v>10</v>
      </c>
      <c r="E677" t="s">
        <v>16</v>
      </c>
      <c r="F677">
        <v>1</v>
      </c>
    </row>
    <row r="678" spans="1:6" x14ac:dyDescent="0.2">
      <c r="A678" t="s">
        <v>4059</v>
      </c>
      <c r="B678" t="s">
        <v>4056</v>
      </c>
      <c r="C678" t="s">
        <v>4058</v>
      </c>
      <c r="D678" t="s">
        <v>10</v>
      </c>
      <c r="E678" t="s">
        <v>11</v>
      </c>
      <c r="F678">
        <v>1</v>
      </c>
    </row>
    <row r="679" spans="1:6" x14ac:dyDescent="0.2">
      <c r="A679" t="s">
        <v>361</v>
      </c>
      <c r="B679" t="s">
        <v>359</v>
      </c>
      <c r="C679" t="s">
        <v>360</v>
      </c>
      <c r="D679" t="s">
        <v>10</v>
      </c>
      <c r="E679" t="s">
        <v>16</v>
      </c>
      <c r="F679">
        <v>1</v>
      </c>
    </row>
    <row r="680" spans="1:6" x14ac:dyDescent="0.2">
      <c r="A680" t="s">
        <v>1379</v>
      </c>
      <c r="B680" t="s">
        <v>8457</v>
      </c>
      <c r="C680" t="s">
        <v>1378</v>
      </c>
      <c r="D680" t="s">
        <v>10</v>
      </c>
      <c r="E680" t="s">
        <v>16</v>
      </c>
      <c r="F680">
        <v>1</v>
      </c>
    </row>
    <row r="681" spans="1:6" x14ac:dyDescent="0.2">
      <c r="A681" t="s">
        <v>3218</v>
      </c>
      <c r="B681" t="s">
        <v>9068</v>
      </c>
      <c r="C681" t="s">
        <v>9108</v>
      </c>
      <c r="D681" t="s">
        <v>10</v>
      </c>
      <c r="E681" t="s">
        <v>16</v>
      </c>
      <c r="F681">
        <v>1</v>
      </c>
    </row>
    <row r="682" spans="1:6" x14ac:dyDescent="0.2">
      <c r="A682" t="s">
        <v>3216</v>
      </c>
      <c r="B682" t="s">
        <v>8457</v>
      </c>
      <c r="C682" t="s">
        <v>3215</v>
      </c>
      <c r="D682" t="s">
        <v>10</v>
      </c>
      <c r="E682" t="s">
        <v>16</v>
      </c>
      <c r="F682">
        <v>1</v>
      </c>
    </row>
    <row r="683" spans="1:6" x14ac:dyDescent="0.2">
      <c r="A683" t="s">
        <v>8459</v>
      </c>
      <c r="B683" t="s">
        <v>8457</v>
      </c>
      <c r="C683" t="s">
        <v>8458</v>
      </c>
      <c r="D683" t="s">
        <v>10</v>
      </c>
      <c r="E683" t="s">
        <v>16</v>
      </c>
      <c r="F683">
        <v>1</v>
      </c>
    </row>
    <row r="684" spans="1:6" x14ac:dyDescent="0.2">
      <c r="A684" t="s">
        <v>1381</v>
      </c>
      <c r="B684" t="s">
        <v>5918</v>
      </c>
      <c r="C684" t="s">
        <v>142</v>
      </c>
      <c r="D684" t="s">
        <v>10</v>
      </c>
      <c r="E684" t="s">
        <v>16</v>
      </c>
      <c r="F684">
        <v>1</v>
      </c>
    </row>
    <row r="685" spans="1:6" x14ac:dyDescent="0.2">
      <c r="A685" t="s">
        <v>1383</v>
      </c>
      <c r="B685" t="s">
        <v>8457</v>
      </c>
      <c r="C685" t="s">
        <v>8460</v>
      </c>
      <c r="D685" t="s">
        <v>10</v>
      </c>
      <c r="E685" t="s">
        <v>16</v>
      </c>
      <c r="F685">
        <v>1</v>
      </c>
    </row>
    <row r="686" spans="1:6" x14ac:dyDescent="0.2">
      <c r="A686" t="s">
        <v>2630</v>
      </c>
      <c r="B686" t="s">
        <v>9068</v>
      </c>
      <c r="C686" t="s">
        <v>9074</v>
      </c>
      <c r="D686" t="s">
        <v>10</v>
      </c>
      <c r="E686" t="s">
        <v>16</v>
      </c>
      <c r="F686">
        <v>1</v>
      </c>
    </row>
    <row r="687" spans="1:6" x14ac:dyDescent="0.2">
      <c r="A687" t="s">
        <v>5230</v>
      </c>
      <c r="B687" t="s">
        <v>9068</v>
      </c>
      <c r="C687" t="s">
        <v>9107</v>
      </c>
      <c r="D687" t="s">
        <v>10</v>
      </c>
      <c r="E687" t="s">
        <v>16</v>
      </c>
      <c r="F687">
        <v>1</v>
      </c>
    </row>
    <row r="688" spans="1:6" x14ac:dyDescent="0.2">
      <c r="A688" t="s">
        <v>9076</v>
      </c>
      <c r="B688" t="s">
        <v>9068</v>
      </c>
      <c r="C688" t="s">
        <v>9075</v>
      </c>
      <c r="D688" t="s">
        <v>10</v>
      </c>
      <c r="E688" t="s">
        <v>16</v>
      </c>
      <c r="F688">
        <v>1</v>
      </c>
    </row>
    <row r="689" spans="1:6" x14ac:dyDescent="0.2">
      <c r="A689" t="s">
        <v>9382</v>
      </c>
      <c r="B689" t="s">
        <v>9380</v>
      </c>
      <c r="C689" t="s">
        <v>9383</v>
      </c>
      <c r="D689" t="s">
        <v>10</v>
      </c>
      <c r="E689" t="s">
        <v>16</v>
      </c>
      <c r="F689">
        <v>1</v>
      </c>
    </row>
    <row r="690" spans="1:6" x14ac:dyDescent="0.2">
      <c r="A690" t="s">
        <v>9073</v>
      </c>
      <c r="B690" t="s">
        <v>9068</v>
      </c>
      <c r="C690" t="s">
        <v>9077</v>
      </c>
      <c r="D690" t="s">
        <v>10</v>
      </c>
      <c r="E690" t="s">
        <v>16</v>
      </c>
      <c r="F690">
        <v>1</v>
      </c>
    </row>
    <row r="691" spans="1:6" x14ac:dyDescent="0.2">
      <c r="A691" t="s">
        <v>9079</v>
      </c>
      <c r="B691" t="s">
        <v>9068</v>
      </c>
      <c r="C691" t="s">
        <v>9078</v>
      </c>
      <c r="D691" t="s">
        <v>10</v>
      </c>
      <c r="E691" t="s">
        <v>16</v>
      </c>
      <c r="F691">
        <v>1</v>
      </c>
    </row>
    <row r="692" spans="1:6" x14ac:dyDescent="0.2">
      <c r="A692" t="s">
        <v>9070</v>
      </c>
      <c r="B692" t="s">
        <v>9068</v>
      </c>
      <c r="C692" t="s">
        <v>9069</v>
      </c>
      <c r="D692" t="s">
        <v>10</v>
      </c>
      <c r="E692" t="s">
        <v>16</v>
      </c>
      <c r="F692">
        <v>1</v>
      </c>
    </row>
    <row r="693" spans="1:6" x14ac:dyDescent="0.2">
      <c r="A693" t="s">
        <v>8987</v>
      </c>
      <c r="B693" t="s">
        <v>8983</v>
      </c>
      <c r="C693" t="s">
        <v>8986</v>
      </c>
      <c r="D693" t="s">
        <v>10</v>
      </c>
      <c r="E693" t="s">
        <v>16</v>
      </c>
      <c r="F693">
        <v>1</v>
      </c>
    </row>
    <row r="694" spans="1:6" x14ac:dyDescent="0.2">
      <c r="A694" t="s">
        <v>4290</v>
      </c>
      <c r="B694" t="s">
        <v>4286</v>
      </c>
      <c r="C694" t="s">
        <v>4289</v>
      </c>
      <c r="D694" t="s">
        <v>10</v>
      </c>
      <c r="E694" t="s">
        <v>16</v>
      </c>
      <c r="F694">
        <v>1</v>
      </c>
    </row>
    <row r="695" spans="1:6" x14ac:dyDescent="0.2">
      <c r="A695" t="s">
        <v>4905</v>
      </c>
      <c r="B695" t="s">
        <v>4903</v>
      </c>
      <c r="C695" t="s">
        <v>4904</v>
      </c>
      <c r="D695" t="s">
        <v>10</v>
      </c>
      <c r="E695" t="s">
        <v>16</v>
      </c>
      <c r="F695">
        <v>1</v>
      </c>
    </row>
    <row r="696" spans="1:6" x14ac:dyDescent="0.2">
      <c r="A696" t="s">
        <v>4241</v>
      </c>
      <c r="B696" t="s">
        <v>4239</v>
      </c>
      <c r="C696" t="s">
        <v>4240</v>
      </c>
      <c r="D696" t="s">
        <v>10</v>
      </c>
      <c r="E696" t="s">
        <v>16</v>
      </c>
      <c r="F696">
        <v>1</v>
      </c>
    </row>
    <row r="697" spans="1:6" x14ac:dyDescent="0.2">
      <c r="A697" t="s">
        <v>9355</v>
      </c>
      <c r="B697" t="s">
        <v>9353</v>
      </c>
      <c r="C697" t="s">
        <v>9354</v>
      </c>
      <c r="D697" t="s">
        <v>10</v>
      </c>
      <c r="E697" t="s">
        <v>16</v>
      </c>
      <c r="F697">
        <v>1</v>
      </c>
    </row>
    <row r="698" spans="1:6" x14ac:dyDescent="0.2">
      <c r="A698" t="s">
        <v>4315</v>
      </c>
      <c r="B698" t="s">
        <v>4304</v>
      </c>
      <c r="C698" t="s">
        <v>4314</v>
      </c>
      <c r="D698" t="s">
        <v>10</v>
      </c>
      <c r="E698" t="s">
        <v>16</v>
      </c>
      <c r="F698">
        <v>1</v>
      </c>
    </row>
    <row r="699" spans="1:6" x14ac:dyDescent="0.2">
      <c r="A699" t="s">
        <v>9662</v>
      </c>
      <c r="B699" t="s">
        <v>9659</v>
      </c>
      <c r="C699" t="s">
        <v>9668</v>
      </c>
      <c r="D699" t="s">
        <v>10</v>
      </c>
      <c r="E699" t="s">
        <v>16</v>
      </c>
      <c r="F699">
        <v>1</v>
      </c>
    </row>
    <row r="700" spans="1:6" x14ac:dyDescent="0.2">
      <c r="A700" t="s">
        <v>8600</v>
      </c>
      <c r="B700" t="s">
        <v>8880</v>
      </c>
      <c r="C700" t="s">
        <v>8599</v>
      </c>
      <c r="D700" t="s">
        <v>10</v>
      </c>
      <c r="E700" t="s">
        <v>52</v>
      </c>
      <c r="F700">
        <v>1</v>
      </c>
    </row>
    <row r="701" spans="1:6" x14ac:dyDescent="0.2">
      <c r="A701" t="s">
        <v>8138</v>
      </c>
      <c r="B701" t="s">
        <v>8136</v>
      </c>
      <c r="C701" t="s">
        <v>8137</v>
      </c>
      <c r="D701" t="s">
        <v>29</v>
      </c>
      <c r="E701" t="s">
        <v>16</v>
      </c>
      <c r="F701">
        <v>1</v>
      </c>
    </row>
    <row r="702" spans="1:6" x14ac:dyDescent="0.2">
      <c r="A702" t="s">
        <v>3324</v>
      </c>
      <c r="B702" t="s">
        <v>3272</v>
      </c>
      <c r="C702" t="s">
        <v>3343</v>
      </c>
      <c r="D702" t="s">
        <v>10</v>
      </c>
      <c r="E702" t="s">
        <v>11</v>
      </c>
      <c r="F702">
        <v>2</v>
      </c>
    </row>
    <row r="703" spans="1:6" x14ac:dyDescent="0.2">
      <c r="A703" t="s">
        <v>3289</v>
      </c>
      <c r="B703" t="s">
        <v>3272</v>
      </c>
      <c r="C703" t="s">
        <v>3345</v>
      </c>
      <c r="D703" t="s">
        <v>10</v>
      </c>
      <c r="E703" t="s">
        <v>11</v>
      </c>
      <c r="F703">
        <v>2</v>
      </c>
    </row>
    <row r="704" spans="1:6" x14ac:dyDescent="0.2">
      <c r="A704" t="s">
        <v>3008</v>
      </c>
      <c r="B704" t="s">
        <v>3272</v>
      </c>
      <c r="C704" t="s">
        <v>3346</v>
      </c>
      <c r="D704" t="s">
        <v>10</v>
      </c>
      <c r="E704" t="s">
        <v>11</v>
      </c>
      <c r="F704">
        <v>2</v>
      </c>
    </row>
    <row r="705" spans="1:6" x14ac:dyDescent="0.2">
      <c r="A705" t="s">
        <v>3293</v>
      </c>
      <c r="B705" t="s">
        <v>3272</v>
      </c>
      <c r="C705" t="s">
        <v>3349</v>
      </c>
      <c r="D705" t="s">
        <v>10</v>
      </c>
      <c r="E705" t="s">
        <v>11</v>
      </c>
      <c r="F705">
        <v>2</v>
      </c>
    </row>
    <row r="706" spans="1:6" x14ac:dyDescent="0.2">
      <c r="A706" t="s">
        <v>3024</v>
      </c>
      <c r="B706" t="s">
        <v>2986</v>
      </c>
      <c r="C706" t="s">
        <v>3023</v>
      </c>
      <c r="D706" t="s">
        <v>10</v>
      </c>
      <c r="E706" t="s">
        <v>11</v>
      </c>
      <c r="F706">
        <v>2</v>
      </c>
    </row>
    <row r="707" spans="1:6" x14ac:dyDescent="0.2">
      <c r="A707" t="s">
        <v>3240</v>
      </c>
      <c r="B707" t="s">
        <v>4334</v>
      </c>
      <c r="C707" t="s">
        <v>4256</v>
      </c>
      <c r="D707" t="s">
        <v>10</v>
      </c>
      <c r="E707" t="s">
        <v>16</v>
      </c>
      <c r="F707">
        <v>1</v>
      </c>
    </row>
    <row r="708" spans="1:6" x14ac:dyDescent="0.2">
      <c r="A708" t="s">
        <v>765</v>
      </c>
      <c r="B708" t="s">
        <v>8880</v>
      </c>
      <c r="C708" t="s">
        <v>766</v>
      </c>
      <c r="D708" t="s">
        <v>10</v>
      </c>
      <c r="E708" t="s">
        <v>16</v>
      </c>
      <c r="F708">
        <v>1</v>
      </c>
    </row>
    <row r="709" spans="1:6" x14ac:dyDescent="0.2">
      <c r="A709" t="s">
        <v>9640</v>
      </c>
      <c r="B709" t="s">
        <v>9641</v>
      </c>
      <c r="C709" t="s">
        <v>1757</v>
      </c>
      <c r="D709" t="s">
        <v>10</v>
      </c>
      <c r="E709" t="s">
        <v>16</v>
      </c>
      <c r="F709">
        <v>1</v>
      </c>
    </row>
    <row r="710" spans="1:6" x14ac:dyDescent="0.2">
      <c r="A710" t="s">
        <v>5606</v>
      </c>
      <c r="B710" t="s">
        <v>5598</v>
      </c>
      <c r="C710" t="s">
        <v>1971</v>
      </c>
      <c r="D710" t="s">
        <v>29</v>
      </c>
      <c r="E710" t="s">
        <v>16</v>
      </c>
      <c r="F710">
        <v>1</v>
      </c>
    </row>
    <row r="711" spans="1:6" x14ac:dyDescent="0.2">
      <c r="A711" t="s">
        <v>82</v>
      </c>
      <c r="B711" t="s">
        <v>80</v>
      </c>
      <c r="C711" t="s">
        <v>81</v>
      </c>
      <c r="D711" t="s">
        <v>10</v>
      </c>
      <c r="E711" t="s">
        <v>16</v>
      </c>
      <c r="F711">
        <v>1</v>
      </c>
    </row>
    <row r="712" spans="1:6" x14ac:dyDescent="0.2">
      <c r="A712" t="s">
        <v>4293</v>
      </c>
      <c r="B712" t="s">
        <v>4291</v>
      </c>
      <c r="C712" t="s">
        <v>4292</v>
      </c>
      <c r="D712" t="s">
        <v>10</v>
      </c>
      <c r="E712" t="s">
        <v>16</v>
      </c>
      <c r="F712">
        <v>1</v>
      </c>
    </row>
    <row r="713" spans="1:6" x14ac:dyDescent="0.2">
      <c r="A713" t="s">
        <v>4286</v>
      </c>
      <c r="B713" t="s">
        <v>4286</v>
      </c>
      <c r="C713" t="s">
        <v>1931</v>
      </c>
      <c r="D713" t="s">
        <v>10</v>
      </c>
      <c r="E713" t="s">
        <v>16</v>
      </c>
      <c r="F713">
        <v>1</v>
      </c>
    </row>
    <row r="714" spans="1:6" x14ac:dyDescent="0.2">
      <c r="A714" t="s">
        <v>4303</v>
      </c>
      <c r="B714" t="s">
        <v>4291</v>
      </c>
      <c r="C714" t="s">
        <v>4302</v>
      </c>
      <c r="D714" t="s">
        <v>10</v>
      </c>
      <c r="E714" t="s">
        <v>16</v>
      </c>
      <c r="F714">
        <v>1</v>
      </c>
    </row>
    <row r="715" spans="1:6" x14ac:dyDescent="0.2">
      <c r="A715" t="s">
        <v>5538</v>
      </c>
      <c r="B715" t="s">
        <v>5536</v>
      </c>
      <c r="C715" t="s">
        <v>5537</v>
      </c>
      <c r="D715" t="s">
        <v>10</v>
      </c>
      <c r="E715" t="s">
        <v>16</v>
      </c>
      <c r="F715">
        <v>2</v>
      </c>
    </row>
    <row r="716" spans="1:6" x14ac:dyDescent="0.2">
      <c r="A716" t="s">
        <v>4182</v>
      </c>
      <c r="B716" t="s">
        <v>4178</v>
      </c>
      <c r="C716" t="s">
        <v>4183</v>
      </c>
      <c r="D716" t="s">
        <v>10</v>
      </c>
      <c r="E716" t="s">
        <v>16</v>
      </c>
      <c r="F716">
        <v>2</v>
      </c>
    </row>
    <row r="717" spans="1:6" x14ac:dyDescent="0.2">
      <c r="A717" t="s">
        <v>3276</v>
      </c>
      <c r="B717" t="s">
        <v>4178</v>
      </c>
      <c r="C717" t="s">
        <v>4184</v>
      </c>
      <c r="D717" t="s">
        <v>10</v>
      </c>
      <c r="E717" t="s">
        <v>52</v>
      </c>
      <c r="F717">
        <v>2</v>
      </c>
    </row>
    <row r="718" spans="1:6" x14ac:dyDescent="0.2">
      <c r="A718" t="s">
        <v>11359</v>
      </c>
      <c r="B718" t="s">
        <v>11357</v>
      </c>
      <c r="C718" t="s">
        <v>11358</v>
      </c>
      <c r="D718" t="s">
        <v>10</v>
      </c>
      <c r="E718" t="s">
        <v>16</v>
      </c>
      <c r="F718">
        <v>1</v>
      </c>
    </row>
    <row r="719" spans="1:6" x14ac:dyDescent="0.2">
      <c r="A719" t="s">
        <v>3376</v>
      </c>
      <c r="B719" t="s">
        <v>3374</v>
      </c>
      <c r="C719" t="s">
        <v>3375</v>
      </c>
      <c r="D719" t="s">
        <v>10</v>
      </c>
      <c r="E719" t="s">
        <v>16</v>
      </c>
      <c r="F719">
        <v>1</v>
      </c>
    </row>
    <row r="720" spans="1:6" x14ac:dyDescent="0.2">
      <c r="A720" t="s">
        <v>6366</v>
      </c>
      <c r="B720" t="s">
        <v>6365</v>
      </c>
      <c r="C720" t="s">
        <v>6367</v>
      </c>
      <c r="D720" t="s">
        <v>10</v>
      </c>
      <c r="E720" t="s">
        <v>16</v>
      </c>
      <c r="F720">
        <v>1</v>
      </c>
    </row>
    <row r="721" spans="1:6" x14ac:dyDescent="0.2">
      <c r="A721" t="s">
        <v>4600</v>
      </c>
      <c r="B721" t="s">
        <v>11870</v>
      </c>
      <c r="C721" t="s">
        <v>11871</v>
      </c>
      <c r="D721" t="s">
        <v>10</v>
      </c>
      <c r="E721" t="s">
        <v>16</v>
      </c>
      <c r="F721">
        <v>2</v>
      </c>
    </row>
    <row r="722" spans="1:6" x14ac:dyDescent="0.2">
      <c r="A722" t="s">
        <v>325</v>
      </c>
      <c r="B722" t="s">
        <v>7045</v>
      </c>
      <c r="C722" t="s">
        <v>340</v>
      </c>
      <c r="D722" t="s">
        <v>10</v>
      </c>
      <c r="E722" t="s">
        <v>16</v>
      </c>
      <c r="F722">
        <v>1</v>
      </c>
    </row>
    <row r="723" spans="1:6" x14ac:dyDescent="0.2">
      <c r="A723" t="s">
        <v>4715</v>
      </c>
      <c r="B723" t="s">
        <v>4713</v>
      </c>
      <c r="C723" t="s">
        <v>4721</v>
      </c>
      <c r="D723" t="s">
        <v>10</v>
      </c>
      <c r="E723" t="s">
        <v>16</v>
      </c>
      <c r="F723">
        <v>1</v>
      </c>
    </row>
    <row r="724" spans="1:6" x14ac:dyDescent="0.2">
      <c r="A724" t="s">
        <v>7047</v>
      </c>
      <c r="B724" t="s">
        <v>7045</v>
      </c>
      <c r="C724" t="s">
        <v>7067</v>
      </c>
      <c r="D724" t="s">
        <v>10</v>
      </c>
      <c r="E724" t="s">
        <v>16</v>
      </c>
      <c r="F724">
        <v>1</v>
      </c>
    </row>
    <row r="725" spans="1:6" x14ac:dyDescent="0.2">
      <c r="A725" t="s">
        <v>7069</v>
      </c>
      <c r="B725" t="s">
        <v>7045</v>
      </c>
      <c r="C725" t="s">
        <v>7068</v>
      </c>
      <c r="D725" t="s">
        <v>10</v>
      </c>
      <c r="E725" t="s">
        <v>16</v>
      </c>
      <c r="F725">
        <v>1</v>
      </c>
    </row>
    <row r="726" spans="1:6" x14ac:dyDescent="0.2">
      <c r="A726" t="s">
        <v>7069</v>
      </c>
      <c r="B726" t="s">
        <v>10130</v>
      </c>
      <c r="C726" t="s">
        <v>7068</v>
      </c>
      <c r="D726" t="s">
        <v>10</v>
      </c>
      <c r="E726" t="s">
        <v>16</v>
      </c>
      <c r="F726">
        <v>1</v>
      </c>
    </row>
    <row r="727" spans="1:6" x14ac:dyDescent="0.2">
      <c r="A727" t="s">
        <v>7049</v>
      </c>
      <c r="B727" t="s">
        <v>7045</v>
      </c>
      <c r="C727" t="s">
        <v>7048</v>
      </c>
      <c r="D727" t="s">
        <v>10</v>
      </c>
      <c r="E727" t="s">
        <v>16</v>
      </c>
      <c r="F727">
        <v>1</v>
      </c>
    </row>
    <row r="728" spans="1:6" x14ac:dyDescent="0.2">
      <c r="A728" t="s">
        <v>4343</v>
      </c>
      <c r="B728" t="s">
        <v>4341</v>
      </c>
      <c r="C728" t="s">
        <v>4342</v>
      </c>
      <c r="D728" t="s">
        <v>10</v>
      </c>
      <c r="E728" t="s">
        <v>16</v>
      </c>
      <c r="F728">
        <v>1</v>
      </c>
    </row>
    <row r="729" spans="1:6" x14ac:dyDescent="0.2">
      <c r="A729" t="s">
        <v>5699</v>
      </c>
      <c r="B729" t="s">
        <v>5665</v>
      </c>
      <c r="C729" t="s">
        <v>5698</v>
      </c>
      <c r="D729" t="s">
        <v>10</v>
      </c>
      <c r="E729" t="s">
        <v>16</v>
      </c>
      <c r="F729">
        <v>1</v>
      </c>
    </row>
    <row r="730" spans="1:6" x14ac:dyDescent="0.2">
      <c r="A730" t="s">
        <v>4736</v>
      </c>
      <c r="B730" t="s">
        <v>4723</v>
      </c>
      <c r="C730" t="s">
        <v>12078</v>
      </c>
      <c r="D730" t="s">
        <v>10</v>
      </c>
      <c r="E730" t="s">
        <v>52</v>
      </c>
      <c r="F730">
        <v>2</v>
      </c>
    </row>
    <row r="731" spans="1:6" x14ac:dyDescent="0.2">
      <c r="A731" t="s">
        <v>8597</v>
      </c>
      <c r="B731" t="s">
        <v>8595</v>
      </c>
      <c r="C731" t="s">
        <v>8596</v>
      </c>
      <c r="D731" t="s">
        <v>10</v>
      </c>
      <c r="E731" t="s">
        <v>16</v>
      </c>
      <c r="F731">
        <v>1</v>
      </c>
    </row>
    <row r="732" spans="1:6" x14ac:dyDescent="0.2">
      <c r="A732" t="s">
        <v>3476</v>
      </c>
      <c r="B732" t="s">
        <v>3470</v>
      </c>
      <c r="C732" t="s">
        <v>3484</v>
      </c>
      <c r="D732" t="s">
        <v>10</v>
      </c>
      <c r="E732" t="s">
        <v>16</v>
      </c>
      <c r="F732">
        <v>1</v>
      </c>
    </row>
    <row r="733" spans="1:6" x14ac:dyDescent="0.2">
      <c r="A733" t="s">
        <v>3486</v>
      </c>
      <c r="B733" t="s">
        <v>3470</v>
      </c>
      <c r="C733" t="s">
        <v>3485</v>
      </c>
      <c r="D733" t="s">
        <v>10</v>
      </c>
      <c r="E733" t="s">
        <v>16</v>
      </c>
      <c r="F733">
        <v>1</v>
      </c>
    </row>
    <row r="734" spans="1:6" x14ac:dyDescent="0.2">
      <c r="A734" t="s">
        <v>4731</v>
      </c>
      <c r="B734" t="s">
        <v>4723</v>
      </c>
      <c r="C734" t="s">
        <v>4746</v>
      </c>
      <c r="D734" t="s">
        <v>10</v>
      </c>
      <c r="E734" t="s">
        <v>16</v>
      </c>
      <c r="F734">
        <v>2</v>
      </c>
    </row>
    <row r="735" spans="1:6" x14ac:dyDescent="0.2">
      <c r="A735" t="s">
        <v>4733</v>
      </c>
      <c r="B735" t="s">
        <v>4723</v>
      </c>
      <c r="C735" t="s">
        <v>4745</v>
      </c>
      <c r="D735" t="s">
        <v>10</v>
      </c>
      <c r="E735" t="s">
        <v>52</v>
      </c>
      <c r="F735">
        <v>2</v>
      </c>
    </row>
    <row r="736" spans="1:6" x14ac:dyDescent="0.2">
      <c r="A736" t="s">
        <v>4882</v>
      </c>
      <c r="B736" t="s">
        <v>4876</v>
      </c>
      <c r="C736" t="s">
        <v>4881</v>
      </c>
      <c r="D736" t="s">
        <v>10</v>
      </c>
      <c r="E736" t="s">
        <v>16</v>
      </c>
      <c r="F736">
        <v>1</v>
      </c>
    </row>
    <row r="737" spans="1:6" x14ac:dyDescent="0.2">
      <c r="A737" t="s">
        <v>4727</v>
      </c>
      <c r="B737" t="s">
        <v>4723</v>
      </c>
      <c r="C737" t="s">
        <v>12079</v>
      </c>
      <c r="D737" t="s">
        <v>10</v>
      </c>
      <c r="E737" t="s">
        <v>52</v>
      </c>
      <c r="F737">
        <v>2</v>
      </c>
    </row>
    <row r="738" spans="1:6" x14ac:dyDescent="0.2">
      <c r="A738" t="s">
        <v>1357</v>
      </c>
      <c r="B738" t="s">
        <v>1355</v>
      </c>
      <c r="C738" t="s">
        <v>1356</v>
      </c>
      <c r="D738" t="s">
        <v>10</v>
      </c>
      <c r="E738" t="s">
        <v>16</v>
      </c>
      <c r="F738">
        <v>1</v>
      </c>
    </row>
    <row r="739" spans="1:6" x14ac:dyDescent="0.2">
      <c r="A739" t="s">
        <v>1801</v>
      </c>
      <c r="B739" t="s">
        <v>1795</v>
      </c>
      <c r="C739" t="s">
        <v>1800</v>
      </c>
      <c r="D739" t="s">
        <v>10</v>
      </c>
      <c r="E739" t="s">
        <v>16</v>
      </c>
      <c r="F739">
        <v>1</v>
      </c>
    </row>
    <row r="740" spans="1:6" x14ac:dyDescent="0.2">
      <c r="A740" t="s">
        <v>1803</v>
      </c>
      <c r="B740" t="s">
        <v>1795</v>
      </c>
      <c r="C740" t="s">
        <v>1802</v>
      </c>
      <c r="D740" t="s">
        <v>10</v>
      </c>
      <c r="E740" t="s">
        <v>16</v>
      </c>
      <c r="F740">
        <v>1</v>
      </c>
    </row>
    <row r="741" spans="1:6" x14ac:dyDescent="0.2">
      <c r="A741" t="s">
        <v>4880</v>
      </c>
      <c r="B741" t="s">
        <v>4876</v>
      </c>
      <c r="C741" t="s">
        <v>4879</v>
      </c>
      <c r="D741" t="s">
        <v>10</v>
      </c>
      <c r="E741" t="s">
        <v>16</v>
      </c>
      <c r="F741">
        <v>1</v>
      </c>
    </row>
    <row r="742" spans="1:6" x14ac:dyDescent="0.2">
      <c r="A742" t="s">
        <v>1805</v>
      </c>
      <c r="B742" t="s">
        <v>1795</v>
      </c>
      <c r="C742" t="s">
        <v>1804</v>
      </c>
      <c r="D742" t="s">
        <v>10</v>
      </c>
      <c r="E742" t="s">
        <v>16</v>
      </c>
      <c r="F742">
        <v>1</v>
      </c>
    </row>
    <row r="743" spans="1:6" x14ac:dyDescent="0.2">
      <c r="A743" t="s">
        <v>4878</v>
      </c>
      <c r="B743" t="s">
        <v>4876</v>
      </c>
      <c r="C743" t="s">
        <v>4883</v>
      </c>
      <c r="D743" t="s">
        <v>10</v>
      </c>
      <c r="E743" t="s">
        <v>16</v>
      </c>
      <c r="F743">
        <v>1</v>
      </c>
    </row>
    <row r="744" spans="1:6" x14ac:dyDescent="0.2">
      <c r="A744" t="s">
        <v>5674</v>
      </c>
      <c r="B744" t="s">
        <v>5665</v>
      </c>
      <c r="C744" t="s">
        <v>5673</v>
      </c>
      <c r="D744" t="s">
        <v>10</v>
      </c>
      <c r="E744" t="s">
        <v>16</v>
      </c>
      <c r="F744">
        <v>1</v>
      </c>
    </row>
    <row r="745" spans="1:6" x14ac:dyDescent="0.2">
      <c r="A745" t="s">
        <v>5676</v>
      </c>
      <c r="B745" t="s">
        <v>5665</v>
      </c>
      <c r="C745" t="s">
        <v>5675</v>
      </c>
      <c r="D745" t="s">
        <v>10</v>
      </c>
      <c r="E745" t="s">
        <v>16</v>
      </c>
      <c r="F745">
        <v>1</v>
      </c>
    </row>
    <row r="746" spans="1:6" x14ac:dyDescent="0.2">
      <c r="A746" t="s">
        <v>4448</v>
      </c>
      <c r="B746" t="s">
        <v>4446</v>
      </c>
      <c r="C746" t="s">
        <v>4447</v>
      </c>
      <c r="D746" t="s">
        <v>10</v>
      </c>
      <c r="E746" t="s">
        <v>16</v>
      </c>
      <c r="F746">
        <v>1</v>
      </c>
    </row>
    <row r="747" spans="1:6" x14ac:dyDescent="0.2">
      <c r="A747" t="s">
        <v>4630</v>
      </c>
      <c r="B747" t="s">
        <v>4621</v>
      </c>
      <c r="C747" t="s">
        <v>4629</v>
      </c>
      <c r="D747" t="s">
        <v>10</v>
      </c>
      <c r="E747" t="s">
        <v>1080</v>
      </c>
      <c r="F747">
        <v>1</v>
      </c>
    </row>
    <row r="748" spans="1:6" x14ac:dyDescent="0.2">
      <c r="A748" t="s">
        <v>4625</v>
      </c>
      <c r="B748" t="s">
        <v>4621</v>
      </c>
      <c r="C748" t="s">
        <v>4647</v>
      </c>
      <c r="D748" t="s">
        <v>10</v>
      </c>
      <c r="E748" t="s">
        <v>16</v>
      </c>
      <c r="F748">
        <v>1</v>
      </c>
    </row>
    <row r="749" spans="1:6" x14ac:dyDescent="0.2">
      <c r="A749" t="s">
        <v>4628</v>
      </c>
      <c r="B749" t="s">
        <v>4621</v>
      </c>
      <c r="C749" t="s">
        <v>4649</v>
      </c>
      <c r="D749" t="s">
        <v>10</v>
      </c>
      <c r="E749" t="s">
        <v>16</v>
      </c>
      <c r="F749">
        <v>2</v>
      </c>
    </row>
    <row r="750" spans="1:6" x14ac:dyDescent="0.2">
      <c r="A750" t="s">
        <v>4450</v>
      </c>
      <c r="B750" t="s">
        <v>4446</v>
      </c>
      <c r="C750" t="s">
        <v>4449</v>
      </c>
      <c r="D750" t="s">
        <v>10</v>
      </c>
      <c r="E750" t="s">
        <v>16</v>
      </c>
      <c r="F750">
        <v>1</v>
      </c>
    </row>
    <row r="751" spans="1:6" x14ac:dyDescent="0.2">
      <c r="A751" t="s">
        <v>4636</v>
      </c>
      <c r="B751" t="s">
        <v>4621</v>
      </c>
      <c r="C751" t="s">
        <v>4668</v>
      </c>
      <c r="D751" t="s">
        <v>10</v>
      </c>
      <c r="E751" t="s">
        <v>16</v>
      </c>
      <c r="F751">
        <v>1</v>
      </c>
    </row>
    <row r="752" spans="1:6" x14ac:dyDescent="0.2">
      <c r="A752" t="s">
        <v>4640</v>
      </c>
      <c r="B752" t="s">
        <v>4621</v>
      </c>
      <c r="C752" t="s">
        <v>4639</v>
      </c>
      <c r="D752" t="s">
        <v>10</v>
      </c>
      <c r="E752" t="s">
        <v>16</v>
      </c>
      <c r="F752">
        <v>2</v>
      </c>
    </row>
    <row r="753" spans="1:6" x14ac:dyDescent="0.2">
      <c r="A753" t="s">
        <v>8989</v>
      </c>
      <c r="B753" t="s">
        <v>8983</v>
      </c>
      <c r="C753" t="s">
        <v>8988</v>
      </c>
      <c r="D753" t="s">
        <v>10</v>
      </c>
      <c r="E753" t="s">
        <v>16</v>
      </c>
      <c r="F753">
        <v>1</v>
      </c>
    </row>
    <row r="754" spans="1:6" x14ac:dyDescent="0.2">
      <c r="A754" t="s">
        <v>5530</v>
      </c>
      <c r="B754" t="s">
        <v>5526</v>
      </c>
      <c r="C754" t="s">
        <v>5529</v>
      </c>
      <c r="D754" t="s">
        <v>10</v>
      </c>
      <c r="E754" t="s">
        <v>16</v>
      </c>
      <c r="F754">
        <v>1</v>
      </c>
    </row>
    <row r="755" spans="1:6" x14ac:dyDescent="0.2">
      <c r="A755" t="s">
        <v>10885</v>
      </c>
      <c r="B755" t="s">
        <v>10883</v>
      </c>
      <c r="C755" t="s">
        <v>10884</v>
      </c>
      <c r="D755" t="s">
        <v>10</v>
      </c>
      <c r="E755" t="s">
        <v>16</v>
      </c>
      <c r="F755">
        <v>1</v>
      </c>
    </row>
    <row r="756" spans="1:6" x14ac:dyDescent="0.2">
      <c r="A756" t="s">
        <v>4372</v>
      </c>
      <c r="B756" t="s">
        <v>4370</v>
      </c>
      <c r="C756" t="s">
        <v>4371</v>
      </c>
      <c r="D756" t="s">
        <v>10</v>
      </c>
      <c r="E756" t="s">
        <v>16</v>
      </c>
      <c r="F756">
        <v>1</v>
      </c>
    </row>
    <row r="757" spans="1:6" x14ac:dyDescent="0.2">
      <c r="A757" t="s">
        <v>4374</v>
      </c>
      <c r="B757" t="s">
        <v>4370</v>
      </c>
      <c r="C757" t="s">
        <v>4373</v>
      </c>
      <c r="D757" t="s">
        <v>10</v>
      </c>
      <c r="E757" t="s">
        <v>16</v>
      </c>
      <c r="F757">
        <v>1</v>
      </c>
    </row>
    <row r="758" spans="1:6" x14ac:dyDescent="0.2">
      <c r="A758" t="s">
        <v>4385</v>
      </c>
      <c r="B758" t="s">
        <v>8925</v>
      </c>
      <c r="C758" t="s">
        <v>7104</v>
      </c>
      <c r="D758" t="s">
        <v>10</v>
      </c>
      <c r="E758" t="s">
        <v>16</v>
      </c>
      <c r="F758">
        <v>1</v>
      </c>
    </row>
    <row r="759" spans="1:6" x14ac:dyDescent="0.2">
      <c r="A759" t="s">
        <v>2824</v>
      </c>
      <c r="B759" t="s">
        <v>8050</v>
      </c>
      <c r="C759" t="s">
        <v>8062</v>
      </c>
      <c r="D759" t="s">
        <v>10</v>
      </c>
      <c r="E759" t="s">
        <v>11</v>
      </c>
      <c r="F759">
        <v>3</v>
      </c>
    </row>
    <row r="760" spans="1:6" x14ac:dyDescent="0.2">
      <c r="A760" t="s">
        <v>4791</v>
      </c>
      <c r="B760" t="s">
        <v>4753</v>
      </c>
      <c r="C760" t="s">
        <v>4790</v>
      </c>
      <c r="D760" t="s">
        <v>10</v>
      </c>
      <c r="E760" t="s">
        <v>16</v>
      </c>
      <c r="F760">
        <v>2</v>
      </c>
    </row>
    <row r="761" spans="1:6" x14ac:dyDescent="0.2">
      <c r="A761" t="s">
        <v>4765</v>
      </c>
      <c r="B761" t="s">
        <v>4753</v>
      </c>
      <c r="C761" t="s">
        <v>4792</v>
      </c>
      <c r="D761" t="s">
        <v>10</v>
      </c>
      <c r="E761" t="s">
        <v>16</v>
      </c>
      <c r="F761">
        <v>2</v>
      </c>
    </row>
    <row r="762" spans="1:6" x14ac:dyDescent="0.2">
      <c r="A762" t="s">
        <v>4785</v>
      </c>
      <c r="B762" t="s">
        <v>4753</v>
      </c>
      <c r="C762" t="s">
        <v>4845</v>
      </c>
      <c r="D762" t="s">
        <v>10</v>
      </c>
      <c r="E762" t="s">
        <v>16</v>
      </c>
      <c r="F762">
        <v>2</v>
      </c>
    </row>
    <row r="763" spans="1:6" x14ac:dyDescent="0.2">
      <c r="A763" t="s">
        <v>2133</v>
      </c>
      <c r="B763" t="s">
        <v>2131</v>
      </c>
      <c r="C763" t="s">
        <v>2132</v>
      </c>
      <c r="D763" t="s">
        <v>10</v>
      </c>
      <c r="E763" t="s">
        <v>52</v>
      </c>
      <c r="F763">
        <v>2</v>
      </c>
    </row>
    <row r="764" spans="1:6" x14ac:dyDescent="0.2">
      <c r="A764" t="s">
        <v>4780</v>
      </c>
      <c r="B764" t="s">
        <v>4753</v>
      </c>
      <c r="C764" t="s">
        <v>4794</v>
      </c>
      <c r="D764" t="s">
        <v>10</v>
      </c>
      <c r="E764" t="s">
        <v>16</v>
      </c>
      <c r="F764">
        <v>4</v>
      </c>
    </row>
    <row r="765" spans="1:6" x14ac:dyDescent="0.2">
      <c r="A765" t="s">
        <v>4787</v>
      </c>
      <c r="B765" t="s">
        <v>4753</v>
      </c>
      <c r="C765" t="s">
        <v>3744</v>
      </c>
      <c r="D765" t="s">
        <v>10</v>
      </c>
      <c r="E765" t="s">
        <v>16</v>
      </c>
      <c r="F765">
        <v>4</v>
      </c>
    </row>
    <row r="766" spans="1:6" x14ac:dyDescent="0.2">
      <c r="A766" t="s">
        <v>4796</v>
      </c>
      <c r="B766" t="s">
        <v>4753</v>
      </c>
      <c r="C766" t="s">
        <v>4795</v>
      </c>
      <c r="D766" t="s">
        <v>10</v>
      </c>
      <c r="E766" t="s">
        <v>16</v>
      </c>
      <c r="F766">
        <v>4</v>
      </c>
    </row>
    <row r="767" spans="1:6" x14ac:dyDescent="0.2">
      <c r="A767" t="s">
        <v>4799</v>
      </c>
      <c r="B767" t="s">
        <v>8050</v>
      </c>
      <c r="C767" t="s">
        <v>4798</v>
      </c>
      <c r="D767" t="s">
        <v>10</v>
      </c>
      <c r="E767" t="s">
        <v>11</v>
      </c>
      <c r="F767">
        <v>4</v>
      </c>
    </row>
    <row r="768" spans="1:6" x14ac:dyDescent="0.2">
      <c r="A768" t="s">
        <v>4802</v>
      </c>
      <c r="B768" t="s">
        <v>8050</v>
      </c>
      <c r="C768" t="s">
        <v>4801</v>
      </c>
      <c r="D768" t="s">
        <v>10</v>
      </c>
      <c r="E768" t="s">
        <v>11</v>
      </c>
      <c r="F768">
        <v>4</v>
      </c>
    </row>
    <row r="769" spans="1:6" x14ac:dyDescent="0.2">
      <c r="A769" t="s">
        <v>4804</v>
      </c>
      <c r="B769" t="s">
        <v>8050</v>
      </c>
      <c r="C769" t="s">
        <v>4803</v>
      </c>
      <c r="D769" t="s">
        <v>10</v>
      </c>
      <c r="E769" t="s">
        <v>11</v>
      </c>
      <c r="F769">
        <v>4</v>
      </c>
    </row>
    <row r="770" spans="1:6" x14ac:dyDescent="0.2">
      <c r="A770" t="s">
        <v>4806</v>
      </c>
      <c r="B770" t="s">
        <v>8050</v>
      </c>
      <c r="C770" t="s">
        <v>4805</v>
      </c>
      <c r="D770" t="s">
        <v>10</v>
      </c>
      <c r="E770" t="s">
        <v>11</v>
      </c>
      <c r="F770">
        <v>2</v>
      </c>
    </row>
    <row r="771" spans="1:6" x14ac:dyDescent="0.2">
      <c r="A771" t="s">
        <v>4808</v>
      </c>
      <c r="B771" t="s">
        <v>8050</v>
      </c>
      <c r="C771" t="s">
        <v>4807</v>
      </c>
      <c r="D771" t="s">
        <v>10</v>
      </c>
      <c r="E771" t="s">
        <v>11</v>
      </c>
      <c r="F771">
        <v>2</v>
      </c>
    </row>
    <row r="772" spans="1:6" x14ac:dyDescent="0.2">
      <c r="A772" t="s">
        <v>4810</v>
      </c>
      <c r="B772" t="s">
        <v>8050</v>
      </c>
      <c r="C772" t="s">
        <v>4809</v>
      </c>
      <c r="D772" t="s">
        <v>10</v>
      </c>
      <c r="E772" t="s">
        <v>11</v>
      </c>
      <c r="F772">
        <v>2</v>
      </c>
    </row>
    <row r="773" spans="1:6" x14ac:dyDescent="0.2">
      <c r="A773" t="s">
        <v>4812</v>
      </c>
      <c r="B773" t="s">
        <v>8050</v>
      </c>
      <c r="C773" t="s">
        <v>4811</v>
      </c>
      <c r="D773" t="s">
        <v>10</v>
      </c>
      <c r="E773" t="s">
        <v>11</v>
      </c>
      <c r="F773">
        <v>2</v>
      </c>
    </row>
    <row r="774" spans="1:6" x14ac:dyDescent="0.2">
      <c r="A774" t="s">
        <v>4814</v>
      </c>
      <c r="B774" t="s">
        <v>8050</v>
      </c>
      <c r="C774" t="s">
        <v>4813</v>
      </c>
      <c r="D774" t="s">
        <v>10</v>
      </c>
      <c r="E774" t="s">
        <v>11</v>
      </c>
      <c r="F774">
        <v>2</v>
      </c>
    </row>
    <row r="775" spans="1:6" x14ac:dyDescent="0.2">
      <c r="A775" t="s">
        <v>1477</v>
      </c>
      <c r="B775" t="s">
        <v>1475</v>
      </c>
      <c r="C775" t="s">
        <v>1476</v>
      </c>
      <c r="D775" t="s">
        <v>64</v>
      </c>
      <c r="E775" t="s">
        <v>16</v>
      </c>
      <c r="F775">
        <v>1</v>
      </c>
    </row>
    <row r="776" spans="1:6" x14ac:dyDescent="0.2">
      <c r="A776" t="s">
        <v>10003</v>
      </c>
      <c r="B776" t="s">
        <v>9999</v>
      </c>
      <c r="C776" t="s">
        <v>10002</v>
      </c>
      <c r="D776" t="s">
        <v>10</v>
      </c>
      <c r="E776" t="s">
        <v>16</v>
      </c>
      <c r="F776">
        <v>2</v>
      </c>
    </row>
    <row r="777" spans="1:6" x14ac:dyDescent="0.2">
      <c r="A777" t="s">
        <v>7862</v>
      </c>
      <c r="B777" t="s">
        <v>7861</v>
      </c>
      <c r="C777" t="s">
        <v>210</v>
      </c>
      <c r="D777" t="s">
        <v>10</v>
      </c>
      <c r="E777" t="s">
        <v>16</v>
      </c>
      <c r="F777">
        <v>1</v>
      </c>
    </row>
    <row r="778" spans="1:6" x14ac:dyDescent="0.2">
      <c r="A778" t="s">
        <v>4383</v>
      </c>
      <c r="B778" t="s">
        <v>4381</v>
      </c>
      <c r="C778" t="s">
        <v>4382</v>
      </c>
      <c r="D778" t="s">
        <v>10</v>
      </c>
      <c r="E778" t="s">
        <v>16</v>
      </c>
      <c r="F778">
        <v>1</v>
      </c>
    </row>
    <row r="779" spans="1:6" x14ac:dyDescent="0.2">
      <c r="A779" t="s">
        <v>10687</v>
      </c>
      <c r="B779" t="s">
        <v>11624</v>
      </c>
      <c r="C779" t="s">
        <v>3746</v>
      </c>
      <c r="D779" t="s">
        <v>10</v>
      </c>
      <c r="E779" t="s">
        <v>16</v>
      </c>
      <c r="F779">
        <v>1</v>
      </c>
    </row>
    <row r="780" spans="1:6" x14ac:dyDescent="0.2">
      <c r="A780" t="s">
        <v>6641</v>
      </c>
      <c r="B780" t="s">
        <v>6639</v>
      </c>
      <c r="C780" t="s">
        <v>6640</v>
      </c>
      <c r="D780" t="s">
        <v>10</v>
      </c>
      <c r="E780" t="s">
        <v>16</v>
      </c>
      <c r="F780">
        <v>1</v>
      </c>
    </row>
    <row r="781" spans="1:6" x14ac:dyDescent="0.2">
      <c r="A781" t="s">
        <v>4613</v>
      </c>
      <c r="B781" t="s">
        <v>4609</v>
      </c>
      <c r="C781" t="s">
        <v>4612</v>
      </c>
      <c r="D781" t="s">
        <v>10</v>
      </c>
      <c r="E781" t="s">
        <v>16</v>
      </c>
      <c r="F781">
        <v>1</v>
      </c>
    </row>
    <row r="782" spans="1:6" x14ac:dyDescent="0.2">
      <c r="A782" t="s">
        <v>5937</v>
      </c>
      <c r="B782" t="s">
        <v>5935</v>
      </c>
      <c r="C782" t="s">
        <v>5936</v>
      </c>
      <c r="D782" t="s">
        <v>10</v>
      </c>
      <c r="E782" t="s">
        <v>16</v>
      </c>
      <c r="F782">
        <v>1</v>
      </c>
    </row>
    <row r="783" spans="1:6" x14ac:dyDescent="0.2">
      <c r="A783" t="s">
        <v>5939</v>
      </c>
      <c r="B783" t="s">
        <v>5935</v>
      </c>
      <c r="C783" t="s">
        <v>5938</v>
      </c>
      <c r="D783" t="s">
        <v>10</v>
      </c>
      <c r="E783" t="s">
        <v>16</v>
      </c>
      <c r="F783">
        <v>1</v>
      </c>
    </row>
    <row r="784" spans="1:6" x14ac:dyDescent="0.2">
      <c r="A784" t="s">
        <v>5941</v>
      </c>
      <c r="B784" t="s">
        <v>5935</v>
      </c>
      <c r="C784" t="s">
        <v>5940</v>
      </c>
      <c r="D784" t="s">
        <v>10</v>
      </c>
      <c r="E784" t="s">
        <v>16</v>
      </c>
      <c r="F784">
        <v>1</v>
      </c>
    </row>
    <row r="785" spans="1:6" x14ac:dyDescent="0.2">
      <c r="A785" t="s">
        <v>4611</v>
      </c>
      <c r="B785" t="s">
        <v>4609</v>
      </c>
      <c r="C785" t="s">
        <v>4610</v>
      </c>
      <c r="D785" t="s">
        <v>10</v>
      </c>
      <c r="E785" t="s">
        <v>16</v>
      </c>
      <c r="F785">
        <v>1</v>
      </c>
    </row>
    <row r="786" spans="1:6" x14ac:dyDescent="0.2">
      <c r="A786" t="s">
        <v>4542</v>
      </c>
      <c r="B786" t="s">
        <v>4514</v>
      </c>
      <c r="C786" t="s">
        <v>4541</v>
      </c>
      <c r="D786" t="s">
        <v>10</v>
      </c>
      <c r="E786" t="s">
        <v>52</v>
      </c>
      <c r="F786">
        <v>1</v>
      </c>
    </row>
    <row r="787" spans="1:6" x14ac:dyDescent="0.2">
      <c r="A787" t="s">
        <v>4545</v>
      </c>
      <c r="B787" t="s">
        <v>4514</v>
      </c>
      <c r="C787" t="s">
        <v>4544</v>
      </c>
      <c r="D787" t="s">
        <v>10</v>
      </c>
      <c r="E787" t="s">
        <v>52</v>
      </c>
      <c r="F787">
        <v>1</v>
      </c>
    </row>
    <row r="788" spans="1:6" x14ac:dyDescent="0.2">
      <c r="A788" t="s">
        <v>4570</v>
      </c>
      <c r="B788" t="s">
        <v>4514</v>
      </c>
      <c r="C788" t="s">
        <v>4569</v>
      </c>
      <c r="D788" t="s">
        <v>10</v>
      </c>
      <c r="E788" t="s">
        <v>52</v>
      </c>
      <c r="F788">
        <v>2</v>
      </c>
    </row>
    <row r="789" spans="1:6" x14ac:dyDescent="0.2">
      <c r="A789" t="s">
        <v>4459</v>
      </c>
      <c r="B789" t="s">
        <v>4451</v>
      </c>
      <c r="C789" t="s">
        <v>4458</v>
      </c>
      <c r="D789" t="s">
        <v>10</v>
      </c>
      <c r="E789" t="s">
        <v>16</v>
      </c>
      <c r="F789">
        <v>1</v>
      </c>
    </row>
    <row r="790" spans="1:6" x14ac:dyDescent="0.2">
      <c r="A790" t="s">
        <v>4462</v>
      </c>
      <c r="B790" t="s">
        <v>4451</v>
      </c>
      <c r="C790" t="s">
        <v>4461</v>
      </c>
      <c r="D790" t="s">
        <v>10</v>
      </c>
      <c r="E790" t="s">
        <v>16</v>
      </c>
      <c r="F790">
        <v>1</v>
      </c>
    </row>
    <row r="791" spans="1:6" x14ac:dyDescent="0.2">
      <c r="A791" t="s">
        <v>4464</v>
      </c>
      <c r="B791" t="s">
        <v>4451</v>
      </c>
      <c r="C791" t="s">
        <v>4465</v>
      </c>
      <c r="D791" t="s">
        <v>10</v>
      </c>
      <c r="E791" t="s">
        <v>16</v>
      </c>
      <c r="F791">
        <v>1</v>
      </c>
    </row>
    <row r="792" spans="1:6" x14ac:dyDescent="0.2">
      <c r="A792" t="s">
        <v>4467</v>
      </c>
      <c r="B792" t="s">
        <v>4451</v>
      </c>
      <c r="C792" t="s">
        <v>4466</v>
      </c>
      <c r="D792" t="s">
        <v>10</v>
      </c>
      <c r="E792" t="s">
        <v>16</v>
      </c>
      <c r="F792">
        <v>1</v>
      </c>
    </row>
    <row r="793" spans="1:6" x14ac:dyDescent="0.2">
      <c r="A793" t="s">
        <v>4509</v>
      </c>
      <c r="B793" t="s">
        <v>4451</v>
      </c>
      <c r="C793" t="s">
        <v>4508</v>
      </c>
      <c r="D793" t="s">
        <v>10</v>
      </c>
      <c r="E793" t="s">
        <v>16</v>
      </c>
      <c r="F793">
        <v>2</v>
      </c>
    </row>
    <row r="794" spans="1:6" x14ac:dyDescent="0.2">
      <c r="A794" t="s">
        <v>4469</v>
      </c>
      <c r="B794" t="s">
        <v>4451</v>
      </c>
      <c r="C794" t="s">
        <v>4468</v>
      </c>
      <c r="D794" t="s">
        <v>10</v>
      </c>
      <c r="E794" t="s">
        <v>16</v>
      </c>
      <c r="F794">
        <v>1</v>
      </c>
    </row>
    <row r="795" spans="1:6" x14ac:dyDescent="0.2">
      <c r="A795" t="s">
        <v>4471</v>
      </c>
      <c r="B795" t="s">
        <v>4451</v>
      </c>
      <c r="C795" t="s">
        <v>4470</v>
      </c>
      <c r="D795" t="s">
        <v>10</v>
      </c>
      <c r="E795" t="s">
        <v>16</v>
      </c>
      <c r="F795">
        <v>1</v>
      </c>
    </row>
    <row r="796" spans="1:6" x14ac:dyDescent="0.2">
      <c r="A796" t="s">
        <v>4455</v>
      </c>
      <c r="B796" t="s">
        <v>4451</v>
      </c>
      <c r="C796" t="s">
        <v>4472</v>
      </c>
      <c r="D796" t="s">
        <v>10</v>
      </c>
      <c r="E796" t="s">
        <v>16</v>
      </c>
      <c r="F796">
        <v>2</v>
      </c>
    </row>
    <row r="797" spans="1:6" x14ac:dyDescent="0.2">
      <c r="A797" t="s">
        <v>4474</v>
      </c>
      <c r="B797" t="s">
        <v>4451</v>
      </c>
      <c r="C797" t="s">
        <v>4473</v>
      </c>
      <c r="D797" t="s">
        <v>10</v>
      </c>
      <c r="E797" t="s">
        <v>16</v>
      </c>
      <c r="F797">
        <v>2</v>
      </c>
    </row>
    <row r="798" spans="1:6" x14ac:dyDescent="0.2">
      <c r="A798" t="s">
        <v>4526</v>
      </c>
      <c r="B798" t="s">
        <v>4514</v>
      </c>
      <c r="C798" t="s">
        <v>4550</v>
      </c>
      <c r="D798" t="s">
        <v>10</v>
      </c>
      <c r="E798" t="s">
        <v>52</v>
      </c>
      <c r="F798">
        <v>2</v>
      </c>
    </row>
    <row r="799" spans="1:6" x14ac:dyDescent="0.2">
      <c r="A799" t="s">
        <v>4535</v>
      </c>
      <c r="B799" t="s">
        <v>4514</v>
      </c>
      <c r="C799" t="s">
        <v>4551</v>
      </c>
      <c r="D799" t="s">
        <v>10</v>
      </c>
      <c r="E799" t="s">
        <v>52</v>
      </c>
      <c r="F799">
        <v>2</v>
      </c>
    </row>
    <row r="800" spans="1:6" x14ac:dyDescent="0.2">
      <c r="A800" t="s">
        <v>4537</v>
      </c>
      <c r="B800" t="s">
        <v>4514</v>
      </c>
      <c r="C800" t="s">
        <v>4552</v>
      </c>
      <c r="D800" t="s">
        <v>10</v>
      </c>
      <c r="E800" t="s">
        <v>52</v>
      </c>
      <c r="F800">
        <v>2</v>
      </c>
    </row>
    <row r="801" spans="1:6" x14ac:dyDescent="0.2">
      <c r="A801" t="s">
        <v>4539</v>
      </c>
      <c r="B801" t="s">
        <v>4514</v>
      </c>
      <c r="C801" t="s">
        <v>4553</v>
      </c>
      <c r="D801" t="s">
        <v>10</v>
      </c>
      <c r="E801" t="s">
        <v>52</v>
      </c>
      <c r="F801">
        <v>2</v>
      </c>
    </row>
    <row r="802" spans="1:6" x14ac:dyDescent="0.2">
      <c r="A802" t="s">
        <v>4476</v>
      </c>
      <c r="B802" t="s">
        <v>4451</v>
      </c>
      <c r="C802" t="s">
        <v>4475</v>
      </c>
      <c r="D802" t="s">
        <v>10</v>
      </c>
      <c r="E802" t="s">
        <v>16</v>
      </c>
      <c r="F802">
        <v>2</v>
      </c>
    </row>
    <row r="803" spans="1:6" x14ac:dyDescent="0.2">
      <c r="A803" t="s">
        <v>4478</v>
      </c>
      <c r="B803" t="s">
        <v>4451</v>
      </c>
      <c r="C803" t="s">
        <v>4477</v>
      </c>
      <c r="D803" t="s">
        <v>10</v>
      </c>
      <c r="E803" t="s">
        <v>16</v>
      </c>
      <c r="F803">
        <v>1</v>
      </c>
    </row>
    <row r="804" spans="1:6" x14ac:dyDescent="0.2">
      <c r="A804" t="s">
        <v>4512</v>
      </c>
      <c r="B804" t="s">
        <v>4510</v>
      </c>
      <c r="C804" t="s">
        <v>4511</v>
      </c>
      <c r="D804" t="s">
        <v>10</v>
      </c>
      <c r="E804" t="s">
        <v>16</v>
      </c>
      <c r="F804">
        <v>3</v>
      </c>
    </row>
    <row r="805" spans="1:6" x14ac:dyDescent="0.2">
      <c r="A805" t="s">
        <v>4453</v>
      </c>
      <c r="B805" t="s">
        <v>4451</v>
      </c>
      <c r="C805" t="s">
        <v>4491</v>
      </c>
      <c r="D805" t="s">
        <v>10</v>
      </c>
      <c r="E805" t="s">
        <v>16</v>
      </c>
      <c r="F805">
        <v>1</v>
      </c>
    </row>
    <row r="806" spans="1:6" x14ac:dyDescent="0.2">
      <c r="A806" t="s">
        <v>1331</v>
      </c>
      <c r="B806" t="s">
        <v>4514</v>
      </c>
      <c r="C806" t="s">
        <v>4540</v>
      </c>
      <c r="D806" t="s">
        <v>10</v>
      </c>
      <c r="E806" t="s">
        <v>16</v>
      </c>
      <c r="F806">
        <v>1</v>
      </c>
    </row>
    <row r="807" spans="1:6" x14ac:dyDescent="0.2">
      <c r="A807" t="s">
        <v>1334</v>
      </c>
      <c r="B807" t="s">
        <v>4514</v>
      </c>
      <c r="C807" t="s">
        <v>4543</v>
      </c>
      <c r="D807" t="s">
        <v>10</v>
      </c>
      <c r="E807" t="s">
        <v>16</v>
      </c>
      <c r="F807">
        <v>1</v>
      </c>
    </row>
    <row r="808" spans="1:6" x14ac:dyDescent="0.2">
      <c r="A808" t="s">
        <v>4518</v>
      </c>
      <c r="B808" t="s">
        <v>4514</v>
      </c>
      <c r="C808" t="s">
        <v>4546</v>
      </c>
      <c r="D808" t="s">
        <v>10</v>
      </c>
      <c r="E808" t="s">
        <v>16</v>
      </c>
      <c r="F808">
        <v>2</v>
      </c>
    </row>
    <row r="809" spans="1:6" x14ac:dyDescent="0.2">
      <c r="A809" t="s">
        <v>4516</v>
      </c>
      <c r="B809" t="s">
        <v>4514</v>
      </c>
      <c r="C809" t="s">
        <v>4547</v>
      </c>
      <c r="D809" t="s">
        <v>10</v>
      </c>
      <c r="E809" t="s">
        <v>52</v>
      </c>
      <c r="F809">
        <v>2</v>
      </c>
    </row>
    <row r="810" spans="1:6" x14ac:dyDescent="0.2">
      <c r="A810" t="s">
        <v>4524</v>
      </c>
      <c r="B810" t="s">
        <v>4514</v>
      </c>
      <c r="C810" t="s">
        <v>4548</v>
      </c>
      <c r="D810" t="s">
        <v>10</v>
      </c>
      <c r="E810" t="s">
        <v>52</v>
      </c>
      <c r="F810">
        <v>2</v>
      </c>
    </row>
    <row r="811" spans="1:6" x14ac:dyDescent="0.2">
      <c r="A811" t="s">
        <v>4532</v>
      </c>
      <c r="B811" t="s">
        <v>4514</v>
      </c>
      <c r="C811" t="s">
        <v>4549</v>
      </c>
      <c r="D811" t="s">
        <v>10</v>
      </c>
      <c r="E811" t="s">
        <v>52</v>
      </c>
      <c r="F811">
        <v>4</v>
      </c>
    </row>
    <row r="812" spans="1:6" x14ac:dyDescent="0.2">
      <c r="A812" t="s">
        <v>8992</v>
      </c>
      <c r="B812" t="s">
        <v>8990</v>
      </c>
      <c r="C812" t="s">
        <v>8991</v>
      </c>
      <c r="D812" t="s">
        <v>10</v>
      </c>
      <c r="E812" t="s">
        <v>16</v>
      </c>
      <c r="F812">
        <v>1</v>
      </c>
    </row>
    <row r="813" spans="1:6" x14ac:dyDescent="0.2">
      <c r="A813" t="s">
        <v>4676</v>
      </c>
      <c r="B813" t="s">
        <v>4674</v>
      </c>
      <c r="C813" t="s">
        <v>4675</v>
      </c>
      <c r="D813" t="s">
        <v>10</v>
      </c>
      <c r="E813" t="s">
        <v>16</v>
      </c>
      <c r="F813">
        <v>1</v>
      </c>
    </row>
    <row r="814" spans="1:6" x14ac:dyDescent="0.2">
      <c r="A814" t="s">
        <v>4678</v>
      </c>
      <c r="B814" t="s">
        <v>4674</v>
      </c>
      <c r="C814" t="s">
        <v>4677</v>
      </c>
      <c r="D814" t="s">
        <v>29</v>
      </c>
      <c r="E814" t="s">
        <v>16</v>
      </c>
      <c r="F814">
        <v>1</v>
      </c>
    </row>
    <row r="815" spans="1:6" x14ac:dyDescent="0.2">
      <c r="A815" t="s">
        <v>4654</v>
      </c>
      <c r="B815" t="s">
        <v>4621</v>
      </c>
      <c r="C815" t="s">
        <v>4658</v>
      </c>
      <c r="D815" t="s">
        <v>10</v>
      </c>
      <c r="E815" t="s">
        <v>16</v>
      </c>
      <c r="F815">
        <v>1</v>
      </c>
    </row>
    <row r="816" spans="1:6" x14ac:dyDescent="0.2">
      <c r="A816" t="s">
        <v>5817</v>
      </c>
      <c r="B816" t="s">
        <v>5815</v>
      </c>
      <c r="C816" t="s">
        <v>5818</v>
      </c>
      <c r="D816" t="s">
        <v>10</v>
      </c>
      <c r="E816" t="s">
        <v>16</v>
      </c>
      <c r="F816">
        <v>1</v>
      </c>
    </row>
    <row r="817" spans="1:6" x14ac:dyDescent="0.2">
      <c r="A817" t="s">
        <v>4083</v>
      </c>
      <c r="B817" t="s">
        <v>4081</v>
      </c>
      <c r="C817" t="s">
        <v>4082</v>
      </c>
      <c r="D817" t="s">
        <v>29</v>
      </c>
      <c r="E817" t="s">
        <v>16</v>
      </c>
      <c r="F817">
        <v>1</v>
      </c>
    </row>
    <row r="818" spans="1:6" x14ac:dyDescent="0.2">
      <c r="A818" t="s">
        <v>10195</v>
      </c>
      <c r="B818" t="s">
        <v>10193</v>
      </c>
      <c r="C818" t="s">
        <v>10194</v>
      </c>
      <c r="D818" t="s">
        <v>10</v>
      </c>
      <c r="E818" t="s">
        <v>16</v>
      </c>
      <c r="F818">
        <v>1</v>
      </c>
    </row>
    <row r="819" spans="1:6" x14ac:dyDescent="0.2">
      <c r="A819" t="s">
        <v>4634</v>
      </c>
      <c r="B819" t="s">
        <v>4621</v>
      </c>
      <c r="C819" t="s">
        <v>4633</v>
      </c>
      <c r="D819" t="s">
        <v>10</v>
      </c>
      <c r="E819" t="s">
        <v>11</v>
      </c>
      <c r="F819">
        <v>1</v>
      </c>
    </row>
    <row r="820" spans="1:6" x14ac:dyDescent="0.2">
      <c r="A820" t="s">
        <v>11076</v>
      </c>
      <c r="B820" t="s">
        <v>11085</v>
      </c>
      <c r="C820" t="s">
        <v>11079</v>
      </c>
      <c r="D820" t="s">
        <v>56</v>
      </c>
      <c r="E820" t="s">
        <v>52</v>
      </c>
      <c r="F820">
        <v>1</v>
      </c>
    </row>
    <row r="821" spans="1:6" x14ac:dyDescent="0.2">
      <c r="A821" t="s">
        <v>7469</v>
      </c>
      <c r="B821" t="s">
        <v>7465</v>
      </c>
      <c r="C821" t="s">
        <v>7468</v>
      </c>
      <c r="D821" t="s">
        <v>10</v>
      </c>
      <c r="E821" t="s">
        <v>1080</v>
      </c>
      <c r="F821">
        <v>1</v>
      </c>
    </row>
    <row r="822" spans="1:6" x14ac:dyDescent="0.2">
      <c r="A822" t="s">
        <v>573</v>
      </c>
      <c r="B822" t="s">
        <v>571</v>
      </c>
      <c r="C822" t="s">
        <v>572</v>
      </c>
      <c r="D822" t="s">
        <v>29</v>
      </c>
      <c r="E822" t="s">
        <v>52</v>
      </c>
      <c r="F822">
        <v>1</v>
      </c>
    </row>
    <row r="823" spans="1:6" x14ac:dyDescent="0.2">
      <c r="A823" t="s">
        <v>3409</v>
      </c>
      <c r="B823" t="s">
        <v>4723</v>
      </c>
      <c r="C823" t="s">
        <v>4739</v>
      </c>
      <c r="D823" t="s">
        <v>10</v>
      </c>
      <c r="E823" t="s">
        <v>16</v>
      </c>
      <c r="F823">
        <v>1</v>
      </c>
    </row>
    <row r="824" spans="1:6" x14ac:dyDescent="0.2">
      <c r="A824" t="s">
        <v>7369</v>
      </c>
      <c r="B824" t="s">
        <v>7367</v>
      </c>
      <c r="C824" t="s">
        <v>7370</v>
      </c>
      <c r="D824" t="s">
        <v>10</v>
      </c>
      <c r="E824" t="s">
        <v>16</v>
      </c>
      <c r="F824">
        <v>1</v>
      </c>
    </row>
    <row r="825" spans="1:6" x14ac:dyDescent="0.2">
      <c r="A825" t="s">
        <v>11518</v>
      </c>
      <c r="B825" t="s">
        <v>11516</v>
      </c>
      <c r="C825" t="s">
        <v>11517</v>
      </c>
      <c r="D825" t="s">
        <v>10</v>
      </c>
      <c r="E825" t="s">
        <v>16</v>
      </c>
      <c r="F825">
        <v>1</v>
      </c>
    </row>
    <row r="826" spans="1:6" x14ac:dyDescent="0.2">
      <c r="A826" t="s">
        <v>4457</v>
      </c>
      <c r="B826" t="s">
        <v>4451</v>
      </c>
      <c r="C826" t="s">
        <v>4483</v>
      </c>
      <c r="D826" t="s">
        <v>10</v>
      </c>
      <c r="E826" t="s">
        <v>16</v>
      </c>
      <c r="F826">
        <v>2</v>
      </c>
    </row>
    <row r="827" spans="1:6" x14ac:dyDescent="0.2">
      <c r="A827" t="s">
        <v>5678</v>
      </c>
      <c r="B827" t="s">
        <v>5665</v>
      </c>
      <c r="C827" t="s">
        <v>5677</v>
      </c>
      <c r="D827" t="s">
        <v>10</v>
      </c>
      <c r="E827" t="s">
        <v>16</v>
      </c>
      <c r="F827">
        <v>1</v>
      </c>
    </row>
    <row r="828" spans="1:6" x14ac:dyDescent="0.2">
      <c r="A828" t="s">
        <v>3474</v>
      </c>
      <c r="B828" t="s">
        <v>3470</v>
      </c>
      <c r="C828" t="s">
        <v>3491</v>
      </c>
      <c r="D828" t="s">
        <v>10</v>
      </c>
      <c r="E828" t="s">
        <v>16</v>
      </c>
      <c r="F828">
        <v>1</v>
      </c>
    </row>
    <row r="829" spans="1:6" x14ac:dyDescent="0.2">
      <c r="A829" t="s">
        <v>3472</v>
      </c>
      <c r="B829" t="s">
        <v>3470</v>
      </c>
      <c r="C829" t="s">
        <v>3482</v>
      </c>
      <c r="D829" t="s">
        <v>10</v>
      </c>
      <c r="E829" t="s">
        <v>16</v>
      </c>
      <c r="F829">
        <v>1</v>
      </c>
    </row>
    <row r="830" spans="1:6" x14ac:dyDescent="0.2">
      <c r="A830" t="s">
        <v>3478</v>
      </c>
      <c r="B830" t="s">
        <v>3470</v>
      </c>
      <c r="C830" t="s">
        <v>3487</v>
      </c>
      <c r="D830" t="s">
        <v>10</v>
      </c>
      <c r="E830" t="s">
        <v>16</v>
      </c>
      <c r="F830">
        <v>1</v>
      </c>
    </row>
    <row r="831" spans="1:6" x14ac:dyDescent="0.2">
      <c r="A831" t="s">
        <v>3478</v>
      </c>
      <c r="B831" t="s">
        <v>3470</v>
      </c>
      <c r="C831" t="s">
        <v>3488</v>
      </c>
      <c r="D831" t="s">
        <v>10</v>
      </c>
      <c r="E831" t="s">
        <v>16</v>
      </c>
      <c r="F831">
        <v>1</v>
      </c>
    </row>
    <row r="832" spans="1:6" x14ac:dyDescent="0.2">
      <c r="A832" t="s">
        <v>3478</v>
      </c>
      <c r="B832" t="s">
        <v>9826</v>
      </c>
      <c r="C832" t="s">
        <v>9841</v>
      </c>
      <c r="D832" t="s">
        <v>10</v>
      </c>
      <c r="E832" t="s">
        <v>16</v>
      </c>
      <c r="F832">
        <v>1</v>
      </c>
    </row>
    <row r="833" spans="1:6" x14ac:dyDescent="0.2">
      <c r="A833" t="s">
        <v>9829</v>
      </c>
      <c r="B833" t="s">
        <v>9826</v>
      </c>
      <c r="C833" t="s">
        <v>9843</v>
      </c>
      <c r="D833" t="s">
        <v>10</v>
      </c>
      <c r="E833" t="s">
        <v>16</v>
      </c>
      <c r="F833">
        <v>1</v>
      </c>
    </row>
    <row r="834" spans="1:6" x14ac:dyDescent="0.2">
      <c r="A834" t="s">
        <v>4237</v>
      </c>
      <c r="B834" t="s">
        <v>4870</v>
      </c>
      <c r="C834" t="s">
        <v>4236</v>
      </c>
      <c r="D834" t="s">
        <v>56</v>
      </c>
      <c r="E834" t="s">
        <v>16</v>
      </c>
      <c r="F834">
        <v>1</v>
      </c>
    </row>
    <row r="835" spans="1:6" x14ac:dyDescent="0.2">
      <c r="A835" t="s">
        <v>1853</v>
      </c>
      <c r="B835" t="s">
        <v>1851</v>
      </c>
      <c r="C835" t="s">
        <v>1852</v>
      </c>
      <c r="D835" t="s">
        <v>10</v>
      </c>
      <c r="E835" t="s">
        <v>16</v>
      </c>
      <c r="F835">
        <v>1</v>
      </c>
    </row>
    <row r="836" spans="1:6" x14ac:dyDescent="0.2">
      <c r="A836" t="s">
        <v>1672</v>
      </c>
      <c r="B836" t="s">
        <v>4385</v>
      </c>
      <c r="C836" t="s">
        <v>4386</v>
      </c>
      <c r="D836" t="s">
        <v>10</v>
      </c>
      <c r="E836" t="s">
        <v>16</v>
      </c>
      <c r="F836">
        <v>1</v>
      </c>
    </row>
    <row r="837" spans="1:6" x14ac:dyDescent="0.2">
      <c r="A837" t="s">
        <v>10701</v>
      </c>
      <c r="B837" t="s">
        <v>10699</v>
      </c>
      <c r="C837" t="s">
        <v>10700</v>
      </c>
      <c r="D837" t="s">
        <v>10</v>
      </c>
      <c r="E837" t="s">
        <v>16</v>
      </c>
      <c r="F837">
        <v>1</v>
      </c>
    </row>
    <row r="838" spans="1:6" x14ac:dyDescent="0.2">
      <c r="A838" t="s">
        <v>7305</v>
      </c>
      <c r="B838" t="s">
        <v>7303</v>
      </c>
      <c r="C838" t="s">
        <v>7304</v>
      </c>
      <c r="D838" t="s">
        <v>10</v>
      </c>
      <c r="E838" t="s">
        <v>16</v>
      </c>
      <c r="F838">
        <v>1</v>
      </c>
    </row>
    <row r="839" spans="1:6" x14ac:dyDescent="0.2">
      <c r="A839" t="s">
        <v>4875</v>
      </c>
      <c r="B839" t="s">
        <v>4874</v>
      </c>
      <c r="C839" t="s">
        <v>3783</v>
      </c>
      <c r="D839" t="s">
        <v>10</v>
      </c>
      <c r="E839" t="s">
        <v>16</v>
      </c>
      <c r="F839">
        <v>1</v>
      </c>
    </row>
    <row r="840" spans="1:6" x14ac:dyDescent="0.2">
      <c r="A840" t="s">
        <v>3848</v>
      </c>
      <c r="B840" t="s">
        <v>4621</v>
      </c>
      <c r="C840" t="s">
        <v>4622</v>
      </c>
      <c r="D840" t="s">
        <v>10</v>
      </c>
      <c r="E840" t="s">
        <v>52</v>
      </c>
      <c r="F840">
        <v>1</v>
      </c>
    </row>
    <row r="841" spans="1:6" x14ac:dyDescent="0.2">
      <c r="A841" t="s">
        <v>11603</v>
      </c>
      <c r="B841" t="s">
        <v>11601</v>
      </c>
      <c r="C841" t="s">
        <v>11602</v>
      </c>
      <c r="D841" t="s">
        <v>10</v>
      </c>
      <c r="E841" t="s">
        <v>16</v>
      </c>
      <c r="F841">
        <v>1</v>
      </c>
    </row>
    <row r="842" spans="1:6" x14ac:dyDescent="0.2">
      <c r="A842" t="s">
        <v>11606</v>
      </c>
      <c r="B842" t="s">
        <v>11601</v>
      </c>
      <c r="C842" t="s">
        <v>11605</v>
      </c>
      <c r="D842" t="s">
        <v>10</v>
      </c>
      <c r="E842" t="s">
        <v>16</v>
      </c>
      <c r="F842">
        <v>1</v>
      </c>
    </row>
    <row r="843" spans="1:6" x14ac:dyDescent="0.2">
      <c r="A843" t="s">
        <v>4890</v>
      </c>
      <c r="B843" t="s">
        <v>4888</v>
      </c>
      <c r="C843" t="s">
        <v>4889</v>
      </c>
      <c r="D843" t="s">
        <v>10</v>
      </c>
      <c r="E843" t="s">
        <v>16</v>
      </c>
      <c r="F843">
        <v>1</v>
      </c>
    </row>
    <row r="844" spans="1:6" x14ac:dyDescent="0.2">
      <c r="A844" t="s">
        <v>2123</v>
      </c>
      <c r="B844" t="s">
        <v>2121</v>
      </c>
      <c r="C844" t="s">
        <v>2122</v>
      </c>
      <c r="D844" t="s">
        <v>10</v>
      </c>
      <c r="E844" t="s">
        <v>16</v>
      </c>
      <c r="F844">
        <v>1</v>
      </c>
    </row>
    <row r="845" spans="1:6" x14ac:dyDescent="0.2">
      <c r="A845" t="s">
        <v>10206</v>
      </c>
      <c r="B845" t="s">
        <v>10193</v>
      </c>
      <c r="C845" t="s">
        <v>10236</v>
      </c>
      <c r="D845" t="s">
        <v>10</v>
      </c>
      <c r="E845" t="s">
        <v>16</v>
      </c>
      <c r="F845">
        <v>1</v>
      </c>
    </row>
    <row r="846" spans="1:6" x14ac:dyDescent="0.2">
      <c r="A846" t="s">
        <v>4894</v>
      </c>
      <c r="B846" t="s">
        <v>4892</v>
      </c>
      <c r="C846" t="s">
        <v>4893</v>
      </c>
      <c r="D846" t="s">
        <v>10</v>
      </c>
      <c r="E846" t="s">
        <v>16</v>
      </c>
      <c r="F846">
        <v>1</v>
      </c>
    </row>
    <row r="847" spans="1:6" x14ac:dyDescent="0.2">
      <c r="A847" t="s">
        <v>4865</v>
      </c>
      <c r="B847" t="s">
        <v>4860</v>
      </c>
      <c r="C847" t="s">
        <v>4864</v>
      </c>
      <c r="D847" t="s">
        <v>10</v>
      </c>
      <c r="E847" t="s">
        <v>16</v>
      </c>
      <c r="F847">
        <v>1</v>
      </c>
    </row>
    <row r="848" spans="1:6" x14ac:dyDescent="0.2">
      <c r="A848" t="s">
        <v>4862</v>
      </c>
      <c r="B848" t="s">
        <v>4860</v>
      </c>
      <c r="C848" t="s">
        <v>4861</v>
      </c>
      <c r="D848" t="s">
        <v>10</v>
      </c>
      <c r="E848" t="s">
        <v>16</v>
      </c>
      <c r="F848">
        <v>1</v>
      </c>
    </row>
    <row r="849" spans="1:6" x14ac:dyDescent="0.2">
      <c r="A849" t="s">
        <v>4642</v>
      </c>
      <c r="B849" t="s">
        <v>4621</v>
      </c>
      <c r="C849" t="s">
        <v>4652</v>
      </c>
      <c r="D849" t="s">
        <v>10</v>
      </c>
      <c r="E849" t="s">
        <v>16</v>
      </c>
      <c r="F849">
        <v>1</v>
      </c>
    </row>
    <row r="850" spans="1:6" x14ac:dyDescent="0.2">
      <c r="A850" t="s">
        <v>2573</v>
      </c>
      <c r="B850" t="s">
        <v>4936</v>
      </c>
      <c r="C850" t="s">
        <v>2572</v>
      </c>
      <c r="D850" t="s">
        <v>10</v>
      </c>
      <c r="E850" t="s">
        <v>16</v>
      </c>
      <c r="F850">
        <v>1</v>
      </c>
    </row>
    <row r="851" spans="1:6" x14ac:dyDescent="0.2">
      <c r="A851" t="s">
        <v>4606</v>
      </c>
      <c r="B851" t="s">
        <v>4604</v>
      </c>
      <c r="C851" t="s">
        <v>4605</v>
      </c>
      <c r="D851" t="s">
        <v>10</v>
      </c>
      <c r="E851" t="s">
        <v>16</v>
      </c>
      <c r="F851">
        <v>1</v>
      </c>
    </row>
    <row r="852" spans="1:6" x14ac:dyDescent="0.2">
      <c r="A852" t="s">
        <v>4921</v>
      </c>
      <c r="B852" t="s">
        <v>4919</v>
      </c>
      <c r="C852" t="s">
        <v>4920</v>
      </c>
      <c r="D852" t="s">
        <v>56</v>
      </c>
      <c r="E852" t="s">
        <v>16</v>
      </c>
      <c r="F852">
        <v>1</v>
      </c>
    </row>
    <row r="853" spans="1:6" x14ac:dyDescent="0.2">
      <c r="A853" t="s">
        <v>5044</v>
      </c>
      <c r="B853" t="s">
        <v>5035</v>
      </c>
      <c r="C853" t="s">
        <v>5111</v>
      </c>
      <c r="D853" t="s">
        <v>10</v>
      </c>
      <c r="E853" t="s">
        <v>52</v>
      </c>
      <c r="F853">
        <v>2</v>
      </c>
    </row>
    <row r="854" spans="1:6" x14ac:dyDescent="0.2">
      <c r="A854" t="s">
        <v>5047</v>
      </c>
      <c r="B854" t="s">
        <v>5035</v>
      </c>
      <c r="C854" t="s">
        <v>5113</v>
      </c>
      <c r="D854" t="s">
        <v>10</v>
      </c>
      <c r="E854" t="s">
        <v>52</v>
      </c>
      <c r="F854">
        <v>2</v>
      </c>
    </row>
    <row r="855" spans="1:6" x14ac:dyDescent="0.2">
      <c r="A855" t="s">
        <v>5061</v>
      </c>
      <c r="B855" t="s">
        <v>5035</v>
      </c>
      <c r="C855" t="s">
        <v>5114</v>
      </c>
      <c r="D855" t="s">
        <v>10</v>
      </c>
      <c r="E855" t="s">
        <v>52</v>
      </c>
      <c r="F855">
        <v>2</v>
      </c>
    </row>
    <row r="856" spans="1:6" x14ac:dyDescent="0.2">
      <c r="A856" t="s">
        <v>5084</v>
      </c>
      <c r="B856" t="s">
        <v>5035</v>
      </c>
      <c r="C856" t="s">
        <v>5083</v>
      </c>
      <c r="D856" t="s">
        <v>10</v>
      </c>
      <c r="E856" t="s">
        <v>11</v>
      </c>
      <c r="F856">
        <v>2</v>
      </c>
    </row>
    <row r="857" spans="1:6" x14ac:dyDescent="0.2">
      <c r="A857" t="s">
        <v>5050</v>
      </c>
      <c r="B857" t="s">
        <v>5035</v>
      </c>
      <c r="C857" t="s">
        <v>5086</v>
      </c>
      <c r="D857" t="s">
        <v>10</v>
      </c>
      <c r="E857" t="s">
        <v>11</v>
      </c>
      <c r="F857">
        <v>2</v>
      </c>
    </row>
    <row r="858" spans="1:6" x14ac:dyDescent="0.2">
      <c r="A858" t="s">
        <v>5036</v>
      </c>
      <c r="B858" t="s">
        <v>5035</v>
      </c>
      <c r="C858" t="s">
        <v>12070</v>
      </c>
      <c r="D858" t="s">
        <v>10</v>
      </c>
      <c r="E858" t="s">
        <v>11</v>
      </c>
      <c r="F858">
        <v>2</v>
      </c>
    </row>
    <row r="859" spans="1:6" x14ac:dyDescent="0.2">
      <c r="A859" t="s">
        <v>5036</v>
      </c>
      <c r="B859" t="s">
        <v>5035</v>
      </c>
      <c r="C859" t="s">
        <v>5129</v>
      </c>
      <c r="D859" t="s">
        <v>10</v>
      </c>
      <c r="E859" t="s">
        <v>11</v>
      </c>
      <c r="F859">
        <v>2</v>
      </c>
    </row>
    <row r="860" spans="1:6" x14ac:dyDescent="0.2">
      <c r="A860" t="s">
        <v>5037</v>
      </c>
      <c r="B860" t="s">
        <v>5035</v>
      </c>
      <c r="C860" t="s">
        <v>5153</v>
      </c>
      <c r="D860" t="s">
        <v>10</v>
      </c>
      <c r="E860" t="s">
        <v>11</v>
      </c>
      <c r="F860">
        <v>2</v>
      </c>
    </row>
    <row r="861" spans="1:6" x14ac:dyDescent="0.2">
      <c r="A861" t="s">
        <v>5152</v>
      </c>
      <c r="B861" t="s">
        <v>5035</v>
      </c>
      <c r="C861" t="s">
        <v>5154</v>
      </c>
      <c r="D861" t="s">
        <v>10</v>
      </c>
      <c r="E861" t="s">
        <v>11</v>
      </c>
      <c r="F861">
        <v>2</v>
      </c>
    </row>
    <row r="862" spans="1:6" x14ac:dyDescent="0.2">
      <c r="A862" t="s">
        <v>6090</v>
      </c>
      <c r="B862" t="s">
        <v>6073</v>
      </c>
      <c r="C862" t="s">
        <v>6092</v>
      </c>
      <c r="D862" t="s">
        <v>10</v>
      </c>
      <c r="E862" t="s">
        <v>52</v>
      </c>
      <c r="F862">
        <v>2</v>
      </c>
    </row>
    <row r="863" spans="1:6" x14ac:dyDescent="0.2">
      <c r="A863" t="s">
        <v>5331</v>
      </c>
      <c r="B863" t="s">
        <v>5329</v>
      </c>
      <c r="C863" t="s">
        <v>5330</v>
      </c>
      <c r="D863" t="s">
        <v>10</v>
      </c>
      <c r="E863" t="s">
        <v>16</v>
      </c>
      <c r="F863">
        <v>1</v>
      </c>
    </row>
    <row r="864" spans="1:6" x14ac:dyDescent="0.2">
      <c r="A864" t="s">
        <v>5333</v>
      </c>
      <c r="B864" t="s">
        <v>5329</v>
      </c>
      <c r="C864" t="s">
        <v>5332</v>
      </c>
      <c r="D864" t="s">
        <v>10</v>
      </c>
      <c r="E864" t="s">
        <v>16</v>
      </c>
      <c r="F864">
        <v>1</v>
      </c>
    </row>
    <row r="865" spans="1:6" x14ac:dyDescent="0.2">
      <c r="A865" t="s">
        <v>5176</v>
      </c>
      <c r="B865" t="s">
        <v>5035</v>
      </c>
      <c r="C865" t="s">
        <v>5175</v>
      </c>
      <c r="D865" t="s">
        <v>10</v>
      </c>
      <c r="E865" t="s">
        <v>11</v>
      </c>
      <c r="F865">
        <v>2</v>
      </c>
    </row>
    <row r="866" spans="1:6" x14ac:dyDescent="0.2">
      <c r="A866" t="s">
        <v>5170</v>
      </c>
      <c r="B866" t="s">
        <v>5035</v>
      </c>
      <c r="C866" t="s">
        <v>5169</v>
      </c>
      <c r="D866" t="s">
        <v>10</v>
      </c>
      <c r="E866" t="s">
        <v>11</v>
      </c>
      <c r="F866">
        <v>2</v>
      </c>
    </row>
    <row r="867" spans="1:6" x14ac:dyDescent="0.2">
      <c r="A867" t="s">
        <v>5173</v>
      </c>
      <c r="B867" t="s">
        <v>5035</v>
      </c>
      <c r="C867" t="s">
        <v>5172</v>
      </c>
      <c r="D867" t="s">
        <v>10</v>
      </c>
      <c r="E867" t="s">
        <v>11</v>
      </c>
      <c r="F867">
        <v>2</v>
      </c>
    </row>
    <row r="868" spans="1:6" x14ac:dyDescent="0.2">
      <c r="A868" t="s">
        <v>2640</v>
      </c>
      <c r="B868" t="s">
        <v>2632</v>
      </c>
      <c r="C868" t="s">
        <v>2639</v>
      </c>
      <c r="D868" t="s">
        <v>10</v>
      </c>
      <c r="E868" t="s">
        <v>1080</v>
      </c>
      <c r="F868">
        <v>1</v>
      </c>
    </row>
    <row r="869" spans="1:6" x14ac:dyDescent="0.2">
      <c r="A869" t="s">
        <v>11191</v>
      </c>
      <c r="B869" t="s">
        <v>11189</v>
      </c>
      <c r="C869" t="s">
        <v>11192</v>
      </c>
      <c r="D869" t="s">
        <v>10</v>
      </c>
      <c r="E869" t="s">
        <v>16</v>
      </c>
      <c r="F869">
        <v>1</v>
      </c>
    </row>
    <row r="870" spans="1:6" x14ac:dyDescent="0.2">
      <c r="A870" t="s">
        <v>5335</v>
      </c>
      <c r="B870" t="s">
        <v>5329</v>
      </c>
      <c r="C870" t="s">
        <v>5334</v>
      </c>
      <c r="D870" t="s">
        <v>10</v>
      </c>
      <c r="E870" t="s">
        <v>16</v>
      </c>
      <c r="F870">
        <v>1</v>
      </c>
    </row>
    <row r="871" spans="1:6" x14ac:dyDescent="0.2">
      <c r="A871" t="s">
        <v>5039</v>
      </c>
      <c r="B871" t="s">
        <v>5035</v>
      </c>
      <c r="C871" t="s">
        <v>5069</v>
      </c>
      <c r="D871" t="s">
        <v>10</v>
      </c>
      <c r="E871" t="s">
        <v>52</v>
      </c>
      <c r="F871">
        <v>1</v>
      </c>
    </row>
    <row r="872" spans="1:6" x14ac:dyDescent="0.2">
      <c r="A872" t="s">
        <v>3838</v>
      </c>
      <c r="B872" t="s">
        <v>3509</v>
      </c>
      <c r="C872" t="s">
        <v>3838</v>
      </c>
      <c r="D872" t="s">
        <v>10</v>
      </c>
      <c r="E872" t="s">
        <v>52</v>
      </c>
      <c r="F872">
        <v>1</v>
      </c>
    </row>
    <row r="873" spans="1:6" x14ac:dyDescent="0.2">
      <c r="A873" t="s">
        <v>5142</v>
      </c>
      <c r="B873" t="s">
        <v>5035</v>
      </c>
      <c r="C873" t="s">
        <v>5141</v>
      </c>
      <c r="D873" t="s">
        <v>10</v>
      </c>
      <c r="E873" t="s">
        <v>11</v>
      </c>
      <c r="F873">
        <v>2</v>
      </c>
    </row>
    <row r="874" spans="1:6" x14ac:dyDescent="0.2">
      <c r="A874" t="s">
        <v>5179</v>
      </c>
      <c r="B874" t="s">
        <v>5035</v>
      </c>
      <c r="C874" t="s">
        <v>5182</v>
      </c>
      <c r="D874" t="s">
        <v>10</v>
      </c>
      <c r="E874" t="s">
        <v>11</v>
      </c>
      <c r="F874">
        <v>2</v>
      </c>
    </row>
    <row r="875" spans="1:6" x14ac:dyDescent="0.2">
      <c r="A875" t="s">
        <v>2786</v>
      </c>
      <c r="B875" t="s">
        <v>2673</v>
      </c>
      <c r="C875" t="s">
        <v>2785</v>
      </c>
      <c r="D875" t="s">
        <v>10</v>
      </c>
      <c r="E875" t="s">
        <v>11</v>
      </c>
      <c r="F875">
        <v>4</v>
      </c>
    </row>
    <row r="876" spans="1:6" x14ac:dyDescent="0.2">
      <c r="A876" t="s">
        <v>2788</v>
      </c>
      <c r="B876" t="s">
        <v>2673</v>
      </c>
      <c r="C876" t="s">
        <v>2787</v>
      </c>
      <c r="D876" t="s">
        <v>10</v>
      </c>
      <c r="E876" t="s">
        <v>11</v>
      </c>
      <c r="F876">
        <v>4</v>
      </c>
    </row>
    <row r="877" spans="1:6" x14ac:dyDescent="0.2">
      <c r="A877" t="s">
        <v>5339</v>
      </c>
      <c r="B877" t="s">
        <v>5329</v>
      </c>
      <c r="C877" t="s">
        <v>5338</v>
      </c>
      <c r="D877" t="s">
        <v>10</v>
      </c>
      <c r="E877" t="s">
        <v>16</v>
      </c>
      <c r="F877">
        <v>1</v>
      </c>
    </row>
    <row r="878" spans="1:6" x14ac:dyDescent="0.2">
      <c r="A878" t="s">
        <v>5093</v>
      </c>
      <c r="B878" t="s">
        <v>5035</v>
      </c>
      <c r="C878" t="s">
        <v>5124</v>
      </c>
      <c r="D878" t="s">
        <v>10</v>
      </c>
      <c r="E878" t="s">
        <v>11</v>
      </c>
      <c r="F878">
        <v>2</v>
      </c>
    </row>
    <row r="879" spans="1:6" x14ac:dyDescent="0.2">
      <c r="A879" t="s">
        <v>5341</v>
      </c>
      <c r="B879" t="s">
        <v>5329</v>
      </c>
      <c r="C879" t="s">
        <v>5340</v>
      </c>
      <c r="D879" t="s">
        <v>10</v>
      </c>
      <c r="E879" t="s">
        <v>52</v>
      </c>
      <c r="F879">
        <v>1</v>
      </c>
    </row>
    <row r="880" spans="1:6" x14ac:dyDescent="0.2">
      <c r="A880" t="s">
        <v>5072</v>
      </c>
      <c r="B880" t="s">
        <v>5035</v>
      </c>
      <c r="C880" t="s">
        <v>5071</v>
      </c>
      <c r="D880" t="s">
        <v>10</v>
      </c>
      <c r="E880" t="s">
        <v>11</v>
      </c>
      <c r="F880">
        <v>2</v>
      </c>
    </row>
    <row r="881" spans="1:6" x14ac:dyDescent="0.2">
      <c r="A881" t="s">
        <v>3840</v>
      </c>
      <c r="B881" t="s">
        <v>3509</v>
      </c>
      <c r="C881" t="s">
        <v>3839</v>
      </c>
      <c r="D881" t="s">
        <v>10</v>
      </c>
      <c r="E881" t="s">
        <v>11</v>
      </c>
      <c r="F881">
        <v>2</v>
      </c>
    </row>
    <row r="882" spans="1:6" x14ac:dyDescent="0.2">
      <c r="A882" t="s">
        <v>5066</v>
      </c>
      <c r="B882" t="s">
        <v>5035</v>
      </c>
      <c r="C882" t="s">
        <v>5164</v>
      </c>
      <c r="D882" t="s">
        <v>10</v>
      </c>
      <c r="E882" t="s">
        <v>11</v>
      </c>
      <c r="F882">
        <v>2</v>
      </c>
    </row>
    <row r="883" spans="1:6" x14ac:dyDescent="0.2">
      <c r="A883" t="s">
        <v>5056</v>
      </c>
      <c r="B883" t="s">
        <v>5035</v>
      </c>
      <c r="C883" t="s">
        <v>5162</v>
      </c>
      <c r="D883" t="s">
        <v>10</v>
      </c>
      <c r="E883" t="s">
        <v>11</v>
      </c>
      <c r="F883">
        <v>2</v>
      </c>
    </row>
    <row r="884" spans="1:6" x14ac:dyDescent="0.2">
      <c r="A884" t="s">
        <v>5137</v>
      </c>
      <c r="B884" t="s">
        <v>5035</v>
      </c>
      <c r="C884" t="s">
        <v>5136</v>
      </c>
      <c r="D884" t="s">
        <v>10</v>
      </c>
      <c r="E884" t="s">
        <v>11</v>
      </c>
      <c r="F884">
        <v>2</v>
      </c>
    </row>
    <row r="885" spans="1:6" x14ac:dyDescent="0.2">
      <c r="A885" t="s">
        <v>2795</v>
      </c>
      <c r="B885" t="s">
        <v>2673</v>
      </c>
      <c r="C885" t="s">
        <v>2794</v>
      </c>
      <c r="D885" t="s">
        <v>10</v>
      </c>
      <c r="E885" t="s">
        <v>11</v>
      </c>
      <c r="F885">
        <v>4</v>
      </c>
    </row>
    <row r="886" spans="1:6" x14ac:dyDescent="0.2">
      <c r="A886" t="s">
        <v>2709</v>
      </c>
      <c r="B886" t="s">
        <v>2673</v>
      </c>
      <c r="C886" t="s">
        <v>2708</v>
      </c>
      <c r="D886" t="s">
        <v>10</v>
      </c>
      <c r="E886" t="s">
        <v>11</v>
      </c>
      <c r="F886">
        <v>2</v>
      </c>
    </row>
    <row r="887" spans="1:6" x14ac:dyDescent="0.2">
      <c r="A887" t="s">
        <v>5133</v>
      </c>
      <c r="B887" t="s">
        <v>5035</v>
      </c>
      <c r="C887" t="s">
        <v>5135</v>
      </c>
      <c r="D887" t="s">
        <v>10</v>
      </c>
      <c r="E887" t="s">
        <v>11</v>
      </c>
      <c r="F887">
        <v>2</v>
      </c>
    </row>
    <row r="888" spans="1:6" x14ac:dyDescent="0.2">
      <c r="A888" t="s">
        <v>5131</v>
      </c>
      <c r="B888" t="s">
        <v>5035</v>
      </c>
      <c r="C888" t="s">
        <v>5134</v>
      </c>
      <c r="D888" t="s">
        <v>10</v>
      </c>
      <c r="E888" t="s">
        <v>11</v>
      </c>
      <c r="F888">
        <v>2</v>
      </c>
    </row>
    <row r="889" spans="1:6" x14ac:dyDescent="0.2">
      <c r="A889" t="s">
        <v>2798</v>
      </c>
      <c r="B889" t="s">
        <v>2673</v>
      </c>
      <c r="C889" t="s">
        <v>2797</v>
      </c>
      <c r="D889" t="s">
        <v>10</v>
      </c>
      <c r="E889" t="s">
        <v>11</v>
      </c>
      <c r="F889">
        <v>2</v>
      </c>
    </row>
    <row r="890" spans="1:6" x14ac:dyDescent="0.2">
      <c r="A890" t="s">
        <v>4928</v>
      </c>
      <c r="B890" t="s">
        <v>4926</v>
      </c>
      <c r="C890" t="s">
        <v>4927</v>
      </c>
      <c r="D890" t="s">
        <v>10</v>
      </c>
      <c r="E890" t="s">
        <v>16</v>
      </c>
      <c r="F890">
        <v>1</v>
      </c>
    </row>
    <row r="891" spans="1:6" x14ac:dyDescent="0.2">
      <c r="A891" t="s">
        <v>4948</v>
      </c>
      <c r="B891" t="s">
        <v>4944</v>
      </c>
      <c r="C891" t="s">
        <v>4947</v>
      </c>
      <c r="D891" t="s">
        <v>10</v>
      </c>
      <c r="E891" t="s">
        <v>11</v>
      </c>
      <c r="F891">
        <v>1</v>
      </c>
    </row>
    <row r="892" spans="1:6" x14ac:dyDescent="0.2">
      <c r="A892" t="s">
        <v>4946</v>
      </c>
      <c r="B892" t="s">
        <v>4944</v>
      </c>
      <c r="C892" t="s">
        <v>4945</v>
      </c>
      <c r="D892" t="s">
        <v>10</v>
      </c>
      <c r="E892" t="s">
        <v>11</v>
      </c>
      <c r="F892">
        <v>2</v>
      </c>
    </row>
    <row r="893" spans="1:6" x14ac:dyDescent="0.2">
      <c r="A893" t="s">
        <v>4946</v>
      </c>
      <c r="B893" t="s">
        <v>4944</v>
      </c>
      <c r="C893" t="s">
        <v>4949</v>
      </c>
      <c r="D893" t="s">
        <v>10</v>
      </c>
      <c r="E893" t="s">
        <v>11</v>
      </c>
      <c r="F893">
        <v>2</v>
      </c>
    </row>
    <row r="894" spans="1:6" x14ac:dyDescent="0.2">
      <c r="A894" t="s">
        <v>6067</v>
      </c>
      <c r="B894" t="s">
        <v>6065</v>
      </c>
      <c r="C894" t="s">
        <v>6066</v>
      </c>
      <c r="D894" t="s">
        <v>10</v>
      </c>
      <c r="E894" t="s">
        <v>16</v>
      </c>
      <c r="F894">
        <v>1</v>
      </c>
    </row>
    <row r="895" spans="1:6" x14ac:dyDescent="0.2">
      <c r="A895" t="s">
        <v>1926</v>
      </c>
      <c r="B895" t="s">
        <v>3999</v>
      </c>
      <c r="C895" t="s">
        <v>1925</v>
      </c>
      <c r="D895" t="s">
        <v>10</v>
      </c>
      <c r="E895" t="s">
        <v>16</v>
      </c>
      <c r="F895">
        <v>1</v>
      </c>
    </row>
    <row r="896" spans="1:6" x14ac:dyDescent="0.2">
      <c r="A896" t="s">
        <v>1513</v>
      </c>
      <c r="B896" t="s">
        <v>1511</v>
      </c>
      <c r="C896" t="s">
        <v>1512</v>
      </c>
      <c r="D896" t="s">
        <v>10</v>
      </c>
      <c r="E896" t="s">
        <v>16</v>
      </c>
      <c r="F896">
        <v>1</v>
      </c>
    </row>
    <row r="897" spans="1:6" x14ac:dyDescent="0.2">
      <c r="A897" t="s">
        <v>4267</v>
      </c>
      <c r="B897" t="s">
        <v>4265</v>
      </c>
      <c r="C897" t="s">
        <v>4266</v>
      </c>
      <c r="D897" t="s">
        <v>10</v>
      </c>
      <c r="E897" t="s">
        <v>16</v>
      </c>
      <c r="F897">
        <v>1</v>
      </c>
    </row>
    <row r="898" spans="1:6" x14ac:dyDescent="0.2">
      <c r="A898" t="s">
        <v>4267</v>
      </c>
      <c r="B898" t="s">
        <v>4937</v>
      </c>
      <c r="C898" t="s">
        <v>4938</v>
      </c>
      <c r="D898" t="s">
        <v>10</v>
      </c>
      <c r="E898" t="s">
        <v>16</v>
      </c>
      <c r="F898">
        <v>1</v>
      </c>
    </row>
    <row r="899" spans="1:6" x14ac:dyDescent="0.2">
      <c r="A899" t="s">
        <v>2637</v>
      </c>
      <c r="B899" t="s">
        <v>2632</v>
      </c>
      <c r="C899" t="s">
        <v>2636</v>
      </c>
      <c r="D899" t="s">
        <v>10</v>
      </c>
      <c r="E899" t="s">
        <v>16</v>
      </c>
      <c r="F899">
        <v>1</v>
      </c>
    </row>
    <row r="900" spans="1:6" x14ac:dyDescent="0.2">
      <c r="A900" t="s">
        <v>5643</v>
      </c>
      <c r="B900" t="s">
        <v>5641</v>
      </c>
      <c r="C900" t="s">
        <v>5642</v>
      </c>
      <c r="D900" t="s">
        <v>10</v>
      </c>
      <c r="E900" t="s">
        <v>16</v>
      </c>
      <c r="F900">
        <v>1</v>
      </c>
    </row>
    <row r="901" spans="1:6" x14ac:dyDescent="0.2">
      <c r="A901" t="s">
        <v>1210</v>
      </c>
      <c r="B901" t="s">
        <v>1192</v>
      </c>
      <c r="C901" t="s">
        <v>1209</v>
      </c>
      <c r="D901" t="s">
        <v>56</v>
      </c>
      <c r="E901" t="s">
        <v>52</v>
      </c>
      <c r="F901">
        <v>1</v>
      </c>
    </row>
    <row r="902" spans="1:6" x14ac:dyDescent="0.2">
      <c r="A902" t="s">
        <v>1199</v>
      </c>
      <c r="B902" t="s">
        <v>1192</v>
      </c>
      <c r="C902" t="s">
        <v>1214</v>
      </c>
      <c r="D902" t="s">
        <v>56</v>
      </c>
      <c r="E902" t="s">
        <v>52</v>
      </c>
      <c r="F902">
        <v>2</v>
      </c>
    </row>
    <row r="903" spans="1:6" x14ac:dyDescent="0.2">
      <c r="A903" t="s">
        <v>1202</v>
      </c>
      <c r="B903" t="s">
        <v>1192</v>
      </c>
      <c r="C903" t="s">
        <v>1201</v>
      </c>
      <c r="D903" t="s">
        <v>56</v>
      </c>
      <c r="E903" t="s">
        <v>52</v>
      </c>
      <c r="F903">
        <v>1</v>
      </c>
    </row>
    <row r="904" spans="1:6" x14ac:dyDescent="0.2">
      <c r="A904" t="s">
        <v>1207</v>
      </c>
      <c r="B904" t="s">
        <v>1192</v>
      </c>
      <c r="C904" t="s">
        <v>1206</v>
      </c>
      <c r="D904" t="s">
        <v>56</v>
      </c>
      <c r="E904" t="s">
        <v>52</v>
      </c>
      <c r="F904">
        <v>2</v>
      </c>
    </row>
    <row r="905" spans="1:6" x14ac:dyDescent="0.2">
      <c r="A905" t="s">
        <v>1235</v>
      </c>
      <c r="B905" t="s">
        <v>1233</v>
      </c>
      <c r="C905" t="s">
        <v>1236</v>
      </c>
      <c r="D905" t="s">
        <v>56</v>
      </c>
      <c r="E905" t="s">
        <v>52</v>
      </c>
      <c r="F905">
        <v>2</v>
      </c>
    </row>
    <row r="906" spans="1:6" x14ac:dyDescent="0.2">
      <c r="A906" t="s">
        <v>1205</v>
      </c>
      <c r="B906" t="s">
        <v>1192</v>
      </c>
      <c r="C906" t="s">
        <v>1204</v>
      </c>
      <c r="D906" t="s">
        <v>56</v>
      </c>
      <c r="E906" t="s">
        <v>52</v>
      </c>
      <c r="F906">
        <v>2</v>
      </c>
    </row>
    <row r="907" spans="1:6" x14ac:dyDescent="0.2">
      <c r="A907" t="s">
        <v>4251</v>
      </c>
      <c r="B907" t="s">
        <v>4249</v>
      </c>
      <c r="C907" t="s">
        <v>4252</v>
      </c>
      <c r="D907" t="s">
        <v>10</v>
      </c>
      <c r="E907" t="s">
        <v>16</v>
      </c>
      <c r="F907">
        <v>1</v>
      </c>
    </row>
    <row r="908" spans="1:6" x14ac:dyDescent="0.2">
      <c r="A908" t="s">
        <v>1230</v>
      </c>
      <c r="B908" t="s">
        <v>1228</v>
      </c>
      <c r="C908" t="s">
        <v>1231</v>
      </c>
      <c r="D908" t="s">
        <v>56</v>
      </c>
      <c r="E908" t="s">
        <v>52</v>
      </c>
      <c r="F908">
        <v>2</v>
      </c>
    </row>
    <row r="909" spans="1:6" x14ac:dyDescent="0.2">
      <c r="A909" t="s">
        <v>11297</v>
      </c>
      <c r="B909" t="s">
        <v>11294</v>
      </c>
      <c r="C909" t="s">
        <v>11300</v>
      </c>
      <c r="D909" t="s">
        <v>10</v>
      </c>
      <c r="E909" t="s">
        <v>16</v>
      </c>
      <c r="F909">
        <v>1</v>
      </c>
    </row>
    <row r="910" spans="1:6" x14ac:dyDescent="0.2">
      <c r="A910" t="s">
        <v>12018</v>
      </c>
      <c r="B910" t="s">
        <v>12016</v>
      </c>
      <c r="C910" t="s">
        <v>12017</v>
      </c>
      <c r="D910" t="s">
        <v>10</v>
      </c>
      <c r="E910" t="s">
        <v>16</v>
      </c>
      <c r="F910">
        <v>1</v>
      </c>
    </row>
    <row r="911" spans="1:6" x14ac:dyDescent="0.2">
      <c r="A911" t="s">
        <v>3212</v>
      </c>
      <c r="B911" t="s">
        <v>3210</v>
      </c>
      <c r="C911" t="s">
        <v>3211</v>
      </c>
      <c r="D911" t="s">
        <v>10</v>
      </c>
      <c r="E911" t="s">
        <v>1080</v>
      </c>
      <c r="F911">
        <v>1</v>
      </c>
    </row>
    <row r="912" spans="1:6" x14ac:dyDescent="0.2">
      <c r="A912" t="s">
        <v>1079</v>
      </c>
      <c r="B912" t="s">
        <v>1066</v>
      </c>
      <c r="C912" t="s">
        <v>1078</v>
      </c>
      <c r="D912" t="s">
        <v>10</v>
      </c>
      <c r="E912" t="s">
        <v>1080</v>
      </c>
      <c r="F912">
        <v>2</v>
      </c>
    </row>
    <row r="913" spans="1:6" x14ac:dyDescent="0.2">
      <c r="A913" t="s">
        <v>560</v>
      </c>
      <c r="B913" t="s">
        <v>558</v>
      </c>
      <c r="C913" t="s">
        <v>559</v>
      </c>
      <c r="D913" t="s">
        <v>10</v>
      </c>
      <c r="E913" t="s">
        <v>16</v>
      </c>
      <c r="F913">
        <v>1</v>
      </c>
    </row>
    <row r="914" spans="1:6" x14ac:dyDescent="0.2">
      <c r="A914" t="s">
        <v>7893</v>
      </c>
      <c r="B914" t="s">
        <v>7890</v>
      </c>
      <c r="C914" t="s">
        <v>7892</v>
      </c>
      <c r="D914" t="s">
        <v>10</v>
      </c>
      <c r="E914" t="s">
        <v>1080</v>
      </c>
      <c r="F914">
        <v>1</v>
      </c>
    </row>
    <row r="915" spans="1:6" x14ac:dyDescent="0.2">
      <c r="A915" t="s">
        <v>9972</v>
      </c>
      <c r="B915" t="s">
        <v>9968</v>
      </c>
      <c r="C915" t="s">
        <v>9971</v>
      </c>
      <c r="D915" t="s">
        <v>56</v>
      </c>
      <c r="E915" t="s">
        <v>52</v>
      </c>
      <c r="F915">
        <v>1</v>
      </c>
    </row>
    <row r="916" spans="1:6" x14ac:dyDescent="0.2">
      <c r="A916" t="s">
        <v>6009</v>
      </c>
      <c r="B916" t="s">
        <v>6003</v>
      </c>
      <c r="C916" t="s">
        <v>6008</v>
      </c>
      <c r="D916" t="s">
        <v>10</v>
      </c>
      <c r="E916" t="s">
        <v>52</v>
      </c>
      <c r="F916">
        <v>1</v>
      </c>
    </row>
    <row r="917" spans="1:6" x14ac:dyDescent="0.2">
      <c r="A917" t="s">
        <v>849</v>
      </c>
      <c r="B917" t="s">
        <v>847</v>
      </c>
      <c r="C917" t="s">
        <v>863</v>
      </c>
      <c r="D917" t="s">
        <v>56</v>
      </c>
      <c r="E917" t="s">
        <v>52</v>
      </c>
      <c r="F917">
        <v>3</v>
      </c>
    </row>
    <row r="918" spans="1:6" x14ac:dyDescent="0.2">
      <c r="A918" t="s">
        <v>5015</v>
      </c>
      <c r="B918" t="s">
        <v>5010</v>
      </c>
      <c r="C918" t="s">
        <v>5014</v>
      </c>
      <c r="D918" t="s">
        <v>10</v>
      </c>
      <c r="E918" t="s">
        <v>16</v>
      </c>
      <c r="F918">
        <v>1</v>
      </c>
    </row>
    <row r="919" spans="1:6" x14ac:dyDescent="0.2">
      <c r="A919" t="s">
        <v>4994</v>
      </c>
      <c r="B919" t="s">
        <v>4992</v>
      </c>
      <c r="C919" t="s">
        <v>4993</v>
      </c>
      <c r="D919" t="s">
        <v>64</v>
      </c>
      <c r="E919" t="s">
        <v>16</v>
      </c>
      <c r="F919">
        <v>1</v>
      </c>
    </row>
    <row r="920" spans="1:6" x14ac:dyDescent="0.2">
      <c r="A920" t="s">
        <v>8924</v>
      </c>
      <c r="B920" t="s">
        <v>8922</v>
      </c>
      <c r="C920" t="s">
        <v>8923</v>
      </c>
      <c r="D920" t="s">
        <v>10</v>
      </c>
      <c r="E920" t="s">
        <v>16</v>
      </c>
      <c r="F920">
        <v>1</v>
      </c>
    </row>
    <row r="921" spans="1:6" x14ac:dyDescent="0.2">
      <c r="A921" t="s">
        <v>1016</v>
      </c>
      <c r="B921" t="s">
        <v>5224</v>
      </c>
      <c r="C921" t="s">
        <v>1015</v>
      </c>
      <c r="D921" t="s">
        <v>10</v>
      </c>
      <c r="E921" t="s">
        <v>11</v>
      </c>
      <c r="F921">
        <v>2</v>
      </c>
    </row>
    <row r="922" spans="1:6" x14ac:dyDescent="0.2">
      <c r="A922" t="s">
        <v>5322</v>
      </c>
      <c r="B922" t="s">
        <v>5320</v>
      </c>
      <c r="C922" t="s">
        <v>5321</v>
      </c>
      <c r="D922" t="s">
        <v>10</v>
      </c>
      <c r="E922" t="s">
        <v>16</v>
      </c>
      <c r="F922">
        <v>1</v>
      </c>
    </row>
    <row r="923" spans="1:6" x14ac:dyDescent="0.2">
      <c r="A923" t="s">
        <v>32</v>
      </c>
      <c r="B923" t="s">
        <v>30</v>
      </c>
      <c r="C923" t="s">
        <v>31</v>
      </c>
      <c r="D923" t="s">
        <v>10</v>
      </c>
      <c r="E923" t="s">
        <v>16</v>
      </c>
      <c r="F923">
        <v>1</v>
      </c>
    </row>
    <row r="924" spans="1:6" x14ac:dyDescent="0.2">
      <c r="A924" t="s">
        <v>9475</v>
      </c>
      <c r="B924" t="s">
        <v>9473</v>
      </c>
      <c r="C924" t="s">
        <v>9474</v>
      </c>
      <c r="D924" t="s">
        <v>10</v>
      </c>
      <c r="E924" t="s">
        <v>16</v>
      </c>
      <c r="F924">
        <v>1</v>
      </c>
    </row>
    <row r="925" spans="1:6" x14ac:dyDescent="0.2">
      <c r="A925" t="s">
        <v>4177</v>
      </c>
      <c r="B925" t="s">
        <v>4175</v>
      </c>
      <c r="C925" t="s">
        <v>4176</v>
      </c>
      <c r="D925" t="s">
        <v>56</v>
      </c>
      <c r="E925" t="s">
        <v>16</v>
      </c>
      <c r="F925">
        <v>1</v>
      </c>
    </row>
    <row r="926" spans="1:6" x14ac:dyDescent="0.2">
      <c r="A926" t="s">
        <v>5012</v>
      </c>
      <c r="B926" t="s">
        <v>5010</v>
      </c>
      <c r="C926" t="s">
        <v>5013</v>
      </c>
      <c r="D926" t="s">
        <v>10</v>
      </c>
      <c r="E926" t="s">
        <v>16</v>
      </c>
      <c r="F926">
        <v>1</v>
      </c>
    </row>
    <row r="927" spans="1:6" x14ac:dyDescent="0.2">
      <c r="A927" t="s">
        <v>7928</v>
      </c>
      <c r="B927" t="s">
        <v>7926</v>
      </c>
      <c r="C927" t="s">
        <v>7929</v>
      </c>
      <c r="D927" t="s">
        <v>10</v>
      </c>
      <c r="E927" t="s">
        <v>11</v>
      </c>
      <c r="F927">
        <v>1</v>
      </c>
    </row>
    <row r="928" spans="1:6" x14ac:dyDescent="0.2">
      <c r="A928" t="s">
        <v>7931</v>
      </c>
      <c r="B928" t="s">
        <v>7926</v>
      </c>
      <c r="C928" t="s">
        <v>7930</v>
      </c>
      <c r="D928" t="s">
        <v>10</v>
      </c>
      <c r="E928" t="s">
        <v>16</v>
      </c>
      <c r="F928">
        <v>2</v>
      </c>
    </row>
    <row r="929" spans="1:6" x14ac:dyDescent="0.2">
      <c r="A929" t="s">
        <v>5211</v>
      </c>
      <c r="B929" t="s">
        <v>5209</v>
      </c>
      <c r="C929" t="s">
        <v>5210</v>
      </c>
      <c r="D929" t="s">
        <v>56</v>
      </c>
      <c r="E929" t="s">
        <v>16</v>
      </c>
      <c r="F929">
        <v>1</v>
      </c>
    </row>
    <row r="930" spans="1:6" x14ac:dyDescent="0.2">
      <c r="A930" t="s">
        <v>5212</v>
      </c>
      <c r="B930" t="s">
        <v>5209</v>
      </c>
      <c r="C930" t="s">
        <v>12080</v>
      </c>
      <c r="D930" t="s">
        <v>56</v>
      </c>
      <c r="E930" t="s">
        <v>52</v>
      </c>
      <c r="F930">
        <v>1</v>
      </c>
    </row>
    <row r="931" spans="1:6" x14ac:dyDescent="0.2">
      <c r="A931" t="s">
        <v>4957</v>
      </c>
      <c r="B931" t="s">
        <v>7463</v>
      </c>
      <c r="C931" t="s">
        <v>7464</v>
      </c>
      <c r="D931" t="s">
        <v>10</v>
      </c>
      <c r="E931" t="s">
        <v>16</v>
      </c>
      <c r="F931">
        <v>1</v>
      </c>
    </row>
    <row r="932" spans="1:6" x14ac:dyDescent="0.2">
      <c r="A932" t="s">
        <v>5220</v>
      </c>
      <c r="B932" t="s">
        <v>5218</v>
      </c>
      <c r="C932" t="s">
        <v>5219</v>
      </c>
      <c r="D932" t="s">
        <v>10</v>
      </c>
      <c r="E932" t="s">
        <v>16</v>
      </c>
      <c r="F932">
        <v>1</v>
      </c>
    </row>
    <row r="933" spans="1:6" x14ac:dyDescent="0.2">
      <c r="A933" t="s">
        <v>1014</v>
      </c>
      <c r="B933" t="s">
        <v>5224</v>
      </c>
      <c r="C933" t="s">
        <v>5225</v>
      </c>
      <c r="D933" t="s">
        <v>10</v>
      </c>
      <c r="E933" t="s">
        <v>52</v>
      </c>
      <c r="F933">
        <v>1</v>
      </c>
    </row>
    <row r="934" spans="1:6" x14ac:dyDescent="0.2">
      <c r="A934" t="s">
        <v>5223</v>
      </c>
      <c r="B934" t="s">
        <v>5221</v>
      </c>
      <c r="C934" t="s">
        <v>5222</v>
      </c>
      <c r="D934" t="s">
        <v>10</v>
      </c>
      <c r="E934" t="s">
        <v>16</v>
      </c>
      <c r="F934">
        <v>1</v>
      </c>
    </row>
    <row r="935" spans="1:6" x14ac:dyDescent="0.2">
      <c r="A935" t="s">
        <v>4673</v>
      </c>
      <c r="B935" t="s">
        <v>4671</v>
      </c>
      <c r="C935" t="s">
        <v>4672</v>
      </c>
      <c r="D935" t="s">
        <v>10</v>
      </c>
      <c r="E935" t="s">
        <v>16</v>
      </c>
      <c r="F935">
        <v>1</v>
      </c>
    </row>
    <row r="936" spans="1:6" x14ac:dyDescent="0.2">
      <c r="A936" t="s">
        <v>1038</v>
      </c>
      <c r="B936" t="s">
        <v>1038</v>
      </c>
      <c r="C936" t="s">
        <v>5226</v>
      </c>
      <c r="D936" t="s">
        <v>10</v>
      </c>
      <c r="E936" t="s">
        <v>16</v>
      </c>
      <c r="F936">
        <v>1</v>
      </c>
    </row>
    <row r="937" spans="1:6" x14ac:dyDescent="0.2">
      <c r="A937" t="s">
        <v>1449</v>
      </c>
      <c r="B937" t="s">
        <v>1445</v>
      </c>
      <c r="C937" t="s">
        <v>1448</v>
      </c>
      <c r="D937" t="s">
        <v>56</v>
      </c>
      <c r="E937" t="s">
        <v>52</v>
      </c>
      <c r="F937">
        <v>1</v>
      </c>
    </row>
    <row r="938" spans="1:6" x14ac:dyDescent="0.2">
      <c r="A938" t="s">
        <v>4055</v>
      </c>
      <c r="B938" t="s">
        <v>4943</v>
      </c>
      <c r="C938" t="s">
        <v>4054</v>
      </c>
      <c r="D938" t="s">
        <v>10</v>
      </c>
      <c r="E938" t="s">
        <v>16</v>
      </c>
      <c r="F938">
        <v>1</v>
      </c>
    </row>
    <row r="939" spans="1:6" x14ac:dyDescent="0.2">
      <c r="A939" t="s">
        <v>1018</v>
      </c>
      <c r="B939" t="s">
        <v>5224</v>
      </c>
      <c r="C939" t="s">
        <v>1017</v>
      </c>
      <c r="D939" t="s">
        <v>10</v>
      </c>
      <c r="E939" t="s">
        <v>52</v>
      </c>
      <c r="F939">
        <v>1</v>
      </c>
    </row>
    <row r="940" spans="1:6" x14ac:dyDescent="0.2">
      <c r="A940" t="s">
        <v>7144</v>
      </c>
      <c r="B940" t="s">
        <v>7142</v>
      </c>
      <c r="C940" t="s">
        <v>7143</v>
      </c>
      <c r="D940" t="s">
        <v>10</v>
      </c>
      <c r="E940" t="s">
        <v>16</v>
      </c>
      <c r="F940">
        <v>1</v>
      </c>
    </row>
    <row r="941" spans="1:6" x14ac:dyDescent="0.2">
      <c r="A941" t="s">
        <v>8439</v>
      </c>
      <c r="B941" t="s">
        <v>8437</v>
      </c>
      <c r="C941" t="s">
        <v>8438</v>
      </c>
      <c r="D941" t="s">
        <v>10</v>
      </c>
      <c r="E941" t="s">
        <v>16</v>
      </c>
      <c r="F941">
        <v>1</v>
      </c>
    </row>
    <row r="942" spans="1:6" x14ac:dyDescent="0.2">
      <c r="A942" t="s">
        <v>2642</v>
      </c>
      <c r="B942" t="s">
        <v>5232</v>
      </c>
      <c r="C942" t="s">
        <v>2641</v>
      </c>
      <c r="D942" t="s">
        <v>10</v>
      </c>
      <c r="E942" t="s">
        <v>16</v>
      </c>
      <c r="F942">
        <v>1</v>
      </c>
    </row>
    <row r="943" spans="1:6" x14ac:dyDescent="0.2">
      <c r="A943" t="s">
        <v>4393</v>
      </c>
      <c r="B943" t="s">
        <v>4390</v>
      </c>
      <c r="C943" t="s">
        <v>4433</v>
      </c>
      <c r="D943" t="s">
        <v>10</v>
      </c>
      <c r="E943" t="s">
        <v>11</v>
      </c>
      <c r="F943">
        <v>1</v>
      </c>
    </row>
    <row r="944" spans="1:6" x14ac:dyDescent="0.2">
      <c r="A944" t="s">
        <v>1394</v>
      </c>
      <c r="B944" t="s">
        <v>5282</v>
      </c>
      <c r="C944" t="s">
        <v>1393</v>
      </c>
      <c r="D944" t="s">
        <v>10</v>
      </c>
      <c r="E944" t="s">
        <v>11</v>
      </c>
      <c r="F944">
        <v>2</v>
      </c>
    </row>
    <row r="945" spans="1:6" x14ac:dyDescent="0.2">
      <c r="A945" t="s">
        <v>5288</v>
      </c>
      <c r="B945" t="s">
        <v>5286</v>
      </c>
      <c r="C945" t="s">
        <v>5287</v>
      </c>
      <c r="D945" t="s">
        <v>10</v>
      </c>
      <c r="E945" t="s">
        <v>16</v>
      </c>
      <c r="F945">
        <v>1</v>
      </c>
    </row>
    <row r="946" spans="1:6" x14ac:dyDescent="0.2">
      <c r="A946" t="s">
        <v>5504</v>
      </c>
      <c r="B946" t="s">
        <v>5502</v>
      </c>
      <c r="C946" t="s">
        <v>5503</v>
      </c>
      <c r="D946" t="s">
        <v>10</v>
      </c>
      <c r="E946" t="s">
        <v>16</v>
      </c>
      <c r="F946">
        <v>1</v>
      </c>
    </row>
    <row r="947" spans="1:6" x14ac:dyDescent="0.2">
      <c r="A947" t="s">
        <v>5309</v>
      </c>
      <c r="B947" t="s">
        <v>5301</v>
      </c>
      <c r="C947" t="s">
        <v>5311</v>
      </c>
      <c r="D947" t="s">
        <v>10</v>
      </c>
      <c r="E947" t="s">
        <v>16</v>
      </c>
      <c r="F947">
        <v>2</v>
      </c>
    </row>
    <row r="948" spans="1:6" x14ac:dyDescent="0.2">
      <c r="A948" t="s">
        <v>5307</v>
      </c>
      <c r="B948" t="s">
        <v>5301</v>
      </c>
      <c r="C948" t="s">
        <v>5306</v>
      </c>
      <c r="D948" t="s">
        <v>10</v>
      </c>
      <c r="E948" t="s">
        <v>16</v>
      </c>
      <c r="F948">
        <v>1</v>
      </c>
    </row>
    <row r="949" spans="1:6" x14ac:dyDescent="0.2">
      <c r="A949" t="s">
        <v>5295</v>
      </c>
      <c r="B949" t="s">
        <v>5293</v>
      </c>
      <c r="C949" t="s">
        <v>5294</v>
      </c>
      <c r="D949" t="s">
        <v>10</v>
      </c>
      <c r="E949" t="s">
        <v>16</v>
      </c>
      <c r="F949">
        <v>2</v>
      </c>
    </row>
    <row r="950" spans="1:6" x14ac:dyDescent="0.2">
      <c r="A950" t="s">
        <v>1021</v>
      </c>
      <c r="B950" t="s">
        <v>5224</v>
      </c>
      <c r="C950" t="s">
        <v>1020</v>
      </c>
      <c r="D950" t="s">
        <v>10</v>
      </c>
      <c r="E950" t="s">
        <v>11</v>
      </c>
      <c r="F950">
        <v>1</v>
      </c>
    </row>
    <row r="951" spans="1:6" x14ac:dyDescent="0.2">
      <c r="A951" t="s">
        <v>7454</v>
      </c>
      <c r="B951" t="s">
        <v>7434</v>
      </c>
      <c r="C951" t="s">
        <v>7453</v>
      </c>
      <c r="D951" t="s">
        <v>10</v>
      </c>
      <c r="E951" t="s">
        <v>16</v>
      </c>
      <c r="F951">
        <v>1</v>
      </c>
    </row>
    <row r="952" spans="1:6" x14ac:dyDescent="0.2">
      <c r="A952" t="s">
        <v>7456</v>
      </c>
      <c r="B952" t="s">
        <v>7434</v>
      </c>
      <c r="C952" t="s">
        <v>7455</v>
      </c>
      <c r="D952" t="s">
        <v>10</v>
      </c>
      <c r="E952" t="s">
        <v>52</v>
      </c>
      <c r="F952">
        <v>1</v>
      </c>
    </row>
    <row r="953" spans="1:6" x14ac:dyDescent="0.2">
      <c r="A953" t="s">
        <v>5303</v>
      </c>
      <c r="B953" t="s">
        <v>5301</v>
      </c>
      <c r="C953" t="s">
        <v>5302</v>
      </c>
      <c r="D953" t="s">
        <v>10</v>
      </c>
      <c r="E953" t="s">
        <v>16</v>
      </c>
      <c r="F953">
        <v>1</v>
      </c>
    </row>
    <row r="954" spans="1:6" x14ac:dyDescent="0.2">
      <c r="A954" t="s">
        <v>133</v>
      </c>
      <c r="B954" t="s">
        <v>131</v>
      </c>
      <c r="C954" t="s">
        <v>132</v>
      </c>
      <c r="D954" t="s">
        <v>10</v>
      </c>
      <c r="E954" t="s">
        <v>52</v>
      </c>
      <c r="F954">
        <v>1</v>
      </c>
    </row>
    <row r="955" spans="1:6" x14ac:dyDescent="0.2">
      <c r="A955" t="s">
        <v>6708</v>
      </c>
      <c r="B955" t="s">
        <v>9968</v>
      </c>
      <c r="C955" t="s">
        <v>2032</v>
      </c>
      <c r="D955" t="s">
        <v>56</v>
      </c>
      <c r="E955" t="s">
        <v>16</v>
      </c>
      <c r="F955">
        <v>1</v>
      </c>
    </row>
    <row r="956" spans="1:6" x14ac:dyDescent="0.2">
      <c r="A956" t="s">
        <v>9974</v>
      </c>
      <c r="B956" t="s">
        <v>9968</v>
      </c>
      <c r="C956" t="s">
        <v>9973</v>
      </c>
      <c r="D956" t="s">
        <v>56</v>
      </c>
      <c r="E956" t="s">
        <v>52</v>
      </c>
      <c r="F956">
        <v>1</v>
      </c>
    </row>
    <row r="957" spans="1:6" x14ac:dyDescent="0.2">
      <c r="A957" t="s">
        <v>5343</v>
      </c>
      <c r="B957" t="s">
        <v>5329</v>
      </c>
      <c r="C957" t="s">
        <v>5342</v>
      </c>
      <c r="D957" t="s">
        <v>10</v>
      </c>
      <c r="E957" t="s">
        <v>16</v>
      </c>
      <c r="F957">
        <v>1</v>
      </c>
    </row>
    <row r="958" spans="1:6" x14ac:dyDescent="0.2">
      <c r="A958" t="s">
        <v>2803</v>
      </c>
      <c r="B958" t="s">
        <v>8050</v>
      </c>
      <c r="C958" t="s">
        <v>8075</v>
      </c>
      <c r="D958" t="s">
        <v>56</v>
      </c>
      <c r="E958" t="s">
        <v>52</v>
      </c>
      <c r="F958">
        <v>2</v>
      </c>
    </row>
    <row r="959" spans="1:6" x14ac:dyDescent="0.2">
      <c r="A959" t="s">
        <v>5325</v>
      </c>
      <c r="B959" t="s">
        <v>5324</v>
      </c>
      <c r="C959" t="s">
        <v>5328</v>
      </c>
      <c r="D959" t="s">
        <v>10</v>
      </c>
      <c r="E959" t="s">
        <v>16</v>
      </c>
      <c r="F959">
        <v>1</v>
      </c>
    </row>
    <row r="960" spans="1:6" x14ac:dyDescent="0.2">
      <c r="A960" t="s">
        <v>406</v>
      </c>
      <c r="B960" t="s">
        <v>2666</v>
      </c>
      <c r="C960" t="s">
        <v>405</v>
      </c>
      <c r="D960" t="s">
        <v>10</v>
      </c>
      <c r="E960" t="s">
        <v>16</v>
      </c>
      <c r="F960">
        <v>1</v>
      </c>
    </row>
    <row r="961" spans="1:6" x14ac:dyDescent="0.2">
      <c r="A961" t="s">
        <v>2672</v>
      </c>
      <c r="B961" t="s">
        <v>2666</v>
      </c>
      <c r="C961" t="s">
        <v>2671</v>
      </c>
      <c r="D961" t="s">
        <v>10</v>
      </c>
      <c r="E961" t="s">
        <v>16</v>
      </c>
      <c r="F961">
        <v>2</v>
      </c>
    </row>
    <row r="962" spans="1:6" x14ac:dyDescent="0.2">
      <c r="A962" t="s">
        <v>2668</v>
      </c>
      <c r="B962" t="s">
        <v>2666</v>
      </c>
      <c r="C962" t="s">
        <v>2667</v>
      </c>
      <c r="D962" t="s">
        <v>10</v>
      </c>
      <c r="E962" t="s">
        <v>16</v>
      </c>
      <c r="F962">
        <v>1</v>
      </c>
    </row>
    <row r="963" spans="1:6" x14ac:dyDescent="0.2">
      <c r="A963" t="s">
        <v>6980</v>
      </c>
      <c r="B963" t="s">
        <v>6978</v>
      </c>
      <c r="C963" t="s">
        <v>6979</v>
      </c>
      <c r="D963" t="s">
        <v>10</v>
      </c>
      <c r="E963" t="s">
        <v>16</v>
      </c>
      <c r="F963">
        <v>1</v>
      </c>
    </row>
    <row r="964" spans="1:6" x14ac:dyDescent="0.2">
      <c r="A964" t="s">
        <v>2670</v>
      </c>
      <c r="B964" t="s">
        <v>2666</v>
      </c>
      <c r="C964" t="s">
        <v>2669</v>
      </c>
      <c r="D964" t="s">
        <v>10</v>
      </c>
      <c r="E964" t="s">
        <v>16</v>
      </c>
      <c r="F964">
        <v>1</v>
      </c>
    </row>
    <row r="965" spans="1:6" x14ac:dyDescent="0.2">
      <c r="A965" t="s">
        <v>8241</v>
      </c>
      <c r="B965" t="s">
        <v>8235</v>
      </c>
      <c r="C965" t="s">
        <v>8240</v>
      </c>
      <c r="D965" t="s">
        <v>10</v>
      </c>
      <c r="E965" t="s">
        <v>11</v>
      </c>
      <c r="F965">
        <v>2</v>
      </c>
    </row>
    <row r="966" spans="1:6" x14ac:dyDescent="0.2">
      <c r="A966" t="s">
        <v>5671</v>
      </c>
      <c r="B966" t="s">
        <v>5665</v>
      </c>
      <c r="C966" t="s">
        <v>12081</v>
      </c>
      <c r="D966" t="s">
        <v>10</v>
      </c>
      <c r="E966" t="s">
        <v>11</v>
      </c>
      <c r="F966">
        <v>2</v>
      </c>
    </row>
    <row r="967" spans="1:6" x14ac:dyDescent="0.2">
      <c r="A967" t="s">
        <v>3282</v>
      </c>
      <c r="B967" t="s">
        <v>7597</v>
      </c>
      <c r="C967" t="s">
        <v>3339</v>
      </c>
      <c r="D967" t="s">
        <v>10</v>
      </c>
      <c r="E967" t="s">
        <v>11</v>
      </c>
      <c r="F967">
        <v>1</v>
      </c>
    </row>
    <row r="968" spans="1:6" x14ac:dyDescent="0.2">
      <c r="A968" t="s">
        <v>4192</v>
      </c>
      <c r="B968" t="s">
        <v>4178</v>
      </c>
      <c r="C968" t="s">
        <v>4201</v>
      </c>
      <c r="D968" t="s">
        <v>10</v>
      </c>
      <c r="E968" t="s">
        <v>11</v>
      </c>
      <c r="F968">
        <v>1</v>
      </c>
    </row>
    <row r="969" spans="1:6" x14ac:dyDescent="0.2">
      <c r="A969" t="s">
        <v>5894</v>
      </c>
      <c r="B969" t="s">
        <v>5892</v>
      </c>
      <c r="C969" t="s">
        <v>5901</v>
      </c>
      <c r="D969" t="s">
        <v>10</v>
      </c>
      <c r="E969" t="s">
        <v>11</v>
      </c>
      <c r="F969">
        <v>2</v>
      </c>
    </row>
    <row r="970" spans="1:6" x14ac:dyDescent="0.2">
      <c r="A970" t="s">
        <v>7645</v>
      </c>
      <c r="B970" t="s">
        <v>7597</v>
      </c>
      <c r="C970" t="s">
        <v>7644</v>
      </c>
      <c r="D970" t="s">
        <v>10</v>
      </c>
      <c r="E970" t="s">
        <v>11</v>
      </c>
      <c r="F970">
        <v>2</v>
      </c>
    </row>
    <row r="971" spans="1:6" x14ac:dyDescent="0.2">
      <c r="A971" t="s">
        <v>7090</v>
      </c>
      <c r="B971" t="s">
        <v>7087</v>
      </c>
      <c r="C971" t="s">
        <v>7089</v>
      </c>
      <c r="D971" t="s">
        <v>10</v>
      </c>
      <c r="E971" t="s">
        <v>16</v>
      </c>
      <c r="F971">
        <v>1</v>
      </c>
    </row>
    <row r="972" spans="1:6" x14ac:dyDescent="0.2">
      <c r="A972" t="s">
        <v>6105</v>
      </c>
      <c r="B972" t="s">
        <v>6073</v>
      </c>
      <c r="C972" t="s">
        <v>6104</v>
      </c>
      <c r="D972" t="s">
        <v>10</v>
      </c>
      <c r="E972" t="s">
        <v>11</v>
      </c>
      <c r="F972">
        <v>2</v>
      </c>
    </row>
    <row r="973" spans="1:6" x14ac:dyDescent="0.2">
      <c r="A973" t="s">
        <v>2799</v>
      </c>
      <c r="B973" t="s">
        <v>8050</v>
      </c>
      <c r="C973" t="s">
        <v>2804</v>
      </c>
      <c r="D973" t="s">
        <v>10</v>
      </c>
      <c r="E973" t="s">
        <v>11</v>
      </c>
      <c r="F973">
        <v>2</v>
      </c>
    </row>
    <row r="974" spans="1:6" x14ac:dyDescent="0.2">
      <c r="A974" t="s">
        <v>5515</v>
      </c>
      <c r="B974" t="s">
        <v>5513</v>
      </c>
      <c r="C974" t="s">
        <v>5514</v>
      </c>
      <c r="D974" t="s">
        <v>10</v>
      </c>
      <c r="E974" t="s">
        <v>16</v>
      </c>
      <c r="F974">
        <v>1</v>
      </c>
    </row>
    <row r="975" spans="1:6" x14ac:dyDescent="0.2">
      <c r="A975" t="s">
        <v>5680</v>
      </c>
      <c r="B975" t="s">
        <v>5892</v>
      </c>
      <c r="C975" t="s">
        <v>5679</v>
      </c>
      <c r="D975" t="s">
        <v>10</v>
      </c>
      <c r="E975" t="s">
        <v>11</v>
      </c>
      <c r="F975">
        <v>1</v>
      </c>
    </row>
    <row r="976" spans="1:6" x14ac:dyDescent="0.2">
      <c r="A976" t="s">
        <v>1734</v>
      </c>
      <c r="B976" t="s">
        <v>8050</v>
      </c>
      <c r="C976" t="s">
        <v>2808</v>
      </c>
      <c r="D976" t="s">
        <v>10</v>
      </c>
      <c r="E976" t="s">
        <v>11</v>
      </c>
      <c r="F976">
        <v>2</v>
      </c>
    </row>
    <row r="977" spans="1:6" x14ac:dyDescent="0.2">
      <c r="A977" t="s">
        <v>2890</v>
      </c>
      <c r="B977" t="s">
        <v>8050</v>
      </c>
      <c r="C977" t="s">
        <v>2897</v>
      </c>
      <c r="D977" t="s">
        <v>10</v>
      </c>
      <c r="E977" t="s">
        <v>11</v>
      </c>
      <c r="F977">
        <v>2</v>
      </c>
    </row>
    <row r="978" spans="1:6" x14ac:dyDescent="0.2">
      <c r="A978" t="s">
        <v>1980</v>
      </c>
      <c r="B978" t="s">
        <v>1978</v>
      </c>
      <c r="C978" t="s">
        <v>1979</v>
      </c>
      <c r="D978" t="s">
        <v>10</v>
      </c>
      <c r="E978" t="s">
        <v>16</v>
      </c>
      <c r="F978">
        <v>1</v>
      </c>
    </row>
    <row r="979" spans="1:6" x14ac:dyDescent="0.2">
      <c r="A979" t="s">
        <v>8242</v>
      </c>
      <c r="B979" t="s">
        <v>8235</v>
      </c>
      <c r="C979" t="s">
        <v>5571</v>
      </c>
      <c r="D979" t="s">
        <v>10</v>
      </c>
      <c r="E979" t="s">
        <v>11</v>
      </c>
      <c r="F979">
        <v>1</v>
      </c>
    </row>
    <row r="980" spans="1:6" x14ac:dyDescent="0.2">
      <c r="A980" t="s">
        <v>7786</v>
      </c>
      <c r="B980" t="s">
        <v>7759</v>
      </c>
      <c r="C980" t="s">
        <v>7785</v>
      </c>
      <c r="D980" t="s">
        <v>10</v>
      </c>
      <c r="E980" t="s">
        <v>11</v>
      </c>
      <c r="F980">
        <v>2</v>
      </c>
    </row>
    <row r="981" spans="1:6" x14ac:dyDescent="0.2">
      <c r="A981" t="s">
        <v>155</v>
      </c>
      <c r="B981" t="s">
        <v>10440</v>
      </c>
      <c r="C981" t="s">
        <v>10452</v>
      </c>
      <c r="D981" t="s">
        <v>10</v>
      </c>
      <c r="E981" t="s">
        <v>16</v>
      </c>
      <c r="F981">
        <v>1</v>
      </c>
    </row>
    <row r="982" spans="1:6" x14ac:dyDescent="0.2">
      <c r="A982" t="s">
        <v>169</v>
      </c>
      <c r="B982" t="s">
        <v>10440</v>
      </c>
      <c r="C982" t="s">
        <v>168</v>
      </c>
      <c r="D982" t="s">
        <v>10</v>
      </c>
      <c r="E982" t="s">
        <v>52</v>
      </c>
      <c r="F982">
        <v>1</v>
      </c>
    </row>
    <row r="983" spans="1:6" x14ac:dyDescent="0.2">
      <c r="A983" t="s">
        <v>4160</v>
      </c>
      <c r="B983" t="s">
        <v>5665</v>
      </c>
      <c r="C983" t="s">
        <v>5681</v>
      </c>
      <c r="D983" t="s">
        <v>10</v>
      </c>
      <c r="E983" t="s">
        <v>52</v>
      </c>
      <c r="F983">
        <v>2</v>
      </c>
    </row>
    <row r="984" spans="1:6" x14ac:dyDescent="0.2">
      <c r="A984" t="s">
        <v>5685</v>
      </c>
      <c r="B984" t="s">
        <v>5665</v>
      </c>
      <c r="C984" t="s">
        <v>5684</v>
      </c>
      <c r="D984" t="s">
        <v>10</v>
      </c>
      <c r="E984" t="s">
        <v>11</v>
      </c>
      <c r="F984">
        <v>2</v>
      </c>
    </row>
    <row r="985" spans="1:6" x14ac:dyDescent="0.2">
      <c r="A985" t="s">
        <v>4408</v>
      </c>
      <c r="B985" t="s">
        <v>4390</v>
      </c>
      <c r="C985" t="s">
        <v>4407</v>
      </c>
      <c r="D985" t="s">
        <v>10</v>
      </c>
      <c r="E985" t="s">
        <v>11</v>
      </c>
      <c r="F985">
        <v>2</v>
      </c>
    </row>
    <row r="986" spans="1:6" x14ac:dyDescent="0.2">
      <c r="A986" t="s">
        <v>5975</v>
      </c>
      <c r="B986" t="s">
        <v>5973</v>
      </c>
      <c r="C986" t="s">
        <v>5974</v>
      </c>
      <c r="D986" t="s">
        <v>10</v>
      </c>
      <c r="E986" t="s">
        <v>16</v>
      </c>
      <c r="F986">
        <v>1</v>
      </c>
    </row>
    <row r="987" spans="1:6" x14ac:dyDescent="0.2">
      <c r="A987" t="s">
        <v>7776</v>
      </c>
      <c r="B987" t="s">
        <v>7759</v>
      </c>
      <c r="C987" t="s">
        <v>7779</v>
      </c>
      <c r="D987" t="s">
        <v>10</v>
      </c>
      <c r="E987" t="s">
        <v>11</v>
      </c>
      <c r="F987">
        <v>1</v>
      </c>
    </row>
    <row r="988" spans="1:6" x14ac:dyDescent="0.2">
      <c r="A988" t="s">
        <v>6095</v>
      </c>
      <c r="B988" t="s">
        <v>6073</v>
      </c>
      <c r="C988" t="s">
        <v>6094</v>
      </c>
      <c r="D988" t="s">
        <v>10</v>
      </c>
      <c r="E988" t="s">
        <v>16</v>
      </c>
      <c r="F988">
        <v>1</v>
      </c>
    </row>
    <row r="989" spans="1:6" x14ac:dyDescent="0.2">
      <c r="A989" t="s">
        <v>6741</v>
      </c>
      <c r="B989" t="s">
        <v>8050</v>
      </c>
      <c r="C989" t="s">
        <v>8047</v>
      </c>
      <c r="D989" t="s">
        <v>10</v>
      </c>
      <c r="E989" t="s">
        <v>11</v>
      </c>
      <c r="F989">
        <v>2</v>
      </c>
    </row>
    <row r="990" spans="1:6" x14ac:dyDescent="0.2">
      <c r="A990" t="s">
        <v>5450</v>
      </c>
      <c r="B990" t="s">
        <v>5448</v>
      </c>
      <c r="C990" t="s">
        <v>5449</v>
      </c>
      <c r="D990" t="s">
        <v>10</v>
      </c>
      <c r="E990" t="s">
        <v>52</v>
      </c>
      <c r="F990">
        <v>1</v>
      </c>
    </row>
    <row r="991" spans="1:6" x14ac:dyDescent="0.2">
      <c r="A991" t="s">
        <v>3658</v>
      </c>
      <c r="B991" t="s">
        <v>3509</v>
      </c>
      <c r="C991" t="s">
        <v>3749</v>
      </c>
      <c r="D991" t="s">
        <v>10</v>
      </c>
      <c r="E991" t="s">
        <v>52</v>
      </c>
      <c r="F991">
        <v>2</v>
      </c>
    </row>
    <row r="992" spans="1:6" x14ac:dyDescent="0.2">
      <c r="A992" t="s">
        <v>581</v>
      </c>
      <c r="B992" t="s">
        <v>577</v>
      </c>
      <c r="C992" t="s">
        <v>580</v>
      </c>
      <c r="D992" t="s">
        <v>10</v>
      </c>
      <c r="E992" t="s">
        <v>16</v>
      </c>
      <c r="F992">
        <v>2</v>
      </c>
    </row>
    <row r="993" spans="1:6" x14ac:dyDescent="0.2">
      <c r="A993" t="s">
        <v>5452</v>
      </c>
      <c r="B993" t="s">
        <v>5448</v>
      </c>
      <c r="C993" t="s">
        <v>5451</v>
      </c>
      <c r="D993" t="s">
        <v>10</v>
      </c>
      <c r="E993" t="s">
        <v>52</v>
      </c>
      <c r="F993">
        <v>1</v>
      </c>
    </row>
    <row r="994" spans="1:6" x14ac:dyDescent="0.2">
      <c r="A994" t="s">
        <v>995</v>
      </c>
      <c r="B994" t="s">
        <v>8748</v>
      </c>
      <c r="C994" t="s">
        <v>8757</v>
      </c>
      <c r="D994" t="s">
        <v>10</v>
      </c>
      <c r="E994" t="s">
        <v>11</v>
      </c>
      <c r="F994">
        <v>2</v>
      </c>
    </row>
    <row r="995" spans="1:6" x14ac:dyDescent="0.2">
      <c r="A995" t="s">
        <v>5666</v>
      </c>
      <c r="B995" t="s">
        <v>5665</v>
      </c>
      <c r="C995" t="s">
        <v>12082</v>
      </c>
      <c r="D995" t="s">
        <v>10</v>
      </c>
      <c r="E995" t="s">
        <v>52</v>
      </c>
      <c r="F995">
        <v>2</v>
      </c>
    </row>
    <row r="996" spans="1:6" x14ac:dyDescent="0.2">
      <c r="A996" t="s">
        <v>6949</v>
      </c>
      <c r="B996" t="s">
        <v>6944</v>
      </c>
      <c r="C996" t="s">
        <v>6948</v>
      </c>
      <c r="D996" t="s">
        <v>10</v>
      </c>
      <c r="E996" t="s">
        <v>11</v>
      </c>
      <c r="F996">
        <v>2</v>
      </c>
    </row>
    <row r="997" spans="1:6" x14ac:dyDescent="0.2">
      <c r="A997" t="s">
        <v>5669</v>
      </c>
      <c r="B997" t="s">
        <v>5665</v>
      </c>
      <c r="C997" t="s">
        <v>12083</v>
      </c>
      <c r="D997" t="s">
        <v>10</v>
      </c>
      <c r="E997" t="s">
        <v>52</v>
      </c>
      <c r="F997">
        <v>2</v>
      </c>
    </row>
    <row r="998" spans="1:6" x14ac:dyDescent="0.2">
      <c r="A998" t="s">
        <v>10442</v>
      </c>
      <c r="B998" t="s">
        <v>11673</v>
      </c>
      <c r="C998" t="s">
        <v>10459</v>
      </c>
      <c r="D998" t="s">
        <v>10</v>
      </c>
      <c r="E998" t="s">
        <v>52</v>
      </c>
      <c r="F998">
        <v>2</v>
      </c>
    </row>
    <row r="999" spans="1:6" x14ac:dyDescent="0.2">
      <c r="A999" t="s">
        <v>5670</v>
      </c>
      <c r="B999" t="s">
        <v>5665</v>
      </c>
      <c r="C999" t="s">
        <v>12084</v>
      </c>
      <c r="D999" t="s">
        <v>10</v>
      </c>
      <c r="E999" t="s">
        <v>11</v>
      </c>
      <c r="F999">
        <v>2</v>
      </c>
    </row>
    <row r="1000" spans="1:6" x14ac:dyDescent="0.2">
      <c r="A1000" t="s">
        <v>3883</v>
      </c>
      <c r="B1000" t="s">
        <v>3880</v>
      </c>
      <c r="C1000" t="s">
        <v>3886</v>
      </c>
      <c r="D1000" t="s">
        <v>10</v>
      </c>
      <c r="E1000" t="s">
        <v>11</v>
      </c>
      <c r="F1000">
        <v>1</v>
      </c>
    </row>
    <row r="1001" spans="1:6" x14ac:dyDescent="0.2">
      <c r="A1001" t="s">
        <v>3296</v>
      </c>
      <c r="B1001" t="s">
        <v>8663</v>
      </c>
      <c r="C1001" t="s">
        <v>8243</v>
      </c>
      <c r="D1001" t="s">
        <v>10</v>
      </c>
      <c r="E1001" t="s">
        <v>11</v>
      </c>
      <c r="F1001">
        <v>1</v>
      </c>
    </row>
    <row r="1002" spans="1:6" x14ac:dyDescent="0.2">
      <c r="A1002" t="s">
        <v>436</v>
      </c>
      <c r="B1002" t="s">
        <v>10339</v>
      </c>
      <c r="C1002" t="s">
        <v>435</v>
      </c>
      <c r="D1002" t="s">
        <v>10</v>
      </c>
      <c r="E1002" t="s">
        <v>16</v>
      </c>
      <c r="F1002">
        <v>1</v>
      </c>
    </row>
    <row r="1003" spans="1:6" x14ac:dyDescent="0.2">
      <c r="A1003" t="s">
        <v>4406</v>
      </c>
      <c r="B1003" t="s">
        <v>4390</v>
      </c>
      <c r="C1003" t="s">
        <v>4405</v>
      </c>
      <c r="D1003" t="s">
        <v>10</v>
      </c>
      <c r="E1003" t="s">
        <v>11</v>
      </c>
      <c r="F1003">
        <v>3</v>
      </c>
    </row>
    <row r="1004" spans="1:6" x14ac:dyDescent="0.2">
      <c r="A1004" t="s">
        <v>6103</v>
      </c>
      <c r="B1004" t="s">
        <v>6073</v>
      </c>
      <c r="C1004" t="s">
        <v>6102</v>
      </c>
      <c r="D1004" t="s">
        <v>10</v>
      </c>
      <c r="E1004" t="s">
        <v>11</v>
      </c>
      <c r="F1004">
        <v>1</v>
      </c>
    </row>
    <row r="1005" spans="1:6" x14ac:dyDescent="0.2">
      <c r="A1005" t="s">
        <v>5630</v>
      </c>
      <c r="B1005" t="s">
        <v>5628</v>
      </c>
      <c r="C1005" t="s">
        <v>5629</v>
      </c>
      <c r="D1005" t="s">
        <v>10</v>
      </c>
      <c r="E1005" t="s">
        <v>16</v>
      </c>
      <c r="F1005">
        <v>1</v>
      </c>
    </row>
    <row r="1006" spans="1:6" x14ac:dyDescent="0.2">
      <c r="A1006" t="s">
        <v>5633</v>
      </c>
      <c r="B1006" t="s">
        <v>5628</v>
      </c>
      <c r="C1006" t="s">
        <v>5632</v>
      </c>
      <c r="D1006" t="s">
        <v>10</v>
      </c>
      <c r="E1006" t="s">
        <v>16</v>
      </c>
      <c r="F1006">
        <v>1</v>
      </c>
    </row>
    <row r="1007" spans="1:6" x14ac:dyDescent="0.2">
      <c r="A1007" t="s">
        <v>5635</v>
      </c>
      <c r="B1007" t="s">
        <v>5628</v>
      </c>
      <c r="C1007" t="s">
        <v>5634</v>
      </c>
      <c r="D1007" t="s">
        <v>10</v>
      </c>
      <c r="E1007" t="s">
        <v>16</v>
      </c>
      <c r="F1007">
        <v>1</v>
      </c>
    </row>
    <row r="1008" spans="1:6" x14ac:dyDescent="0.2">
      <c r="A1008" t="s">
        <v>5639</v>
      </c>
      <c r="B1008" t="s">
        <v>5628</v>
      </c>
      <c r="C1008" t="s">
        <v>5638</v>
      </c>
      <c r="D1008" t="s">
        <v>10</v>
      </c>
      <c r="E1008" t="s">
        <v>16</v>
      </c>
      <c r="F1008">
        <v>1</v>
      </c>
    </row>
    <row r="1009" spans="1:6" x14ac:dyDescent="0.2">
      <c r="A1009" t="s">
        <v>4398</v>
      </c>
      <c r="B1009" t="s">
        <v>4390</v>
      </c>
      <c r="C1009" t="s">
        <v>4397</v>
      </c>
      <c r="D1009" t="s">
        <v>10</v>
      </c>
      <c r="E1009" t="s">
        <v>11</v>
      </c>
      <c r="F1009">
        <v>2</v>
      </c>
    </row>
    <row r="1010" spans="1:6" x14ac:dyDescent="0.2">
      <c r="A1010" t="s">
        <v>5415</v>
      </c>
      <c r="B1010" t="s">
        <v>5413</v>
      </c>
      <c r="C1010" t="s">
        <v>5414</v>
      </c>
      <c r="D1010" t="s">
        <v>10</v>
      </c>
      <c r="E1010" t="s">
        <v>16</v>
      </c>
      <c r="F1010">
        <v>1</v>
      </c>
    </row>
    <row r="1011" spans="1:6" x14ac:dyDescent="0.2">
      <c r="A1011" t="s">
        <v>4400</v>
      </c>
      <c r="B1011" t="s">
        <v>4390</v>
      </c>
      <c r="C1011" t="s">
        <v>4399</v>
      </c>
      <c r="D1011" t="s">
        <v>10</v>
      </c>
      <c r="E1011" t="s">
        <v>11</v>
      </c>
      <c r="F1011">
        <v>2</v>
      </c>
    </row>
    <row r="1012" spans="1:6" x14ac:dyDescent="0.2">
      <c r="A1012" t="s">
        <v>5352</v>
      </c>
      <c r="B1012" t="s">
        <v>5348</v>
      </c>
      <c r="C1012" t="s">
        <v>5365</v>
      </c>
      <c r="D1012" t="s">
        <v>10</v>
      </c>
      <c r="E1012" t="s">
        <v>16</v>
      </c>
      <c r="F1012">
        <v>1</v>
      </c>
    </row>
    <row r="1013" spans="1:6" x14ac:dyDescent="0.2">
      <c r="A1013" t="s">
        <v>4402</v>
      </c>
      <c r="B1013" t="s">
        <v>4390</v>
      </c>
      <c r="C1013" t="s">
        <v>4401</v>
      </c>
      <c r="D1013" t="s">
        <v>10</v>
      </c>
      <c r="E1013" t="s">
        <v>11</v>
      </c>
      <c r="F1013">
        <v>3</v>
      </c>
    </row>
    <row r="1014" spans="1:6" x14ac:dyDescent="0.2">
      <c r="A1014" t="s">
        <v>5362</v>
      </c>
      <c r="B1014" t="s">
        <v>5348</v>
      </c>
      <c r="C1014" t="s">
        <v>5387</v>
      </c>
      <c r="D1014" t="s">
        <v>10</v>
      </c>
      <c r="E1014" t="s">
        <v>16</v>
      </c>
      <c r="F1014">
        <v>1</v>
      </c>
    </row>
    <row r="1015" spans="1:6" x14ac:dyDescent="0.2">
      <c r="A1015" t="s">
        <v>4440</v>
      </c>
      <c r="B1015" t="s">
        <v>4390</v>
      </c>
      <c r="C1015" t="s">
        <v>4439</v>
      </c>
      <c r="D1015" t="s">
        <v>10</v>
      </c>
      <c r="E1015" t="s">
        <v>11</v>
      </c>
      <c r="F1015">
        <v>2</v>
      </c>
    </row>
    <row r="1016" spans="1:6" x14ac:dyDescent="0.2">
      <c r="A1016" t="s">
        <v>4396</v>
      </c>
      <c r="B1016" t="s">
        <v>4390</v>
      </c>
      <c r="C1016" t="s">
        <v>4395</v>
      </c>
      <c r="D1016" t="s">
        <v>10</v>
      </c>
      <c r="E1016" t="s">
        <v>11</v>
      </c>
      <c r="F1016">
        <v>3</v>
      </c>
    </row>
    <row r="1017" spans="1:6" x14ac:dyDescent="0.2">
      <c r="A1017" t="s">
        <v>4438</v>
      </c>
      <c r="B1017" t="s">
        <v>4390</v>
      </c>
      <c r="C1017" t="s">
        <v>4437</v>
      </c>
      <c r="D1017" t="s">
        <v>10</v>
      </c>
      <c r="E1017" t="s">
        <v>11</v>
      </c>
      <c r="F1017">
        <v>3</v>
      </c>
    </row>
    <row r="1018" spans="1:6" x14ac:dyDescent="0.2">
      <c r="A1018" t="s">
        <v>1743</v>
      </c>
      <c r="B1018" t="s">
        <v>1739</v>
      </c>
      <c r="C1018" t="s">
        <v>1742</v>
      </c>
      <c r="D1018" t="s">
        <v>10</v>
      </c>
      <c r="E1018" t="s">
        <v>16</v>
      </c>
      <c r="F1018">
        <v>1</v>
      </c>
    </row>
    <row r="1019" spans="1:6" x14ac:dyDescent="0.2">
      <c r="A1019" t="s">
        <v>1528</v>
      </c>
      <c r="B1019" t="s">
        <v>1526</v>
      </c>
      <c r="C1019" t="s">
        <v>1527</v>
      </c>
      <c r="D1019" t="s">
        <v>10</v>
      </c>
      <c r="E1019" t="s">
        <v>16</v>
      </c>
      <c r="F1019">
        <v>1</v>
      </c>
    </row>
    <row r="1020" spans="1:6" x14ac:dyDescent="0.2">
      <c r="A1020" t="s">
        <v>8195</v>
      </c>
      <c r="B1020" t="s">
        <v>8193</v>
      </c>
      <c r="C1020" t="s">
        <v>8203</v>
      </c>
      <c r="D1020" t="s">
        <v>10</v>
      </c>
      <c r="E1020" t="s">
        <v>16</v>
      </c>
      <c r="F1020">
        <v>1</v>
      </c>
    </row>
    <row r="1021" spans="1:6" x14ac:dyDescent="0.2">
      <c r="A1021" t="s">
        <v>9794</v>
      </c>
      <c r="B1021" t="s">
        <v>9792</v>
      </c>
      <c r="C1021" t="s">
        <v>9797</v>
      </c>
      <c r="D1021" t="s">
        <v>10</v>
      </c>
      <c r="E1021" t="s">
        <v>16</v>
      </c>
      <c r="F1021">
        <v>1</v>
      </c>
    </row>
    <row r="1022" spans="1:6" x14ac:dyDescent="0.2">
      <c r="A1022" t="s">
        <v>9796</v>
      </c>
      <c r="B1022" t="s">
        <v>9792</v>
      </c>
      <c r="C1022" t="s">
        <v>9795</v>
      </c>
      <c r="D1022" t="s">
        <v>10</v>
      </c>
      <c r="E1022" t="s">
        <v>52</v>
      </c>
      <c r="F1022">
        <v>1</v>
      </c>
    </row>
    <row r="1023" spans="1:6" x14ac:dyDescent="0.2">
      <c r="A1023" t="s">
        <v>3037</v>
      </c>
      <c r="B1023" t="s">
        <v>3035</v>
      </c>
      <c r="C1023" t="s">
        <v>3036</v>
      </c>
      <c r="D1023" t="s">
        <v>10</v>
      </c>
      <c r="E1023" t="s">
        <v>16</v>
      </c>
      <c r="F1023">
        <v>1</v>
      </c>
    </row>
    <row r="1024" spans="1:6" x14ac:dyDescent="0.2">
      <c r="A1024" t="s">
        <v>3039</v>
      </c>
      <c r="B1024" t="s">
        <v>3035</v>
      </c>
      <c r="C1024" t="s">
        <v>3038</v>
      </c>
      <c r="D1024" t="s">
        <v>10</v>
      </c>
      <c r="E1024" t="s">
        <v>16</v>
      </c>
      <c r="F1024">
        <v>1</v>
      </c>
    </row>
    <row r="1025" spans="1:6" x14ac:dyDescent="0.2">
      <c r="A1025" t="s">
        <v>5244</v>
      </c>
      <c r="B1025" t="s">
        <v>5242</v>
      </c>
      <c r="C1025" t="s">
        <v>5243</v>
      </c>
      <c r="D1025" t="s">
        <v>10</v>
      </c>
      <c r="E1025" t="s">
        <v>16</v>
      </c>
      <c r="F1025">
        <v>1</v>
      </c>
    </row>
    <row r="1026" spans="1:6" x14ac:dyDescent="0.2">
      <c r="A1026" t="s">
        <v>5716</v>
      </c>
      <c r="B1026" t="s">
        <v>5712</v>
      </c>
      <c r="C1026" t="s">
        <v>5719</v>
      </c>
      <c r="D1026" t="s">
        <v>10</v>
      </c>
      <c r="E1026" t="s">
        <v>16</v>
      </c>
      <c r="F1026">
        <v>1</v>
      </c>
    </row>
    <row r="1027" spans="1:6" x14ac:dyDescent="0.2">
      <c r="A1027" t="s">
        <v>5749</v>
      </c>
      <c r="B1027" t="s">
        <v>5747</v>
      </c>
      <c r="C1027" t="s">
        <v>5748</v>
      </c>
      <c r="D1027" t="s">
        <v>10</v>
      </c>
      <c r="E1027" t="s">
        <v>16</v>
      </c>
      <c r="F1027">
        <v>1</v>
      </c>
    </row>
    <row r="1028" spans="1:6" x14ac:dyDescent="0.2">
      <c r="A1028" t="s">
        <v>3911</v>
      </c>
      <c r="B1028" t="s">
        <v>3903</v>
      </c>
      <c r="C1028" t="s">
        <v>3912</v>
      </c>
      <c r="D1028" t="s">
        <v>10</v>
      </c>
      <c r="E1028" t="s">
        <v>11</v>
      </c>
      <c r="F1028">
        <v>1</v>
      </c>
    </row>
    <row r="1029" spans="1:6" x14ac:dyDescent="0.2">
      <c r="A1029" t="s">
        <v>5574</v>
      </c>
      <c r="B1029" t="s">
        <v>5566</v>
      </c>
      <c r="C1029" t="s">
        <v>5573</v>
      </c>
      <c r="D1029" t="s">
        <v>10</v>
      </c>
      <c r="E1029" t="s">
        <v>1080</v>
      </c>
      <c r="F1029">
        <v>1</v>
      </c>
    </row>
    <row r="1030" spans="1:6" x14ac:dyDescent="0.2">
      <c r="A1030" t="s">
        <v>5568</v>
      </c>
      <c r="B1030" t="s">
        <v>5566</v>
      </c>
      <c r="C1030" t="s">
        <v>5567</v>
      </c>
      <c r="D1030" t="s">
        <v>10</v>
      </c>
      <c r="E1030" t="s">
        <v>16</v>
      </c>
      <c r="F1030">
        <v>1</v>
      </c>
    </row>
    <row r="1031" spans="1:6" x14ac:dyDescent="0.2">
      <c r="A1031" t="s">
        <v>5572</v>
      </c>
      <c r="B1031" t="s">
        <v>5566</v>
      </c>
      <c r="C1031" t="s">
        <v>5571</v>
      </c>
      <c r="D1031" t="s">
        <v>10</v>
      </c>
      <c r="E1031" t="s">
        <v>16</v>
      </c>
      <c r="F1031">
        <v>1</v>
      </c>
    </row>
    <row r="1032" spans="1:6" x14ac:dyDescent="0.2">
      <c r="A1032" t="s">
        <v>5570</v>
      </c>
      <c r="B1032" t="s">
        <v>5566</v>
      </c>
      <c r="C1032" t="s">
        <v>5569</v>
      </c>
      <c r="D1032" t="s">
        <v>10</v>
      </c>
      <c r="E1032" t="s">
        <v>16</v>
      </c>
      <c r="F1032">
        <v>1</v>
      </c>
    </row>
    <row r="1033" spans="1:6" x14ac:dyDescent="0.2">
      <c r="A1033" t="s">
        <v>5519</v>
      </c>
      <c r="B1033" t="s">
        <v>5517</v>
      </c>
      <c r="C1033" t="s">
        <v>5518</v>
      </c>
      <c r="D1033" t="s">
        <v>10</v>
      </c>
      <c r="E1033" t="s">
        <v>16</v>
      </c>
      <c r="F1033">
        <v>1</v>
      </c>
    </row>
    <row r="1034" spans="1:6" x14ac:dyDescent="0.2">
      <c r="A1034" t="s">
        <v>698</v>
      </c>
      <c r="B1034" t="s">
        <v>696</v>
      </c>
      <c r="C1034" t="s">
        <v>711</v>
      </c>
      <c r="D1034" t="s">
        <v>10</v>
      </c>
      <c r="E1034" t="s">
        <v>16</v>
      </c>
      <c r="F1034">
        <v>1</v>
      </c>
    </row>
    <row r="1035" spans="1:6" x14ac:dyDescent="0.2">
      <c r="A1035" t="s">
        <v>5436</v>
      </c>
      <c r="B1035" t="s">
        <v>5434</v>
      </c>
      <c r="C1035" t="s">
        <v>5435</v>
      </c>
      <c r="D1035" t="s">
        <v>10</v>
      </c>
      <c r="E1035" t="s">
        <v>16</v>
      </c>
      <c r="F1035">
        <v>1</v>
      </c>
    </row>
    <row r="1036" spans="1:6" x14ac:dyDescent="0.2">
      <c r="A1036" t="s">
        <v>5476</v>
      </c>
      <c r="B1036" t="s">
        <v>5474</v>
      </c>
      <c r="C1036" t="s">
        <v>5475</v>
      </c>
      <c r="D1036" t="s">
        <v>10</v>
      </c>
      <c r="E1036" t="s">
        <v>16</v>
      </c>
      <c r="F1036">
        <v>1</v>
      </c>
    </row>
    <row r="1037" spans="1:6" x14ac:dyDescent="0.2">
      <c r="A1037" t="s">
        <v>8144</v>
      </c>
      <c r="B1037" t="s">
        <v>8142</v>
      </c>
      <c r="C1037" t="s">
        <v>8143</v>
      </c>
      <c r="D1037" t="s">
        <v>10</v>
      </c>
      <c r="E1037" t="s">
        <v>16</v>
      </c>
      <c r="F1037">
        <v>1</v>
      </c>
    </row>
    <row r="1038" spans="1:6" x14ac:dyDescent="0.2">
      <c r="A1038" t="s">
        <v>5372</v>
      </c>
      <c r="B1038" t="s">
        <v>5420</v>
      </c>
      <c r="C1038" t="s">
        <v>5371</v>
      </c>
      <c r="D1038" t="s">
        <v>56</v>
      </c>
      <c r="E1038" t="s">
        <v>52</v>
      </c>
      <c r="F1038">
        <v>1</v>
      </c>
    </row>
    <row r="1039" spans="1:6" x14ac:dyDescent="0.2">
      <c r="A1039" t="s">
        <v>10930</v>
      </c>
      <c r="B1039" t="s">
        <v>10928</v>
      </c>
      <c r="C1039" t="s">
        <v>10929</v>
      </c>
      <c r="D1039" t="s">
        <v>10</v>
      </c>
      <c r="E1039" t="s">
        <v>16</v>
      </c>
      <c r="F1039">
        <v>1</v>
      </c>
    </row>
    <row r="1040" spans="1:6" x14ac:dyDescent="0.2">
      <c r="A1040" t="s">
        <v>5522</v>
      </c>
      <c r="B1040" t="s">
        <v>5520</v>
      </c>
      <c r="C1040" t="s">
        <v>5521</v>
      </c>
      <c r="D1040" t="s">
        <v>10</v>
      </c>
      <c r="E1040" t="s">
        <v>16</v>
      </c>
      <c r="F1040">
        <v>1</v>
      </c>
    </row>
    <row r="1041" spans="1:6" x14ac:dyDescent="0.2">
      <c r="A1041" t="s">
        <v>5520</v>
      </c>
      <c r="B1041" t="s">
        <v>5520</v>
      </c>
      <c r="C1041" t="s">
        <v>5523</v>
      </c>
      <c r="D1041" t="s">
        <v>10</v>
      </c>
      <c r="E1041" t="s">
        <v>16</v>
      </c>
      <c r="F1041">
        <v>1</v>
      </c>
    </row>
    <row r="1042" spans="1:6" x14ac:dyDescent="0.2">
      <c r="A1042" t="s">
        <v>5551</v>
      </c>
      <c r="B1042" t="s">
        <v>5547</v>
      </c>
      <c r="C1042" t="s">
        <v>5552</v>
      </c>
      <c r="D1042" t="s">
        <v>10</v>
      </c>
      <c r="E1042" t="s">
        <v>16</v>
      </c>
      <c r="F1042">
        <v>1</v>
      </c>
    </row>
    <row r="1043" spans="1:6" x14ac:dyDescent="0.2">
      <c r="A1043" t="s">
        <v>695</v>
      </c>
      <c r="B1043" t="s">
        <v>690</v>
      </c>
      <c r="C1043" t="s">
        <v>694</v>
      </c>
      <c r="D1043" t="s">
        <v>10</v>
      </c>
      <c r="E1043" t="s">
        <v>11</v>
      </c>
      <c r="F1043">
        <v>2</v>
      </c>
    </row>
    <row r="1044" spans="1:6" x14ac:dyDescent="0.2">
      <c r="A1044" t="s">
        <v>5443</v>
      </c>
      <c r="B1044" t="s">
        <v>5441</v>
      </c>
      <c r="C1044" t="s">
        <v>5442</v>
      </c>
      <c r="D1044" t="s">
        <v>10</v>
      </c>
      <c r="E1044" t="s">
        <v>16</v>
      </c>
      <c r="F1044">
        <v>1</v>
      </c>
    </row>
    <row r="1045" spans="1:6" x14ac:dyDescent="0.2">
      <c r="A1045" t="s">
        <v>2084</v>
      </c>
      <c r="B1045" t="s">
        <v>2083</v>
      </c>
      <c r="C1045" t="s">
        <v>2087</v>
      </c>
      <c r="D1045" t="s">
        <v>10</v>
      </c>
      <c r="E1045" t="s">
        <v>16</v>
      </c>
      <c r="F1045">
        <v>1</v>
      </c>
    </row>
    <row r="1046" spans="1:6" x14ac:dyDescent="0.2">
      <c r="A1046" t="s">
        <v>2089</v>
      </c>
      <c r="B1046" t="s">
        <v>2083</v>
      </c>
      <c r="C1046" t="s">
        <v>2088</v>
      </c>
      <c r="D1046" t="s">
        <v>10</v>
      </c>
      <c r="E1046" t="s">
        <v>16</v>
      </c>
      <c r="F1046">
        <v>1</v>
      </c>
    </row>
    <row r="1047" spans="1:6" x14ac:dyDescent="0.2">
      <c r="A1047" t="s">
        <v>2086</v>
      </c>
      <c r="B1047" t="s">
        <v>2083</v>
      </c>
      <c r="C1047" t="s">
        <v>2085</v>
      </c>
      <c r="D1047" t="s">
        <v>10</v>
      </c>
      <c r="E1047" t="s">
        <v>16</v>
      </c>
      <c r="F1047">
        <v>1</v>
      </c>
    </row>
    <row r="1048" spans="1:6" x14ac:dyDescent="0.2">
      <c r="A1048" t="s">
        <v>1886</v>
      </c>
      <c r="B1048" t="s">
        <v>1884</v>
      </c>
      <c r="C1048" t="s">
        <v>1887</v>
      </c>
      <c r="D1048" t="s">
        <v>10</v>
      </c>
      <c r="E1048" t="s">
        <v>16</v>
      </c>
      <c r="F1048">
        <v>1</v>
      </c>
    </row>
    <row r="1049" spans="1:6" x14ac:dyDescent="0.2">
      <c r="A1049" t="s">
        <v>8123</v>
      </c>
      <c r="B1049" t="s">
        <v>8121</v>
      </c>
      <c r="C1049" t="s">
        <v>8122</v>
      </c>
      <c r="D1049" t="s">
        <v>10</v>
      </c>
      <c r="E1049" t="s">
        <v>16</v>
      </c>
      <c r="F1049">
        <v>1</v>
      </c>
    </row>
    <row r="1050" spans="1:6" x14ac:dyDescent="0.2">
      <c r="A1050" t="s">
        <v>8125</v>
      </c>
      <c r="B1050" t="s">
        <v>8121</v>
      </c>
      <c r="C1050" t="s">
        <v>8124</v>
      </c>
      <c r="D1050" t="s">
        <v>10</v>
      </c>
      <c r="E1050" t="s">
        <v>16</v>
      </c>
      <c r="F1050">
        <v>1</v>
      </c>
    </row>
    <row r="1051" spans="1:6" x14ac:dyDescent="0.2">
      <c r="A1051" t="s">
        <v>8127</v>
      </c>
      <c r="B1051" t="s">
        <v>8121</v>
      </c>
      <c r="C1051" t="s">
        <v>8126</v>
      </c>
      <c r="D1051" t="s">
        <v>10</v>
      </c>
      <c r="E1051" t="s">
        <v>16</v>
      </c>
      <c r="F1051">
        <v>1</v>
      </c>
    </row>
    <row r="1052" spans="1:6" x14ac:dyDescent="0.2">
      <c r="A1052" t="s">
        <v>4410</v>
      </c>
      <c r="B1052" t="s">
        <v>4390</v>
      </c>
      <c r="C1052" t="s">
        <v>4414</v>
      </c>
      <c r="D1052" t="s">
        <v>10</v>
      </c>
      <c r="E1052" t="s">
        <v>16</v>
      </c>
      <c r="F1052">
        <v>2</v>
      </c>
    </row>
    <row r="1053" spans="1:6" x14ac:dyDescent="0.2">
      <c r="A1053" t="s">
        <v>5525</v>
      </c>
      <c r="B1053" t="s">
        <v>10336</v>
      </c>
      <c r="C1053" t="s">
        <v>437</v>
      </c>
      <c r="D1053" t="s">
        <v>10</v>
      </c>
      <c r="E1053" t="s">
        <v>16</v>
      </c>
      <c r="F1053">
        <v>1</v>
      </c>
    </row>
    <row r="1054" spans="1:6" x14ac:dyDescent="0.2">
      <c r="A1054" t="s">
        <v>5548</v>
      </c>
      <c r="B1054" t="s">
        <v>5547</v>
      </c>
      <c r="C1054" t="s">
        <v>12085</v>
      </c>
      <c r="D1054" t="s">
        <v>10</v>
      </c>
      <c r="E1054" t="s">
        <v>16</v>
      </c>
      <c r="F1054">
        <v>1</v>
      </c>
    </row>
    <row r="1055" spans="1:6" x14ac:dyDescent="0.2">
      <c r="A1055" t="s">
        <v>5549</v>
      </c>
      <c r="B1055" t="s">
        <v>5547</v>
      </c>
      <c r="C1055" t="s">
        <v>5550</v>
      </c>
      <c r="D1055" t="s">
        <v>10</v>
      </c>
      <c r="E1055" t="s">
        <v>16</v>
      </c>
      <c r="F1055">
        <v>1</v>
      </c>
    </row>
    <row r="1056" spans="1:6" x14ac:dyDescent="0.2">
      <c r="A1056" t="s">
        <v>5585</v>
      </c>
      <c r="B1056" t="s">
        <v>5583</v>
      </c>
      <c r="C1056" t="s">
        <v>5586</v>
      </c>
      <c r="D1056" t="s">
        <v>10</v>
      </c>
      <c r="E1056" t="s">
        <v>16</v>
      </c>
      <c r="F1056">
        <v>1</v>
      </c>
    </row>
    <row r="1057" spans="1:6" x14ac:dyDescent="0.2">
      <c r="A1057" t="s">
        <v>5246</v>
      </c>
      <c r="B1057" t="s">
        <v>5242</v>
      </c>
      <c r="C1057" t="s">
        <v>5245</v>
      </c>
      <c r="D1057" t="s">
        <v>10</v>
      </c>
      <c r="E1057" t="s">
        <v>16</v>
      </c>
      <c r="F1057">
        <v>1</v>
      </c>
    </row>
    <row r="1058" spans="1:6" x14ac:dyDescent="0.2">
      <c r="A1058" t="s">
        <v>5609</v>
      </c>
      <c r="B1058" t="s">
        <v>7337</v>
      </c>
      <c r="C1058" t="s">
        <v>5608</v>
      </c>
      <c r="D1058" t="s">
        <v>10</v>
      </c>
      <c r="E1058" t="s">
        <v>16</v>
      </c>
      <c r="F1058">
        <v>1</v>
      </c>
    </row>
    <row r="1059" spans="1:6" x14ac:dyDescent="0.2">
      <c r="A1059" t="s">
        <v>5619</v>
      </c>
      <c r="B1059" t="s">
        <v>5617</v>
      </c>
      <c r="C1059" t="s">
        <v>5618</v>
      </c>
      <c r="D1059" t="s">
        <v>10</v>
      </c>
      <c r="E1059" t="s">
        <v>16</v>
      </c>
      <c r="F1059">
        <v>1</v>
      </c>
    </row>
    <row r="1060" spans="1:6" x14ac:dyDescent="0.2">
      <c r="A1060" t="s">
        <v>44</v>
      </c>
      <c r="B1060" t="s">
        <v>36</v>
      </c>
      <c r="C1060" t="s">
        <v>43</v>
      </c>
      <c r="D1060" t="s">
        <v>10</v>
      </c>
      <c r="E1060" t="s">
        <v>16</v>
      </c>
      <c r="F1060">
        <v>1</v>
      </c>
    </row>
    <row r="1061" spans="1:6" x14ac:dyDescent="0.2">
      <c r="A1061" t="s">
        <v>8544</v>
      </c>
      <c r="B1061" t="s">
        <v>10440</v>
      </c>
      <c r="C1061" t="s">
        <v>8543</v>
      </c>
      <c r="D1061" t="s">
        <v>29</v>
      </c>
      <c r="E1061" t="s">
        <v>16</v>
      </c>
      <c r="F1061">
        <v>1</v>
      </c>
    </row>
    <row r="1062" spans="1:6" x14ac:dyDescent="0.2">
      <c r="A1062" t="s">
        <v>1369</v>
      </c>
      <c r="B1062" t="s">
        <v>1367</v>
      </c>
      <c r="C1062" t="s">
        <v>1368</v>
      </c>
      <c r="D1062" t="s">
        <v>10</v>
      </c>
      <c r="E1062" t="s">
        <v>16</v>
      </c>
      <c r="F1062">
        <v>1</v>
      </c>
    </row>
    <row r="1063" spans="1:6" x14ac:dyDescent="0.2">
      <c r="A1063" t="s">
        <v>10992</v>
      </c>
      <c r="B1063" t="s">
        <v>10990</v>
      </c>
      <c r="C1063" t="s">
        <v>10996</v>
      </c>
      <c r="D1063" t="s">
        <v>10</v>
      </c>
      <c r="E1063" t="s">
        <v>16</v>
      </c>
      <c r="F1063">
        <v>1</v>
      </c>
    </row>
    <row r="1064" spans="1:6" x14ac:dyDescent="0.2">
      <c r="A1064" t="s">
        <v>5554</v>
      </c>
      <c r="B1064" t="s">
        <v>5547</v>
      </c>
      <c r="C1064" t="s">
        <v>5553</v>
      </c>
      <c r="D1064" t="s">
        <v>10</v>
      </c>
      <c r="E1064" t="s">
        <v>16</v>
      </c>
      <c r="F1064">
        <v>1</v>
      </c>
    </row>
    <row r="1065" spans="1:6" x14ac:dyDescent="0.2">
      <c r="A1065" t="s">
        <v>626</v>
      </c>
      <c r="B1065" t="s">
        <v>5711</v>
      </c>
      <c r="C1065" t="s">
        <v>625</v>
      </c>
      <c r="D1065" t="s">
        <v>10</v>
      </c>
      <c r="E1065" t="s">
        <v>11</v>
      </c>
      <c r="F1065">
        <v>2</v>
      </c>
    </row>
    <row r="1066" spans="1:6" x14ac:dyDescent="0.2">
      <c r="A1066" t="s">
        <v>4596</v>
      </c>
      <c r="B1066" t="s">
        <v>4594</v>
      </c>
      <c r="C1066" t="s">
        <v>4595</v>
      </c>
      <c r="D1066" t="s">
        <v>10</v>
      </c>
      <c r="E1066" t="s">
        <v>16</v>
      </c>
      <c r="F1066">
        <v>1</v>
      </c>
    </row>
    <row r="1067" spans="1:6" x14ac:dyDescent="0.2">
      <c r="A1067" t="s">
        <v>11269</v>
      </c>
      <c r="B1067" t="s">
        <v>11267</v>
      </c>
      <c r="C1067" t="s">
        <v>11268</v>
      </c>
      <c r="D1067" t="s">
        <v>10</v>
      </c>
      <c r="E1067" t="s">
        <v>16</v>
      </c>
      <c r="F1067">
        <v>1</v>
      </c>
    </row>
    <row r="1068" spans="1:6" x14ac:dyDescent="0.2">
      <c r="A1068" t="s">
        <v>8774</v>
      </c>
      <c r="B1068" t="s">
        <v>8772</v>
      </c>
      <c r="C1068" t="s">
        <v>8776</v>
      </c>
      <c r="D1068" t="s">
        <v>10</v>
      </c>
      <c r="E1068" t="s">
        <v>16</v>
      </c>
      <c r="F1068">
        <v>1</v>
      </c>
    </row>
    <row r="1069" spans="1:6" x14ac:dyDescent="0.2">
      <c r="A1069" t="s">
        <v>3230</v>
      </c>
      <c r="B1069" t="s">
        <v>3228</v>
      </c>
      <c r="C1069" t="s">
        <v>3231</v>
      </c>
      <c r="D1069" t="s">
        <v>10</v>
      </c>
      <c r="E1069" t="s">
        <v>16</v>
      </c>
      <c r="F1069">
        <v>1</v>
      </c>
    </row>
    <row r="1070" spans="1:6" x14ac:dyDescent="0.2">
      <c r="A1070" t="s">
        <v>659</v>
      </c>
      <c r="B1070" t="s">
        <v>587</v>
      </c>
      <c r="C1070" t="s">
        <v>658</v>
      </c>
      <c r="D1070" t="s">
        <v>56</v>
      </c>
      <c r="E1070" t="s">
        <v>52</v>
      </c>
      <c r="F1070">
        <v>3</v>
      </c>
    </row>
    <row r="1071" spans="1:6" x14ac:dyDescent="0.2">
      <c r="A1071" t="s">
        <v>10645</v>
      </c>
      <c r="B1071" t="s">
        <v>10641</v>
      </c>
      <c r="C1071" t="s">
        <v>10644</v>
      </c>
      <c r="D1071" t="s">
        <v>10</v>
      </c>
      <c r="E1071" t="s">
        <v>16</v>
      </c>
      <c r="F1071">
        <v>1</v>
      </c>
    </row>
    <row r="1072" spans="1:6" x14ac:dyDescent="0.2">
      <c r="A1072" t="s">
        <v>5752</v>
      </c>
      <c r="B1072" t="s">
        <v>5750</v>
      </c>
      <c r="C1072" t="s">
        <v>5751</v>
      </c>
      <c r="D1072" t="s">
        <v>10</v>
      </c>
      <c r="E1072" t="s">
        <v>16</v>
      </c>
      <c r="F1072">
        <v>1</v>
      </c>
    </row>
    <row r="1073" spans="1:6" x14ac:dyDescent="0.2">
      <c r="A1073" t="s">
        <v>5464</v>
      </c>
      <c r="B1073" t="s">
        <v>5453</v>
      </c>
      <c r="C1073" t="s">
        <v>5465</v>
      </c>
      <c r="D1073" t="s">
        <v>10</v>
      </c>
      <c r="E1073" t="s">
        <v>16</v>
      </c>
      <c r="F1073">
        <v>1</v>
      </c>
    </row>
    <row r="1074" spans="1:6" x14ac:dyDescent="0.2">
      <c r="A1074" t="s">
        <v>8525</v>
      </c>
      <c r="B1074" t="s">
        <v>8523</v>
      </c>
      <c r="C1074" t="s">
        <v>8524</v>
      </c>
      <c r="D1074" t="s">
        <v>10</v>
      </c>
      <c r="E1074" t="s">
        <v>16</v>
      </c>
      <c r="F1074">
        <v>1</v>
      </c>
    </row>
    <row r="1075" spans="1:6" x14ac:dyDescent="0.2">
      <c r="A1075" t="s">
        <v>1035</v>
      </c>
      <c r="B1075" t="s">
        <v>5565</v>
      </c>
      <c r="C1075" t="s">
        <v>5543</v>
      </c>
      <c r="D1075" t="s">
        <v>10</v>
      </c>
      <c r="E1075" t="s">
        <v>16</v>
      </c>
      <c r="F1075">
        <v>1</v>
      </c>
    </row>
    <row r="1076" spans="1:6" x14ac:dyDescent="0.2">
      <c r="A1076" t="s">
        <v>6369</v>
      </c>
      <c r="B1076" t="s">
        <v>6365</v>
      </c>
      <c r="C1076" t="s">
        <v>6376</v>
      </c>
      <c r="D1076" t="s">
        <v>10</v>
      </c>
      <c r="E1076" t="s">
        <v>16</v>
      </c>
      <c r="F1076">
        <v>1</v>
      </c>
    </row>
    <row r="1077" spans="1:6" x14ac:dyDescent="0.2">
      <c r="A1077" t="s">
        <v>4225</v>
      </c>
      <c r="B1077" t="s">
        <v>7890</v>
      </c>
      <c r="C1077" t="s">
        <v>7891</v>
      </c>
      <c r="D1077" t="s">
        <v>10</v>
      </c>
      <c r="E1077" t="s">
        <v>16</v>
      </c>
      <c r="F1077">
        <v>1</v>
      </c>
    </row>
    <row r="1078" spans="1:6" x14ac:dyDescent="0.2">
      <c r="A1078" t="s">
        <v>5626</v>
      </c>
      <c r="B1078" t="s">
        <v>5624</v>
      </c>
      <c r="C1078" t="s">
        <v>5625</v>
      </c>
      <c r="D1078" t="s">
        <v>29</v>
      </c>
      <c r="E1078" t="s">
        <v>16</v>
      </c>
      <c r="F1078">
        <v>1</v>
      </c>
    </row>
    <row r="1079" spans="1:6" x14ac:dyDescent="0.2">
      <c r="A1079" t="s">
        <v>5723</v>
      </c>
      <c r="B1079" t="s">
        <v>5722</v>
      </c>
      <c r="C1079" t="s">
        <v>12086</v>
      </c>
      <c r="D1079" t="s">
        <v>10</v>
      </c>
      <c r="E1079" t="s">
        <v>16</v>
      </c>
      <c r="F1079">
        <v>1</v>
      </c>
    </row>
    <row r="1080" spans="1:6" x14ac:dyDescent="0.2">
      <c r="A1080" t="s">
        <v>5725</v>
      </c>
      <c r="B1080" t="s">
        <v>5722</v>
      </c>
      <c r="C1080" t="s">
        <v>5724</v>
      </c>
      <c r="D1080" t="s">
        <v>10</v>
      </c>
      <c r="E1080" t="s">
        <v>16</v>
      </c>
      <c r="F1080">
        <v>1</v>
      </c>
    </row>
    <row r="1081" spans="1:6" x14ac:dyDescent="0.2">
      <c r="A1081" t="s">
        <v>5649</v>
      </c>
      <c r="B1081" t="s">
        <v>5662</v>
      </c>
      <c r="C1081" t="s">
        <v>5648</v>
      </c>
      <c r="D1081" t="s">
        <v>10</v>
      </c>
      <c r="E1081" t="s">
        <v>16</v>
      </c>
      <c r="F1081">
        <v>1</v>
      </c>
    </row>
    <row r="1082" spans="1:6" x14ac:dyDescent="0.2">
      <c r="A1082" t="s">
        <v>5597</v>
      </c>
      <c r="B1082" t="s">
        <v>5662</v>
      </c>
      <c r="C1082" t="s">
        <v>5596</v>
      </c>
      <c r="D1082" t="s">
        <v>10</v>
      </c>
      <c r="E1082" t="s">
        <v>16</v>
      </c>
      <c r="F1082">
        <v>1</v>
      </c>
    </row>
    <row r="1083" spans="1:6" x14ac:dyDescent="0.2">
      <c r="A1083" t="s">
        <v>5563</v>
      </c>
      <c r="B1083" t="s">
        <v>5561</v>
      </c>
      <c r="C1083" t="s">
        <v>5562</v>
      </c>
      <c r="D1083" t="s">
        <v>29</v>
      </c>
      <c r="E1083" t="s">
        <v>16</v>
      </c>
      <c r="F1083">
        <v>1</v>
      </c>
    </row>
    <row r="1084" spans="1:6" x14ac:dyDescent="0.2">
      <c r="A1084" t="s">
        <v>6891</v>
      </c>
      <c r="B1084" t="s">
        <v>6889</v>
      </c>
      <c r="C1084" t="s">
        <v>6890</v>
      </c>
      <c r="D1084" t="s">
        <v>10</v>
      </c>
      <c r="E1084" t="s">
        <v>16</v>
      </c>
      <c r="F1084">
        <v>1</v>
      </c>
    </row>
    <row r="1085" spans="1:6" x14ac:dyDescent="0.2">
      <c r="A1085" t="s">
        <v>5785</v>
      </c>
      <c r="B1085" t="s">
        <v>5783</v>
      </c>
      <c r="C1085" t="s">
        <v>5786</v>
      </c>
      <c r="D1085" t="s">
        <v>10</v>
      </c>
      <c r="E1085" t="s">
        <v>16</v>
      </c>
      <c r="F1085">
        <v>1</v>
      </c>
    </row>
    <row r="1086" spans="1:6" x14ac:dyDescent="0.2">
      <c r="A1086" t="s">
        <v>6012</v>
      </c>
      <c r="B1086" t="s">
        <v>6003</v>
      </c>
      <c r="C1086" t="s">
        <v>6011</v>
      </c>
      <c r="D1086" t="s">
        <v>10</v>
      </c>
      <c r="E1086" t="s">
        <v>16</v>
      </c>
      <c r="F1086">
        <v>1</v>
      </c>
    </row>
    <row r="1087" spans="1:6" x14ac:dyDescent="0.2">
      <c r="A1087" t="s">
        <v>6014</v>
      </c>
      <c r="B1087" t="s">
        <v>6003</v>
      </c>
      <c r="C1087" t="s">
        <v>6015</v>
      </c>
      <c r="D1087" t="s">
        <v>10</v>
      </c>
      <c r="E1087" t="s">
        <v>16</v>
      </c>
      <c r="F1087">
        <v>1</v>
      </c>
    </row>
    <row r="1088" spans="1:6" x14ac:dyDescent="0.2">
      <c r="A1088" t="s">
        <v>6007</v>
      </c>
      <c r="B1088" t="s">
        <v>6003</v>
      </c>
      <c r="C1088" t="s">
        <v>6017</v>
      </c>
      <c r="D1088" t="s">
        <v>10</v>
      </c>
      <c r="E1088" t="s">
        <v>16</v>
      </c>
      <c r="F1088">
        <v>1</v>
      </c>
    </row>
    <row r="1089" spans="1:6" x14ac:dyDescent="0.2">
      <c r="A1089" t="s">
        <v>6028</v>
      </c>
      <c r="B1089" t="s">
        <v>6003</v>
      </c>
      <c r="C1089" t="s">
        <v>6029</v>
      </c>
      <c r="D1089" t="s">
        <v>10</v>
      </c>
      <c r="E1089" t="s">
        <v>16</v>
      </c>
      <c r="F1089">
        <v>1</v>
      </c>
    </row>
    <row r="1090" spans="1:6" x14ac:dyDescent="0.2">
      <c r="A1090" t="s">
        <v>6049</v>
      </c>
      <c r="B1090" t="s">
        <v>6003</v>
      </c>
      <c r="C1090" t="s">
        <v>6048</v>
      </c>
      <c r="D1090" t="s">
        <v>10</v>
      </c>
      <c r="E1090" t="s">
        <v>52</v>
      </c>
      <c r="F1090">
        <v>1</v>
      </c>
    </row>
    <row r="1091" spans="1:6" x14ac:dyDescent="0.2">
      <c r="A1091" t="s">
        <v>6031</v>
      </c>
      <c r="B1091" t="s">
        <v>6003</v>
      </c>
      <c r="C1091" t="s">
        <v>6030</v>
      </c>
      <c r="D1091" t="s">
        <v>10</v>
      </c>
      <c r="E1091" t="s">
        <v>52</v>
      </c>
      <c r="F1091">
        <v>1</v>
      </c>
    </row>
    <row r="1092" spans="1:6" x14ac:dyDescent="0.2">
      <c r="A1092" t="s">
        <v>6265</v>
      </c>
      <c r="B1092" t="s">
        <v>6202</v>
      </c>
      <c r="C1092" t="s">
        <v>6264</v>
      </c>
      <c r="D1092" t="s">
        <v>10</v>
      </c>
      <c r="E1092" t="s">
        <v>11</v>
      </c>
      <c r="F1092">
        <v>2</v>
      </c>
    </row>
    <row r="1093" spans="1:6" x14ac:dyDescent="0.2">
      <c r="A1093" t="s">
        <v>6077</v>
      </c>
      <c r="B1093" t="s">
        <v>6073</v>
      </c>
      <c r="C1093" t="s">
        <v>6128</v>
      </c>
      <c r="D1093" t="s">
        <v>10</v>
      </c>
      <c r="E1093" t="s">
        <v>52</v>
      </c>
      <c r="F1093">
        <v>2</v>
      </c>
    </row>
    <row r="1094" spans="1:6" x14ac:dyDescent="0.2">
      <c r="A1094" t="s">
        <v>6005</v>
      </c>
      <c r="B1094" t="s">
        <v>6003</v>
      </c>
      <c r="C1094" t="s">
        <v>6026</v>
      </c>
      <c r="D1094" t="s">
        <v>10</v>
      </c>
      <c r="E1094" t="s">
        <v>16</v>
      </c>
      <c r="F1094">
        <v>1</v>
      </c>
    </row>
    <row r="1095" spans="1:6" x14ac:dyDescent="0.2">
      <c r="A1095" t="s">
        <v>6033</v>
      </c>
      <c r="B1095" t="s">
        <v>6003</v>
      </c>
      <c r="C1095" t="s">
        <v>6032</v>
      </c>
      <c r="D1095" t="s">
        <v>10</v>
      </c>
      <c r="E1095" t="s">
        <v>52</v>
      </c>
      <c r="F1095">
        <v>1</v>
      </c>
    </row>
    <row r="1096" spans="1:6" x14ac:dyDescent="0.2">
      <c r="A1096" t="s">
        <v>306</v>
      </c>
      <c r="B1096" t="s">
        <v>6073</v>
      </c>
      <c r="C1096" t="s">
        <v>6129</v>
      </c>
      <c r="D1096" t="s">
        <v>10</v>
      </c>
      <c r="E1096" t="s">
        <v>16</v>
      </c>
      <c r="F1096">
        <v>1</v>
      </c>
    </row>
    <row r="1097" spans="1:6" x14ac:dyDescent="0.2">
      <c r="A1097" t="s">
        <v>5852</v>
      </c>
      <c r="B1097" t="s">
        <v>5850</v>
      </c>
      <c r="C1097" t="s">
        <v>5851</v>
      </c>
      <c r="D1097" t="s">
        <v>10</v>
      </c>
      <c r="E1097" t="s">
        <v>16</v>
      </c>
      <c r="F1097">
        <v>1</v>
      </c>
    </row>
    <row r="1098" spans="1:6" x14ac:dyDescent="0.2">
      <c r="A1098" t="s">
        <v>1372</v>
      </c>
      <c r="B1098" t="s">
        <v>5918</v>
      </c>
      <c r="C1098" t="s">
        <v>1371</v>
      </c>
      <c r="D1098" t="s">
        <v>10</v>
      </c>
      <c r="E1098" t="s">
        <v>16</v>
      </c>
      <c r="F1098">
        <v>1</v>
      </c>
    </row>
    <row r="1099" spans="1:6" x14ac:dyDescent="0.2">
      <c r="A1099" t="s">
        <v>1374</v>
      </c>
      <c r="B1099" t="s">
        <v>5918</v>
      </c>
      <c r="C1099" t="s">
        <v>1373</v>
      </c>
      <c r="D1099" t="s">
        <v>10</v>
      </c>
      <c r="E1099" t="s">
        <v>16</v>
      </c>
      <c r="F1099">
        <v>1</v>
      </c>
    </row>
    <row r="1100" spans="1:6" x14ac:dyDescent="0.2">
      <c r="A1100" t="s">
        <v>6108</v>
      </c>
      <c r="B1100" t="s">
        <v>6073</v>
      </c>
      <c r="C1100" t="s">
        <v>6107</v>
      </c>
      <c r="D1100" t="s">
        <v>29</v>
      </c>
      <c r="E1100" t="s">
        <v>16</v>
      </c>
      <c r="F1100">
        <v>2</v>
      </c>
    </row>
    <row r="1101" spans="1:6" x14ac:dyDescent="0.2">
      <c r="A1101" t="s">
        <v>8089</v>
      </c>
      <c r="B1101" t="s">
        <v>8087</v>
      </c>
      <c r="C1101" t="s">
        <v>8088</v>
      </c>
      <c r="D1101" t="s">
        <v>29</v>
      </c>
      <c r="E1101" t="s">
        <v>16</v>
      </c>
      <c r="F1101">
        <v>4</v>
      </c>
    </row>
    <row r="1102" spans="1:6" x14ac:dyDescent="0.2">
      <c r="A1102" t="s">
        <v>8092</v>
      </c>
      <c r="B1102" t="s">
        <v>8087</v>
      </c>
      <c r="C1102" t="s">
        <v>8091</v>
      </c>
      <c r="D1102" t="s">
        <v>29</v>
      </c>
      <c r="E1102" t="s">
        <v>52</v>
      </c>
      <c r="F1102">
        <v>2</v>
      </c>
    </row>
    <row r="1103" spans="1:6" x14ac:dyDescent="0.2">
      <c r="A1103" t="s">
        <v>143</v>
      </c>
      <c r="B1103" t="s">
        <v>1387</v>
      </c>
      <c r="C1103" t="s">
        <v>142</v>
      </c>
      <c r="D1103" t="s">
        <v>10</v>
      </c>
      <c r="E1103" t="s">
        <v>52</v>
      </c>
      <c r="F1103">
        <v>2</v>
      </c>
    </row>
    <row r="1104" spans="1:6" x14ac:dyDescent="0.2">
      <c r="A1104" t="s">
        <v>6269</v>
      </c>
      <c r="B1104" t="s">
        <v>6202</v>
      </c>
      <c r="C1104" t="s">
        <v>6268</v>
      </c>
      <c r="D1104" t="s">
        <v>10</v>
      </c>
      <c r="E1104" t="s">
        <v>11</v>
      </c>
      <c r="F1104">
        <v>2</v>
      </c>
    </row>
    <row r="1105" spans="1:6" x14ac:dyDescent="0.2">
      <c r="A1105" t="s">
        <v>6260</v>
      </c>
      <c r="B1105" t="s">
        <v>6202</v>
      </c>
      <c r="C1105" t="s">
        <v>6259</v>
      </c>
      <c r="D1105" t="s">
        <v>10</v>
      </c>
      <c r="E1105" t="s">
        <v>11</v>
      </c>
      <c r="F1105">
        <v>2</v>
      </c>
    </row>
    <row r="1106" spans="1:6" x14ac:dyDescent="0.2">
      <c r="A1106" t="s">
        <v>6190</v>
      </c>
      <c r="B1106" t="s">
        <v>6188</v>
      </c>
      <c r="C1106" t="s">
        <v>6191</v>
      </c>
      <c r="D1106" t="s">
        <v>56</v>
      </c>
      <c r="E1106" t="s">
        <v>16</v>
      </c>
      <c r="F1106">
        <v>1</v>
      </c>
    </row>
    <row r="1107" spans="1:6" x14ac:dyDescent="0.2">
      <c r="A1107" t="s">
        <v>10790</v>
      </c>
      <c r="B1107" t="s">
        <v>10784</v>
      </c>
      <c r="C1107" t="s">
        <v>10803</v>
      </c>
      <c r="D1107" t="s">
        <v>10</v>
      </c>
      <c r="E1107" t="s">
        <v>11</v>
      </c>
      <c r="F1107">
        <v>1</v>
      </c>
    </row>
    <row r="1108" spans="1:6" x14ac:dyDescent="0.2">
      <c r="A1108" t="s">
        <v>5986</v>
      </c>
      <c r="B1108" t="s">
        <v>5984</v>
      </c>
      <c r="C1108" t="s">
        <v>5985</v>
      </c>
      <c r="D1108" t="s">
        <v>10</v>
      </c>
      <c r="E1108" t="s">
        <v>16</v>
      </c>
      <c r="F1108">
        <v>1</v>
      </c>
    </row>
    <row r="1109" spans="1:6" x14ac:dyDescent="0.2">
      <c r="A1109" t="s">
        <v>9773</v>
      </c>
      <c r="B1109" t="s">
        <v>9770</v>
      </c>
      <c r="C1109" t="s">
        <v>9772</v>
      </c>
      <c r="D1109" t="s">
        <v>10</v>
      </c>
      <c r="E1109" t="s">
        <v>16</v>
      </c>
      <c r="F1109">
        <v>1</v>
      </c>
    </row>
    <row r="1110" spans="1:6" x14ac:dyDescent="0.2">
      <c r="A1110" t="s">
        <v>1376</v>
      </c>
      <c r="B1110" t="s">
        <v>5918</v>
      </c>
      <c r="C1110" t="s">
        <v>1375</v>
      </c>
      <c r="D1110" t="s">
        <v>10</v>
      </c>
      <c r="E1110" t="s">
        <v>16</v>
      </c>
      <c r="F1110">
        <v>1</v>
      </c>
    </row>
    <row r="1111" spans="1:6" x14ac:dyDescent="0.2">
      <c r="A1111" t="s">
        <v>5813</v>
      </c>
      <c r="B1111" t="s">
        <v>6073</v>
      </c>
      <c r="C1111" t="s">
        <v>6114</v>
      </c>
      <c r="D1111" t="s">
        <v>29</v>
      </c>
      <c r="E1111" t="s">
        <v>16</v>
      </c>
      <c r="F1111">
        <v>2</v>
      </c>
    </row>
    <row r="1112" spans="1:6" x14ac:dyDescent="0.2">
      <c r="A1112" t="s">
        <v>5510</v>
      </c>
      <c r="B1112" t="s">
        <v>5508</v>
      </c>
      <c r="C1112" t="s">
        <v>5509</v>
      </c>
      <c r="D1112" t="s">
        <v>10</v>
      </c>
      <c r="E1112" t="s">
        <v>16</v>
      </c>
      <c r="F1112">
        <v>1</v>
      </c>
    </row>
    <row r="1113" spans="1:6" x14ac:dyDescent="0.2">
      <c r="A1113" t="s">
        <v>10792</v>
      </c>
      <c r="B1113" t="s">
        <v>10784</v>
      </c>
      <c r="C1113" t="s">
        <v>10804</v>
      </c>
      <c r="D1113" t="s">
        <v>10</v>
      </c>
      <c r="E1113" t="s">
        <v>11</v>
      </c>
      <c r="F1113">
        <v>1</v>
      </c>
    </row>
    <row r="1114" spans="1:6" x14ac:dyDescent="0.2">
      <c r="A1114" t="s">
        <v>5512</v>
      </c>
      <c r="B1114" t="s">
        <v>5508</v>
      </c>
      <c r="C1114" t="s">
        <v>5511</v>
      </c>
      <c r="D1114" t="s">
        <v>10</v>
      </c>
      <c r="E1114" t="s">
        <v>16</v>
      </c>
      <c r="F1114">
        <v>1</v>
      </c>
    </row>
    <row r="1115" spans="1:6" x14ac:dyDescent="0.2">
      <c r="A1115" t="s">
        <v>773</v>
      </c>
      <c r="B1115" t="s">
        <v>6073</v>
      </c>
      <c r="C1115" t="s">
        <v>6131</v>
      </c>
      <c r="D1115" t="s">
        <v>10</v>
      </c>
      <c r="E1115" t="s">
        <v>52</v>
      </c>
      <c r="F1115">
        <v>1</v>
      </c>
    </row>
    <row r="1116" spans="1:6" x14ac:dyDescent="0.2">
      <c r="A1116" t="s">
        <v>6064</v>
      </c>
      <c r="B1116" t="s">
        <v>6060</v>
      </c>
      <c r="C1116" t="s">
        <v>6063</v>
      </c>
      <c r="D1116" t="s">
        <v>10</v>
      </c>
      <c r="E1116" t="s">
        <v>16</v>
      </c>
      <c r="F1116">
        <v>1</v>
      </c>
    </row>
    <row r="1117" spans="1:6" x14ac:dyDescent="0.2">
      <c r="A1117" t="s">
        <v>6120</v>
      </c>
      <c r="B1117" t="s">
        <v>6073</v>
      </c>
      <c r="C1117" t="s">
        <v>6119</v>
      </c>
      <c r="D1117" t="s">
        <v>29</v>
      </c>
      <c r="E1117" t="s">
        <v>16</v>
      </c>
      <c r="F1117">
        <v>2</v>
      </c>
    </row>
    <row r="1118" spans="1:6" x14ac:dyDescent="0.2">
      <c r="A1118" t="s">
        <v>5735</v>
      </c>
      <c r="B1118" t="s">
        <v>6073</v>
      </c>
      <c r="C1118" t="s">
        <v>5734</v>
      </c>
      <c r="D1118" t="s">
        <v>29</v>
      </c>
      <c r="E1118" t="s">
        <v>52</v>
      </c>
      <c r="F1118">
        <v>2</v>
      </c>
    </row>
    <row r="1119" spans="1:6" x14ac:dyDescent="0.2">
      <c r="A1119" t="s">
        <v>411</v>
      </c>
      <c r="B1119" t="s">
        <v>6001</v>
      </c>
      <c r="C1119" t="s">
        <v>6002</v>
      </c>
      <c r="D1119" t="s">
        <v>10</v>
      </c>
      <c r="E1119" t="s">
        <v>16</v>
      </c>
      <c r="F1119">
        <v>1</v>
      </c>
    </row>
    <row r="1120" spans="1:6" x14ac:dyDescent="0.2">
      <c r="A1120" t="s">
        <v>6038</v>
      </c>
      <c r="B1120" t="s">
        <v>6003</v>
      </c>
      <c r="C1120" t="s">
        <v>6037</v>
      </c>
      <c r="D1120" t="s">
        <v>10</v>
      </c>
      <c r="E1120" t="s">
        <v>16</v>
      </c>
      <c r="F1120">
        <v>2</v>
      </c>
    </row>
    <row r="1121" spans="1:6" x14ac:dyDescent="0.2">
      <c r="A1121" t="s">
        <v>6084</v>
      </c>
      <c r="B1121" t="s">
        <v>6073</v>
      </c>
      <c r="C1121" t="s">
        <v>6123</v>
      </c>
      <c r="D1121" t="s">
        <v>10</v>
      </c>
      <c r="E1121" t="s">
        <v>16</v>
      </c>
      <c r="F1121">
        <v>2</v>
      </c>
    </row>
    <row r="1122" spans="1:6" x14ac:dyDescent="0.2">
      <c r="A1122" t="s">
        <v>10118</v>
      </c>
      <c r="B1122" t="s">
        <v>10116</v>
      </c>
      <c r="C1122" t="s">
        <v>10117</v>
      </c>
      <c r="D1122" t="s">
        <v>10</v>
      </c>
      <c r="E1122" t="s">
        <v>16</v>
      </c>
      <c r="F1122">
        <v>1</v>
      </c>
    </row>
    <row r="1123" spans="1:6" x14ac:dyDescent="0.2">
      <c r="A1123" t="s">
        <v>5921</v>
      </c>
      <c r="B1123" t="s">
        <v>5919</v>
      </c>
      <c r="C1123" t="s">
        <v>5920</v>
      </c>
      <c r="D1123" t="s">
        <v>10</v>
      </c>
      <c r="E1123" t="s">
        <v>52</v>
      </c>
      <c r="F1123">
        <v>1</v>
      </c>
    </row>
    <row r="1124" spans="1:6" x14ac:dyDescent="0.2">
      <c r="A1124" t="s">
        <v>5927</v>
      </c>
      <c r="B1124" t="s">
        <v>5925</v>
      </c>
      <c r="C1124" t="s">
        <v>5928</v>
      </c>
      <c r="D1124" t="s">
        <v>10</v>
      </c>
      <c r="E1124" t="s">
        <v>16</v>
      </c>
      <c r="F1124">
        <v>1</v>
      </c>
    </row>
    <row r="1125" spans="1:6" x14ac:dyDescent="0.2">
      <c r="A1125" t="s">
        <v>6271</v>
      </c>
      <c r="B1125" t="s">
        <v>6202</v>
      </c>
      <c r="C1125" t="s">
        <v>6270</v>
      </c>
      <c r="D1125" t="s">
        <v>10</v>
      </c>
      <c r="E1125" t="s">
        <v>11</v>
      </c>
      <c r="F1125">
        <v>2</v>
      </c>
    </row>
    <row r="1126" spans="1:6" x14ac:dyDescent="0.2">
      <c r="A1126" t="s">
        <v>6273</v>
      </c>
      <c r="B1126" t="s">
        <v>6202</v>
      </c>
      <c r="C1126" t="s">
        <v>6272</v>
      </c>
      <c r="D1126" t="s">
        <v>10</v>
      </c>
      <c r="E1126" t="s">
        <v>11</v>
      </c>
      <c r="F1126">
        <v>2</v>
      </c>
    </row>
    <row r="1127" spans="1:6" x14ac:dyDescent="0.2">
      <c r="A1127" t="s">
        <v>6175</v>
      </c>
      <c r="B1127" t="s">
        <v>6170</v>
      </c>
      <c r="C1127" t="s">
        <v>6177</v>
      </c>
      <c r="D1127" t="s">
        <v>10</v>
      </c>
      <c r="E1127" t="s">
        <v>16</v>
      </c>
      <c r="F1127">
        <v>2</v>
      </c>
    </row>
    <row r="1128" spans="1:6" x14ac:dyDescent="0.2">
      <c r="A1128" t="s">
        <v>6277</v>
      </c>
      <c r="B1128" t="s">
        <v>6202</v>
      </c>
      <c r="C1128" t="s">
        <v>6276</v>
      </c>
      <c r="D1128" t="s">
        <v>10</v>
      </c>
      <c r="E1128" t="s">
        <v>11</v>
      </c>
      <c r="F1128">
        <v>2</v>
      </c>
    </row>
    <row r="1129" spans="1:6" x14ac:dyDescent="0.2">
      <c r="A1129" t="s">
        <v>5923</v>
      </c>
      <c r="B1129" t="s">
        <v>5925</v>
      </c>
      <c r="C1129" t="s">
        <v>5922</v>
      </c>
      <c r="D1129" t="s">
        <v>10</v>
      </c>
      <c r="E1129" t="s">
        <v>16</v>
      </c>
      <c r="F1129">
        <v>1</v>
      </c>
    </row>
    <row r="1130" spans="1:6" x14ac:dyDescent="0.2">
      <c r="A1130" t="s">
        <v>2655</v>
      </c>
      <c r="B1130" t="s">
        <v>2650</v>
      </c>
      <c r="C1130" t="s">
        <v>2654</v>
      </c>
      <c r="D1130" t="s">
        <v>10</v>
      </c>
      <c r="E1130" t="s">
        <v>16</v>
      </c>
      <c r="F1130">
        <v>1</v>
      </c>
    </row>
    <row r="1131" spans="1:6" x14ac:dyDescent="0.2">
      <c r="A1131" t="s">
        <v>6267</v>
      </c>
      <c r="B1131" t="s">
        <v>6202</v>
      </c>
      <c r="C1131" t="s">
        <v>6266</v>
      </c>
      <c r="D1131" t="s">
        <v>10</v>
      </c>
      <c r="E1131" t="s">
        <v>11</v>
      </c>
      <c r="F1131">
        <v>2</v>
      </c>
    </row>
    <row r="1132" spans="1:6" x14ac:dyDescent="0.2">
      <c r="A1132" t="s">
        <v>5437</v>
      </c>
      <c r="B1132" t="s">
        <v>5434</v>
      </c>
      <c r="C1132" t="s">
        <v>4106</v>
      </c>
      <c r="D1132" t="s">
        <v>10</v>
      </c>
      <c r="E1132" t="s">
        <v>52</v>
      </c>
    </row>
    <row r="1133" spans="1:6" x14ac:dyDescent="0.2">
      <c r="A1133" t="s">
        <v>5958</v>
      </c>
      <c r="B1133" t="s">
        <v>5956</v>
      </c>
      <c r="C1133" t="s">
        <v>5957</v>
      </c>
      <c r="D1133" t="s">
        <v>10</v>
      </c>
      <c r="E1133" t="s">
        <v>16</v>
      </c>
      <c r="F1133">
        <v>1</v>
      </c>
    </row>
    <row r="1134" spans="1:6" x14ac:dyDescent="0.2">
      <c r="A1134" t="s">
        <v>299</v>
      </c>
      <c r="B1134" t="s">
        <v>5847</v>
      </c>
      <c r="C1134" t="s">
        <v>5848</v>
      </c>
      <c r="D1134" t="s">
        <v>10</v>
      </c>
      <c r="E1134" t="s">
        <v>16</v>
      </c>
      <c r="F1134">
        <v>1</v>
      </c>
    </row>
    <row r="1135" spans="1:6" x14ac:dyDescent="0.2">
      <c r="A1135" t="s">
        <v>5809</v>
      </c>
      <c r="B1135" t="s">
        <v>5807</v>
      </c>
      <c r="C1135" t="s">
        <v>5808</v>
      </c>
      <c r="D1135" t="s">
        <v>10</v>
      </c>
      <c r="E1135" t="s">
        <v>16</v>
      </c>
      <c r="F1135">
        <v>1</v>
      </c>
    </row>
    <row r="1136" spans="1:6" x14ac:dyDescent="0.2">
      <c r="A1136" t="s">
        <v>2406</v>
      </c>
      <c r="B1136" t="s">
        <v>2404</v>
      </c>
      <c r="C1136" t="s">
        <v>2405</v>
      </c>
      <c r="D1136" t="s">
        <v>10</v>
      </c>
      <c r="E1136" t="s">
        <v>16</v>
      </c>
      <c r="F1136">
        <v>1</v>
      </c>
    </row>
    <row r="1137" spans="1:6" x14ac:dyDescent="0.2">
      <c r="A1137" t="s">
        <v>5953</v>
      </c>
      <c r="B1137" t="s">
        <v>5951</v>
      </c>
      <c r="C1137" t="s">
        <v>5952</v>
      </c>
      <c r="D1137" t="s">
        <v>10</v>
      </c>
      <c r="E1137" t="s">
        <v>16</v>
      </c>
      <c r="F1137">
        <v>1</v>
      </c>
    </row>
    <row r="1138" spans="1:6" x14ac:dyDescent="0.2">
      <c r="A1138" t="s">
        <v>5023</v>
      </c>
      <c r="B1138" t="s">
        <v>5021</v>
      </c>
      <c r="C1138" t="s">
        <v>5022</v>
      </c>
      <c r="D1138" t="s">
        <v>29</v>
      </c>
      <c r="E1138" t="s">
        <v>16</v>
      </c>
      <c r="F1138">
        <v>2</v>
      </c>
    </row>
    <row r="1139" spans="1:6" x14ac:dyDescent="0.2">
      <c r="A1139" t="s">
        <v>8197</v>
      </c>
      <c r="B1139" t="s">
        <v>8193</v>
      </c>
      <c r="C1139" t="s">
        <v>8212</v>
      </c>
      <c r="D1139" t="s">
        <v>10</v>
      </c>
      <c r="E1139" t="s">
        <v>16</v>
      </c>
      <c r="F1139">
        <v>2</v>
      </c>
    </row>
    <row r="1140" spans="1:6" x14ac:dyDescent="0.2">
      <c r="A1140" t="s">
        <v>6811</v>
      </c>
      <c r="B1140" t="s">
        <v>6809</v>
      </c>
      <c r="C1140" t="s">
        <v>6810</v>
      </c>
      <c r="D1140" t="s">
        <v>10</v>
      </c>
      <c r="E1140" t="s">
        <v>1080</v>
      </c>
      <c r="F1140">
        <v>1</v>
      </c>
    </row>
    <row r="1141" spans="1:6" x14ac:dyDescent="0.2">
      <c r="A1141" t="s">
        <v>314</v>
      </c>
      <c r="B1141" t="s">
        <v>308</v>
      </c>
      <c r="C1141" t="s">
        <v>313</v>
      </c>
      <c r="D1141" t="s">
        <v>10</v>
      </c>
      <c r="E1141" t="s">
        <v>16</v>
      </c>
      <c r="F1141">
        <v>1</v>
      </c>
    </row>
    <row r="1142" spans="1:6" x14ac:dyDescent="0.2">
      <c r="A1142" t="s">
        <v>6040</v>
      </c>
      <c r="B1142" t="s">
        <v>6003</v>
      </c>
      <c r="C1142" t="s">
        <v>6039</v>
      </c>
      <c r="D1142" t="s">
        <v>10</v>
      </c>
      <c r="E1142" t="s">
        <v>16</v>
      </c>
      <c r="F1142">
        <v>1</v>
      </c>
    </row>
    <row r="1143" spans="1:6" x14ac:dyDescent="0.2">
      <c r="A1143" t="s">
        <v>10148</v>
      </c>
      <c r="B1143" t="s">
        <v>10146</v>
      </c>
      <c r="C1143" t="s">
        <v>10147</v>
      </c>
      <c r="D1143" t="s">
        <v>10</v>
      </c>
      <c r="E1143" t="s">
        <v>11</v>
      </c>
      <c r="F1143">
        <v>1</v>
      </c>
    </row>
    <row r="1144" spans="1:6" x14ac:dyDescent="0.2">
      <c r="A1144" t="s">
        <v>3001</v>
      </c>
      <c r="B1144" t="s">
        <v>2986</v>
      </c>
      <c r="C1144" t="s">
        <v>3021</v>
      </c>
      <c r="D1144" t="s">
        <v>10</v>
      </c>
      <c r="E1144" t="s">
        <v>11</v>
      </c>
      <c r="F1144">
        <v>2</v>
      </c>
    </row>
    <row r="1145" spans="1:6" x14ac:dyDescent="0.2">
      <c r="A1145" t="s">
        <v>2990</v>
      </c>
      <c r="B1145" t="s">
        <v>2986</v>
      </c>
      <c r="C1145" t="s">
        <v>2991</v>
      </c>
      <c r="D1145" t="s">
        <v>10</v>
      </c>
      <c r="E1145" t="s">
        <v>11</v>
      </c>
      <c r="F1145">
        <v>2</v>
      </c>
    </row>
    <row r="1146" spans="1:6" x14ac:dyDescent="0.2">
      <c r="A1146" t="s">
        <v>5960</v>
      </c>
      <c r="B1146" t="s">
        <v>5956</v>
      </c>
      <c r="C1146" t="s">
        <v>5959</v>
      </c>
      <c r="D1146" t="s">
        <v>10</v>
      </c>
      <c r="E1146" t="s">
        <v>16</v>
      </c>
      <c r="F1146">
        <v>1</v>
      </c>
    </row>
    <row r="1147" spans="1:6" x14ac:dyDescent="0.2">
      <c r="A1147" t="s">
        <v>5934</v>
      </c>
      <c r="B1147" t="s">
        <v>11035</v>
      </c>
      <c r="C1147" t="s">
        <v>5933</v>
      </c>
      <c r="D1147" t="s">
        <v>10</v>
      </c>
      <c r="E1147" t="s">
        <v>16</v>
      </c>
      <c r="F1147">
        <v>1</v>
      </c>
    </row>
    <row r="1148" spans="1:6" x14ac:dyDescent="0.2">
      <c r="A1148" t="s">
        <v>2988</v>
      </c>
      <c r="B1148" t="s">
        <v>2986</v>
      </c>
      <c r="C1148" t="s">
        <v>3022</v>
      </c>
      <c r="D1148" t="s">
        <v>10</v>
      </c>
      <c r="E1148" t="s">
        <v>11</v>
      </c>
      <c r="F1148">
        <v>2</v>
      </c>
    </row>
    <row r="1149" spans="1:6" x14ac:dyDescent="0.2">
      <c r="A1149" t="s">
        <v>6088</v>
      </c>
      <c r="B1149" t="s">
        <v>6073</v>
      </c>
      <c r="C1149" t="s">
        <v>6138</v>
      </c>
      <c r="D1149" t="s">
        <v>10</v>
      </c>
      <c r="E1149" t="s">
        <v>11</v>
      </c>
      <c r="F1149">
        <v>2</v>
      </c>
    </row>
    <row r="1150" spans="1:6" x14ac:dyDescent="0.2">
      <c r="A1150" t="s">
        <v>6210</v>
      </c>
      <c r="B1150" t="s">
        <v>6202</v>
      </c>
      <c r="C1150" t="s">
        <v>6236</v>
      </c>
      <c r="D1150" t="s">
        <v>10</v>
      </c>
      <c r="E1150" t="s">
        <v>11</v>
      </c>
      <c r="F1150">
        <v>2</v>
      </c>
    </row>
    <row r="1151" spans="1:6" x14ac:dyDescent="0.2">
      <c r="A1151" t="s">
        <v>6216</v>
      </c>
      <c r="B1151" t="s">
        <v>6202</v>
      </c>
      <c r="C1151" t="s">
        <v>6237</v>
      </c>
      <c r="D1151" t="s">
        <v>10</v>
      </c>
      <c r="E1151" t="s">
        <v>11</v>
      </c>
      <c r="F1151">
        <v>2</v>
      </c>
    </row>
    <row r="1152" spans="1:6" x14ac:dyDescent="0.2">
      <c r="A1152" t="s">
        <v>6220</v>
      </c>
      <c r="B1152" t="s">
        <v>6202</v>
      </c>
      <c r="C1152" t="s">
        <v>6239</v>
      </c>
      <c r="D1152" t="s">
        <v>10</v>
      </c>
      <c r="E1152" t="s">
        <v>11</v>
      </c>
      <c r="F1152">
        <v>2</v>
      </c>
    </row>
    <row r="1153" spans="1:6" x14ac:dyDescent="0.2">
      <c r="A1153" t="s">
        <v>6258</v>
      </c>
      <c r="B1153" t="s">
        <v>6202</v>
      </c>
      <c r="C1153" t="s">
        <v>6257</v>
      </c>
      <c r="D1153" t="s">
        <v>10</v>
      </c>
      <c r="E1153" t="s">
        <v>11</v>
      </c>
      <c r="F1153">
        <v>2</v>
      </c>
    </row>
    <row r="1154" spans="1:6" x14ac:dyDescent="0.2">
      <c r="A1154" t="s">
        <v>8590</v>
      </c>
      <c r="B1154" t="s">
        <v>8589</v>
      </c>
      <c r="C1154" t="s">
        <v>5932</v>
      </c>
      <c r="D1154" t="s">
        <v>10</v>
      </c>
      <c r="E1154" t="s">
        <v>16</v>
      </c>
      <c r="F1154">
        <v>1</v>
      </c>
    </row>
    <row r="1155" spans="1:6" x14ac:dyDescent="0.2">
      <c r="A1155" t="s">
        <v>5931</v>
      </c>
      <c r="B1155" t="s">
        <v>11035</v>
      </c>
      <c r="C1155" t="s">
        <v>11036</v>
      </c>
      <c r="D1155" t="s">
        <v>10</v>
      </c>
      <c r="E1155" t="s">
        <v>16</v>
      </c>
      <c r="F1155">
        <v>1</v>
      </c>
    </row>
    <row r="1156" spans="1:6" x14ac:dyDescent="0.2">
      <c r="A1156" t="s">
        <v>11969</v>
      </c>
      <c r="B1156" t="s">
        <v>11967</v>
      </c>
      <c r="C1156" t="s">
        <v>11968</v>
      </c>
      <c r="D1156" t="s">
        <v>10</v>
      </c>
      <c r="E1156" t="s">
        <v>16</v>
      </c>
      <c r="F1156">
        <v>1</v>
      </c>
    </row>
    <row r="1157" spans="1:6" x14ac:dyDescent="0.2">
      <c r="A1157" t="s">
        <v>6920</v>
      </c>
      <c r="B1157" t="s">
        <v>6918</v>
      </c>
      <c r="C1157" t="s">
        <v>6919</v>
      </c>
      <c r="D1157" t="s">
        <v>10</v>
      </c>
      <c r="E1157" t="s">
        <v>52</v>
      </c>
      <c r="F1157">
        <v>1</v>
      </c>
    </row>
    <row r="1158" spans="1:6" x14ac:dyDescent="0.2">
      <c r="A1158" t="s">
        <v>6771</v>
      </c>
      <c r="B1158" t="s">
        <v>6769</v>
      </c>
      <c r="C1158" t="s">
        <v>6770</v>
      </c>
      <c r="D1158" t="s">
        <v>10</v>
      </c>
      <c r="E1158" t="s">
        <v>16</v>
      </c>
      <c r="F1158">
        <v>1</v>
      </c>
    </row>
    <row r="1159" spans="1:6" x14ac:dyDescent="0.2">
      <c r="A1159" t="s">
        <v>5702</v>
      </c>
      <c r="B1159" t="s">
        <v>5700</v>
      </c>
      <c r="C1159" t="s">
        <v>5701</v>
      </c>
      <c r="D1159" t="s">
        <v>10</v>
      </c>
      <c r="E1159" t="s">
        <v>11</v>
      </c>
      <c r="F1159">
        <v>1</v>
      </c>
    </row>
    <row r="1160" spans="1:6" x14ac:dyDescent="0.2">
      <c r="A1160" t="s">
        <v>3207</v>
      </c>
      <c r="B1160" t="s">
        <v>3205</v>
      </c>
      <c r="C1160" t="s">
        <v>3206</v>
      </c>
      <c r="D1160" t="s">
        <v>64</v>
      </c>
      <c r="E1160" t="s">
        <v>16</v>
      </c>
      <c r="F1160">
        <v>1</v>
      </c>
    </row>
    <row r="1161" spans="1:6" x14ac:dyDescent="0.2">
      <c r="A1161" t="s">
        <v>11299</v>
      </c>
      <c r="B1161" t="s">
        <v>11294</v>
      </c>
      <c r="C1161" t="s">
        <v>11302</v>
      </c>
      <c r="D1161" t="s">
        <v>10</v>
      </c>
      <c r="E1161" t="s">
        <v>16</v>
      </c>
      <c r="F1161">
        <v>1</v>
      </c>
    </row>
    <row r="1162" spans="1:6" x14ac:dyDescent="0.2">
      <c r="A1162" t="s">
        <v>9615</v>
      </c>
      <c r="B1162" t="s">
        <v>9613</v>
      </c>
      <c r="C1162" t="s">
        <v>9614</v>
      </c>
      <c r="D1162" t="s">
        <v>29</v>
      </c>
      <c r="E1162" t="s">
        <v>16</v>
      </c>
      <c r="F1162">
        <v>1</v>
      </c>
    </row>
    <row r="1163" spans="1:6" x14ac:dyDescent="0.2">
      <c r="A1163" t="s">
        <v>5966</v>
      </c>
      <c r="B1163" t="s">
        <v>5964</v>
      </c>
      <c r="C1163" t="s">
        <v>5965</v>
      </c>
      <c r="D1163" t="s">
        <v>10</v>
      </c>
      <c r="E1163" t="s">
        <v>16</v>
      </c>
      <c r="F1163">
        <v>1</v>
      </c>
    </row>
    <row r="1164" spans="1:6" x14ac:dyDescent="0.2">
      <c r="A1164" t="s">
        <v>7034</v>
      </c>
      <c r="B1164" t="s">
        <v>7026</v>
      </c>
      <c r="C1164" t="s">
        <v>7033</v>
      </c>
      <c r="D1164" t="s">
        <v>10</v>
      </c>
      <c r="E1164" t="s">
        <v>16</v>
      </c>
      <c r="F1164">
        <v>1</v>
      </c>
    </row>
    <row r="1165" spans="1:6" x14ac:dyDescent="0.2">
      <c r="A1165" t="s">
        <v>8867</v>
      </c>
      <c r="B1165" t="s">
        <v>9014</v>
      </c>
      <c r="C1165" t="s">
        <v>8866</v>
      </c>
      <c r="D1165" t="s">
        <v>29</v>
      </c>
      <c r="E1165" t="s">
        <v>16</v>
      </c>
      <c r="F1165">
        <v>1</v>
      </c>
    </row>
    <row r="1166" spans="1:6" x14ac:dyDescent="0.2">
      <c r="A1166" t="s">
        <v>8869</v>
      </c>
      <c r="B1166" t="s">
        <v>9014</v>
      </c>
      <c r="C1166" t="s">
        <v>8868</v>
      </c>
      <c r="D1166" t="s">
        <v>10</v>
      </c>
      <c r="E1166" t="s">
        <v>16</v>
      </c>
      <c r="F1166">
        <v>1</v>
      </c>
    </row>
    <row r="1167" spans="1:6" x14ac:dyDescent="0.2">
      <c r="A1167" t="s">
        <v>5914</v>
      </c>
      <c r="B1167" t="s">
        <v>5912</v>
      </c>
      <c r="C1167" t="s">
        <v>5913</v>
      </c>
      <c r="D1167" t="s">
        <v>10</v>
      </c>
      <c r="E1167" t="s">
        <v>16</v>
      </c>
      <c r="F1167">
        <v>1</v>
      </c>
    </row>
    <row r="1168" spans="1:6" x14ac:dyDescent="0.2">
      <c r="A1168" t="s">
        <v>3265</v>
      </c>
      <c r="B1168" t="s">
        <v>3263</v>
      </c>
      <c r="C1168" t="s">
        <v>3266</v>
      </c>
      <c r="D1168" t="s">
        <v>10</v>
      </c>
      <c r="E1168" t="s">
        <v>52</v>
      </c>
      <c r="F1168">
        <v>1</v>
      </c>
    </row>
    <row r="1169" spans="1:6" x14ac:dyDescent="0.2">
      <c r="A1169" t="s">
        <v>7841</v>
      </c>
      <c r="B1169" t="s">
        <v>7839</v>
      </c>
      <c r="C1169" t="s">
        <v>7840</v>
      </c>
      <c r="D1169" t="s">
        <v>10</v>
      </c>
      <c r="E1169" t="s">
        <v>16</v>
      </c>
      <c r="F1169">
        <v>1</v>
      </c>
    </row>
    <row r="1170" spans="1:6" x14ac:dyDescent="0.2">
      <c r="A1170" t="s">
        <v>6000</v>
      </c>
      <c r="B1170" t="s">
        <v>5999</v>
      </c>
      <c r="C1170" t="s">
        <v>814</v>
      </c>
      <c r="D1170" t="s">
        <v>10</v>
      </c>
      <c r="E1170" t="s">
        <v>16</v>
      </c>
      <c r="F1170">
        <v>1</v>
      </c>
    </row>
    <row r="1171" spans="1:6" x14ac:dyDescent="0.2">
      <c r="A1171" t="s">
        <v>3271</v>
      </c>
      <c r="B1171" t="s">
        <v>3270</v>
      </c>
      <c r="C1171" t="s">
        <v>2465</v>
      </c>
      <c r="D1171" t="s">
        <v>10</v>
      </c>
      <c r="E1171" t="s">
        <v>16</v>
      </c>
      <c r="F1171">
        <v>1</v>
      </c>
    </row>
    <row r="1172" spans="1:6" x14ac:dyDescent="0.2">
      <c r="A1172" t="s">
        <v>751</v>
      </c>
      <c r="B1172" t="s">
        <v>749</v>
      </c>
      <c r="C1172" t="s">
        <v>750</v>
      </c>
      <c r="D1172" t="s">
        <v>10</v>
      </c>
      <c r="E1172" t="s">
        <v>52</v>
      </c>
      <c r="F1172">
        <v>1</v>
      </c>
    </row>
    <row r="1173" spans="1:6" x14ac:dyDescent="0.2">
      <c r="A1173" t="s">
        <v>6885</v>
      </c>
      <c r="B1173" t="s">
        <v>10686</v>
      </c>
      <c r="C1173" t="s">
        <v>10692</v>
      </c>
      <c r="D1173" t="s">
        <v>10</v>
      </c>
      <c r="E1173" t="s">
        <v>16</v>
      </c>
      <c r="F1173">
        <v>1</v>
      </c>
    </row>
    <row r="1174" spans="1:6" x14ac:dyDescent="0.2">
      <c r="A1174" t="s">
        <v>6035</v>
      </c>
      <c r="B1174" t="s">
        <v>6003</v>
      </c>
      <c r="C1174" t="s">
        <v>6034</v>
      </c>
      <c r="D1174" t="s">
        <v>10</v>
      </c>
      <c r="E1174" t="s">
        <v>11</v>
      </c>
      <c r="F1174">
        <v>2</v>
      </c>
    </row>
    <row r="1175" spans="1:6" x14ac:dyDescent="0.2">
      <c r="A1175" t="s">
        <v>310</v>
      </c>
      <c r="B1175" t="s">
        <v>308</v>
      </c>
      <c r="C1175" t="s">
        <v>309</v>
      </c>
      <c r="D1175" t="s">
        <v>10</v>
      </c>
      <c r="E1175" t="s">
        <v>16</v>
      </c>
      <c r="F1175">
        <v>1</v>
      </c>
    </row>
    <row r="1176" spans="1:6" x14ac:dyDescent="0.2">
      <c r="A1176" t="s">
        <v>444</v>
      </c>
      <c r="B1176" t="s">
        <v>438</v>
      </c>
      <c r="C1176" t="s">
        <v>443</v>
      </c>
      <c r="D1176" t="s">
        <v>10</v>
      </c>
      <c r="E1176" t="s">
        <v>16</v>
      </c>
      <c r="F1176">
        <v>1</v>
      </c>
    </row>
    <row r="1177" spans="1:6" x14ac:dyDescent="0.2">
      <c r="A1177" t="s">
        <v>9771</v>
      </c>
      <c r="B1177" t="s">
        <v>10963</v>
      </c>
      <c r="C1177" t="s">
        <v>10973</v>
      </c>
      <c r="D1177" t="s">
        <v>10</v>
      </c>
      <c r="E1177" t="s">
        <v>16</v>
      </c>
      <c r="F1177">
        <v>1</v>
      </c>
    </row>
    <row r="1178" spans="1:6" x14ac:dyDescent="0.2">
      <c r="A1178" t="s">
        <v>5821</v>
      </c>
      <c r="B1178" t="s">
        <v>5819</v>
      </c>
      <c r="C1178" t="s">
        <v>5824</v>
      </c>
      <c r="D1178" t="s">
        <v>10</v>
      </c>
      <c r="E1178" t="s">
        <v>16</v>
      </c>
      <c r="F1178">
        <v>1</v>
      </c>
    </row>
    <row r="1179" spans="1:6" x14ac:dyDescent="0.2">
      <c r="A1179" t="s">
        <v>3222</v>
      </c>
      <c r="B1179" t="s">
        <v>3220</v>
      </c>
      <c r="C1179" t="s">
        <v>3221</v>
      </c>
      <c r="D1179" t="s">
        <v>10</v>
      </c>
      <c r="E1179" t="s">
        <v>16</v>
      </c>
      <c r="F1179">
        <v>1</v>
      </c>
    </row>
    <row r="1180" spans="1:6" x14ac:dyDescent="0.2">
      <c r="A1180" t="s">
        <v>3224</v>
      </c>
      <c r="B1180" t="s">
        <v>3220</v>
      </c>
      <c r="C1180" t="s">
        <v>3223</v>
      </c>
      <c r="D1180" t="s">
        <v>10</v>
      </c>
      <c r="E1180" t="s">
        <v>16</v>
      </c>
      <c r="F1180">
        <v>1</v>
      </c>
    </row>
    <row r="1181" spans="1:6" x14ac:dyDescent="0.2">
      <c r="A1181" t="s">
        <v>5823</v>
      </c>
      <c r="B1181" t="s">
        <v>10721</v>
      </c>
      <c r="C1181" t="s">
        <v>5822</v>
      </c>
      <c r="D1181" t="s">
        <v>10</v>
      </c>
      <c r="E1181" t="s">
        <v>16</v>
      </c>
      <c r="F1181">
        <v>1</v>
      </c>
    </row>
    <row r="1182" spans="1:6" x14ac:dyDescent="0.2">
      <c r="A1182" t="s">
        <v>3391</v>
      </c>
      <c r="B1182" t="s">
        <v>6437</v>
      </c>
      <c r="C1182" t="s">
        <v>6438</v>
      </c>
      <c r="D1182" t="s">
        <v>10</v>
      </c>
      <c r="E1182" t="s">
        <v>16</v>
      </c>
      <c r="F1182">
        <v>2</v>
      </c>
    </row>
    <row r="1183" spans="1:6" x14ac:dyDescent="0.2">
      <c r="A1183" t="s">
        <v>6529</v>
      </c>
      <c r="B1183" t="s">
        <v>6522</v>
      </c>
      <c r="C1183" t="s">
        <v>6528</v>
      </c>
      <c r="D1183" t="s">
        <v>56</v>
      </c>
      <c r="E1183" t="s">
        <v>52</v>
      </c>
      <c r="F1183">
        <v>1</v>
      </c>
    </row>
    <row r="1184" spans="1:6" x14ac:dyDescent="0.2">
      <c r="A1184" t="s">
        <v>1194</v>
      </c>
      <c r="B1184" t="s">
        <v>1192</v>
      </c>
      <c r="C1184" t="s">
        <v>1193</v>
      </c>
      <c r="D1184" t="s">
        <v>56</v>
      </c>
      <c r="E1184" t="s">
        <v>52</v>
      </c>
      <c r="F1184">
        <v>2</v>
      </c>
    </row>
    <row r="1185" spans="1:6" x14ac:dyDescent="0.2">
      <c r="A1185" t="s">
        <v>7178</v>
      </c>
      <c r="B1185" t="s">
        <v>7167</v>
      </c>
      <c r="C1185" t="s">
        <v>7188</v>
      </c>
      <c r="D1185" t="s">
        <v>56</v>
      </c>
      <c r="E1185" t="s">
        <v>52</v>
      </c>
      <c r="F1185">
        <v>2</v>
      </c>
    </row>
    <row r="1186" spans="1:6" x14ac:dyDescent="0.2">
      <c r="A1186" t="s">
        <v>6428</v>
      </c>
      <c r="B1186" t="s">
        <v>6426</v>
      </c>
      <c r="C1186" t="s">
        <v>6429</v>
      </c>
      <c r="D1186" t="s">
        <v>10</v>
      </c>
      <c r="E1186" t="s">
        <v>16</v>
      </c>
      <c r="F1186">
        <v>1</v>
      </c>
    </row>
    <row r="1187" spans="1:6" x14ac:dyDescent="0.2">
      <c r="A1187" t="s">
        <v>6435</v>
      </c>
      <c r="B1187" t="s">
        <v>6431</v>
      </c>
      <c r="C1187" t="s">
        <v>6434</v>
      </c>
      <c r="D1187" t="s">
        <v>10</v>
      </c>
      <c r="E1187" t="s">
        <v>16</v>
      </c>
      <c r="F1187">
        <v>1</v>
      </c>
    </row>
    <row r="1188" spans="1:6" x14ac:dyDescent="0.2">
      <c r="A1188" t="s">
        <v>6433</v>
      </c>
      <c r="B1188" t="s">
        <v>6431</v>
      </c>
      <c r="C1188" t="s">
        <v>6436</v>
      </c>
      <c r="D1188" t="s">
        <v>10</v>
      </c>
      <c r="E1188" t="s">
        <v>16</v>
      </c>
      <c r="F1188">
        <v>1</v>
      </c>
    </row>
    <row r="1189" spans="1:6" x14ac:dyDescent="0.2">
      <c r="A1189" t="s">
        <v>11614</v>
      </c>
      <c r="B1189" t="s">
        <v>11612</v>
      </c>
      <c r="C1189" t="s">
        <v>11615</v>
      </c>
      <c r="D1189" t="s">
        <v>56</v>
      </c>
      <c r="E1189" t="s">
        <v>16</v>
      </c>
      <c r="F1189">
        <v>1</v>
      </c>
    </row>
    <row r="1190" spans="1:6" x14ac:dyDescent="0.2">
      <c r="A1190" t="s">
        <v>4490</v>
      </c>
      <c r="B1190" t="s">
        <v>6408</v>
      </c>
      <c r="C1190" t="s">
        <v>6414</v>
      </c>
      <c r="D1190" t="s">
        <v>10</v>
      </c>
      <c r="E1190" t="s">
        <v>11</v>
      </c>
      <c r="F1190">
        <v>2</v>
      </c>
    </row>
    <row r="1191" spans="1:6" x14ac:dyDescent="0.2">
      <c r="A1191" t="s">
        <v>3098</v>
      </c>
      <c r="B1191" t="s">
        <v>9692</v>
      </c>
      <c r="C1191" t="s">
        <v>6385</v>
      </c>
      <c r="D1191" t="s">
        <v>10</v>
      </c>
      <c r="E1191" t="s">
        <v>11</v>
      </c>
      <c r="F1191">
        <v>2</v>
      </c>
    </row>
    <row r="1192" spans="1:6" x14ac:dyDescent="0.2">
      <c r="A1192" t="s">
        <v>3101</v>
      </c>
      <c r="B1192" t="s">
        <v>9692</v>
      </c>
      <c r="C1192" t="s">
        <v>9698</v>
      </c>
      <c r="D1192" t="s">
        <v>10</v>
      </c>
      <c r="E1192" t="s">
        <v>11</v>
      </c>
      <c r="F1192">
        <v>2</v>
      </c>
    </row>
    <row r="1193" spans="1:6" x14ac:dyDescent="0.2">
      <c r="A1193" t="s">
        <v>3068</v>
      </c>
      <c r="B1193" t="s">
        <v>6665</v>
      </c>
      <c r="C1193" t="s">
        <v>6666</v>
      </c>
      <c r="D1193" t="s">
        <v>56</v>
      </c>
      <c r="E1193" t="s">
        <v>16</v>
      </c>
      <c r="F1193">
        <v>1</v>
      </c>
    </row>
    <row r="1194" spans="1:6" x14ac:dyDescent="0.2">
      <c r="A1194" t="s">
        <v>6604</v>
      </c>
      <c r="B1194" t="s">
        <v>6600</v>
      </c>
      <c r="C1194" t="s">
        <v>6603</v>
      </c>
      <c r="D1194" t="s">
        <v>10</v>
      </c>
      <c r="E1194" t="s">
        <v>16</v>
      </c>
      <c r="F1194">
        <v>1</v>
      </c>
    </row>
    <row r="1195" spans="1:6" x14ac:dyDescent="0.2">
      <c r="A1195" t="s">
        <v>7169</v>
      </c>
      <c r="B1195" t="s">
        <v>7167</v>
      </c>
      <c r="C1195" t="s">
        <v>7168</v>
      </c>
      <c r="D1195" t="s">
        <v>56</v>
      </c>
      <c r="E1195" t="s">
        <v>16</v>
      </c>
      <c r="F1195">
        <v>1</v>
      </c>
    </row>
    <row r="1196" spans="1:6" x14ac:dyDescent="0.2">
      <c r="A1196" t="s">
        <v>2951</v>
      </c>
      <c r="B1196" t="s">
        <v>2950</v>
      </c>
      <c r="C1196" t="s">
        <v>2952</v>
      </c>
      <c r="D1196" t="s">
        <v>56</v>
      </c>
      <c r="E1196" t="s">
        <v>52</v>
      </c>
      <c r="F1196">
        <v>2</v>
      </c>
    </row>
    <row r="1197" spans="1:6" x14ac:dyDescent="0.2">
      <c r="A1197" t="s">
        <v>875</v>
      </c>
      <c r="B1197" t="s">
        <v>2950</v>
      </c>
      <c r="C1197" t="s">
        <v>2774</v>
      </c>
      <c r="D1197" t="s">
        <v>56</v>
      </c>
      <c r="E1197" t="s">
        <v>52</v>
      </c>
      <c r="F1197">
        <v>2</v>
      </c>
    </row>
    <row r="1198" spans="1:6" x14ac:dyDescent="0.2">
      <c r="A1198" t="s">
        <v>828</v>
      </c>
      <c r="B1198" t="s">
        <v>6665</v>
      </c>
      <c r="C1198" t="s">
        <v>12087</v>
      </c>
      <c r="D1198" t="s">
        <v>56</v>
      </c>
      <c r="E1198" t="s">
        <v>52</v>
      </c>
      <c r="F1198">
        <v>1</v>
      </c>
    </row>
    <row r="1199" spans="1:6" x14ac:dyDescent="0.2">
      <c r="A1199" t="s">
        <v>10478</v>
      </c>
      <c r="B1199" t="s">
        <v>10464</v>
      </c>
      <c r="C1199" t="s">
        <v>10524</v>
      </c>
      <c r="D1199" t="s">
        <v>56</v>
      </c>
      <c r="E1199" t="s">
        <v>52</v>
      </c>
      <c r="F1199">
        <v>2</v>
      </c>
    </row>
    <row r="1200" spans="1:6" x14ac:dyDescent="0.2">
      <c r="A1200" t="s">
        <v>10470</v>
      </c>
      <c r="B1200" t="s">
        <v>10464</v>
      </c>
      <c r="C1200" t="s">
        <v>10525</v>
      </c>
      <c r="D1200" t="s">
        <v>56</v>
      </c>
      <c r="E1200" t="s">
        <v>52</v>
      </c>
      <c r="F1200">
        <v>3</v>
      </c>
    </row>
    <row r="1201" spans="1:6" x14ac:dyDescent="0.2">
      <c r="A1201" t="s">
        <v>1732</v>
      </c>
      <c r="B1201" t="s">
        <v>10464</v>
      </c>
      <c r="C1201" t="s">
        <v>10480</v>
      </c>
      <c r="D1201" t="s">
        <v>56</v>
      </c>
      <c r="E1201" t="s">
        <v>52</v>
      </c>
      <c r="F1201">
        <v>2</v>
      </c>
    </row>
    <row r="1202" spans="1:6" x14ac:dyDescent="0.2">
      <c r="A1202" t="s">
        <v>2752</v>
      </c>
      <c r="B1202" t="s">
        <v>8050</v>
      </c>
      <c r="C1202" t="s">
        <v>6672</v>
      </c>
      <c r="D1202" t="s">
        <v>56</v>
      </c>
      <c r="E1202" t="s">
        <v>52</v>
      </c>
      <c r="F1202">
        <v>2</v>
      </c>
    </row>
    <row r="1203" spans="1:6" x14ac:dyDescent="0.2">
      <c r="A1203" t="s">
        <v>6610</v>
      </c>
      <c r="B1203" t="s">
        <v>6608</v>
      </c>
      <c r="C1203" t="s">
        <v>6609</v>
      </c>
      <c r="D1203" t="s">
        <v>64</v>
      </c>
      <c r="E1203" t="s">
        <v>16</v>
      </c>
      <c r="F1203">
        <v>1</v>
      </c>
    </row>
    <row r="1204" spans="1:6" x14ac:dyDescent="0.2">
      <c r="A1204" t="s">
        <v>6544</v>
      </c>
      <c r="B1204" t="s">
        <v>6538</v>
      </c>
      <c r="C1204" t="s">
        <v>6551</v>
      </c>
      <c r="D1204" t="s">
        <v>10</v>
      </c>
      <c r="E1204" t="s">
        <v>16</v>
      </c>
      <c r="F1204">
        <v>1</v>
      </c>
    </row>
    <row r="1205" spans="1:6" x14ac:dyDescent="0.2">
      <c r="A1205" t="s">
        <v>6383</v>
      </c>
      <c r="B1205" t="s">
        <v>9692</v>
      </c>
      <c r="C1205" t="s">
        <v>6387</v>
      </c>
      <c r="D1205" t="s">
        <v>10</v>
      </c>
      <c r="E1205" t="s">
        <v>11</v>
      </c>
      <c r="F1205">
        <v>2</v>
      </c>
    </row>
    <row r="1206" spans="1:6" x14ac:dyDescent="0.2">
      <c r="A1206" t="s">
        <v>10619</v>
      </c>
      <c r="B1206" t="s">
        <v>10617</v>
      </c>
      <c r="C1206" t="s">
        <v>10620</v>
      </c>
      <c r="D1206" t="s">
        <v>10</v>
      </c>
      <c r="E1206" t="s">
        <v>16</v>
      </c>
      <c r="F1206">
        <v>1</v>
      </c>
    </row>
    <row r="1207" spans="1:6" x14ac:dyDescent="0.2">
      <c r="A1207" t="s">
        <v>1389</v>
      </c>
      <c r="B1207" t="s">
        <v>8050</v>
      </c>
      <c r="C1207" t="s">
        <v>1388</v>
      </c>
      <c r="D1207" t="s">
        <v>10</v>
      </c>
      <c r="E1207" t="s">
        <v>11</v>
      </c>
      <c r="F1207">
        <v>1</v>
      </c>
    </row>
    <row r="1208" spans="1:6" x14ac:dyDescent="0.2">
      <c r="A1208" t="s">
        <v>6052</v>
      </c>
      <c r="B1208" t="s">
        <v>6050</v>
      </c>
      <c r="C1208" t="s">
        <v>6051</v>
      </c>
      <c r="D1208" t="s">
        <v>64</v>
      </c>
      <c r="E1208" t="s">
        <v>16</v>
      </c>
      <c r="F1208">
        <v>1</v>
      </c>
    </row>
    <row r="1209" spans="1:6" x14ac:dyDescent="0.2">
      <c r="A1209" t="s">
        <v>2116</v>
      </c>
      <c r="B1209" t="s">
        <v>2111</v>
      </c>
      <c r="C1209" t="s">
        <v>2118</v>
      </c>
      <c r="D1209" t="s">
        <v>10</v>
      </c>
      <c r="E1209" t="s">
        <v>11</v>
      </c>
      <c r="F1209">
        <v>1</v>
      </c>
    </row>
    <row r="1210" spans="1:6" x14ac:dyDescent="0.2">
      <c r="A1210" t="s">
        <v>3057</v>
      </c>
      <c r="B1210" t="s">
        <v>3053</v>
      </c>
      <c r="C1210" t="s">
        <v>3056</v>
      </c>
      <c r="D1210" t="s">
        <v>10</v>
      </c>
      <c r="E1210" t="s">
        <v>16</v>
      </c>
      <c r="F1210">
        <v>1</v>
      </c>
    </row>
    <row r="1211" spans="1:6" x14ac:dyDescent="0.2">
      <c r="A1211" t="s">
        <v>3060</v>
      </c>
      <c r="B1211" t="s">
        <v>3053</v>
      </c>
      <c r="C1211" t="s">
        <v>3059</v>
      </c>
      <c r="D1211" t="s">
        <v>10</v>
      </c>
      <c r="E1211" t="s">
        <v>16</v>
      </c>
      <c r="F1211">
        <v>1</v>
      </c>
    </row>
    <row r="1212" spans="1:6" x14ac:dyDescent="0.2">
      <c r="A1212" t="s">
        <v>3055</v>
      </c>
      <c r="B1212" t="s">
        <v>3053</v>
      </c>
      <c r="C1212" t="s">
        <v>3054</v>
      </c>
      <c r="D1212" t="s">
        <v>10</v>
      </c>
      <c r="E1212" t="s">
        <v>16</v>
      </c>
      <c r="F1212">
        <v>1</v>
      </c>
    </row>
    <row r="1213" spans="1:6" x14ac:dyDescent="0.2">
      <c r="A1213" t="s">
        <v>6098</v>
      </c>
      <c r="B1213" t="s">
        <v>6073</v>
      </c>
      <c r="C1213" t="s">
        <v>6097</v>
      </c>
      <c r="D1213" t="s">
        <v>10</v>
      </c>
      <c r="E1213" t="s">
        <v>16</v>
      </c>
      <c r="F1213">
        <v>1</v>
      </c>
    </row>
    <row r="1214" spans="1:6" x14ac:dyDescent="0.2">
      <c r="A1214" t="s">
        <v>6706</v>
      </c>
      <c r="B1214" t="s">
        <v>6704</v>
      </c>
      <c r="C1214" t="s">
        <v>6705</v>
      </c>
      <c r="D1214" t="s">
        <v>10</v>
      </c>
      <c r="E1214" t="s">
        <v>16</v>
      </c>
      <c r="F1214">
        <v>2</v>
      </c>
    </row>
    <row r="1215" spans="1:6" x14ac:dyDescent="0.2">
      <c r="A1215" t="s">
        <v>6614</v>
      </c>
      <c r="B1215" t="s">
        <v>6612</v>
      </c>
      <c r="C1215" t="s">
        <v>6613</v>
      </c>
      <c r="D1215" t="s">
        <v>10</v>
      </c>
      <c r="E1215" t="s">
        <v>11</v>
      </c>
      <c r="F1215">
        <v>2</v>
      </c>
    </row>
    <row r="1216" spans="1:6" x14ac:dyDescent="0.2">
      <c r="A1216" t="s">
        <v>10994</v>
      </c>
      <c r="B1216" t="s">
        <v>10990</v>
      </c>
      <c r="C1216" t="s">
        <v>10995</v>
      </c>
      <c r="D1216" t="s">
        <v>10</v>
      </c>
      <c r="E1216" t="s">
        <v>16</v>
      </c>
      <c r="F1216">
        <v>1</v>
      </c>
    </row>
    <row r="1217" spans="1:6" x14ac:dyDescent="0.2">
      <c r="A1217" t="s">
        <v>4487</v>
      </c>
      <c r="B1217" t="s">
        <v>4451</v>
      </c>
      <c r="C1217" t="s">
        <v>4486</v>
      </c>
      <c r="D1217" t="s">
        <v>10</v>
      </c>
      <c r="E1217" t="s">
        <v>16</v>
      </c>
      <c r="F1217">
        <v>4</v>
      </c>
    </row>
    <row r="1218" spans="1:6" x14ac:dyDescent="0.2">
      <c r="A1218" t="s">
        <v>6512</v>
      </c>
      <c r="B1218" t="s">
        <v>6510</v>
      </c>
      <c r="C1218" t="s">
        <v>6513</v>
      </c>
      <c r="D1218" t="s">
        <v>10</v>
      </c>
      <c r="E1218" t="s">
        <v>11</v>
      </c>
      <c r="F1218">
        <v>2</v>
      </c>
    </row>
    <row r="1219" spans="1:6" x14ac:dyDescent="0.2">
      <c r="A1219" t="s">
        <v>6583</v>
      </c>
      <c r="B1219" t="s">
        <v>6581</v>
      </c>
      <c r="C1219" t="s">
        <v>6584</v>
      </c>
      <c r="D1219" t="s">
        <v>10</v>
      </c>
      <c r="E1219" t="s">
        <v>16</v>
      </c>
      <c r="F1219">
        <v>1</v>
      </c>
    </row>
    <row r="1220" spans="1:6" x14ac:dyDescent="0.2">
      <c r="A1220" t="s">
        <v>7145</v>
      </c>
      <c r="B1220" t="s">
        <v>7142</v>
      </c>
      <c r="C1220" t="s">
        <v>6517</v>
      </c>
      <c r="D1220" t="s">
        <v>10</v>
      </c>
      <c r="E1220" t="s">
        <v>16</v>
      </c>
      <c r="F1220">
        <v>1</v>
      </c>
    </row>
    <row r="1221" spans="1:6" x14ac:dyDescent="0.2">
      <c r="A1221" t="s">
        <v>6371</v>
      </c>
      <c r="B1221" t="s">
        <v>6365</v>
      </c>
      <c r="C1221" t="s">
        <v>6370</v>
      </c>
      <c r="D1221" t="s">
        <v>10</v>
      </c>
      <c r="E1221" t="s">
        <v>16</v>
      </c>
      <c r="F1221">
        <v>1</v>
      </c>
    </row>
    <row r="1222" spans="1:6" x14ac:dyDescent="0.2">
      <c r="A1222" t="s">
        <v>7421</v>
      </c>
      <c r="B1222" t="s">
        <v>7419</v>
      </c>
      <c r="C1222" t="s">
        <v>7420</v>
      </c>
      <c r="D1222" t="s">
        <v>10</v>
      </c>
      <c r="E1222" t="s">
        <v>16</v>
      </c>
      <c r="F1222">
        <v>1</v>
      </c>
    </row>
    <row r="1223" spans="1:6" x14ac:dyDescent="0.2">
      <c r="A1223" t="s">
        <v>6290</v>
      </c>
      <c r="B1223" t="s">
        <v>6288</v>
      </c>
      <c r="C1223" t="s">
        <v>6289</v>
      </c>
      <c r="D1223" t="s">
        <v>10</v>
      </c>
      <c r="E1223" t="s">
        <v>16</v>
      </c>
      <c r="F1223">
        <v>1</v>
      </c>
    </row>
    <row r="1224" spans="1:6" x14ac:dyDescent="0.2">
      <c r="A1224" t="s">
        <v>5461</v>
      </c>
      <c r="B1224" t="s">
        <v>5453</v>
      </c>
      <c r="C1224" t="s">
        <v>5460</v>
      </c>
      <c r="D1224" t="s">
        <v>10</v>
      </c>
      <c r="E1224" t="s">
        <v>16</v>
      </c>
      <c r="F1224">
        <v>1</v>
      </c>
    </row>
    <row r="1225" spans="1:6" x14ac:dyDescent="0.2">
      <c r="A1225" t="s">
        <v>8611</v>
      </c>
      <c r="B1225" t="s">
        <v>8609</v>
      </c>
      <c r="C1225" t="s">
        <v>8610</v>
      </c>
      <c r="D1225" t="s">
        <v>10</v>
      </c>
      <c r="E1225" t="s">
        <v>16</v>
      </c>
      <c r="F1225">
        <v>1</v>
      </c>
    </row>
    <row r="1226" spans="1:6" x14ac:dyDescent="0.2">
      <c r="A1226" t="s">
        <v>11778</v>
      </c>
      <c r="B1226" t="s">
        <v>11776</v>
      </c>
      <c r="C1226" t="s">
        <v>11777</v>
      </c>
      <c r="D1226" t="s">
        <v>10</v>
      </c>
      <c r="E1226" t="s">
        <v>16</v>
      </c>
      <c r="F1226">
        <v>1</v>
      </c>
    </row>
    <row r="1227" spans="1:6" x14ac:dyDescent="0.2">
      <c r="A1227" t="s">
        <v>5532</v>
      </c>
      <c r="B1227" t="s">
        <v>5536</v>
      </c>
      <c r="C1227" t="s">
        <v>5531</v>
      </c>
      <c r="D1227" t="s">
        <v>10</v>
      </c>
      <c r="E1227" t="s">
        <v>16</v>
      </c>
      <c r="F1227">
        <v>1</v>
      </c>
    </row>
    <row r="1228" spans="1:6" x14ac:dyDescent="0.2">
      <c r="A1228" t="s">
        <v>6808</v>
      </c>
      <c r="B1228" t="s">
        <v>6806</v>
      </c>
      <c r="C1228" t="s">
        <v>6807</v>
      </c>
      <c r="D1228" t="s">
        <v>29</v>
      </c>
      <c r="E1228" t="s">
        <v>16</v>
      </c>
      <c r="F1228">
        <v>1</v>
      </c>
    </row>
    <row r="1229" spans="1:6" x14ac:dyDescent="0.2">
      <c r="A1229" t="s">
        <v>6593</v>
      </c>
      <c r="B1229" t="s">
        <v>6591</v>
      </c>
      <c r="C1229" t="s">
        <v>6592</v>
      </c>
      <c r="D1229" t="s">
        <v>10</v>
      </c>
      <c r="E1229" t="s">
        <v>16</v>
      </c>
      <c r="F1229">
        <v>1</v>
      </c>
    </row>
    <row r="1230" spans="1:6" x14ac:dyDescent="0.2">
      <c r="A1230" t="s">
        <v>9861</v>
      </c>
      <c r="B1230" t="s">
        <v>9826</v>
      </c>
      <c r="C1230" t="s">
        <v>9860</v>
      </c>
      <c r="D1230" t="s">
        <v>10</v>
      </c>
      <c r="E1230" t="s">
        <v>16</v>
      </c>
      <c r="F1230">
        <v>1</v>
      </c>
    </row>
    <row r="1231" spans="1:6" x14ac:dyDescent="0.2">
      <c r="A1231" t="s">
        <v>9831</v>
      </c>
      <c r="B1231" t="s">
        <v>9826</v>
      </c>
      <c r="C1231" t="s">
        <v>9866</v>
      </c>
      <c r="D1231" t="s">
        <v>10</v>
      </c>
      <c r="E1231" t="s">
        <v>16</v>
      </c>
      <c r="F1231">
        <v>1</v>
      </c>
    </row>
    <row r="1232" spans="1:6" x14ac:dyDescent="0.2">
      <c r="A1232" t="s">
        <v>5006</v>
      </c>
      <c r="B1232" t="s">
        <v>5004</v>
      </c>
      <c r="C1232" t="s">
        <v>5005</v>
      </c>
      <c r="D1232" t="s">
        <v>10</v>
      </c>
      <c r="E1232" t="s">
        <v>16</v>
      </c>
      <c r="F1232">
        <v>1</v>
      </c>
    </row>
    <row r="1233" spans="1:6" x14ac:dyDescent="0.2">
      <c r="A1233" t="s">
        <v>40</v>
      </c>
      <c r="B1233" t="s">
        <v>36</v>
      </c>
      <c r="C1233" t="s">
        <v>39</v>
      </c>
      <c r="D1233" t="s">
        <v>10</v>
      </c>
      <c r="E1233" t="s">
        <v>16</v>
      </c>
      <c r="F1233">
        <v>1</v>
      </c>
    </row>
    <row r="1234" spans="1:6" x14ac:dyDescent="0.2">
      <c r="A1234" t="s">
        <v>6358</v>
      </c>
      <c r="B1234" t="s">
        <v>6356</v>
      </c>
      <c r="C1234" t="s">
        <v>6357</v>
      </c>
      <c r="D1234" t="s">
        <v>10</v>
      </c>
      <c r="E1234" t="s">
        <v>16</v>
      </c>
      <c r="F1234">
        <v>1</v>
      </c>
    </row>
    <row r="1235" spans="1:6" x14ac:dyDescent="0.2">
      <c r="A1235" t="s">
        <v>6755</v>
      </c>
      <c r="B1235" t="s">
        <v>6716</v>
      </c>
      <c r="C1235" t="s">
        <v>4495</v>
      </c>
      <c r="D1235" t="s">
        <v>10</v>
      </c>
      <c r="E1235" t="s">
        <v>16</v>
      </c>
      <c r="F1235">
        <v>1</v>
      </c>
    </row>
    <row r="1236" spans="1:6" x14ac:dyDescent="0.2">
      <c r="A1236" t="s">
        <v>6595</v>
      </c>
      <c r="B1236" t="s">
        <v>6591</v>
      </c>
      <c r="C1236" t="s">
        <v>6594</v>
      </c>
      <c r="D1236" t="s">
        <v>10</v>
      </c>
      <c r="E1236" t="s">
        <v>16</v>
      </c>
      <c r="F1236">
        <v>1</v>
      </c>
    </row>
    <row r="1237" spans="1:6" x14ac:dyDescent="0.2">
      <c r="A1237" t="s">
        <v>9963</v>
      </c>
      <c r="B1237" t="s">
        <v>9961</v>
      </c>
      <c r="C1237" t="s">
        <v>9962</v>
      </c>
      <c r="D1237" t="s">
        <v>56</v>
      </c>
      <c r="E1237" t="s">
        <v>16</v>
      </c>
      <c r="F1237">
        <v>1</v>
      </c>
    </row>
    <row r="1238" spans="1:6" x14ac:dyDescent="0.2">
      <c r="A1238" t="s">
        <v>6553</v>
      </c>
      <c r="B1238" t="s">
        <v>6538</v>
      </c>
      <c r="C1238" t="s">
        <v>6552</v>
      </c>
      <c r="D1238" t="s">
        <v>10</v>
      </c>
      <c r="E1238" t="s">
        <v>11</v>
      </c>
      <c r="F1238">
        <v>1</v>
      </c>
    </row>
    <row r="1239" spans="1:6" x14ac:dyDescent="0.2">
      <c r="A1239" t="s">
        <v>6558</v>
      </c>
      <c r="B1239" t="s">
        <v>6538</v>
      </c>
      <c r="C1239" t="s">
        <v>6557</v>
      </c>
      <c r="D1239" t="s">
        <v>10</v>
      </c>
      <c r="E1239" t="s">
        <v>16</v>
      </c>
      <c r="F1239">
        <v>1</v>
      </c>
    </row>
    <row r="1240" spans="1:6" x14ac:dyDescent="0.2">
      <c r="A1240" t="s">
        <v>6549</v>
      </c>
      <c r="B1240" t="s">
        <v>6538</v>
      </c>
      <c r="C1240" t="s">
        <v>6556</v>
      </c>
      <c r="D1240" t="s">
        <v>10</v>
      </c>
      <c r="E1240" t="s">
        <v>16</v>
      </c>
      <c r="F1240">
        <v>1</v>
      </c>
    </row>
    <row r="1241" spans="1:6" x14ac:dyDescent="0.2">
      <c r="A1241" t="s">
        <v>6560</v>
      </c>
      <c r="B1241" t="s">
        <v>6538</v>
      </c>
      <c r="C1241" t="s">
        <v>6559</v>
      </c>
      <c r="D1241" t="s">
        <v>10</v>
      </c>
      <c r="E1241" t="s">
        <v>52</v>
      </c>
      <c r="F1241">
        <v>1</v>
      </c>
    </row>
    <row r="1242" spans="1:6" x14ac:dyDescent="0.2">
      <c r="A1242" t="s">
        <v>6555</v>
      </c>
      <c r="B1242" t="s">
        <v>6538</v>
      </c>
      <c r="C1242" t="s">
        <v>6554</v>
      </c>
      <c r="D1242" t="s">
        <v>10</v>
      </c>
      <c r="E1242" t="s">
        <v>11</v>
      </c>
      <c r="F1242">
        <v>1</v>
      </c>
    </row>
    <row r="1243" spans="1:6" x14ac:dyDescent="0.2">
      <c r="A1243" t="s">
        <v>6580</v>
      </c>
      <c r="B1243" t="s">
        <v>6538</v>
      </c>
      <c r="C1243" t="s">
        <v>6579</v>
      </c>
      <c r="D1243" t="s">
        <v>10</v>
      </c>
      <c r="E1243" t="s">
        <v>52</v>
      </c>
      <c r="F1243">
        <v>1</v>
      </c>
    </row>
    <row r="1244" spans="1:6" x14ac:dyDescent="0.2">
      <c r="A1244" t="s">
        <v>10400</v>
      </c>
      <c r="B1244" t="s">
        <v>10398</v>
      </c>
      <c r="C1244" t="s">
        <v>10399</v>
      </c>
      <c r="D1244" t="s">
        <v>10</v>
      </c>
      <c r="E1244" t="s">
        <v>16</v>
      </c>
      <c r="F1244">
        <v>1</v>
      </c>
    </row>
    <row r="1245" spans="1:6" x14ac:dyDescent="0.2">
      <c r="A1245" t="s">
        <v>10402</v>
      </c>
      <c r="B1245" t="s">
        <v>10398</v>
      </c>
      <c r="C1245" t="s">
        <v>10401</v>
      </c>
      <c r="D1245" t="s">
        <v>10</v>
      </c>
      <c r="E1245" t="s">
        <v>16</v>
      </c>
      <c r="F1245">
        <v>1</v>
      </c>
    </row>
    <row r="1246" spans="1:6" x14ac:dyDescent="0.2">
      <c r="A1246" t="s">
        <v>2424</v>
      </c>
      <c r="B1246" t="s">
        <v>2412</v>
      </c>
      <c r="C1246" t="s">
        <v>2449</v>
      </c>
      <c r="D1246" t="s">
        <v>56</v>
      </c>
      <c r="E1246" t="s">
        <v>52</v>
      </c>
      <c r="F1246">
        <v>1</v>
      </c>
    </row>
    <row r="1247" spans="1:6" x14ac:dyDescent="0.2">
      <c r="A1247" t="s">
        <v>6694</v>
      </c>
      <c r="B1247" t="s">
        <v>6692</v>
      </c>
      <c r="C1247" t="s">
        <v>6693</v>
      </c>
      <c r="D1247" t="s">
        <v>10</v>
      </c>
      <c r="E1247" t="s">
        <v>16</v>
      </c>
      <c r="F1247">
        <v>1</v>
      </c>
    </row>
    <row r="1248" spans="1:6" x14ac:dyDescent="0.2">
      <c r="A1248" t="s">
        <v>748</v>
      </c>
      <c r="B1248" t="s">
        <v>746</v>
      </c>
      <c r="C1248" t="s">
        <v>747</v>
      </c>
      <c r="D1248" t="s">
        <v>10</v>
      </c>
      <c r="E1248" t="s">
        <v>16</v>
      </c>
      <c r="F1248">
        <v>1</v>
      </c>
    </row>
    <row r="1249" spans="1:6" x14ac:dyDescent="0.2">
      <c r="A1249" t="s">
        <v>6373</v>
      </c>
      <c r="B1249" t="s">
        <v>6365</v>
      </c>
      <c r="C1249" t="s">
        <v>6372</v>
      </c>
      <c r="D1249" t="s">
        <v>10</v>
      </c>
      <c r="E1249" t="s">
        <v>11</v>
      </c>
      <c r="F1249">
        <v>1</v>
      </c>
    </row>
    <row r="1250" spans="1:6" x14ac:dyDescent="0.2">
      <c r="A1250" t="s">
        <v>6375</v>
      </c>
      <c r="B1250" t="s">
        <v>6365</v>
      </c>
      <c r="C1250" t="s">
        <v>6374</v>
      </c>
      <c r="D1250" t="s">
        <v>10</v>
      </c>
      <c r="E1250" t="s">
        <v>16</v>
      </c>
      <c r="F1250">
        <v>1</v>
      </c>
    </row>
    <row r="1251" spans="1:6" x14ac:dyDescent="0.2">
      <c r="A1251" t="s">
        <v>11169</v>
      </c>
      <c r="B1251" t="s">
        <v>11166</v>
      </c>
      <c r="C1251" t="s">
        <v>11171</v>
      </c>
      <c r="D1251" t="s">
        <v>10</v>
      </c>
      <c r="E1251" t="s">
        <v>52</v>
      </c>
      <c r="F1251">
        <v>1</v>
      </c>
    </row>
    <row r="1252" spans="1:6" x14ac:dyDescent="0.2">
      <c r="A1252" t="s">
        <v>1923</v>
      </c>
      <c r="B1252" t="s">
        <v>1919</v>
      </c>
      <c r="C1252" t="s">
        <v>1922</v>
      </c>
      <c r="D1252" t="s">
        <v>10</v>
      </c>
      <c r="E1252" t="s">
        <v>16</v>
      </c>
      <c r="F1252">
        <v>1</v>
      </c>
    </row>
    <row r="1253" spans="1:6" x14ac:dyDescent="0.2">
      <c r="A1253" t="s">
        <v>6055</v>
      </c>
      <c r="B1253" t="s">
        <v>6050</v>
      </c>
      <c r="C1253" t="s">
        <v>6054</v>
      </c>
      <c r="D1253" t="s">
        <v>64</v>
      </c>
      <c r="E1253" t="s">
        <v>16</v>
      </c>
      <c r="F1253">
        <v>1</v>
      </c>
    </row>
    <row r="1254" spans="1:6" x14ac:dyDescent="0.2">
      <c r="A1254" t="s">
        <v>6057</v>
      </c>
      <c r="B1254" t="s">
        <v>6050</v>
      </c>
      <c r="C1254" t="s">
        <v>6056</v>
      </c>
      <c r="D1254" t="s">
        <v>64</v>
      </c>
      <c r="E1254" t="s">
        <v>52</v>
      </c>
      <c r="F1254">
        <v>1</v>
      </c>
    </row>
    <row r="1255" spans="1:6" x14ac:dyDescent="0.2">
      <c r="A1255" t="s">
        <v>6493</v>
      </c>
      <c r="B1255" t="s">
        <v>6491</v>
      </c>
      <c r="C1255" t="s">
        <v>6492</v>
      </c>
      <c r="D1255" t="s">
        <v>56</v>
      </c>
      <c r="E1255" t="s">
        <v>52</v>
      </c>
      <c r="F1255">
        <v>1</v>
      </c>
    </row>
    <row r="1256" spans="1:6" x14ac:dyDescent="0.2">
      <c r="A1256" t="s">
        <v>8875</v>
      </c>
      <c r="B1256" t="s">
        <v>8871</v>
      </c>
      <c r="C1256" t="s">
        <v>8874</v>
      </c>
      <c r="D1256" t="s">
        <v>10</v>
      </c>
      <c r="E1256" t="s">
        <v>16</v>
      </c>
      <c r="F1256">
        <v>1</v>
      </c>
    </row>
    <row r="1257" spans="1:6" x14ac:dyDescent="0.2">
      <c r="A1257" t="s">
        <v>6852</v>
      </c>
      <c r="B1257" t="s">
        <v>6826</v>
      </c>
      <c r="C1257" t="s">
        <v>6851</v>
      </c>
      <c r="D1257" t="s">
        <v>10</v>
      </c>
      <c r="E1257" t="s">
        <v>16</v>
      </c>
      <c r="F1257">
        <v>1</v>
      </c>
    </row>
    <row r="1258" spans="1:6" x14ac:dyDescent="0.2">
      <c r="A1258" t="s">
        <v>6854</v>
      </c>
      <c r="B1258" t="s">
        <v>6826</v>
      </c>
      <c r="C1258" t="s">
        <v>6853</v>
      </c>
      <c r="D1258" t="s">
        <v>10</v>
      </c>
      <c r="E1258" t="s">
        <v>52</v>
      </c>
      <c r="F1258">
        <v>2</v>
      </c>
    </row>
    <row r="1259" spans="1:6" x14ac:dyDescent="0.2">
      <c r="A1259" t="s">
        <v>1343</v>
      </c>
      <c r="B1259" t="s">
        <v>1339</v>
      </c>
      <c r="C1259" t="s">
        <v>1342</v>
      </c>
      <c r="D1259" t="s">
        <v>10</v>
      </c>
      <c r="E1259" t="s">
        <v>16</v>
      </c>
      <c r="F1259">
        <v>1</v>
      </c>
    </row>
    <row r="1260" spans="1:6" x14ac:dyDescent="0.2">
      <c r="A1260" t="s">
        <v>1341</v>
      </c>
      <c r="B1260" t="s">
        <v>1339</v>
      </c>
      <c r="C1260" t="s">
        <v>1340</v>
      </c>
      <c r="D1260" t="s">
        <v>10</v>
      </c>
      <c r="E1260" t="s">
        <v>16</v>
      </c>
      <c r="F1260">
        <v>1</v>
      </c>
    </row>
    <row r="1261" spans="1:6" x14ac:dyDescent="0.2">
      <c r="A1261" t="s">
        <v>9375</v>
      </c>
      <c r="B1261" t="s">
        <v>9369</v>
      </c>
      <c r="C1261" t="s">
        <v>9374</v>
      </c>
      <c r="D1261" t="s">
        <v>10</v>
      </c>
      <c r="E1261" t="s">
        <v>16</v>
      </c>
      <c r="F1261">
        <v>1</v>
      </c>
    </row>
    <row r="1262" spans="1:6" x14ac:dyDescent="0.2">
      <c r="A1262" t="s">
        <v>9371</v>
      </c>
      <c r="B1262" t="s">
        <v>9369</v>
      </c>
      <c r="C1262" t="s">
        <v>9370</v>
      </c>
      <c r="D1262" t="s">
        <v>10</v>
      </c>
      <c r="E1262" t="s">
        <v>16</v>
      </c>
      <c r="F1262">
        <v>1</v>
      </c>
    </row>
    <row r="1263" spans="1:6" x14ac:dyDescent="0.2">
      <c r="A1263" t="s">
        <v>9373</v>
      </c>
      <c r="B1263" t="s">
        <v>9369</v>
      </c>
      <c r="C1263" t="s">
        <v>9372</v>
      </c>
      <c r="D1263" t="s">
        <v>10</v>
      </c>
      <c r="E1263" t="s">
        <v>16</v>
      </c>
      <c r="F1263">
        <v>1</v>
      </c>
    </row>
    <row r="1264" spans="1:6" x14ac:dyDescent="0.2">
      <c r="A1264" t="s">
        <v>6899</v>
      </c>
      <c r="B1264" t="s">
        <v>9476</v>
      </c>
      <c r="C1264" t="s">
        <v>6898</v>
      </c>
      <c r="D1264" t="s">
        <v>10</v>
      </c>
      <c r="E1264" t="s">
        <v>11</v>
      </c>
      <c r="F1264">
        <v>1</v>
      </c>
    </row>
    <row r="1265" spans="1:6" x14ac:dyDescent="0.2">
      <c r="A1265" t="s">
        <v>6901</v>
      </c>
      <c r="B1265" t="s">
        <v>9568</v>
      </c>
      <c r="C1265" t="s">
        <v>6900</v>
      </c>
      <c r="D1265" t="s">
        <v>10</v>
      </c>
      <c r="E1265" t="s">
        <v>16</v>
      </c>
      <c r="F1265">
        <v>1</v>
      </c>
    </row>
    <row r="1266" spans="1:6" x14ac:dyDescent="0.2">
      <c r="A1266" t="s">
        <v>6910</v>
      </c>
      <c r="B1266" t="s">
        <v>6907</v>
      </c>
      <c r="C1266" t="s">
        <v>6909</v>
      </c>
      <c r="D1266" t="s">
        <v>10</v>
      </c>
      <c r="E1266" t="s">
        <v>16</v>
      </c>
      <c r="F1266">
        <v>1</v>
      </c>
    </row>
    <row r="1267" spans="1:6" x14ac:dyDescent="0.2">
      <c r="A1267" t="s">
        <v>6759</v>
      </c>
      <c r="B1267" t="s">
        <v>6757</v>
      </c>
      <c r="C1267" t="s">
        <v>6758</v>
      </c>
      <c r="D1267" t="s">
        <v>10</v>
      </c>
      <c r="E1267" t="s">
        <v>16</v>
      </c>
      <c r="F1267">
        <v>1</v>
      </c>
    </row>
    <row r="1268" spans="1:6" x14ac:dyDescent="0.2">
      <c r="A1268" t="s">
        <v>6780</v>
      </c>
      <c r="B1268" t="s">
        <v>6774</v>
      </c>
      <c r="C1268" t="s">
        <v>6779</v>
      </c>
      <c r="D1268" t="s">
        <v>10</v>
      </c>
      <c r="E1268" t="s">
        <v>52</v>
      </c>
      <c r="F1268">
        <v>1</v>
      </c>
    </row>
    <row r="1269" spans="1:6" x14ac:dyDescent="0.2">
      <c r="A1269" t="s">
        <v>4684</v>
      </c>
      <c r="B1269" t="s">
        <v>4679</v>
      </c>
      <c r="C1269" t="s">
        <v>4683</v>
      </c>
      <c r="D1269" t="s">
        <v>10</v>
      </c>
      <c r="E1269" t="s">
        <v>16</v>
      </c>
      <c r="F1269">
        <v>1</v>
      </c>
    </row>
    <row r="1270" spans="1:6" x14ac:dyDescent="0.2">
      <c r="A1270" t="s">
        <v>4682</v>
      </c>
      <c r="B1270" t="s">
        <v>4679</v>
      </c>
      <c r="C1270" t="s">
        <v>4686</v>
      </c>
      <c r="D1270" t="s">
        <v>10</v>
      </c>
      <c r="E1270" t="s">
        <v>52</v>
      </c>
      <c r="F1270">
        <v>2</v>
      </c>
    </row>
    <row r="1271" spans="1:6" x14ac:dyDescent="0.2">
      <c r="A1271" t="s">
        <v>4688</v>
      </c>
      <c r="B1271" t="s">
        <v>4679</v>
      </c>
      <c r="C1271" t="s">
        <v>4687</v>
      </c>
      <c r="D1271" t="s">
        <v>10</v>
      </c>
      <c r="E1271" t="s">
        <v>16</v>
      </c>
      <c r="F1271">
        <v>1</v>
      </c>
    </row>
    <row r="1272" spans="1:6" x14ac:dyDescent="0.2">
      <c r="A1272" t="s">
        <v>5651</v>
      </c>
      <c r="B1272" t="s">
        <v>5641</v>
      </c>
      <c r="C1272" t="s">
        <v>5650</v>
      </c>
      <c r="D1272" t="s">
        <v>10</v>
      </c>
      <c r="E1272" t="s">
        <v>52</v>
      </c>
      <c r="F1272">
        <v>2</v>
      </c>
    </row>
    <row r="1273" spans="1:6" x14ac:dyDescent="0.2">
      <c r="A1273" t="s">
        <v>5653</v>
      </c>
      <c r="B1273" t="s">
        <v>5641</v>
      </c>
      <c r="C1273" t="s">
        <v>5652</v>
      </c>
      <c r="D1273" t="s">
        <v>10</v>
      </c>
      <c r="E1273" t="s">
        <v>11</v>
      </c>
      <c r="F1273">
        <v>1</v>
      </c>
    </row>
    <row r="1274" spans="1:6" x14ac:dyDescent="0.2">
      <c r="A1274" t="s">
        <v>6958</v>
      </c>
      <c r="B1274" t="s">
        <v>6957</v>
      </c>
      <c r="C1274" t="s">
        <v>6368</v>
      </c>
      <c r="D1274" t="s">
        <v>10</v>
      </c>
      <c r="E1274" t="s">
        <v>16</v>
      </c>
      <c r="F1274">
        <v>1</v>
      </c>
    </row>
    <row r="1275" spans="1:6" x14ac:dyDescent="0.2">
      <c r="A1275" t="s">
        <v>1890</v>
      </c>
      <c r="B1275" t="s">
        <v>6826</v>
      </c>
      <c r="C1275" t="s">
        <v>6831</v>
      </c>
      <c r="D1275" t="s">
        <v>10</v>
      </c>
      <c r="E1275" t="s">
        <v>16</v>
      </c>
      <c r="F1275">
        <v>2</v>
      </c>
    </row>
    <row r="1276" spans="1:6" x14ac:dyDescent="0.2">
      <c r="A1276" t="s">
        <v>6828</v>
      </c>
      <c r="B1276" t="s">
        <v>6826</v>
      </c>
      <c r="C1276" t="s">
        <v>6827</v>
      </c>
      <c r="D1276" t="s">
        <v>10</v>
      </c>
      <c r="E1276" t="s">
        <v>52</v>
      </c>
      <c r="F1276">
        <v>4</v>
      </c>
    </row>
    <row r="1277" spans="1:6" x14ac:dyDescent="0.2">
      <c r="A1277" t="s">
        <v>6828</v>
      </c>
      <c r="B1277" t="s">
        <v>6826</v>
      </c>
      <c r="C1277" t="s">
        <v>6833</v>
      </c>
      <c r="D1277" t="s">
        <v>10</v>
      </c>
      <c r="E1277" t="s">
        <v>52</v>
      </c>
      <c r="F1277">
        <v>4</v>
      </c>
    </row>
    <row r="1278" spans="1:6" x14ac:dyDescent="0.2">
      <c r="A1278" t="s">
        <v>6323</v>
      </c>
      <c r="B1278" t="s">
        <v>6826</v>
      </c>
      <c r="C1278" t="s">
        <v>6837</v>
      </c>
      <c r="D1278" t="s">
        <v>10</v>
      </c>
      <c r="E1278" t="s">
        <v>11</v>
      </c>
      <c r="F1278">
        <v>2</v>
      </c>
    </row>
    <row r="1279" spans="1:6" x14ac:dyDescent="0.2">
      <c r="A1279" t="s">
        <v>6839</v>
      </c>
      <c r="B1279" t="s">
        <v>6826</v>
      </c>
      <c r="C1279" t="s">
        <v>6838</v>
      </c>
      <c r="D1279" t="s">
        <v>10</v>
      </c>
      <c r="E1279" t="s">
        <v>52</v>
      </c>
      <c r="F1279">
        <v>4</v>
      </c>
    </row>
    <row r="1280" spans="1:6" x14ac:dyDescent="0.2">
      <c r="A1280" t="s">
        <v>6841</v>
      </c>
      <c r="B1280" t="s">
        <v>6826</v>
      </c>
      <c r="C1280" t="s">
        <v>6840</v>
      </c>
      <c r="D1280" t="s">
        <v>10</v>
      </c>
      <c r="E1280" t="s">
        <v>11</v>
      </c>
      <c r="F1280">
        <v>4</v>
      </c>
    </row>
    <row r="1281" spans="1:6" x14ac:dyDescent="0.2">
      <c r="A1281" t="s">
        <v>6830</v>
      </c>
      <c r="B1281" t="s">
        <v>6826</v>
      </c>
      <c r="C1281" t="s">
        <v>6842</v>
      </c>
      <c r="D1281" t="s">
        <v>10</v>
      </c>
      <c r="E1281" t="s">
        <v>11</v>
      </c>
      <c r="F1281">
        <v>4</v>
      </c>
    </row>
    <row r="1282" spans="1:6" x14ac:dyDescent="0.2">
      <c r="A1282" t="s">
        <v>6847</v>
      </c>
      <c r="B1282" t="s">
        <v>6826</v>
      </c>
      <c r="C1282" t="s">
        <v>6846</v>
      </c>
      <c r="D1282" t="s">
        <v>10</v>
      </c>
      <c r="E1282" t="s">
        <v>11</v>
      </c>
      <c r="F1282">
        <v>4</v>
      </c>
    </row>
    <row r="1283" spans="1:6" x14ac:dyDescent="0.2">
      <c r="A1283" t="s">
        <v>6850</v>
      </c>
      <c r="B1283" t="s">
        <v>6826</v>
      </c>
      <c r="C1283" t="s">
        <v>6849</v>
      </c>
      <c r="D1283" t="s">
        <v>10</v>
      </c>
      <c r="E1283" t="s">
        <v>11</v>
      </c>
      <c r="F1283">
        <v>4</v>
      </c>
    </row>
    <row r="1284" spans="1:6" x14ac:dyDescent="0.2">
      <c r="A1284" t="s">
        <v>6863</v>
      </c>
      <c r="B1284" t="s">
        <v>6861</v>
      </c>
      <c r="C1284" t="s">
        <v>6862</v>
      </c>
      <c r="D1284" t="s">
        <v>10</v>
      </c>
      <c r="E1284" t="s">
        <v>16</v>
      </c>
      <c r="F1284">
        <v>1</v>
      </c>
    </row>
    <row r="1285" spans="1:6" x14ac:dyDescent="0.2">
      <c r="A1285" t="s">
        <v>6893</v>
      </c>
      <c r="B1285" t="s">
        <v>6892</v>
      </c>
      <c r="C1285" t="s">
        <v>3687</v>
      </c>
      <c r="D1285" t="s">
        <v>10</v>
      </c>
      <c r="E1285" t="s">
        <v>16</v>
      </c>
      <c r="F1285">
        <v>1</v>
      </c>
    </row>
    <row r="1286" spans="1:6" x14ac:dyDescent="0.2">
      <c r="A1286" t="s">
        <v>6895</v>
      </c>
      <c r="B1286" t="s">
        <v>6892</v>
      </c>
      <c r="C1286" t="s">
        <v>6894</v>
      </c>
      <c r="D1286" t="s">
        <v>10</v>
      </c>
      <c r="E1286" t="s">
        <v>16</v>
      </c>
      <c r="F1286">
        <v>1</v>
      </c>
    </row>
    <row r="1287" spans="1:6" x14ac:dyDescent="0.2">
      <c r="A1287" t="s">
        <v>6896</v>
      </c>
      <c r="B1287" t="s">
        <v>6892</v>
      </c>
      <c r="C1287" t="s">
        <v>2802</v>
      </c>
      <c r="D1287" t="s">
        <v>10</v>
      </c>
      <c r="E1287" t="s">
        <v>16</v>
      </c>
      <c r="F1287">
        <v>1</v>
      </c>
    </row>
    <row r="1288" spans="1:6" x14ac:dyDescent="0.2">
      <c r="A1288" t="s">
        <v>6922</v>
      </c>
      <c r="B1288" t="s">
        <v>6922</v>
      </c>
      <c r="C1288" t="s">
        <v>6923</v>
      </c>
      <c r="D1288" t="s">
        <v>10</v>
      </c>
      <c r="E1288" t="s">
        <v>16</v>
      </c>
      <c r="F1288">
        <v>1</v>
      </c>
    </row>
    <row r="1289" spans="1:6" x14ac:dyDescent="0.2">
      <c r="A1289" t="s">
        <v>6930</v>
      </c>
      <c r="B1289" t="s">
        <v>6928</v>
      </c>
      <c r="C1289" t="s">
        <v>6932</v>
      </c>
      <c r="D1289" t="s">
        <v>10</v>
      </c>
      <c r="E1289" t="s">
        <v>16</v>
      </c>
      <c r="F1289">
        <v>1</v>
      </c>
    </row>
    <row r="1290" spans="1:6" x14ac:dyDescent="0.2">
      <c r="A1290" t="s">
        <v>6936</v>
      </c>
      <c r="B1290" t="s">
        <v>6928</v>
      </c>
      <c r="C1290" t="s">
        <v>6935</v>
      </c>
      <c r="D1290" t="s">
        <v>10</v>
      </c>
      <c r="E1290" t="s">
        <v>16</v>
      </c>
      <c r="F1290">
        <v>1</v>
      </c>
    </row>
    <row r="1291" spans="1:6" x14ac:dyDescent="0.2">
      <c r="A1291" t="s">
        <v>6926</v>
      </c>
      <c r="B1291" t="s">
        <v>6924</v>
      </c>
      <c r="C1291" t="s">
        <v>6925</v>
      </c>
      <c r="D1291" t="s">
        <v>10</v>
      </c>
      <c r="E1291" t="s">
        <v>16</v>
      </c>
      <c r="F1291">
        <v>1</v>
      </c>
    </row>
    <row r="1292" spans="1:6" x14ac:dyDescent="0.2">
      <c r="A1292" t="s">
        <v>6934</v>
      </c>
      <c r="B1292" t="s">
        <v>6928</v>
      </c>
      <c r="C1292" t="s">
        <v>6933</v>
      </c>
      <c r="D1292" t="s">
        <v>10</v>
      </c>
      <c r="E1292" t="s">
        <v>16</v>
      </c>
      <c r="F1292">
        <v>1</v>
      </c>
    </row>
    <row r="1293" spans="1:6" x14ac:dyDescent="0.2">
      <c r="A1293" t="s">
        <v>5058</v>
      </c>
      <c r="B1293" t="s">
        <v>5035</v>
      </c>
      <c r="C1293" t="s">
        <v>5127</v>
      </c>
      <c r="D1293" t="s">
        <v>10</v>
      </c>
      <c r="E1293" t="s">
        <v>16</v>
      </c>
      <c r="F1293">
        <v>1</v>
      </c>
    </row>
    <row r="1294" spans="1:6" x14ac:dyDescent="0.2">
      <c r="A1294" t="s">
        <v>6791</v>
      </c>
      <c r="B1294" t="s">
        <v>6774</v>
      </c>
      <c r="C1294" t="s">
        <v>6790</v>
      </c>
      <c r="D1294" t="s">
        <v>10</v>
      </c>
      <c r="E1294" t="s">
        <v>16</v>
      </c>
      <c r="F1294">
        <v>1</v>
      </c>
    </row>
    <row r="1295" spans="1:6" x14ac:dyDescent="0.2">
      <c r="A1295" t="s">
        <v>6778</v>
      </c>
      <c r="B1295" t="s">
        <v>6774</v>
      </c>
      <c r="C1295" t="s">
        <v>6792</v>
      </c>
      <c r="D1295" t="s">
        <v>10</v>
      </c>
      <c r="E1295" t="s">
        <v>16</v>
      </c>
      <c r="F1295">
        <v>1</v>
      </c>
    </row>
    <row r="1296" spans="1:6" x14ac:dyDescent="0.2">
      <c r="A1296" t="s">
        <v>6794</v>
      </c>
      <c r="B1296" t="s">
        <v>6774</v>
      </c>
      <c r="C1296" t="s">
        <v>6793</v>
      </c>
      <c r="D1296" t="s">
        <v>10</v>
      </c>
      <c r="E1296" t="s">
        <v>16</v>
      </c>
      <c r="F1296">
        <v>1</v>
      </c>
    </row>
    <row r="1297" spans="1:6" x14ac:dyDescent="0.2">
      <c r="A1297" t="s">
        <v>6796</v>
      </c>
      <c r="B1297" t="s">
        <v>6774</v>
      </c>
      <c r="C1297" t="s">
        <v>6795</v>
      </c>
      <c r="D1297" t="s">
        <v>10</v>
      </c>
      <c r="E1297" t="s">
        <v>16</v>
      </c>
      <c r="F1297">
        <v>1</v>
      </c>
    </row>
    <row r="1298" spans="1:6" x14ac:dyDescent="0.2">
      <c r="A1298" t="s">
        <v>6776</v>
      </c>
      <c r="B1298" t="s">
        <v>6774</v>
      </c>
      <c r="C1298" t="s">
        <v>6775</v>
      </c>
      <c r="D1298" t="s">
        <v>10</v>
      </c>
      <c r="E1298" t="s">
        <v>52</v>
      </c>
      <c r="F1298">
        <v>1</v>
      </c>
    </row>
    <row r="1299" spans="1:6" x14ac:dyDescent="0.2">
      <c r="A1299" t="s">
        <v>3185</v>
      </c>
      <c r="B1299" t="s">
        <v>6774</v>
      </c>
      <c r="C1299" t="s">
        <v>3186</v>
      </c>
      <c r="D1299" t="s">
        <v>10</v>
      </c>
      <c r="E1299" t="s">
        <v>16</v>
      </c>
      <c r="F1299">
        <v>1</v>
      </c>
    </row>
    <row r="1300" spans="1:6" x14ac:dyDescent="0.2">
      <c r="A1300" t="s">
        <v>6784</v>
      </c>
      <c r="B1300" t="s">
        <v>6774</v>
      </c>
      <c r="C1300" t="s">
        <v>6788</v>
      </c>
      <c r="D1300" t="s">
        <v>10</v>
      </c>
      <c r="E1300" t="s">
        <v>16</v>
      </c>
      <c r="F1300">
        <v>1</v>
      </c>
    </row>
    <row r="1301" spans="1:6" x14ac:dyDescent="0.2">
      <c r="A1301" t="s">
        <v>6782</v>
      </c>
      <c r="B1301" t="s">
        <v>6774</v>
      </c>
      <c r="C1301" t="s">
        <v>6781</v>
      </c>
      <c r="D1301" t="s">
        <v>10</v>
      </c>
      <c r="E1301" t="s">
        <v>16</v>
      </c>
      <c r="F1301">
        <v>1</v>
      </c>
    </row>
    <row r="1302" spans="1:6" x14ac:dyDescent="0.2">
      <c r="A1302" t="s">
        <v>6763</v>
      </c>
      <c r="B1302" t="s">
        <v>6761</v>
      </c>
      <c r="C1302" t="s">
        <v>6762</v>
      </c>
      <c r="D1302" t="s">
        <v>10</v>
      </c>
      <c r="E1302" t="s">
        <v>16</v>
      </c>
      <c r="F1302">
        <v>1</v>
      </c>
    </row>
    <row r="1303" spans="1:6" x14ac:dyDescent="0.2">
      <c r="A1303" t="s">
        <v>1974</v>
      </c>
      <c r="B1303" t="s">
        <v>1972</v>
      </c>
      <c r="C1303" t="s">
        <v>1973</v>
      </c>
      <c r="D1303" t="s">
        <v>10</v>
      </c>
      <c r="E1303" t="s">
        <v>11</v>
      </c>
      <c r="F1303">
        <v>1</v>
      </c>
    </row>
    <row r="1304" spans="1:6" x14ac:dyDescent="0.2">
      <c r="A1304" t="s">
        <v>6904</v>
      </c>
      <c r="B1304" t="s">
        <v>6897</v>
      </c>
      <c r="C1304" t="s">
        <v>6903</v>
      </c>
      <c r="D1304" t="s">
        <v>56</v>
      </c>
      <c r="E1304" t="s">
        <v>16</v>
      </c>
      <c r="F1304">
        <v>1</v>
      </c>
    </row>
    <row r="1305" spans="1:6" x14ac:dyDescent="0.2">
      <c r="A1305" t="s">
        <v>6766</v>
      </c>
      <c r="B1305" t="s">
        <v>6761</v>
      </c>
      <c r="C1305" t="s">
        <v>6765</v>
      </c>
      <c r="D1305" t="s">
        <v>10</v>
      </c>
      <c r="E1305" t="s">
        <v>16</v>
      </c>
      <c r="F1305">
        <v>1</v>
      </c>
    </row>
    <row r="1306" spans="1:6" x14ac:dyDescent="0.2">
      <c r="A1306" t="s">
        <v>421</v>
      </c>
      <c r="B1306" t="s">
        <v>419</v>
      </c>
      <c r="C1306" t="s">
        <v>420</v>
      </c>
      <c r="D1306" t="s">
        <v>10</v>
      </c>
      <c r="E1306" t="s">
        <v>16</v>
      </c>
      <c r="F1306">
        <v>1</v>
      </c>
    </row>
    <row r="1307" spans="1:6" x14ac:dyDescent="0.2">
      <c r="A1307" t="s">
        <v>6960</v>
      </c>
      <c r="B1307" t="s">
        <v>6957</v>
      </c>
      <c r="C1307" t="s">
        <v>6959</v>
      </c>
      <c r="D1307" t="s">
        <v>10</v>
      </c>
      <c r="E1307" t="s">
        <v>16</v>
      </c>
      <c r="F1307">
        <v>1</v>
      </c>
    </row>
    <row r="1308" spans="1:6" x14ac:dyDescent="0.2">
      <c r="A1308" t="s">
        <v>1797</v>
      </c>
      <c r="B1308" t="s">
        <v>1795</v>
      </c>
      <c r="C1308" t="s">
        <v>1807</v>
      </c>
      <c r="D1308" t="s">
        <v>10</v>
      </c>
      <c r="E1308" t="s">
        <v>16</v>
      </c>
      <c r="F1308">
        <v>1</v>
      </c>
    </row>
    <row r="1309" spans="1:6" x14ac:dyDescent="0.2">
      <c r="A1309" t="s">
        <v>3909</v>
      </c>
      <c r="B1309" t="s">
        <v>3903</v>
      </c>
      <c r="C1309" t="s">
        <v>3916</v>
      </c>
      <c r="D1309" t="s">
        <v>10</v>
      </c>
      <c r="E1309" t="s">
        <v>11</v>
      </c>
      <c r="F1309">
        <v>1</v>
      </c>
    </row>
    <row r="1310" spans="1:6" x14ac:dyDescent="0.2">
      <c r="A1310" t="s">
        <v>415</v>
      </c>
      <c r="B1310" t="s">
        <v>413</v>
      </c>
      <c r="C1310" t="s">
        <v>416</v>
      </c>
      <c r="D1310" t="s">
        <v>10</v>
      </c>
      <c r="E1310" t="s">
        <v>16</v>
      </c>
      <c r="F1310">
        <v>1</v>
      </c>
    </row>
    <row r="1311" spans="1:6" x14ac:dyDescent="0.2">
      <c r="A1311" t="s">
        <v>9190</v>
      </c>
      <c r="B1311" t="s">
        <v>9166</v>
      </c>
      <c r="C1311" t="s">
        <v>9198</v>
      </c>
      <c r="D1311" t="s">
        <v>10</v>
      </c>
      <c r="E1311" t="s">
        <v>16</v>
      </c>
      <c r="F1311">
        <v>1</v>
      </c>
    </row>
    <row r="1312" spans="1:6" x14ac:dyDescent="0.2">
      <c r="A1312" t="s">
        <v>3924</v>
      </c>
      <c r="B1312" t="s">
        <v>3903</v>
      </c>
      <c r="C1312" t="s">
        <v>3923</v>
      </c>
      <c r="D1312" t="s">
        <v>10</v>
      </c>
      <c r="E1312" t="s">
        <v>11</v>
      </c>
      <c r="F1312">
        <v>2</v>
      </c>
    </row>
    <row r="1313" spans="1:6" x14ac:dyDescent="0.2">
      <c r="A1313" t="s">
        <v>1562</v>
      </c>
      <c r="B1313" t="s">
        <v>9166</v>
      </c>
      <c r="C1313" t="s">
        <v>4270</v>
      </c>
      <c r="D1313" t="s">
        <v>10</v>
      </c>
      <c r="E1313" t="s">
        <v>16</v>
      </c>
      <c r="F1313">
        <v>1</v>
      </c>
    </row>
    <row r="1314" spans="1:6" x14ac:dyDescent="0.2">
      <c r="A1314" t="s">
        <v>1419</v>
      </c>
      <c r="B1314" t="s">
        <v>10142</v>
      </c>
      <c r="C1314" t="s">
        <v>1418</v>
      </c>
      <c r="D1314" t="s">
        <v>10</v>
      </c>
      <c r="E1314" t="s">
        <v>16</v>
      </c>
      <c r="F1314">
        <v>1</v>
      </c>
    </row>
    <row r="1315" spans="1:6" x14ac:dyDescent="0.2">
      <c r="A1315" t="s">
        <v>9</v>
      </c>
      <c r="B1315" t="s">
        <v>5416</v>
      </c>
      <c r="C1315" t="s">
        <v>5417</v>
      </c>
      <c r="D1315" t="s">
        <v>10</v>
      </c>
      <c r="E1315" t="s">
        <v>11</v>
      </c>
      <c r="F1315">
        <v>2</v>
      </c>
    </row>
    <row r="1316" spans="1:6" x14ac:dyDescent="0.2">
      <c r="A1316" t="s">
        <v>9193</v>
      </c>
      <c r="B1316" t="s">
        <v>9166</v>
      </c>
      <c r="C1316" t="s">
        <v>9199</v>
      </c>
      <c r="D1316" t="s">
        <v>10</v>
      </c>
      <c r="E1316" t="s">
        <v>16</v>
      </c>
      <c r="F1316">
        <v>1</v>
      </c>
    </row>
    <row r="1317" spans="1:6" x14ac:dyDescent="0.2">
      <c r="A1317" t="s">
        <v>9173</v>
      </c>
      <c r="B1317" t="s">
        <v>9166</v>
      </c>
      <c r="C1317" t="s">
        <v>9200</v>
      </c>
      <c r="D1317" t="s">
        <v>10</v>
      </c>
      <c r="E1317" t="s">
        <v>16</v>
      </c>
      <c r="F1317">
        <v>1</v>
      </c>
    </row>
    <row r="1318" spans="1:6" x14ac:dyDescent="0.2">
      <c r="A1318" t="s">
        <v>10389</v>
      </c>
      <c r="B1318" t="s">
        <v>10378</v>
      </c>
      <c r="C1318" t="s">
        <v>10390</v>
      </c>
      <c r="D1318" t="s">
        <v>10</v>
      </c>
      <c r="E1318" t="s">
        <v>11</v>
      </c>
      <c r="F1318">
        <v>2</v>
      </c>
    </row>
    <row r="1319" spans="1:6" x14ac:dyDescent="0.2">
      <c r="A1319" t="s">
        <v>10380</v>
      </c>
      <c r="B1319" t="s">
        <v>10378</v>
      </c>
      <c r="C1319" t="s">
        <v>10393</v>
      </c>
      <c r="D1319" t="s">
        <v>10</v>
      </c>
      <c r="E1319" t="s">
        <v>11</v>
      </c>
      <c r="F1319">
        <v>2</v>
      </c>
    </row>
    <row r="1320" spans="1:6" x14ac:dyDescent="0.2">
      <c r="A1320" t="s">
        <v>6987</v>
      </c>
      <c r="B1320" t="s">
        <v>6985</v>
      </c>
      <c r="C1320" t="s">
        <v>6986</v>
      </c>
      <c r="D1320" t="s">
        <v>10</v>
      </c>
      <c r="E1320" t="s">
        <v>16</v>
      </c>
      <c r="F1320">
        <v>1</v>
      </c>
    </row>
    <row r="1321" spans="1:6" x14ac:dyDescent="0.2">
      <c r="A1321" t="s">
        <v>6990</v>
      </c>
      <c r="B1321" t="s">
        <v>6985</v>
      </c>
      <c r="C1321" t="s">
        <v>6993</v>
      </c>
      <c r="D1321" t="s">
        <v>10</v>
      </c>
      <c r="E1321" t="s">
        <v>16</v>
      </c>
      <c r="F1321">
        <v>1</v>
      </c>
    </row>
    <row r="1322" spans="1:6" x14ac:dyDescent="0.2">
      <c r="A1322" t="s">
        <v>6997</v>
      </c>
      <c r="B1322" t="s">
        <v>6985</v>
      </c>
      <c r="C1322" t="s">
        <v>7005</v>
      </c>
      <c r="D1322" t="s">
        <v>10</v>
      </c>
      <c r="E1322" t="s">
        <v>16</v>
      </c>
      <c r="F1322">
        <v>1</v>
      </c>
    </row>
    <row r="1323" spans="1:6" x14ac:dyDescent="0.2">
      <c r="A1323" t="s">
        <v>71</v>
      </c>
      <c r="B1323" t="s">
        <v>83</v>
      </c>
      <c r="C1323" t="s">
        <v>70</v>
      </c>
      <c r="D1323" t="s">
        <v>10</v>
      </c>
      <c r="E1323" t="s">
        <v>16</v>
      </c>
      <c r="F1323">
        <v>1</v>
      </c>
    </row>
    <row r="1324" spans="1:6" x14ac:dyDescent="0.2">
      <c r="A1324" t="s">
        <v>7011</v>
      </c>
      <c r="B1324" t="s">
        <v>7009</v>
      </c>
      <c r="C1324" t="s">
        <v>7010</v>
      </c>
      <c r="D1324" t="s">
        <v>56</v>
      </c>
      <c r="E1324" t="s">
        <v>52</v>
      </c>
      <c r="F1324">
        <v>1</v>
      </c>
    </row>
    <row r="1325" spans="1:6" x14ac:dyDescent="0.2">
      <c r="A1325" t="s">
        <v>6563</v>
      </c>
      <c r="B1325" t="s">
        <v>10338</v>
      </c>
      <c r="C1325" t="s">
        <v>6562</v>
      </c>
      <c r="D1325" t="s">
        <v>10</v>
      </c>
      <c r="E1325" t="s">
        <v>11</v>
      </c>
      <c r="F1325">
        <v>2</v>
      </c>
    </row>
    <row r="1326" spans="1:6" x14ac:dyDescent="0.2">
      <c r="A1326" t="s">
        <v>1437</v>
      </c>
      <c r="B1326" t="s">
        <v>7013</v>
      </c>
      <c r="C1326" t="s">
        <v>1436</v>
      </c>
      <c r="D1326" t="s">
        <v>10</v>
      </c>
      <c r="E1326" t="s">
        <v>16</v>
      </c>
      <c r="F1326">
        <v>1</v>
      </c>
    </row>
    <row r="1327" spans="1:6" x14ac:dyDescent="0.2">
      <c r="A1327" t="s">
        <v>6983</v>
      </c>
      <c r="B1327" t="s">
        <v>6981</v>
      </c>
      <c r="C1327" t="s">
        <v>6984</v>
      </c>
      <c r="D1327" t="s">
        <v>10</v>
      </c>
      <c r="E1327" t="s">
        <v>16</v>
      </c>
      <c r="F1327">
        <v>1</v>
      </c>
    </row>
    <row r="1328" spans="1:6" x14ac:dyDescent="0.2">
      <c r="A1328" t="s">
        <v>10225</v>
      </c>
      <c r="B1328" t="s">
        <v>10193</v>
      </c>
      <c r="C1328" t="s">
        <v>10224</v>
      </c>
      <c r="D1328" t="s">
        <v>10</v>
      </c>
      <c r="E1328" t="s">
        <v>16</v>
      </c>
      <c r="F1328">
        <v>1</v>
      </c>
    </row>
    <row r="1329" spans="1:6" x14ac:dyDescent="0.2">
      <c r="A1329" t="s">
        <v>7008</v>
      </c>
      <c r="B1329" t="s">
        <v>7006</v>
      </c>
      <c r="C1329" t="s">
        <v>7007</v>
      </c>
      <c r="D1329" t="s">
        <v>10</v>
      </c>
      <c r="E1329" t="s">
        <v>16</v>
      </c>
      <c r="F1329">
        <v>1</v>
      </c>
    </row>
    <row r="1330" spans="1:6" x14ac:dyDescent="0.2">
      <c r="A1330" t="s">
        <v>10786</v>
      </c>
      <c r="B1330" t="s">
        <v>10784</v>
      </c>
      <c r="C1330" t="s">
        <v>10813</v>
      </c>
      <c r="D1330" t="s">
        <v>10</v>
      </c>
      <c r="E1330" t="s">
        <v>11</v>
      </c>
      <c r="F1330">
        <v>1</v>
      </c>
    </row>
    <row r="1331" spans="1:6" x14ac:dyDescent="0.2">
      <c r="A1331" t="s">
        <v>6874</v>
      </c>
      <c r="B1331" t="s">
        <v>6872</v>
      </c>
      <c r="C1331" t="s">
        <v>6875</v>
      </c>
      <c r="D1331" t="s">
        <v>29</v>
      </c>
      <c r="E1331" t="s">
        <v>16</v>
      </c>
      <c r="F1331">
        <v>1</v>
      </c>
    </row>
    <row r="1332" spans="1:6" x14ac:dyDescent="0.2">
      <c r="A1332" t="s">
        <v>8813</v>
      </c>
      <c r="B1332" t="s">
        <v>8811</v>
      </c>
      <c r="C1332" t="s">
        <v>8812</v>
      </c>
      <c r="D1332" t="s">
        <v>10</v>
      </c>
      <c r="E1332" t="s">
        <v>16</v>
      </c>
      <c r="F1332">
        <v>1</v>
      </c>
    </row>
    <row r="1333" spans="1:6" x14ac:dyDescent="0.2">
      <c r="A1333" t="s">
        <v>4231</v>
      </c>
      <c r="B1333" t="s">
        <v>4229</v>
      </c>
      <c r="C1333" t="s">
        <v>4230</v>
      </c>
      <c r="D1333" t="s">
        <v>10</v>
      </c>
      <c r="E1333" t="s">
        <v>16</v>
      </c>
      <c r="F1333">
        <v>1</v>
      </c>
    </row>
    <row r="1334" spans="1:6" x14ac:dyDescent="0.2">
      <c r="A1334" t="s">
        <v>4233</v>
      </c>
      <c r="B1334" t="s">
        <v>4229</v>
      </c>
      <c r="C1334" t="s">
        <v>4232</v>
      </c>
      <c r="D1334" t="s">
        <v>10</v>
      </c>
      <c r="E1334" t="s">
        <v>16</v>
      </c>
      <c r="F1334">
        <v>1</v>
      </c>
    </row>
    <row r="1335" spans="1:6" x14ac:dyDescent="0.2">
      <c r="A1335" t="s">
        <v>263</v>
      </c>
      <c r="B1335" t="s">
        <v>248</v>
      </c>
      <c r="C1335" t="s">
        <v>262</v>
      </c>
      <c r="D1335" t="s">
        <v>10</v>
      </c>
      <c r="E1335" t="s">
        <v>11</v>
      </c>
      <c r="F1335">
        <v>2</v>
      </c>
    </row>
    <row r="1336" spans="1:6" x14ac:dyDescent="0.2">
      <c r="A1336" t="s">
        <v>51</v>
      </c>
      <c r="B1336" t="s">
        <v>49</v>
      </c>
      <c r="C1336" t="s">
        <v>50</v>
      </c>
      <c r="D1336" t="s">
        <v>10</v>
      </c>
      <c r="E1336" t="s">
        <v>52</v>
      </c>
      <c r="F1336">
        <v>1</v>
      </c>
    </row>
    <row r="1337" spans="1:6" x14ac:dyDescent="0.2">
      <c r="A1337" t="s">
        <v>4901</v>
      </c>
      <c r="B1337" t="s">
        <v>4899</v>
      </c>
      <c r="C1337" t="s">
        <v>4902</v>
      </c>
      <c r="D1337" t="s">
        <v>10</v>
      </c>
      <c r="E1337" t="s">
        <v>16</v>
      </c>
      <c r="F1337">
        <v>1</v>
      </c>
    </row>
    <row r="1338" spans="1:6" x14ac:dyDescent="0.2">
      <c r="A1338" t="s">
        <v>1559</v>
      </c>
      <c r="B1338" t="s">
        <v>1557</v>
      </c>
      <c r="C1338" t="s">
        <v>1558</v>
      </c>
      <c r="D1338" t="s">
        <v>10</v>
      </c>
      <c r="E1338" t="s">
        <v>16</v>
      </c>
      <c r="F1338">
        <v>1</v>
      </c>
    </row>
    <row r="1339" spans="1:6" x14ac:dyDescent="0.2">
      <c r="A1339" t="s">
        <v>4973</v>
      </c>
      <c r="B1339" t="s">
        <v>4971</v>
      </c>
      <c r="C1339" t="s">
        <v>4974</v>
      </c>
      <c r="D1339" t="s">
        <v>64</v>
      </c>
      <c r="E1339" t="s">
        <v>16</v>
      </c>
      <c r="F1339">
        <v>1</v>
      </c>
    </row>
    <row r="1340" spans="1:6" x14ac:dyDescent="0.2">
      <c r="A1340" t="s">
        <v>1317</v>
      </c>
      <c r="B1340" t="s">
        <v>5248</v>
      </c>
      <c r="C1340" t="s">
        <v>5249</v>
      </c>
      <c r="D1340" t="s">
        <v>10</v>
      </c>
      <c r="E1340" t="s">
        <v>16</v>
      </c>
      <c r="F1340">
        <v>1</v>
      </c>
    </row>
    <row r="1341" spans="1:6" x14ac:dyDescent="0.2">
      <c r="A1341" t="s">
        <v>11901</v>
      </c>
      <c r="B1341" t="s">
        <v>11899</v>
      </c>
      <c r="C1341" t="s">
        <v>11904</v>
      </c>
      <c r="D1341" t="s">
        <v>10</v>
      </c>
      <c r="E1341" t="s">
        <v>11</v>
      </c>
      <c r="F1341">
        <v>2</v>
      </c>
    </row>
    <row r="1342" spans="1:6" x14ac:dyDescent="0.2">
      <c r="A1342" t="s">
        <v>4981</v>
      </c>
      <c r="B1342" t="s">
        <v>4979</v>
      </c>
      <c r="C1342" t="s">
        <v>4982</v>
      </c>
      <c r="D1342" t="s">
        <v>10</v>
      </c>
      <c r="E1342" t="s">
        <v>16</v>
      </c>
      <c r="F1342">
        <v>1</v>
      </c>
    </row>
    <row r="1343" spans="1:6" x14ac:dyDescent="0.2">
      <c r="A1343" t="s">
        <v>6197</v>
      </c>
      <c r="B1343" t="s">
        <v>6192</v>
      </c>
      <c r="C1343" t="s">
        <v>6200</v>
      </c>
      <c r="D1343" t="s">
        <v>10</v>
      </c>
      <c r="E1343" t="s">
        <v>11</v>
      </c>
      <c r="F1343">
        <v>1</v>
      </c>
    </row>
    <row r="1344" spans="1:6" x14ac:dyDescent="0.2">
      <c r="A1344" t="s">
        <v>3440</v>
      </c>
      <c r="B1344" t="s">
        <v>3434</v>
      </c>
      <c r="C1344" t="s">
        <v>3445</v>
      </c>
      <c r="D1344" t="s">
        <v>10</v>
      </c>
      <c r="E1344" t="s">
        <v>16</v>
      </c>
      <c r="F1344">
        <v>1</v>
      </c>
    </row>
    <row r="1345" spans="1:6" x14ac:dyDescent="0.2">
      <c r="A1345" t="s">
        <v>7935</v>
      </c>
      <c r="B1345" t="s">
        <v>7933</v>
      </c>
      <c r="C1345" t="s">
        <v>7934</v>
      </c>
      <c r="D1345" t="s">
        <v>10</v>
      </c>
      <c r="E1345" t="s">
        <v>16</v>
      </c>
      <c r="F1345">
        <v>1</v>
      </c>
    </row>
    <row r="1346" spans="1:6" x14ac:dyDescent="0.2">
      <c r="A1346" t="s">
        <v>2094</v>
      </c>
      <c r="B1346" t="s">
        <v>2090</v>
      </c>
      <c r="C1346" t="s">
        <v>2093</v>
      </c>
      <c r="D1346" t="s">
        <v>10</v>
      </c>
      <c r="E1346" t="s">
        <v>11</v>
      </c>
      <c r="F1346">
        <v>1</v>
      </c>
    </row>
    <row r="1347" spans="1:6" x14ac:dyDescent="0.2">
      <c r="A1347" t="s">
        <v>3860</v>
      </c>
      <c r="B1347" t="s">
        <v>3858</v>
      </c>
      <c r="C1347" t="s">
        <v>3859</v>
      </c>
      <c r="D1347" t="s">
        <v>10</v>
      </c>
      <c r="E1347" t="s">
        <v>16</v>
      </c>
      <c r="F1347">
        <v>1</v>
      </c>
    </row>
    <row r="1348" spans="1:6" x14ac:dyDescent="0.2">
      <c r="A1348" t="s">
        <v>6310</v>
      </c>
      <c r="B1348" t="s">
        <v>7023</v>
      </c>
      <c r="C1348" t="s">
        <v>6313</v>
      </c>
      <c r="D1348" t="s">
        <v>10</v>
      </c>
      <c r="E1348" t="s">
        <v>52</v>
      </c>
      <c r="F1348">
        <v>2</v>
      </c>
    </row>
    <row r="1349" spans="1:6" x14ac:dyDescent="0.2">
      <c r="A1349" t="s">
        <v>6312</v>
      </c>
      <c r="B1349" t="s">
        <v>7023</v>
      </c>
      <c r="C1349" t="s">
        <v>6314</v>
      </c>
      <c r="D1349" t="s">
        <v>10</v>
      </c>
      <c r="E1349" t="s">
        <v>52</v>
      </c>
      <c r="F1349">
        <v>2</v>
      </c>
    </row>
    <row r="1350" spans="1:6" x14ac:dyDescent="0.2">
      <c r="A1350" t="s">
        <v>3505</v>
      </c>
      <c r="B1350" t="s">
        <v>3503</v>
      </c>
      <c r="C1350" t="s">
        <v>3504</v>
      </c>
      <c r="D1350" t="s">
        <v>10</v>
      </c>
      <c r="E1350" t="s">
        <v>52</v>
      </c>
      <c r="F1350">
        <v>2</v>
      </c>
    </row>
    <row r="1351" spans="1:6" x14ac:dyDescent="0.2">
      <c r="A1351" t="s">
        <v>3113</v>
      </c>
      <c r="B1351" t="s">
        <v>3094</v>
      </c>
      <c r="C1351" t="s">
        <v>3117</v>
      </c>
      <c r="D1351" t="s">
        <v>10</v>
      </c>
      <c r="E1351" t="s">
        <v>52</v>
      </c>
      <c r="F1351">
        <v>2</v>
      </c>
    </row>
    <row r="1352" spans="1:6" x14ac:dyDescent="0.2">
      <c r="A1352" t="s">
        <v>3115</v>
      </c>
      <c r="B1352" t="s">
        <v>3094</v>
      </c>
      <c r="C1352" t="s">
        <v>3118</v>
      </c>
      <c r="D1352" t="s">
        <v>10</v>
      </c>
      <c r="E1352" t="s">
        <v>52</v>
      </c>
      <c r="F1352">
        <v>2</v>
      </c>
    </row>
    <row r="1353" spans="1:6" x14ac:dyDescent="0.2">
      <c r="A1353" t="s">
        <v>887</v>
      </c>
      <c r="B1353" t="s">
        <v>3094</v>
      </c>
      <c r="C1353" t="s">
        <v>888</v>
      </c>
      <c r="D1353" t="s">
        <v>10</v>
      </c>
      <c r="E1353" t="s">
        <v>52</v>
      </c>
      <c r="F1353">
        <v>2</v>
      </c>
    </row>
    <row r="1354" spans="1:6" x14ac:dyDescent="0.2">
      <c r="A1354" t="s">
        <v>5886</v>
      </c>
      <c r="B1354" t="s">
        <v>9458</v>
      </c>
      <c r="C1354" t="s">
        <v>5885</v>
      </c>
      <c r="D1354" t="s">
        <v>10</v>
      </c>
      <c r="E1354" t="s">
        <v>11</v>
      </c>
      <c r="F1354">
        <v>1</v>
      </c>
    </row>
    <row r="1355" spans="1:6" x14ac:dyDescent="0.2">
      <c r="A1355" t="s">
        <v>10846</v>
      </c>
      <c r="B1355" t="s">
        <v>10836</v>
      </c>
      <c r="C1355" t="s">
        <v>10845</v>
      </c>
      <c r="D1355" t="s">
        <v>10</v>
      </c>
      <c r="E1355" t="s">
        <v>11</v>
      </c>
      <c r="F1355">
        <v>1</v>
      </c>
    </row>
    <row r="1356" spans="1:6" x14ac:dyDescent="0.2">
      <c r="A1356" t="s">
        <v>11201</v>
      </c>
      <c r="B1356" t="s">
        <v>11199</v>
      </c>
      <c r="C1356" t="s">
        <v>11200</v>
      </c>
      <c r="D1356" t="s">
        <v>10</v>
      </c>
      <c r="E1356" t="s">
        <v>16</v>
      </c>
      <c r="F1356">
        <v>1</v>
      </c>
    </row>
    <row r="1357" spans="1:6" x14ac:dyDescent="0.2">
      <c r="A1357" t="s">
        <v>3395</v>
      </c>
      <c r="B1357" t="s">
        <v>7087</v>
      </c>
      <c r="C1357" t="s">
        <v>7088</v>
      </c>
      <c r="D1357" t="s">
        <v>10</v>
      </c>
      <c r="E1357" t="s">
        <v>16</v>
      </c>
      <c r="F1357">
        <v>3</v>
      </c>
    </row>
    <row r="1358" spans="1:6" x14ac:dyDescent="0.2">
      <c r="A1358" t="s">
        <v>12088</v>
      </c>
      <c r="B1358" t="s">
        <v>7192</v>
      </c>
      <c r="C1358" t="s">
        <v>7195</v>
      </c>
      <c r="D1358" t="s">
        <v>10</v>
      </c>
      <c r="E1358" t="s">
        <v>16</v>
      </c>
      <c r="F1358">
        <v>1</v>
      </c>
    </row>
    <row r="1359" spans="1:6" x14ac:dyDescent="0.2">
      <c r="A1359" t="s">
        <v>12089</v>
      </c>
      <c r="B1359" t="s">
        <v>7192</v>
      </c>
      <c r="C1359" t="s">
        <v>7196</v>
      </c>
      <c r="D1359" t="s">
        <v>10</v>
      </c>
      <c r="E1359" t="s">
        <v>16</v>
      </c>
      <c r="F1359">
        <v>1</v>
      </c>
    </row>
    <row r="1360" spans="1:6" x14ac:dyDescent="0.2">
      <c r="A1360" t="s">
        <v>1595</v>
      </c>
      <c r="B1360" t="s">
        <v>2975</v>
      </c>
      <c r="C1360" t="s">
        <v>2978</v>
      </c>
      <c r="D1360" t="s">
        <v>10</v>
      </c>
      <c r="E1360" t="s">
        <v>16</v>
      </c>
      <c r="F1360">
        <v>1</v>
      </c>
    </row>
    <row r="1361" spans="1:6" x14ac:dyDescent="0.2">
      <c r="A1361" t="s">
        <v>7433</v>
      </c>
      <c r="B1361" t="s">
        <v>7432</v>
      </c>
      <c r="C1361" t="s">
        <v>1244</v>
      </c>
      <c r="D1361" t="s">
        <v>10</v>
      </c>
      <c r="E1361" t="s">
        <v>16</v>
      </c>
      <c r="F1361">
        <v>1</v>
      </c>
    </row>
    <row r="1362" spans="1:6" x14ac:dyDescent="0.2">
      <c r="A1362" t="s">
        <v>4367</v>
      </c>
      <c r="B1362" t="s">
        <v>4358</v>
      </c>
      <c r="C1362" t="s">
        <v>4366</v>
      </c>
      <c r="D1362" t="s">
        <v>10</v>
      </c>
      <c r="E1362" t="s">
        <v>52</v>
      </c>
      <c r="F1362">
        <v>1</v>
      </c>
    </row>
    <row r="1363" spans="1:6" x14ac:dyDescent="0.2">
      <c r="A1363" t="s">
        <v>6786</v>
      </c>
      <c r="B1363" t="s">
        <v>7197</v>
      </c>
      <c r="C1363" t="s">
        <v>6785</v>
      </c>
      <c r="D1363" t="s">
        <v>56</v>
      </c>
      <c r="E1363" t="s">
        <v>52</v>
      </c>
      <c r="F1363">
        <v>1</v>
      </c>
    </row>
    <row r="1364" spans="1:6" x14ac:dyDescent="0.2">
      <c r="A1364" t="s">
        <v>4369</v>
      </c>
      <c r="B1364" t="s">
        <v>4358</v>
      </c>
      <c r="C1364" t="s">
        <v>4368</v>
      </c>
      <c r="D1364" t="s">
        <v>10</v>
      </c>
      <c r="E1364" t="s">
        <v>52</v>
      </c>
      <c r="F1364">
        <v>1</v>
      </c>
    </row>
    <row r="1365" spans="1:6" x14ac:dyDescent="0.2">
      <c r="A1365" t="s">
        <v>5469</v>
      </c>
      <c r="B1365" t="s">
        <v>5467</v>
      </c>
      <c r="C1365" t="s">
        <v>5468</v>
      </c>
      <c r="D1365" t="s">
        <v>56</v>
      </c>
      <c r="E1365" t="s">
        <v>52</v>
      </c>
      <c r="F1365">
        <v>1</v>
      </c>
    </row>
    <row r="1366" spans="1:6" x14ac:dyDescent="0.2">
      <c r="A1366" t="s">
        <v>7221</v>
      </c>
      <c r="B1366" t="s">
        <v>7197</v>
      </c>
      <c r="C1366" t="s">
        <v>7220</v>
      </c>
      <c r="D1366" t="s">
        <v>56</v>
      </c>
      <c r="E1366" t="s">
        <v>52</v>
      </c>
      <c r="F1366">
        <v>2</v>
      </c>
    </row>
    <row r="1367" spans="1:6" x14ac:dyDescent="0.2">
      <c r="A1367" t="s">
        <v>7280</v>
      </c>
      <c r="B1367" t="s">
        <v>7278</v>
      </c>
      <c r="C1367" t="s">
        <v>7279</v>
      </c>
      <c r="D1367" t="s">
        <v>10</v>
      </c>
      <c r="E1367" t="s">
        <v>16</v>
      </c>
      <c r="F1367">
        <v>1</v>
      </c>
    </row>
    <row r="1368" spans="1:6" x14ac:dyDescent="0.2">
      <c r="A1368" t="s">
        <v>2814</v>
      </c>
      <c r="B1368" t="s">
        <v>2673</v>
      </c>
      <c r="C1368" t="s">
        <v>2813</v>
      </c>
      <c r="D1368" t="s">
        <v>10</v>
      </c>
      <c r="E1368" t="s">
        <v>11</v>
      </c>
      <c r="F1368">
        <v>4</v>
      </c>
    </row>
    <row r="1369" spans="1:6" x14ac:dyDescent="0.2">
      <c r="A1369" t="s">
        <v>2772</v>
      </c>
      <c r="B1369" t="s">
        <v>2673</v>
      </c>
      <c r="C1369" t="s">
        <v>2815</v>
      </c>
      <c r="D1369" t="s">
        <v>10</v>
      </c>
      <c r="E1369" t="s">
        <v>11</v>
      </c>
      <c r="F1369">
        <v>4</v>
      </c>
    </row>
    <row r="1370" spans="1:6" x14ac:dyDescent="0.2">
      <c r="A1370" t="s">
        <v>7347</v>
      </c>
      <c r="B1370" t="s">
        <v>7345</v>
      </c>
      <c r="C1370" t="s">
        <v>7346</v>
      </c>
      <c r="D1370" t="s">
        <v>10</v>
      </c>
      <c r="E1370" t="s">
        <v>11</v>
      </c>
      <c r="F1370">
        <v>1</v>
      </c>
    </row>
    <row r="1371" spans="1:6" x14ac:dyDescent="0.2">
      <c r="A1371" t="s">
        <v>7373</v>
      </c>
      <c r="B1371" t="s">
        <v>7371</v>
      </c>
      <c r="C1371" t="s">
        <v>7372</v>
      </c>
      <c r="D1371" t="s">
        <v>10</v>
      </c>
      <c r="E1371" t="s">
        <v>16</v>
      </c>
      <c r="F1371">
        <v>1</v>
      </c>
    </row>
    <row r="1372" spans="1:6" x14ac:dyDescent="0.2">
      <c r="A1372" t="s">
        <v>6626</v>
      </c>
      <c r="B1372" t="s">
        <v>6619</v>
      </c>
      <c r="C1372" t="s">
        <v>6625</v>
      </c>
      <c r="D1372" t="s">
        <v>10</v>
      </c>
      <c r="E1372" t="s">
        <v>11</v>
      </c>
      <c r="F1372">
        <v>1</v>
      </c>
    </row>
    <row r="1373" spans="1:6" x14ac:dyDescent="0.2">
      <c r="A1373" t="s">
        <v>7204</v>
      </c>
      <c r="B1373" t="s">
        <v>7197</v>
      </c>
      <c r="C1373" t="s">
        <v>7203</v>
      </c>
      <c r="D1373" t="s">
        <v>56</v>
      </c>
      <c r="E1373" t="s">
        <v>52</v>
      </c>
      <c r="F1373">
        <v>2</v>
      </c>
    </row>
    <row r="1374" spans="1:6" x14ac:dyDescent="0.2">
      <c r="A1374" t="s">
        <v>7206</v>
      </c>
      <c r="B1374" t="s">
        <v>7197</v>
      </c>
      <c r="C1374" t="s">
        <v>7205</v>
      </c>
      <c r="D1374" t="s">
        <v>56</v>
      </c>
      <c r="E1374" t="s">
        <v>16</v>
      </c>
      <c r="F1374">
        <v>2</v>
      </c>
    </row>
    <row r="1375" spans="1:6" x14ac:dyDescent="0.2">
      <c r="A1375" t="s">
        <v>7208</v>
      </c>
      <c r="B1375" t="s">
        <v>7197</v>
      </c>
      <c r="C1375" t="s">
        <v>7207</v>
      </c>
      <c r="D1375" t="s">
        <v>56</v>
      </c>
      <c r="E1375" t="s">
        <v>52</v>
      </c>
      <c r="F1375">
        <v>2</v>
      </c>
    </row>
    <row r="1376" spans="1:6" x14ac:dyDescent="0.2">
      <c r="A1376" t="s">
        <v>7201</v>
      </c>
      <c r="B1376" t="s">
        <v>7197</v>
      </c>
      <c r="C1376" t="s">
        <v>7215</v>
      </c>
      <c r="D1376" t="s">
        <v>56</v>
      </c>
      <c r="E1376" t="s">
        <v>52</v>
      </c>
      <c r="F1376">
        <v>2</v>
      </c>
    </row>
    <row r="1377" spans="1:6" x14ac:dyDescent="0.2">
      <c r="A1377" t="s">
        <v>7199</v>
      </c>
      <c r="B1377" t="s">
        <v>7197</v>
      </c>
      <c r="C1377" t="s">
        <v>7216</v>
      </c>
      <c r="D1377" t="s">
        <v>56</v>
      </c>
      <c r="E1377" t="s">
        <v>52</v>
      </c>
      <c r="F1377">
        <v>2</v>
      </c>
    </row>
    <row r="1378" spans="1:6" x14ac:dyDescent="0.2">
      <c r="A1378" t="s">
        <v>7218</v>
      </c>
      <c r="B1378" t="s">
        <v>7197</v>
      </c>
      <c r="C1378" t="s">
        <v>7217</v>
      </c>
      <c r="D1378" t="s">
        <v>56</v>
      </c>
      <c r="E1378" t="s">
        <v>52</v>
      </c>
      <c r="F1378">
        <v>2</v>
      </c>
    </row>
    <row r="1379" spans="1:6" x14ac:dyDescent="0.2">
      <c r="A1379" t="s">
        <v>7232</v>
      </c>
      <c r="B1379" t="s">
        <v>7231</v>
      </c>
      <c r="C1379" t="s">
        <v>5435</v>
      </c>
      <c r="D1379" t="s">
        <v>10</v>
      </c>
      <c r="E1379" t="s">
        <v>16</v>
      </c>
      <c r="F1379">
        <v>1</v>
      </c>
    </row>
    <row r="1380" spans="1:6" x14ac:dyDescent="0.2">
      <c r="A1380" t="s">
        <v>7301</v>
      </c>
      <c r="B1380" t="s">
        <v>7300</v>
      </c>
      <c r="C1380" t="s">
        <v>424</v>
      </c>
      <c r="D1380" t="s">
        <v>10</v>
      </c>
      <c r="E1380" t="s">
        <v>16</v>
      </c>
      <c r="F1380">
        <v>1</v>
      </c>
    </row>
    <row r="1381" spans="1:6" x14ac:dyDescent="0.2">
      <c r="A1381" t="s">
        <v>7093</v>
      </c>
      <c r="B1381" t="s">
        <v>7300</v>
      </c>
      <c r="C1381" t="s">
        <v>7302</v>
      </c>
      <c r="D1381" t="s">
        <v>10</v>
      </c>
      <c r="E1381" t="s">
        <v>16</v>
      </c>
      <c r="F1381">
        <v>1</v>
      </c>
    </row>
    <row r="1382" spans="1:6" x14ac:dyDescent="0.2">
      <c r="A1382" t="s">
        <v>7296</v>
      </c>
      <c r="B1382" t="s">
        <v>7289</v>
      </c>
      <c r="C1382" t="s">
        <v>229</v>
      </c>
      <c r="D1382" t="s">
        <v>10</v>
      </c>
      <c r="E1382" t="s">
        <v>52</v>
      </c>
      <c r="F1382">
        <v>1</v>
      </c>
    </row>
    <row r="1383" spans="1:6" x14ac:dyDescent="0.2">
      <c r="A1383" t="s">
        <v>7234</v>
      </c>
      <c r="B1383" t="s">
        <v>7231</v>
      </c>
      <c r="C1383" t="s">
        <v>7233</v>
      </c>
      <c r="D1383" t="s">
        <v>10</v>
      </c>
      <c r="E1383" t="s">
        <v>16</v>
      </c>
      <c r="F1383">
        <v>2</v>
      </c>
    </row>
    <row r="1384" spans="1:6" x14ac:dyDescent="0.2">
      <c r="A1384" t="s">
        <v>579</v>
      </c>
      <c r="B1384" t="s">
        <v>577</v>
      </c>
      <c r="C1384" t="s">
        <v>578</v>
      </c>
      <c r="D1384" t="s">
        <v>10</v>
      </c>
      <c r="E1384" t="s">
        <v>16</v>
      </c>
      <c r="F1384">
        <v>1</v>
      </c>
    </row>
    <row r="1385" spans="1:6" x14ac:dyDescent="0.2">
      <c r="A1385" t="s">
        <v>7258</v>
      </c>
      <c r="B1385" t="s">
        <v>7239</v>
      </c>
      <c r="C1385" t="s">
        <v>7257</v>
      </c>
      <c r="D1385" t="s">
        <v>10</v>
      </c>
      <c r="E1385" t="s">
        <v>11</v>
      </c>
      <c r="F1385">
        <v>2</v>
      </c>
    </row>
    <row r="1386" spans="1:6" x14ac:dyDescent="0.2">
      <c r="A1386" t="s">
        <v>2820</v>
      </c>
      <c r="B1386" t="s">
        <v>2673</v>
      </c>
      <c r="C1386" t="s">
        <v>2819</v>
      </c>
      <c r="D1386" t="s">
        <v>10</v>
      </c>
      <c r="E1386" t="s">
        <v>11</v>
      </c>
      <c r="F1386">
        <v>4</v>
      </c>
    </row>
    <row r="1387" spans="1:6" x14ac:dyDescent="0.2">
      <c r="A1387" t="s">
        <v>7273</v>
      </c>
      <c r="B1387" t="s">
        <v>7271</v>
      </c>
      <c r="C1387" t="s">
        <v>7272</v>
      </c>
      <c r="D1387" t="s">
        <v>10</v>
      </c>
      <c r="E1387" t="s">
        <v>16</v>
      </c>
      <c r="F1387">
        <v>1</v>
      </c>
    </row>
    <row r="1388" spans="1:6" x14ac:dyDescent="0.2">
      <c r="A1388" t="s">
        <v>7275</v>
      </c>
      <c r="B1388" t="s">
        <v>7274</v>
      </c>
      <c r="C1388" t="s">
        <v>5521</v>
      </c>
      <c r="D1388" t="s">
        <v>10</v>
      </c>
      <c r="E1388" t="s">
        <v>16</v>
      </c>
      <c r="F1388">
        <v>1</v>
      </c>
    </row>
    <row r="1389" spans="1:6" x14ac:dyDescent="0.2">
      <c r="A1389" t="s">
        <v>9714</v>
      </c>
      <c r="B1389" t="s">
        <v>9707</v>
      </c>
      <c r="C1389" t="s">
        <v>9713</v>
      </c>
      <c r="D1389" t="s">
        <v>10</v>
      </c>
      <c r="E1389" t="s">
        <v>16</v>
      </c>
      <c r="F1389">
        <v>1</v>
      </c>
    </row>
    <row r="1390" spans="1:6" x14ac:dyDescent="0.2">
      <c r="A1390" t="s">
        <v>5480</v>
      </c>
      <c r="B1390" t="s">
        <v>5478</v>
      </c>
      <c r="C1390" t="s">
        <v>5479</v>
      </c>
      <c r="D1390" t="s">
        <v>10</v>
      </c>
      <c r="E1390" t="s">
        <v>52</v>
      </c>
      <c r="F1390">
        <v>1</v>
      </c>
    </row>
    <row r="1391" spans="1:6" x14ac:dyDescent="0.2">
      <c r="A1391" t="s">
        <v>7328</v>
      </c>
      <c r="B1391" t="s">
        <v>7326</v>
      </c>
      <c r="C1391" t="s">
        <v>7327</v>
      </c>
      <c r="D1391" t="s">
        <v>10</v>
      </c>
      <c r="E1391" t="s">
        <v>16</v>
      </c>
      <c r="F1391">
        <v>1</v>
      </c>
    </row>
    <row r="1392" spans="1:6" x14ac:dyDescent="0.2">
      <c r="A1392" t="s">
        <v>7329</v>
      </c>
      <c r="B1392" t="s">
        <v>7326</v>
      </c>
      <c r="C1392" t="s">
        <v>3361</v>
      </c>
      <c r="D1392" t="s">
        <v>10</v>
      </c>
      <c r="E1392" t="s">
        <v>16</v>
      </c>
      <c r="F1392">
        <v>1</v>
      </c>
    </row>
    <row r="1393" spans="1:6" x14ac:dyDescent="0.2">
      <c r="A1393" t="s">
        <v>6745</v>
      </c>
      <c r="B1393" t="s">
        <v>6716</v>
      </c>
      <c r="C1393" t="s">
        <v>6744</v>
      </c>
      <c r="D1393" t="s">
        <v>10</v>
      </c>
      <c r="E1393" t="s">
        <v>11</v>
      </c>
      <c r="F1393">
        <v>1</v>
      </c>
    </row>
    <row r="1394" spans="1:6" x14ac:dyDescent="0.2">
      <c r="A1394" t="s">
        <v>1587</v>
      </c>
      <c r="B1394" t="s">
        <v>1585</v>
      </c>
      <c r="C1394" t="s">
        <v>1586</v>
      </c>
      <c r="D1394" t="s">
        <v>29</v>
      </c>
      <c r="E1394" t="s">
        <v>16</v>
      </c>
      <c r="F1394">
        <v>1</v>
      </c>
    </row>
    <row r="1395" spans="1:6" x14ac:dyDescent="0.2">
      <c r="A1395" t="s">
        <v>7245</v>
      </c>
      <c r="B1395" t="s">
        <v>7239</v>
      </c>
      <c r="C1395" t="s">
        <v>7244</v>
      </c>
      <c r="D1395" t="s">
        <v>56</v>
      </c>
      <c r="E1395" t="s">
        <v>16</v>
      </c>
      <c r="F1395">
        <v>1</v>
      </c>
    </row>
    <row r="1396" spans="1:6" x14ac:dyDescent="0.2">
      <c r="A1396" t="s">
        <v>9468</v>
      </c>
      <c r="B1396" t="s">
        <v>11441</v>
      </c>
      <c r="C1396" t="s">
        <v>11443</v>
      </c>
      <c r="D1396" t="s">
        <v>10</v>
      </c>
      <c r="E1396" t="s">
        <v>16</v>
      </c>
      <c r="F1396">
        <v>1</v>
      </c>
    </row>
    <row r="1397" spans="1:6" x14ac:dyDescent="0.2">
      <c r="A1397" t="s">
        <v>9469</v>
      </c>
      <c r="B1397" t="s">
        <v>11441</v>
      </c>
      <c r="C1397" t="s">
        <v>11444</v>
      </c>
      <c r="D1397" t="s">
        <v>10</v>
      </c>
      <c r="E1397" t="s">
        <v>16</v>
      </c>
      <c r="F1397">
        <v>1</v>
      </c>
    </row>
    <row r="1398" spans="1:6" x14ac:dyDescent="0.2">
      <c r="A1398" t="s">
        <v>3034</v>
      </c>
      <c r="B1398" t="s">
        <v>3032</v>
      </c>
      <c r="C1398" t="s">
        <v>3033</v>
      </c>
      <c r="D1398" t="s">
        <v>10</v>
      </c>
      <c r="E1398" t="s">
        <v>16</v>
      </c>
      <c r="F1398">
        <v>1</v>
      </c>
    </row>
    <row r="1399" spans="1:6" x14ac:dyDescent="0.2">
      <c r="A1399" t="s">
        <v>8234</v>
      </c>
      <c r="B1399" t="s">
        <v>8232</v>
      </c>
      <c r="C1399" t="s">
        <v>8233</v>
      </c>
      <c r="D1399" t="s">
        <v>10</v>
      </c>
      <c r="E1399" t="s">
        <v>16</v>
      </c>
      <c r="F1399">
        <v>1</v>
      </c>
    </row>
    <row r="1400" spans="1:6" x14ac:dyDescent="0.2">
      <c r="A1400" t="s">
        <v>11489</v>
      </c>
      <c r="B1400" t="s">
        <v>11546</v>
      </c>
      <c r="C1400" t="s">
        <v>11488</v>
      </c>
      <c r="D1400" t="s">
        <v>10</v>
      </c>
      <c r="E1400" t="s">
        <v>16</v>
      </c>
      <c r="F1400">
        <v>1</v>
      </c>
    </row>
    <row r="1401" spans="1:6" x14ac:dyDescent="0.2">
      <c r="A1401" t="s">
        <v>7237</v>
      </c>
      <c r="B1401" t="s">
        <v>7235</v>
      </c>
      <c r="C1401" t="s">
        <v>7236</v>
      </c>
      <c r="D1401" t="s">
        <v>10</v>
      </c>
      <c r="E1401" t="s">
        <v>16</v>
      </c>
      <c r="F1401">
        <v>1</v>
      </c>
    </row>
    <row r="1402" spans="1:6" x14ac:dyDescent="0.2">
      <c r="A1402" t="s">
        <v>2982</v>
      </c>
      <c r="B1402" t="s">
        <v>7330</v>
      </c>
      <c r="C1402" t="s">
        <v>2983</v>
      </c>
      <c r="D1402" t="s">
        <v>10</v>
      </c>
      <c r="E1402" t="s">
        <v>16</v>
      </c>
      <c r="F1402">
        <v>1</v>
      </c>
    </row>
    <row r="1403" spans="1:6" x14ac:dyDescent="0.2">
      <c r="A1403" t="s">
        <v>5577</v>
      </c>
      <c r="B1403" t="s">
        <v>5575</v>
      </c>
      <c r="C1403" t="s">
        <v>5576</v>
      </c>
      <c r="D1403" t="s">
        <v>10</v>
      </c>
      <c r="E1403" t="s">
        <v>16</v>
      </c>
      <c r="F1403">
        <v>1</v>
      </c>
    </row>
    <row r="1404" spans="1:6" x14ac:dyDescent="0.2">
      <c r="A1404" t="s">
        <v>7334</v>
      </c>
      <c r="B1404" t="s">
        <v>7330</v>
      </c>
      <c r="C1404" t="s">
        <v>7333</v>
      </c>
      <c r="D1404" t="s">
        <v>10</v>
      </c>
      <c r="E1404" t="s">
        <v>16</v>
      </c>
      <c r="F1404">
        <v>1</v>
      </c>
    </row>
    <row r="1405" spans="1:6" x14ac:dyDescent="0.2">
      <c r="A1405" t="s">
        <v>7332</v>
      </c>
      <c r="B1405" t="s">
        <v>7330</v>
      </c>
      <c r="C1405" t="s">
        <v>7331</v>
      </c>
      <c r="D1405" t="s">
        <v>10</v>
      </c>
      <c r="E1405" t="s">
        <v>16</v>
      </c>
      <c r="F1405">
        <v>1</v>
      </c>
    </row>
    <row r="1406" spans="1:6" x14ac:dyDescent="0.2">
      <c r="A1406" t="s">
        <v>7339</v>
      </c>
      <c r="B1406" t="s">
        <v>7337</v>
      </c>
      <c r="C1406" t="s">
        <v>7338</v>
      </c>
      <c r="D1406" t="s">
        <v>10</v>
      </c>
      <c r="E1406" t="s">
        <v>16</v>
      </c>
      <c r="F1406">
        <v>1</v>
      </c>
    </row>
    <row r="1407" spans="1:6" x14ac:dyDescent="0.2">
      <c r="A1407" t="s">
        <v>5765</v>
      </c>
      <c r="B1407" t="s">
        <v>5757</v>
      </c>
      <c r="C1407" t="s">
        <v>5764</v>
      </c>
      <c r="D1407" t="s">
        <v>10</v>
      </c>
      <c r="E1407" t="s">
        <v>16</v>
      </c>
      <c r="F1407">
        <v>1</v>
      </c>
    </row>
    <row r="1408" spans="1:6" x14ac:dyDescent="0.2">
      <c r="A1408" t="s">
        <v>7184</v>
      </c>
      <c r="B1408" t="s">
        <v>7167</v>
      </c>
      <c r="C1408" t="s">
        <v>7183</v>
      </c>
      <c r="D1408" t="s">
        <v>56</v>
      </c>
      <c r="E1408" t="s">
        <v>52</v>
      </c>
      <c r="F1408">
        <v>1</v>
      </c>
    </row>
    <row r="1409" spans="1:6" x14ac:dyDescent="0.2">
      <c r="A1409" t="s">
        <v>8963</v>
      </c>
      <c r="B1409" t="s">
        <v>8961</v>
      </c>
      <c r="C1409" t="s">
        <v>8962</v>
      </c>
      <c r="D1409" t="s">
        <v>10</v>
      </c>
      <c r="E1409" t="s">
        <v>16</v>
      </c>
      <c r="F1409">
        <v>1</v>
      </c>
    </row>
    <row r="1410" spans="1:6" x14ac:dyDescent="0.2">
      <c r="A1410" t="s">
        <v>7341</v>
      </c>
      <c r="B1410" t="s">
        <v>7337</v>
      </c>
      <c r="C1410" t="s">
        <v>7340</v>
      </c>
      <c r="D1410" t="s">
        <v>10</v>
      </c>
      <c r="E1410" t="s">
        <v>16</v>
      </c>
      <c r="F1410">
        <v>1</v>
      </c>
    </row>
    <row r="1411" spans="1:6" x14ac:dyDescent="0.2">
      <c r="A1411" t="s">
        <v>7028</v>
      </c>
      <c r="B1411" t="s">
        <v>7026</v>
      </c>
      <c r="C1411" t="s">
        <v>7027</v>
      </c>
      <c r="D1411" t="s">
        <v>10</v>
      </c>
      <c r="E1411" t="s">
        <v>16</v>
      </c>
      <c r="F1411">
        <v>1</v>
      </c>
    </row>
    <row r="1412" spans="1:6" x14ac:dyDescent="0.2">
      <c r="A1412" t="s">
        <v>7030</v>
      </c>
      <c r="B1412" t="s">
        <v>7026</v>
      </c>
      <c r="C1412" t="s">
        <v>7029</v>
      </c>
      <c r="D1412" t="s">
        <v>10</v>
      </c>
      <c r="E1412" t="s">
        <v>16</v>
      </c>
      <c r="F1412">
        <v>1</v>
      </c>
    </row>
    <row r="1413" spans="1:6" x14ac:dyDescent="0.2">
      <c r="A1413" t="s">
        <v>9656</v>
      </c>
      <c r="B1413" t="s">
        <v>9654</v>
      </c>
      <c r="C1413" t="s">
        <v>9655</v>
      </c>
      <c r="D1413" t="s">
        <v>10</v>
      </c>
      <c r="E1413" t="s">
        <v>16</v>
      </c>
      <c r="F1413">
        <v>1</v>
      </c>
    </row>
    <row r="1414" spans="1:6" x14ac:dyDescent="0.2">
      <c r="A1414" t="s">
        <v>9658</v>
      </c>
      <c r="B1414" t="s">
        <v>9654</v>
      </c>
      <c r="C1414" t="s">
        <v>9657</v>
      </c>
      <c r="D1414" t="s">
        <v>10</v>
      </c>
      <c r="E1414" t="s">
        <v>16</v>
      </c>
      <c r="F1414">
        <v>1</v>
      </c>
    </row>
    <row r="1415" spans="1:6" x14ac:dyDescent="0.2">
      <c r="A1415" t="s">
        <v>5412</v>
      </c>
      <c r="B1415" t="s">
        <v>5348</v>
      </c>
      <c r="C1415" t="s">
        <v>5411</v>
      </c>
      <c r="D1415" t="s">
        <v>10</v>
      </c>
      <c r="E1415" t="s">
        <v>16</v>
      </c>
      <c r="F1415">
        <v>1</v>
      </c>
    </row>
    <row r="1416" spans="1:6" x14ac:dyDescent="0.2">
      <c r="A1416" t="s">
        <v>4986</v>
      </c>
      <c r="B1416" t="s">
        <v>4979</v>
      </c>
      <c r="C1416" t="s">
        <v>4985</v>
      </c>
      <c r="D1416" t="s">
        <v>10</v>
      </c>
      <c r="E1416" t="s">
        <v>16</v>
      </c>
      <c r="F1416">
        <v>1</v>
      </c>
    </row>
    <row r="1417" spans="1:6" x14ac:dyDescent="0.2">
      <c r="A1417" t="s">
        <v>5410</v>
      </c>
      <c r="B1417" t="s">
        <v>7375</v>
      </c>
      <c r="C1417" t="s">
        <v>7377</v>
      </c>
      <c r="D1417" t="s">
        <v>10</v>
      </c>
      <c r="E1417" t="s">
        <v>16</v>
      </c>
      <c r="F1417">
        <v>1</v>
      </c>
    </row>
    <row r="1418" spans="1:6" x14ac:dyDescent="0.2">
      <c r="A1418" t="s">
        <v>5408</v>
      </c>
      <c r="B1418" t="s">
        <v>7375</v>
      </c>
      <c r="C1418" t="s">
        <v>7376</v>
      </c>
      <c r="D1418" t="s">
        <v>10</v>
      </c>
      <c r="E1418" t="s">
        <v>16</v>
      </c>
      <c r="F1418">
        <v>1</v>
      </c>
    </row>
    <row r="1419" spans="1:6" x14ac:dyDescent="0.2">
      <c r="A1419" t="s">
        <v>10788</v>
      </c>
      <c r="B1419" t="s">
        <v>10784</v>
      </c>
      <c r="C1419" t="s">
        <v>10794</v>
      </c>
      <c r="D1419" t="s">
        <v>10</v>
      </c>
      <c r="E1419" t="s">
        <v>16</v>
      </c>
      <c r="F1419">
        <v>1</v>
      </c>
    </row>
    <row r="1420" spans="1:6" x14ac:dyDescent="0.2">
      <c r="A1420" t="s">
        <v>9912</v>
      </c>
      <c r="B1420" t="s">
        <v>9910</v>
      </c>
      <c r="C1420" t="s">
        <v>9911</v>
      </c>
      <c r="D1420" t="s">
        <v>10</v>
      </c>
      <c r="E1420" t="s">
        <v>16</v>
      </c>
      <c r="F1420">
        <v>1</v>
      </c>
    </row>
    <row r="1421" spans="1:6" x14ac:dyDescent="0.2">
      <c r="A1421" t="s">
        <v>5593</v>
      </c>
      <c r="B1421" t="s">
        <v>5591</v>
      </c>
      <c r="C1421" t="s">
        <v>5594</v>
      </c>
      <c r="D1421" t="s">
        <v>10</v>
      </c>
      <c r="E1421" t="s">
        <v>16</v>
      </c>
      <c r="F1421">
        <v>1</v>
      </c>
    </row>
    <row r="1422" spans="1:6" x14ac:dyDescent="0.2">
      <c r="A1422" t="s">
        <v>9038</v>
      </c>
      <c r="B1422" t="s">
        <v>9036</v>
      </c>
      <c r="C1422" t="s">
        <v>9039</v>
      </c>
      <c r="D1422" t="s">
        <v>10</v>
      </c>
      <c r="E1422" t="s">
        <v>16</v>
      </c>
      <c r="F1422">
        <v>2</v>
      </c>
    </row>
    <row r="1423" spans="1:6" x14ac:dyDescent="0.2">
      <c r="A1423" t="s">
        <v>4355</v>
      </c>
      <c r="B1423" t="s">
        <v>4353</v>
      </c>
      <c r="C1423" t="s">
        <v>4354</v>
      </c>
      <c r="D1423" t="s">
        <v>10</v>
      </c>
      <c r="E1423" t="s">
        <v>52</v>
      </c>
      <c r="F1423">
        <v>1</v>
      </c>
    </row>
    <row r="1424" spans="1:6" x14ac:dyDescent="0.2">
      <c r="A1424" t="s">
        <v>1479</v>
      </c>
      <c r="B1424" t="s">
        <v>1601</v>
      </c>
      <c r="C1424" t="s">
        <v>1478</v>
      </c>
      <c r="D1424" t="s">
        <v>10</v>
      </c>
      <c r="E1424" t="s">
        <v>16</v>
      </c>
      <c r="F1424">
        <v>1</v>
      </c>
    </row>
    <row r="1425" spans="1:6" x14ac:dyDescent="0.2">
      <c r="A1425" t="s">
        <v>10103</v>
      </c>
      <c r="B1425" t="s">
        <v>10101</v>
      </c>
      <c r="C1425" t="s">
        <v>10104</v>
      </c>
      <c r="D1425" t="s">
        <v>10</v>
      </c>
      <c r="E1425" t="s">
        <v>16</v>
      </c>
      <c r="F1425">
        <v>1</v>
      </c>
    </row>
    <row r="1426" spans="1:6" x14ac:dyDescent="0.2">
      <c r="A1426" t="s">
        <v>10107</v>
      </c>
      <c r="B1426" t="s">
        <v>10101</v>
      </c>
      <c r="C1426" t="s">
        <v>10106</v>
      </c>
      <c r="D1426" t="s">
        <v>10</v>
      </c>
      <c r="E1426" t="s">
        <v>16</v>
      </c>
      <c r="F1426">
        <v>1</v>
      </c>
    </row>
    <row r="1427" spans="1:6" x14ac:dyDescent="0.2">
      <c r="A1427" t="s">
        <v>10109</v>
      </c>
      <c r="B1427" t="s">
        <v>10101</v>
      </c>
      <c r="C1427" t="s">
        <v>10108</v>
      </c>
      <c r="D1427" t="s">
        <v>10</v>
      </c>
      <c r="E1427" t="s">
        <v>16</v>
      </c>
      <c r="F1427">
        <v>2</v>
      </c>
    </row>
    <row r="1428" spans="1:6" x14ac:dyDescent="0.2">
      <c r="A1428" t="s">
        <v>10111</v>
      </c>
      <c r="B1428" t="s">
        <v>10101</v>
      </c>
      <c r="C1428" t="s">
        <v>10110</v>
      </c>
      <c r="D1428" t="s">
        <v>10</v>
      </c>
      <c r="E1428" t="s">
        <v>16</v>
      </c>
      <c r="F1428">
        <v>1</v>
      </c>
    </row>
    <row r="1429" spans="1:6" x14ac:dyDescent="0.2">
      <c r="A1429" t="s">
        <v>10113</v>
      </c>
      <c r="B1429" t="s">
        <v>10101</v>
      </c>
      <c r="C1429" t="s">
        <v>10112</v>
      </c>
      <c r="D1429" t="s">
        <v>10</v>
      </c>
      <c r="E1429" t="s">
        <v>16</v>
      </c>
      <c r="F1429">
        <v>1</v>
      </c>
    </row>
    <row r="1430" spans="1:6" x14ac:dyDescent="0.2">
      <c r="A1430" t="s">
        <v>7636</v>
      </c>
      <c r="B1430" t="s">
        <v>7597</v>
      </c>
      <c r="C1430" t="s">
        <v>7665</v>
      </c>
      <c r="D1430" t="s">
        <v>10</v>
      </c>
      <c r="E1430" t="s">
        <v>16</v>
      </c>
      <c r="F1430">
        <v>2</v>
      </c>
    </row>
    <row r="1431" spans="1:6" x14ac:dyDescent="0.2">
      <c r="A1431" t="s">
        <v>7696</v>
      </c>
      <c r="B1431" t="s">
        <v>7597</v>
      </c>
      <c r="C1431" t="s">
        <v>7695</v>
      </c>
      <c r="D1431" t="s">
        <v>10</v>
      </c>
      <c r="E1431" t="s">
        <v>11</v>
      </c>
      <c r="F1431">
        <v>3</v>
      </c>
    </row>
    <row r="1432" spans="1:6" x14ac:dyDescent="0.2">
      <c r="A1432" t="s">
        <v>7848</v>
      </c>
      <c r="B1432" t="s">
        <v>7842</v>
      </c>
      <c r="C1432" t="s">
        <v>7847</v>
      </c>
      <c r="D1432" t="s">
        <v>10</v>
      </c>
      <c r="E1432" t="s">
        <v>16</v>
      </c>
      <c r="F1432">
        <v>1</v>
      </c>
    </row>
    <row r="1433" spans="1:6" x14ac:dyDescent="0.2">
      <c r="A1433" t="s">
        <v>7853</v>
      </c>
      <c r="B1433" t="s">
        <v>7842</v>
      </c>
      <c r="C1433" t="s">
        <v>7854</v>
      </c>
      <c r="D1433" t="s">
        <v>10</v>
      </c>
      <c r="E1433" t="s">
        <v>16</v>
      </c>
      <c r="F1433">
        <v>1</v>
      </c>
    </row>
    <row r="1434" spans="1:6" x14ac:dyDescent="0.2">
      <c r="A1434" t="s">
        <v>7607</v>
      </c>
      <c r="B1434" t="s">
        <v>7597</v>
      </c>
      <c r="C1434" t="s">
        <v>7666</v>
      </c>
      <c r="D1434" t="s">
        <v>10</v>
      </c>
      <c r="E1434" t="s">
        <v>16</v>
      </c>
      <c r="F1434">
        <v>2</v>
      </c>
    </row>
    <row r="1435" spans="1:6" x14ac:dyDescent="0.2">
      <c r="A1435" t="s">
        <v>4196</v>
      </c>
      <c r="B1435" t="s">
        <v>7805</v>
      </c>
      <c r="C1435" t="s">
        <v>7807</v>
      </c>
      <c r="D1435" t="s">
        <v>10</v>
      </c>
      <c r="E1435" t="s">
        <v>16</v>
      </c>
      <c r="F1435">
        <v>1</v>
      </c>
    </row>
    <row r="1436" spans="1:6" x14ac:dyDescent="0.2">
      <c r="A1436" t="s">
        <v>7528</v>
      </c>
      <c r="B1436" t="s">
        <v>7525</v>
      </c>
      <c r="C1436" t="s">
        <v>7533</v>
      </c>
      <c r="D1436" t="s">
        <v>10</v>
      </c>
      <c r="E1436" t="s">
        <v>16</v>
      </c>
      <c r="F1436">
        <v>1</v>
      </c>
    </row>
    <row r="1437" spans="1:6" x14ac:dyDescent="0.2">
      <c r="A1437" t="s">
        <v>736</v>
      </c>
      <c r="B1437" t="s">
        <v>733</v>
      </c>
      <c r="C1437" t="s">
        <v>737</v>
      </c>
      <c r="D1437" t="s">
        <v>10</v>
      </c>
      <c r="E1437" t="s">
        <v>16</v>
      </c>
      <c r="F1437">
        <v>1</v>
      </c>
    </row>
    <row r="1438" spans="1:6" x14ac:dyDescent="0.2">
      <c r="A1438" t="s">
        <v>7649</v>
      </c>
      <c r="B1438" t="s">
        <v>7597</v>
      </c>
      <c r="C1438" t="s">
        <v>7667</v>
      </c>
      <c r="D1438" t="s">
        <v>10</v>
      </c>
      <c r="E1438" t="s">
        <v>16</v>
      </c>
      <c r="F1438">
        <v>2</v>
      </c>
    </row>
    <row r="1439" spans="1:6" x14ac:dyDescent="0.2">
      <c r="A1439" t="s">
        <v>6633</v>
      </c>
      <c r="B1439" t="s">
        <v>6619</v>
      </c>
      <c r="C1439" t="s">
        <v>6632</v>
      </c>
      <c r="D1439" t="s">
        <v>10</v>
      </c>
      <c r="E1439" t="s">
        <v>11</v>
      </c>
      <c r="F1439">
        <v>2</v>
      </c>
    </row>
    <row r="1440" spans="1:6" x14ac:dyDescent="0.2">
      <c r="A1440" t="s">
        <v>203</v>
      </c>
      <c r="B1440" t="s">
        <v>198</v>
      </c>
      <c r="C1440" t="s">
        <v>219</v>
      </c>
      <c r="D1440" t="s">
        <v>10</v>
      </c>
      <c r="E1440" t="s">
        <v>11</v>
      </c>
      <c r="F1440">
        <v>1</v>
      </c>
    </row>
    <row r="1441" spans="1:6" x14ac:dyDescent="0.2">
      <c r="A1441" t="s">
        <v>6646</v>
      </c>
      <c r="B1441" t="s">
        <v>6645</v>
      </c>
      <c r="C1441" t="s">
        <v>12090</v>
      </c>
      <c r="D1441" t="s">
        <v>10</v>
      </c>
      <c r="E1441" t="s">
        <v>16</v>
      </c>
      <c r="F1441">
        <v>2</v>
      </c>
    </row>
    <row r="1442" spans="1:6" x14ac:dyDescent="0.2">
      <c r="A1442" t="s">
        <v>6646</v>
      </c>
      <c r="B1442" t="s">
        <v>7597</v>
      </c>
      <c r="C1442" t="s">
        <v>7670</v>
      </c>
      <c r="D1442" t="s">
        <v>10</v>
      </c>
      <c r="E1442" t="s">
        <v>16</v>
      </c>
      <c r="F1442">
        <v>2</v>
      </c>
    </row>
    <row r="1443" spans="1:6" x14ac:dyDescent="0.2">
      <c r="A1443" t="s">
        <v>1729</v>
      </c>
      <c r="B1443" t="s">
        <v>1727</v>
      </c>
      <c r="C1443" t="s">
        <v>1728</v>
      </c>
      <c r="D1443" t="s">
        <v>10</v>
      </c>
      <c r="E1443" t="s">
        <v>16</v>
      </c>
      <c r="F1443">
        <v>1</v>
      </c>
    </row>
    <row r="1444" spans="1:6" x14ac:dyDescent="0.2">
      <c r="A1444" t="s">
        <v>7638</v>
      </c>
      <c r="B1444" t="s">
        <v>7597</v>
      </c>
      <c r="C1444" t="s">
        <v>7675</v>
      </c>
      <c r="D1444" t="s">
        <v>10</v>
      </c>
      <c r="E1444" t="s">
        <v>52</v>
      </c>
      <c r="F1444">
        <v>4</v>
      </c>
    </row>
    <row r="1445" spans="1:6" x14ac:dyDescent="0.2">
      <c r="A1445" t="s">
        <v>7535</v>
      </c>
      <c r="B1445" t="s">
        <v>7525</v>
      </c>
      <c r="C1445" t="s">
        <v>7534</v>
      </c>
      <c r="D1445" t="s">
        <v>10</v>
      </c>
      <c r="E1445" t="s">
        <v>16</v>
      </c>
      <c r="F1445">
        <v>2</v>
      </c>
    </row>
    <row r="1446" spans="1:6" x14ac:dyDescent="0.2">
      <c r="A1446" t="s">
        <v>211</v>
      </c>
      <c r="B1446" t="s">
        <v>198</v>
      </c>
      <c r="C1446" t="s">
        <v>212</v>
      </c>
      <c r="D1446" t="s">
        <v>10</v>
      </c>
      <c r="E1446" t="s">
        <v>11</v>
      </c>
      <c r="F1446">
        <v>1</v>
      </c>
    </row>
    <row r="1447" spans="1:6" x14ac:dyDescent="0.2">
      <c r="A1447" t="s">
        <v>7654</v>
      </c>
      <c r="B1447" t="s">
        <v>7597</v>
      </c>
      <c r="C1447" t="s">
        <v>7699</v>
      </c>
      <c r="D1447" t="s">
        <v>10</v>
      </c>
      <c r="E1447" t="s">
        <v>11</v>
      </c>
      <c r="F1447">
        <v>4</v>
      </c>
    </row>
    <row r="1448" spans="1:6" x14ac:dyDescent="0.2">
      <c r="A1448" t="s">
        <v>7652</v>
      </c>
      <c r="B1448" t="s">
        <v>7597</v>
      </c>
      <c r="C1448" t="s">
        <v>7698</v>
      </c>
      <c r="D1448" t="s">
        <v>10</v>
      </c>
      <c r="E1448" t="s">
        <v>11</v>
      </c>
      <c r="F1448">
        <v>4</v>
      </c>
    </row>
    <row r="1449" spans="1:6" x14ac:dyDescent="0.2">
      <c r="A1449" t="s">
        <v>6647</v>
      </c>
      <c r="B1449" t="s">
        <v>7597</v>
      </c>
      <c r="C1449" t="s">
        <v>3373</v>
      </c>
      <c r="D1449" t="s">
        <v>10</v>
      </c>
      <c r="E1449" t="s">
        <v>16</v>
      </c>
      <c r="F1449">
        <v>2</v>
      </c>
    </row>
    <row r="1450" spans="1:6" x14ac:dyDescent="0.2">
      <c r="A1450" t="s">
        <v>7510</v>
      </c>
      <c r="B1450" t="s">
        <v>7508</v>
      </c>
      <c r="C1450" t="s">
        <v>7509</v>
      </c>
      <c r="D1450" t="s">
        <v>10</v>
      </c>
      <c r="E1450" t="s">
        <v>16</v>
      </c>
      <c r="F1450">
        <v>1</v>
      </c>
    </row>
    <row r="1451" spans="1:6" x14ac:dyDescent="0.2">
      <c r="A1451" t="s">
        <v>201</v>
      </c>
      <c r="B1451" t="s">
        <v>198</v>
      </c>
      <c r="C1451" t="s">
        <v>213</v>
      </c>
      <c r="D1451" t="s">
        <v>10</v>
      </c>
      <c r="E1451" t="s">
        <v>11</v>
      </c>
      <c r="F1451">
        <v>1</v>
      </c>
    </row>
    <row r="1452" spans="1:6" x14ac:dyDescent="0.2">
      <c r="A1452" t="s">
        <v>3855</v>
      </c>
      <c r="B1452" t="s">
        <v>3853</v>
      </c>
      <c r="C1452" t="s">
        <v>3854</v>
      </c>
      <c r="D1452" t="s">
        <v>29</v>
      </c>
      <c r="E1452" t="s">
        <v>16</v>
      </c>
      <c r="F1452">
        <v>2</v>
      </c>
    </row>
    <row r="1453" spans="1:6" x14ac:dyDescent="0.2">
      <c r="A1453" t="s">
        <v>8852</v>
      </c>
      <c r="B1453" t="s">
        <v>8849</v>
      </c>
      <c r="C1453" t="s">
        <v>8851</v>
      </c>
      <c r="D1453" t="s">
        <v>10</v>
      </c>
      <c r="E1453" t="s">
        <v>16</v>
      </c>
      <c r="F1453">
        <v>1</v>
      </c>
    </row>
    <row r="1454" spans="1:6" x14ac:dyDescent="0.2">
      <c r="A1454" t="s">
        <v>1262</v>
      </c>
      <c r="B1454" t="s">
        <v>7525</v>
      </c>
      <c r="C1454" t="s">
        <v>1261</v>
      </c>
      <c r="D1454" t="s">
        <v>10</v>
      </c>
      <c r="E1454" t="s">
        <v>52</v>
      </c>
      <c r="F1454">
        <v>2</v>
      </c>
    </row>
    <row r="1455" spans="1:6" x14ac:dyDescent="0.2">
      <c r="A1455" t="s">
        <v>11008</v>
      </c>
      <c r="B1455" t="s">
        <v>10998</v>
      </c>
      <c r="C1455" t="s">
        <v>11007</v>
      </c>
      <c r="D1455" t="s">
        <v>10</v>
      </c>
      <c r="E1455" t="s">
        <v>16</v>
      </c>
      <c r="F1455">
        <v>1</v>
      </c>
    </row>
    <row r="1456" spans="1:6" x14ac:dyDescent="0.2">
      <c r="A1456" t="s">
        <v>215</v>
      </c>
      <c r="B1456" t="s">
        <v>198</v>
      </c>
      <c r="C1456" t="s">
        <v>214</v>
      </c>
      <c r="D1456" t="s">
        <v>10</v>
      </c>
      <c r="E1456" t="s">
        <v>11</v>
      </c>
      <c r="F1456">
        <v>1</v>
      </c>
    </row>
    <row r="1457" spans="1:6" x14ac:dyDescent="0.2">
      <c r="A1457" t="s">
        <v>757</v>
      </c>
      <c r="B1457" t="s">
        <v>755</v>
      </c>
      <c r="C1457" t="s">
        <v>756</v>
      </c>
      <c r="D1457" t="s">
        <v>29</v>
      </c>
      <c r="E1457" t="s">
        <v>16</v>
      </c>
      <c r="F1457">
        <v>2</v>
      </c>
    </row>
    <row r="1458" spans="1:6" x14ac:dyDescent="0.2">
      <c r="A1458" t="s">
        <v>205</v>
      </c>
      <c r="B1458" t="s">
        <v>198</v>
      </c>
      <c r="C1458" t="s">
        <v>216</v>
      </c>
      <c r="D1458" t="s">
        <v>10</v>
      </c>
      <c r="E1458" t="s">
        <v>16</v>
      </c>
      <c r="F1458">
        <v>1</v>
      </c>
    </row>
    <row r="1459" spans="1:6" x14ac:dyDescent="0.2">
      <c r="A1459" t="s">
        <v>7538</v>
      </c>
      <c r="B1459" t="s">
        <v>7525</v>
      </c>
      <c r="C1459" t="s">
        <v>7537</v>
      </c>
      <c r="D1459" t="s">
        <v>10</v>
      </c>
      <c r="E1459" t="s">
        <v>52</v>
      </c>
      <c r="F1459">
        <v>2</v>
      </c>
    </row>
    <row r="1460" spans="1:6" x14ac:dyDescent="0.2">
      <c r="A1460" t="s">
        <v>11550</v>
      </c>
      <c r="B1460" t="s">
        <v>11548</v>
      </c>
      <c r="C1460" t="s">
        <v>11551</v>
      </c>
      <c r="D1460" t="s">
        <v>10</v>
      </c>
      <c r="E1460" t="s">
        <v>16</v>
      </c>
      <c r="F1460">
        <v>1</v>
      </c>
    </row>
    <row r="1461" spans="1:6" x14ac:dyDescent="0.2">
      <c r="A1461" t="s">
        <v>7843</v>
      </c>
      <c r="B1461" t="s">
        <v>7842</v>
      </c>
      <c r="C1461" t="s">
        <v>12091</v>
      </c>
      <c r="D1461" t="s">
        <v>10</v>
      </c>
      <c r="E1461" t="s">
        <v>16</v>
      </c>
      <c r="F1461">
        <v>1</v>
      </c>
    </row>
    <row r="1462" spans="1:6" x14ac:dyDescent="0.2">
      <c r="A1462" t="s">
        <v>157</v>
      </c>
      <c r="B1462" t="s">
        <v>148</v>
      </c>
      <c r="C1462" t="s">
        <v>156</v>
      </c>
      <c r="D1462" t="s">
        <v>10</v>
      </c>
      <c r="E1462" t="s">
        <v>52</v>
      </c>
      <c r="F1462">
        <v>1</v>
      </c>
    </row>
    <row r="1463" spans="1:6" x14ac:dyDescent="0.2">
      <c r="A1463" t="s">
        <v>7408</v>
      </c>
      <c r="B1463" t="s">
        <v>7402</v>
      </c>
      <c r="C1463" t="s">
        <v>7407</v>
      </c>
      <c r="D1463" t="s">
        <v>29</v>
      </c>
      <c r="E1463" t="s">
        <v>16</v>
      </c>
      <c r="F1463">
        <v>1</v>
      </c>
    </row>
    <row r="1464" spans="1:6" x14ac:dyDescent="0.2">
      <c r="A1464" t="s">
        <v>7403</v>
      </c>
      <c r="B1464" t="s">
        <v>7402</v>
      </c>
      <c r="C1464" t="s">
        <v>7405</v>
      </c>
      <c r="D1464" t="s">
        <v>29</v>
      </c>
      <c r="E1464" t="s">
        <v>16</v>
      </c>
      <c r="F1464">
        <v>1</v>
      </c>
    </row>
    <row r="1465" spans="1:6" x14ac:dyDescent="0.2">
      <c r="A1465" t="s">
        <v>150</v>
      </c>
      <c r="B1465" t="s">
        <v>148</v>
      </c>
      <c r="C1465" t="s">
        <v>149</v>
      </c>
      <c r="D1465" t="s">
        <v>10</v>
      </c>
      <c r="E1465" t="s">
        <v>16</v>
      </c>
      <c r="F1465">
        <v>1</v>
      </c>
    </row>
    <row r="1466" spans="1:6" x14ac:dyDescent="0.2">
      <c r="A1466" t="s">
        <v>176</v>
      </c>
      <c r="B1466" t="s">
        <v>148</v>
      </c>
      <c r="C1466" t="s">
        <v>175</v>
      </c>
      <c r="D1466" t="s">
        <v>10</v>
      </c>
      <c r="E1466" t="s">
        <v>52</v>
      </c>
      <c r="F1466">
        <v>1</v>
      </c>
    </row>
    <row r="1467" spans="1:6" x14ac:dyDescent="0.2">
      <c r="A1467" t="s">
        <v>759</v>
      </c>
      <c r="B1467" t="s">
        <v>755</v>
      </c>
      <c r="C1467" t="s">
        <v>758</v>
      </c>
      <c r="D1467" t="s">
        <v>29</v>
      </c>
      <c r="E1467" t="s">
        <v>16</v>
      </c>
      <c r="F1467">
        <v>2</v>
      </c>
    </row>
    <row r="1468" spans="1:6" x14ac:dyDescent="0.2">
      <c r="A1468" t="s">
        <v>7482</v>
      </c>
      <c r="B1468" t="s">
        <v>7480</v>
      </c>
      <c r="C1468" t="s">
        <v>7481</v>
      </c>
      <c r="D1468" t="s">
        <v>10</v>
      </c>
      <c r="E1468" t="s">
        <v>16</v>
      </c>
      <c r="F1468">
        <v>1</v>
      </c>
    </row>
    <row r="1469" spans="1:6" x14ac:dyDescent="0.2">
      <c r="A1469" t="s">
        <v>7467</v>
      </c>
      <c r="B1469" t="s">
        <v>7465</v>
      </c>
      <c r="C1469" t="s">
        <v>7466</v>
      </c>
      <c r="D1469" t="s">
        <v>10</v>
      </c>
      <c r="E1469" t="s">
        <v>1080</v>
      </c>
      <c r="F1469">
        <v>1</v>
      </c>
    </row>
    <row r="1470" spans="1:6" x14ac:dyDescent="0.2">
      <c r="A1470" t="s">
        <v>7479</v>
      </c>
      <c r="B1470" t="s">
        <v>7477</v>
      </c>
      <c r="C1470" t="s">
        <v>7478</v>
      </c>
      <c r="D1470" t="s">
        <v>10</v>
      </c>
      <c r="E1470" t="s">
        <v>16</v>
      </c>
      <c r="F1470">
        <v>1</v>
      </c>
    </row>
    <row r="1471" spans="1:6" x14ac:dyDescent="0.2">
      <c r="A1471" t="s">
        <v>498</v>
      </c>
      <c r="B1471" t="s">
        <v>496</v>
      </c>
      <c r="C1471" t="s">
        <v>497</v>
      </c>
      <c r="D1471" t="s">
        <v>10</v>
      </c>
      <c r="E1471" t="s">
        <v>16</v>
      </c>
      <c r="F1471">
        <v>1</v>
      </c>
    </row>
    <row r="1472" spans="1:6" x14ac:dyDescent="0.2">
      <c r="A1472" t="s">
        <v>647</v>
      </c>
      <c r="B1472" t="s">
        <v>587</v>
      </c>
      <c r="C1472" t="s">
        <v>654</v>
      </c>
      <c r="D1472" t="s">
        <v>56</v>
      </c>
      <c r="E1472" t="s">
        <v>52</v>
      </c>
      <c r="F1472">
        <v>1</v>
      </c>
    </row>
    <row r="1473" spans="1:6" x14ac:dyDescent="0.2">
      <c r="A1473" t="s">
        <v>2049</v>
      </c>
      <c r="B1473" t="s">
        <v>2038</v>
      </c>
      <c r="C1473" t="s">
        <v>2055</v>
      </c>
      <c r="D1473" t="s">
        <v>10</v>
      </c>
      <c r="E1473" t="s">
        <v>16</v>
      </c>
      <c r="F1473">
        <v>4</v>
      </c>
    </row>
    <row r="1474" spans="1:6" x14ac:dyDescent="0.2">
      <c r="A1474" t="s">
        <v>5546</v>
      </c>
      <c r="B1474" t="s">
        <v>5544</v>
      </c>
      <c r="C1474" t="s">
        <v>5545</v>
      </c>
      <c r="D1474" t="s">
        <v>10</v>
      </c>
      <c r="E1474" t="s">
        <v>11</v>
      </c>
      <c r="F1474">
        <v>1</v>
      </c>
    </row>
    <row r="1475" spans="1:6" x14ac:dyDescent="0.2">
      <c r="A1475" t="s">
        <v>8716</v>
      </c>
      <c r="B1475" t="s">
        <v>8713</v>
      </c>
      <c r="C1475" t="s">
        <v>8715</v>
      </c>
      <c r="D1475" t="s">
        <v>10</v>
      </c>
      <c r="E1475" t="s">
        <v>16</v>
      </c>
      <c r="F1475">
        <v>1</v>
      </c>
    </row>
    <row r="1476" spans="1:6" x14ac:dyDescent="0.2">
      <c r="A1476" t="s">
        <v>11542</v>
      </c>
      <c r="B1476" t="s">
        <v>11536</v>
      </c>
      <c r="C1476" t="s">
        <v>11545</v>
      </c>
      <c r="D1476" t="s">
        <v>10</v>
      </c>
      <c r="E1476" t="s">
        <v>16</v>
      </c>
      <c r="F1476">
        <v>1</v>
      </c>
    </row>
    <row r="1477" spans="1:6" x14ac:dyDescent="0.2">
      <c r="A1477" t="s">
        <v>7568</v>
      </c>
      <c r="B1477" t="s">
        <v>9735</v>
      </c>
      <c r="C1477" t="s">
        <v>7567</v>
      </c>
      <c r="D1477" t="s">
        <v>10</v>
      </c>
      <c r="E1477" t="s">
        <v>16</v>
      </c>
      <c r="F1477">
        <v>1</v>
      </c>
    </row>
    <row r="1478" spans="1:6" x14ac:dyDescent="0.2">
      <c r="A1478" t="s">
        <v>100</v>
      </c>
      <c r="B1478" t="s">
        <v>98</v>
      </c>
      <c r="C1478" t="s">
        <v>99</v>
      </c>
      <c r="D1478" t="s">
        <v>10</v>
      </c>
      <c r="E1478" t="s">
        <v>11</v>
      </c>
      <c r="F1478">
        <v>1</v>
      </c>
    </row>
    <row r="1479" spans="1:6" x14ac:dyDescent="0.2">
      <c r="A1479" t="s">
        <v>7389</v>
      </c>
      <c r="B1479" t="s">
        <v>7387</v>
      </c>
      <c r="C1479" t="s">
        <v>7390</v>
      </c>
      <c r="D1479" t="s">
        <v>10</v>
      </c>
      <c r="E1479" t="s">
        <v>16</v>
      </c>
      <c r="F1479">
        <v>1</v>
      </c>
    </row>
    <row r="1480" spans="1:6" x14ac:dyDescent="0.2">
      <c r="A1480" t="s">
        <v>6578</v>
      </c>
      <c r="B1480" t="s">
        <v>6538</v>
      </c>
      <c r="C1480" t="s">
        <v>6578</v>
      </c>
      <c r="D1480" t="s">
        <v>56</v>
      </c>
      <c r="E1480" t="s">
        <v>52</v>
      </c>
      <c r="F1480">
        <v>2</v>
      </c>
    </row>
    <row r="1481" spans="1:6" x14ac:dyDescent="0.2">
      <c r="A1481" t="s">
        <v>7393</v>
      </c>
      <c r="B1481" t="s">
        <v>7387</v>
      </c>
      <c r="C1481" t="s">
        <v>7392</v>
      </c>
      <c r="D1481" t="s">
        <v>10</v>
      </c>
      <c r="E1481" t="s">
        <v>16</v>
      </c>
      <c r="F1481">
        <v>1</v>
      </c>
    </row>
    <row r="1482" spans="1:6" x14ac:dyDescent="0.2">
      <c r="A1482" t="s">
        <v>7462</v>
      </c>
      <c r="B1482" t="s">
        <v>7434</v>
      </c>
      <c r="C1482" t="s">
        <v>7461</v>
      </c>
      <c r="D1482" t="s">
        <v>10</v>
      </c>
      <c r="E1482" t="s">
        <v>16</v>
      </c>
      <c r="F1482">
        <v>1</v>
      </c>
    </row>
    <row r="1483" spans="1:6" x14ac:dyDescent="0.2">
      <c r="A1483" t="s">
        <v>9017</v>
      </c>
      <c r="B1483" t="s">
        <v>9015</v>
      </c>
      <c r="C1483" t="s">
        <v>9016</v>
      </c>
      <c r="D1483" t="s">
        <v>10</v>
      </c>
      <c r="E1483" t="s">
        <v>16</v>
      </c>
      <c r="F1483">
        <v>1</v>
      </c>
    </row>
    <row r="1484" spans="1:6" x14ac:dyDescent="0.2">
      <c r="A1484" t="s">
        <v>3938</v>
      </c>
      <c r="B1484" t="s">
        <v>3936</v>
      </c>
      <c r="C1484" t="s">
        <v>3937</v>
      </c>
      <c r="D1484" t="s">
        <v>10</v>
      </c>
      <c r="E1484" t="s">
        <v>11</v>
      </c>
      <c r="F1484">
        <v>2</v>
      </c>
    </row>
    <row r="1485" spans="1:6" x14ac:dyDescent="0.2">
      <c r="A1485" t="s">
        <v>7458</v>
      </c>
      <c r="B1485" t="s">
        <v>7434</v>
      </c>
      <c r="C1485" t="s">
        <v>7457</v>
      </c>
      <c r="D1485" t="s">
        <v>10</v>
      </c>
      <c r="E1485" t="s">
        <v>16</v>
      </c>
      <c r="F1485">
        <v>1</v>
      </c>
    </row>
    <row r="1486" spans="1:6" x14ac:dyDescent="0.2">
      <c r="A1486" t="s">
        <v>11188</v>
      </c>
      <c r="B1486" t="s">
        <v>11186</v>
      </c>
      <c r="C1486" t="s">
        <v>11187</v>
      </c>
      <c r="D1486" t="s">
        <v>10</v>
      </c>
      <c r="E1486" t="s">
        <v>16</v>
      </c>
      <c r="F1486">
        <v>1</v>
      </c>
    </row>
    <row r="1487" spans="1:6" x14ac:dyDescent="0.2">
      <c r="A1487" t="s">
        <v>10005</v>
      </c>
      <c r="B1487" t="s">
        <v>9999</v>
      </c>
      <c r="C1487" t="s">
        <v>10004</v>
      </c>
      <c r="D1487" t="s">
        <v>10</v>
      </c>
      <c r="E1487" t="s">
        <v>16</v>
      </c>
      <c r="F1487">
        <v>1</v>
      </c>
    </row>
    <row r="1488" spans="1:6" x14ac:dyDescent="0.2">
      <c r="A1488" t="s">
        <v>7552</v>
      </c>
      <c r="B1488" t="s">
        <v>7551</v>
      </c>
      <c r="C1488" t="s">
        <v>7553</v>
      </c>
      <c r="D1488" t="s">
        <v>10</v>
      </c>
      <c r="E1488" t="s">
        <v>16</v>
      </c>
      <c r="F1488">
        <v>1</v>
      </c>
    </row>
    <row r="1489" spans="1:6" x14ac:dyDescent="0.2">
      <c r="A1489" t="s">
        <v>7556</v>
      </c>
      <c r="B1489" t="s">
        <v>7554</v>
      </c>
      <c r="C1489" t="s">
        <v>7555</v>
      </c>
      <c r="D1489" t="s">
        <v>10</v>
      </c>
      <c r="E1489" t="s">
        <v>16</v>
      </c>
      <c r="F1489">
        <v>1</v>
      </c>
    </row>
    <row r="1490" spans="1:6" x14ac:dyDescent="0.2">
      <c r="A1490" t="s">
        <v>5998</v>
      </c>
      <c r="B1490" t="s">
        <v>5996</v>
      </c>
      <c r="C1490" t="s">
        <v>5997</v>
      </c>
      <c r="D1490" t="s">
        <v>10</v>
      </c>
      <c r="E1490" t="s">
        <v>16</v>
      </c>
      <c r="F1490">
        <v>1</v>
      </c>
    </row>
    <row r="1491" spans="1:6" x14ac:dyDescent="0.2">
      <c r="A1491" t="s">
        <v>7495</v>
      </c>
      <c r="B1491" t="s">
        <v>7494</v>
      </c>
      <c r="C1491" t="s">
        <v>12092</v>
      </c>
      <c r="D1491" t="s">
        <v>10</v>
      </c>
      <c r="E1491" t="s">
        <v>11</v>
      </c>
      <c r="F1491">
        <v>2</v>
      </c>
    </row>
    <row r="1492" spans="1:6" x14ac:dyDescent="0.2">
      <c r="A1492" t="s">
        <v>5834</v>
      </c>
      <c r="B1492" t="s">
        <v>7494</v>
      </c>
      <c r="C1492" t="s">
        <v>12093</v>
      </c>
      <c r="D1492" t="s">
        <v>10</v>
      </c>
      <c r="E1492" t="s">
        <v>11</v>
      </c>
      <c r="F1492">
        <v>2</v>
      </c>
    </row>
    <row r="1493" spans="1:6" x14ac:dyDescent="0.2">
      <c r="A1493" t="s">
        <v>5835</v>
      </c>
      <c r="B1493" t="s">
        <v>7494</v>
      </c>
      <c r="C1493" t="s">
        <v>12094</v>
      </c>
      <c r="D1493" t="s">
        <v>10</v>
      </c>
      <c r="E1493" t="s">
        <v>11</v>
      </c>
      <c r="F1493">
        <v>2</v>
      </c>
    </row>
    <row r="1494" spans="1:6" x14ac:dyDescent="0.2">
      <c r="A1494" t="s">
        <v>5836</v>
      </c>
      <c r="B1494" t="s">
        <v>5833</v>
      </c>
      <c r="C1494" t="s">
        <v>12095</v>
      </c>
      <c r="D1494" t="s">
        <v>10</v>
      </c>
      <c r="E1494" t="s">
        <v>11</v>
      </c>
      <c r="F1494">
        <v>2</v>
      </c>
    </row>
    <row r="1495" spans="1:6" x14ac:dyDescent="0.2">
      <c r="A1495" t="s">
        <v>5837</v>
      </c>
      <c r="B1495" t="s">
        <v>7496</v>
      </c>
      <c r="C1495" t="s">
        <v>12096</v>
      </c>
      <c r="D1495" t="s">
        <v>10</v>
      </c>
      <c r="E1495" t="s">
        <v>11</v>
      </c>
      <c r="F1495">
        <v>2</v>
      </c>
    </row>
    <row r="1496" spans="1:6" x14ac:dyDescent="0.2">
      <c r="A1496" t="s">
        <v>5838</v>
      </c>
      <c r="B1496" t="s">
        <v>7496</v>
      </c>
      <c r="C1496" t="s">
        <v>12097</v>
      </c>
      <c r="D1496" t="s">
        <v>10</v>
      </c>
      <c r="E1496" t="s">
        <v>11</v>
      </c>
      <c r="F1496">
        <v>2</v>
      </c>
    </row>
    <row r="1497" spans="1:6" x14ac:dyDescent="0.2">
      <c r="A1497" t="s">
        <v>7497</v>
      </c>
      <c r="B1497" t="s">
        <v>7496</v>
      </c>
      <c r="C1497" t="s">
        <v>12067</v>
      </c>
      <c r="D1497" t="s">
        <v>10</v>
      </c>
      <c r="E1497" t="s">
        <v>11</v>
      </c>
      <c r="F1497">
        <v>2</v>
      </c>
    </row>
    <row r="1498" spans="1:6" x14ac:dyDescent="0.2">
      <c r="A1498" t="s">
        <v>7498</v>
      </c>
      <c r="B1498" t="s">
        <v>7496</v>
      </c>
      <c r="C1498" t="s">
        <v>12098</v>
      </c>
      <c r="D1498" t="s">
        <v>10</v>
      </c>
      <c r="E1498" t="s">
        <v>11</v>
      </c>
      <c r="F1498">
        <v>2</v>
      </c>
    </row>
    <row r="1499" spans="1:6" x14ac:dyDescent="0.2">
      <c r="A1499" t="s">
        <v>5839</v>
      </c>
      <c r="B1499" t="s">
        <v>7496</v>
      </c>
      <c r="C1499" t="s">
        <v>12099</v>
      </c>
      <c r="D1499" t="s">
        <v>10</v>
      </c>
      <c r="E1499" t="s">
        <v>11</v>
      </c>
      <c r="F1499">
        <v>2</v>
      </c>
    </row>
    <row r="1500" spans="1:6" x14ac:dyDescent="0.2">
      <c r="A1500" t="s">
        <v>7499</v>
      </c>
      <c r="B1500" t="s">
        <v>7496</v>
      </c>
      <c r="C1500" t="s">
        <v>12083</v>
      </c>
      <c r="D1500" t="s">
        <v>10</v>
      </c>
      <c r="E1500" t="s">
        <v>11</v>
      </c>
      <c r="F1500">
        <v>2</v>
      </c>
    </row>
    <row r="1501" spans="1:6" x14ac:dyDescent="0.2">
      <c r="A1501" t="s">
        <v>7502</v>
      </c>
      <c r="B1501" t="s">
        <v>7496</v>
      </c>
      <c r="C1501" t="s">
        <v>12084</v>
      </c>
      <c r="D1501" t="s">
        <v>10</v>
      </c>
      <c r="E1501" t="s">
        <v>11</v>
      </c>
      <c r="F1501">
        <v>2</v>
      </c>
    </row>
    <row r="1502" spans="1:6" x14ac:dyDescent="0.2">
      <c r="A1502" t="s">
        <v>7503</v>
      </c>
      <c r="B1502" t="s">
        <v>7496</v>
      </c>
      <c r="C1502" t="s">
        <v>12100</v>
      </c>
      <c r="D1502" t="s">
        <v>10</v>
      </c>
      <c r="E1502" t="s">
        <v>11</v>
      </c>
      <c r="F1502">
        <v>2</v>
      </c>
    </row>
    <row r="1503" spans="1:6" x14ac:dyDescent="0.2">
      <c r="A1503" t="s">
        <v>7504</v>
      </c>
      <c r="B1503" t="s">
        <v>7496</v>
      </c>
      <c r="C1503" t="s">
        <v>12101</v>
      </c>
      <c r="D1503" t="s">
        <v>10</v>
      </c>
      <c r="E1503" t="s">
        <v>11</v>
      </c>
      <c r="F1503">
        <v>2</v>
      </c>
    </row>
    <row r="1504" spans="1:6" x14ac:dyDescent="0.2">
      <c r="A1504" t="s">
        <v>7397</v>
      </c>
      <c r="B1504" t="s">
        <v>7395</v>
      </c>
      <c r="C1504" t="s">
        <v>7396</v>
      </c>
      <c r="D1504" t="s">
        <v>10</v>
      </c>
      <c r="E1504" t="s">
        <v>16</v>
      </c>
      <c r="F1504">
        <v>1</v>
      </c>
    </row>
    <row r="1505" spans="1:6" x14ac:dyDescent="0.2">
      <c r="A1505" t="s">
        <v>7399</v>
      </c>
      <c r="B1505" t="s">
        <v>7395</v>
      </c>
      <c r="C1505" t="s">
        <v>7398</v>
      </c>
      <c r="D1505" t="s">
        <v>10</v>
      </c>
      <c r="E1505" t="s">
        <v>16</v>
      </c>
      <c r="F1505">
        <v>1</v>
      </c>
    </row>
    <row r="1506" spans="1:6" x14ac:dyDescent="0.2">
      <c r="A1506" t="s">
        <v>7401</v>
      </c>
      <c r="B1506" t="s">
        <v>7395</v>
      </c>
      <c r="C1506" t="s">
        <v>7400</v>
      </c>
      <c r="D1506" t="s">
        <v>10</v>
      </c>
      <c r="E1506" t="s">
        <v>16</v>
      </c>
      <c r="F1506">
        <v>1</v>
      </c>
    </row>
    <row r="1507" spans="1:6" x14ac:dyDescent="0.2">
      <c r="A1507" t="s">
        <v>7799</v>
      </c>
      <c r="B1507" t="s">
        <v>7797</v>
      </c>
      <c r="C1507" t="s">
        <v>7801</v>
      </c>
      <c r="D1507" t="s">
        <v>10</v>
      </c>
      <c r="E1507" t="s">
        <v>16</v>
      </c>
      <c r="F1507">
        <v>1</v>
      </c>
    </row>
    <row r="1508" spans="1:6" x14ac:dyDescent="0.2">
      <c r="A1508" t="s">
        <v>7562</v>
      </c>
      <c r="B1508" t="s">
        <v>7560</v>
      </c>
      <c r="C1508" t="s">
        <v>7561</v>
      </c>
      <c r="D1508" t="s">
        <v>10</v>
      </c>
      <c r="E1508" t="s">
        <v>16</v>
      </c>
      <c r="F1508">
        <v>1</v>
      </c>
    </row>
    <row r="1509" spans="1:6" x14ac:dyDescent="0.2">
      <c r="A1509" t="s">
        <v>7803</v>
      </c>
      <c r="B1509" t="s">
        <v>7797</v>
      </c>
      <c r="C1509" t="s">
        <v>7802</v>
      </c>
      <c r="D1509" t="s">
        <v>10</v>
      </c>
      <c r="E1509" t="s">
        <v>16</v>
      </c>
      <c r="F1509">
        <v>1</v>
      </c>
    </row>
    <row r="1510" spans="1:6" x14ac:dyDescent="0.2">
      <c r="A1510" t="s">
        <v>3433</v>
      </c>
      <c r="B1510" t="s">
        <v>3431</v>
      </c>
      <c r="C1510" t="s">
        <v>3432</v>
      </c>
      <c r="D1510" t="s">
        <v>10</v>
      </c>
      <c r="E1510" t="s">
        <v>16</v>
      </c>
      <c r="F1510">
        <v>1</v>
      </c>
    </row>
    <row r="1511" spans="1:6" x14ac:dyDescent="0.2">
      <c r="A1511" t="s">
        <v>5446</v>
      </c>
      <c r="B1511" t="s">
        <v>5444</v>
      </c>
      <c r="C1511" t="s">
        <v>5447</v>
      </c>
      <c r="D1511" t="s">
        <v>10</v>
      </c>
      <c r="E1511" t="s">
        <v>16</v>
      </c>
      <c r="F1511">
        <v>1</v>
      </c>
    </row>
    <row r="1512" spans="1:6" x14ac:dyDescent="0.2">
      <c r="A1512" t="s">
        <v>5615</v>
      </c>
      <c r="B1512" t="s">
        <v>5613</v>
      </c>
      <c r="C1512" t="s">
        <v>5614</v>
      </c>
      <c r="D1512" t="s">
        <v>29</v>
      </c>
      <c r="E1512" t="s">
        <v>16</v>
      </c>
      <c r="F1512">
        <v>1</v>
      </c>
    </row>
    <row r="1513" spans="1:6" x14ac:dyDescent="0.2">
      <c r="A1513" t="s">
        <v>7439</v>
      </c>
      <c r="B1513" t="s">
        <v>7434</v>
      </c>
      <c r="C1513" t="s">
        <v>7438</v>
      </c>
      <c r="D1513" t="s">
        <v>10</v>
      </c>
      <c r="E1513" t="s">
        <v>16</v>
      </c>
      <c r="F1513">
        <v>1</v>
      </c>
    </row>
    <row r="1514" spans="1:6" x14ac:dyDescent="0.2">
      <c r="A1514" t="s">
        <v>7437</v>
      </c>
      <c r="B1514" t="s">
        <v>7434</v>
      </c>
      <c r="C1514" t="s">
        <v>7436</v>
      </c>
      <c r="D1514" t="s">
        <v>10</v>
      </c>
      <c r="E1514" t="s">
        <v>16</v>
      </c>
      <c r="F1514">
        <v>1</v>
      </c>
    </row>
    <row r="1515" spans="1:6" x14ac:dyDescent="0.2">
      <c r="A1515" t="s">
        <v>7444</v>
      </c>
      <c r="B1515" t="s">
        <v>7434</v>
      </c>
      <c r="C1515" t="s">
        <v>7443</v>
      </c>
      <c r="D1515" t="s">
        <v>10</v>
      </c>
      <c r="E1515" t="s">
        <v>16</v>
      </c>
      <c r="F1515">
        <v>1</v>
      </c>
    </row>
    <row r="1516" spans="1:6" x14ac:dyDescent="0.2">
      <c r="A1516" t="s">
        <v>7446</v>
      </c>
      <c r="B1516" t="s">
        <v>7434</v>
      </c>
      <c r="C1516" t="s">
        <v>7445</v>
      </c>
      <c r="D1516" t="s">
        <v>10</v>
      </c>
      <c r="E1516" t="s">
        <v>52</v>
      </c>
      <c r="F1516">
        <v>1</v>
      </c>
    </row>
    <row r="1517" spans="1:6" x14ac:dyDescent="0.2">
      <c r="A1517" t="s">
        <v>7450</v>
      </c>
      <c r="B1517" t="s">
        <v>7434</v>
      </c>
      <c r="C1517" t="s">
        <v>7449</v>
      </c>
      <c r="D1517" t="s">
        <v>10</v>
      </c>
      <c r="E1517" t="s">
        <v>52</v>
      </c>
      <c r="F1517">
        <v>1</v>
      </c>
    </row>
    <row r="1518" spans="1:6" x14ac:dyDescent="0.2">
      <c r="A1518" t="s">
        <v>430</v>
      </c>
      <c r="B1518" t="s">
        <v>428</v>
      </c>
      <c r="C1518" t="s">
        <v>429</v>
      </c>
      <c r="D1518" t="s">
        <v>10</v>
      </c>
      <c r="E1518" t="s">
        <v>16</v>
      </c>
      <c r="F1518">
        <v>1</v>
      </c>
    </row>
    <row r="1519" spans="1:6" x14ac:dyDescent="0.2">
      <c r="A1519" t="s">
        <v>7818</v>
      </c>
      <c r="B1519" t="s">
        <v>7816</v>
      </c>
      <c r="C1519" t="s">
        <v>7819</v>
      </c>
      <c r="D1519" t="s">
        <v>10</v>
      </c>
      <c r="E1519" t="s">
        <v>16</v>
      </c>
      <c r="F1519">
        <v>1</v>
      </c>
    </row>
    <row r="1520" spans="1:6" x14ac:dyDescent="0.2">
      <c r="A1520" t="s">
        <v>7809</v>
      </c>
      <c r="B1520" t="s">
        <v>7808</v>
      </c>
      <c r="C1520" t="s">
        <v>7810</v>
      </c>
      <c r="D1520" t="s">
        <v>10</v>
      </c>
      <c r="E1520" t="s">
        <v>16</v>
      </c>
      <c r="F1520">
        <v>1</v>
      </c>
    </row>
    <row r="1521" spans="1:6" x14ac:dyDescent="0.2">
      <c r="A1521" t="s">
        <v>7596</v>
      </c>
      <c r="B1521" t="s">
        <v>7595</v>
      </c>
      <c r="C1521" t="s">
        <v>12102</v>
      </c>
      <c r="D1521" t="s">
        <v>56</v>
      </c>
      <c r="E1521" t="s">
        <v>52</v>
      </c>
      <c r="F1521">
        <v>1</v>
      </c>
    </row>
    <row r="1522" spans="1:6" x14ac:dyDescent="0.2">
      <c r="A1522" t="s">
        <v>4615</v>
      </c>
      <c r="B1522" t="s">
        <v>4609</v>
      </c>
      <c r="C1522" t="s">
        <v>4614</v>
      </c>
      <c r="D1522" t="s">
        <v>10</v>
      </c>
      <c r="E1522" t="s">
        <v>16</v>
      </c>
      <c r="F1522">
        <v>1</v>
      </c>
    </row>
    <row r="1523" spans="1:6" x14ac:dyDescent="0.2">
      <c r="A1523" t="s">
        <v>6361</v>
      </c>
      <c r="B1523" t="s">
        <v>6359</v>
      </c>
      <c r="C1523" t="s">
        <v>6360</v>
      </c>
      <c r="D1523" t="s">
        <v>10</v>
      </c>
      <c r="E1523" t="s">
        <v>16</v>
      </c>
      <c r="F1523">
        <v>1</v>
      </c>
    </row>
    <row r="1524" spans="1:6" x14ac:dyDescent="0.2">
      <c r="A1524" t="s">
        <v>4617</v>
      </c>
      <c r="B1524" t="s">
        <v>4609</v>
      </c>
      <c r="C1524" t="s">
        <v>4616</v>
      </c>
      <c r="D1524" t="s">
        <v>10</v>
      </c>
      <c r="E1524" t="s">
        <v>16</v>
      </c>
      <c r="F1524">
        <v>1</v>
      </c>
    </row>
    <row r="1525" spans="1:6" x14ac:dyDescent="0.2">
      <c r="A1525" t="s">
        <v>4617</v>
      </c>
      <c r="B1525" t="s">
        <v>9947</v>
      </c>
      <c r="C1525" t="s">
        <v>9948</v>
      </c>
      <c r="D1525" t="s">
        <v>10</v>
      </c>
      <c r="E1525" t="s">
        <v>16</v>
      </c>
      <c r="F1525">
        <v>1</v>
      </c>
    </row>
    <row r="1526" spans="1:6" x14ac:dyDescent="0.2">
      <c r="A1526" t="s">
        <v>9950</v>
      </c>
      <c r="B1526" t="s">
        <v>9947</v>
      </c>
      <c r="C1526" t="s">
        <v>9949</v>
      </c>
      <c r="D1526" t="s">
        <v>10</v>
      </c>
      <c r="E1526" t="s">
        <v>16</v>
      </c>
      <c r="F1526">
        <v>1</v>
      </c>
    </row>
    <row r="1527" spans="1:6" x14ac:dyDescent="0.2">
      <c r="A1527" t="s">
        <v>4324</v>
      </c>
      <c r="B1527" t="s">
        <v>4320</v>
      </c>
      <c r="C1527" t="s">
        <v>4323</v>
      </c>
      <c r="D1527" t="s">
        <v>10</v>
      </c>
      <c r="E1527" t="s">
        <v>16</v>
      </c>
      <c r="F1527">
        <v>1</v>
      </c>
    </row>
    <row r="1528" spans="1:6" x14ac:dyDescent="0.2">
      <c r="A1528" t="s">
        <v>2098</v>
      </c>
      <c r="B1528" t="s">
        <v>5208</v>
      </c>
      <c r="C1528" t="s">
        <v>1695</v>
      </c>
      <c r="D1528" t="s">
        <v>10</v>
      </c>
      <c r="E1528" t="s">
        <v>11</v>
      </c>
      <c r="F1528">
        <v>2</v>
      </c>
    </row>
    <row r="1529" spans="1:6" x14ac:dyDescent="0.2">
      <c r="A1529" t="s">
        <v>7825</v>
      </c>
      <c r="B1529" t="s">
        <v>7823</v>
      </c>
      <c r="C1529" t="s">
        <v>7824</v>
      </c>
      <c r="D1529" t="s">
        <v>10</v>
      </c>
      <c r="E1529" t="s">
        <v>16</v>
      </c>
      <c r="F1529">
        <v>1</v>
      </c>
    </row>
    <row r="1530" spans="1:6" x14ac:dyDescent="0.2">
      <c r="A1530" t="s">
        <v>7826</v>
      </c>
      <c r="B1530" t="s">
        <v>7823</v>
      </c>
      <c r="C1530" t="s">
        <v>756</v>
      </c>
      <c r="D1530" t="s">
        <v>10</v>
      </c>
      <c r="E1530" t="s">
        <v>16</v>
      </c>
      <c r="F1530">
        <v>1</v>
      </c>
    </row>
    <row r="1531" spans="1:6" x14ac:dyDescent="0.2">
      <c r="A1531" t="s">
        <v>7828</v>
      </c>
      <c r="B1531" t="s">
        <v>7823</v>
      </c>
      <c r="C1531" t="s">
        <v>7827</v>
      </c>
      <c r="D1531" t="s">
        <v>10</v>
      </c>
      <c r="E1531" t="s">
        <v>16</v>
      </c>
      <c r="F1531">
        <v>1</v>
      </c>
    </row>
    <row r="1532" spans="1:6" x14ac:dyDescent="0.2">
      <c r="A1532" t="s">
        <v>7830</v>
      </c>
      <c r="B1532" t="s">
        <v>7823</v>
      </c>
      <c r="C1532" t="s">
        <v>7829</v>
      </c>
      <c r="D1532" t="s">
        <v>10</v>
      </c>
      <c r="E1532" t="s">
        <v>16</v>
      </c>
      <c r="F1532">
        <v>1</v>
      </c>
    </row>
    <row r="1533" spans="1:6" x14ac:dyDescent="0.2">
      <c r="A1533" t="s">
        <v>7489</v>
      </c>
      <c r="B1533" t="s">
        <v>7485</v>
      </c>
      <c r="C1533" t="s">
        <v>7488</v>
      </c>
      <c r="D1533" t="s">
        <v>10</v>
      </c>
      <c r="E1533" t="s">
        <v>16</v>
      </c>
      <c r="F1533">
        <v>1</v>
      </c>
    </row>
    <row r="1534" spans="1:6" x14ac:dyDescent="0.2">
      <c r="A1534" t="s">
        <v>6655</v>
      </c>
      <c r="B1534" t="s">
        <v>6648</v>
      </c>
      <c r="C1534" t="s">
        <v>6654</v>
      </c>
      <c r="D1534" t="s">
        <v>10</v>
      </c>
      <c r="E1534" t="s">
        <v>16</v>
      </c>
      <c r="F1534">
        <v>1</v>
      </c>
    </row>
    <row r="1535" spans="1:6" x14ac:dyDescent="0.2">
      <c r="A1535" t="s">
        <v>6664</v>
      </c>
      <c r="B1535" t="s">
        <v>6648</v>
      </c>
      <c r="C1535" t="s">
        <v>6663</v>
      </c>
      <c r="D1535" t="s">
        <v>10</v>
      </c>
      <c r="E1535" t="s">
        <v>16</v>
      </c>
      <c r="F1535">
        <v>1</v>
      </c>
    </row>
    <row r="1536" spans="1:6" x14ac:dyDescent="0.2">
      <c r="A1536" t="s">
        <v>6650</v>
      </c>
      <c r="B1536" t="s">
        <v>6648</v>
      </c>
      <c r="C1536" t="s">
        <v>6649</v>
      </c>
      <c r="D1536" t="s">
        <v>10</v>
      </c>
      <c r="E1536" t="s">
        <v>16</v>
      </c>
      <c r="F1536">
        <v>1</v>
      </c>
    </row>
    <row r="1537" spans="1:6" x14ac:dyDescent="0.2">
      <c r="A1537" t="s">
        <v>7571</v>
      </c>
      <c r="B1537" t="s">
        <v>7569</v>
      </c>
      <c r="C1537" t="s">
        <v>7574</v>
      </c>
      <c r="D1537" t="s">
        <v>10</v>
      </c>
      <c r="E1537" t="s">
        <v>16</v>
      </c>
      <c r="F1537">
        <v>1</v>
      </c>
    </row>
    <row r="1538" spans="1:6" x14ac:dyDescent="0.2">
      <c r="A1538" t="s">
        <v>7573</v>
      </c>
      <c r="B1538" t="s">
        <v>7569</v>
      </c>
      <c r="C1538" t="s">
        <v>7575</v>
      </c>
      <c r="D1538" t="s">
        <v>10</v>
      </c>
      <c r="E1538" t="s">
        <v>16</v>
      </c>
      <c r="F1538">
        <v>1</v>
      </c>
    </row>
    <row r="1539" spans="1:6" x14ac:dyDescent="0.2">
      <c r="A1539" t="s">
        <v>5020</v>
      </c>
      <c r="B1539" t="s">
        <v>5018</v>
      </c>
      <c r="C1539" t="s">
        <v>5019</v>
      </c>
      <c r="D1539" t="s">
        <v>10</v>
      </c>
      <c r="E1539" t="s">
        <v>16</v>
      </c>
      <c r="F1539">
        <v>1</v>
      </c>
    </row>
    <row r="1540" spans="1:6" x14ac:dyDescent="0.2">
      <c r="A1540" t="s">
        <v>857</v>
      </c>
      <c r="B1540" t="s">
        <v>7520</v>
      </c>
      <c r="C1540" t="s">
        <v>859</v>
      </c>
      <c r="D1540" t="s">
        <v>56</v>
      </c>
      <c r="E1540" t="s">
        <v>52</v>
      </c>
      <c r="F1540">
        <v>2</v>
      </c>
    </row>
    <row r="1541" spans="1:6" x14ac:dyDescent="0.2">
      <c r="A1541" t="s">
        <v>8552</v>
      </c>
      <c r="B1541" t="s">
        <v>11835</v>
      </c>
      <c r="C1541" t="s">
        <v>8551</v>
      </c>
      <c r="D1541" t="s">
        <v>10</v>
      </c>
      <c r="E1541" t="s">
        <v>16</v>
      </c>
      <c r="F1541">
        <v>1</v>
      </c>
    </row>
    <row r="1542" spans="1:6" x14ac:dyDescent="0.2">
      <c r="A1542" t="s">
        <v>691</v>
      </c>
      <c r="B1542" t="s">
        <v>8291</v>
      </c>
      <c r="C1542" t="s">
        <v>8298</v>
      </c>
      <c r="D1542" t="s">
        <v>10</v>
      </c>
      <c r="E1542" t="s">
        <v>16</v>
      </c>
      <c r="F1542">
        <v>1</v>
      </c>
    </row>
    <row r="1543" spans="1:6" x14ac:dyDescent="0.2">
      <c r="A1543" t="s">
        <v>8501</v>
      </c>
      <c r="B1543" t="s">
        <v>8495</v>
      </c>
      <c r="C1543" t="s">
        <v>8508</v>
      </c>
      <c r="D1543" t="s">
        <v>10</v>
      </c>
      <c r="E1543" t="s">
        <v>52</v>
      </c>
      <c r="F1543">
        <v>1</v>
      </c>
    </row>
    <row r="1544" spans="1:6" x14ac:dyDescent="0.2">
      <c r="A1544" t="s">
        <v>7424</v>
      </c>
      <c r="B1544" t="s">
        <v>7422</v>
      </c>
      <c r="C1544" t="s">
        <v>7423</v>
      </c>
      <c r="D1544" t="s">
        <v>10</v>
      </c>
      <c r="E1544" t="s">
        <v>16</v>
      </c>
      <c r="F1544">
        <v>1</v>
      </c>
    </row>
    <row r="1545" spans="1:6" x14ac:dyDescent="0.2">
      <c r="A1545" t="s">
        <v>7430</v>
      </c>
      <c r="B1545" t="s">
        <v>7422</v>
      </c>
      <c r="C1545" t="s">
        <v>7429</v>
      </c>
      <c r="D1545" t="s">
        <v>10</v>
      </c>
      <c r="E1545" t="s">
        <v>16</v>
      </c>
      <c r="F1545">
        <v>1</v>
      </c>
    </row>
    <row r="1546" spans="1:6" x14ac:dyDescent="0.2">
      <c r="A1546" t="s">
        <v>8352</v>
      </c>
      <c r="B1546" t="s">
        <v>8291</v>
      </c>
      <c r="C1546" t="s">
        <v>8351</v>
      </c>
      <c r="D1546" t="s">
        <v>10</v>
      </c>
      <c r="E1546" t="s">
        <v>16</v>
      </c>
      <c r="F1546">
        <v>1</v>
      </c>
    </row>
    <row r="1547" spans="1:6" x14ac:dyDescent="0.2">
      <c r="A1547" t="s">
        <v>8350</v>
      </c>
      <c r="B1547" t="s">
        <v>8291</v>
      </c>
      <c r="C1547" t="s">
        <v>8349</v>
      </c>
      <c r="D1547" t="s">
        <v>10</v>
      </c>
      <c r="E1547" t="s">
        <v>16</v>
      </c>
      <c r="F1547">
        <v>1</v>
      </c>
    </row>
    <row r="1548" spans="1:6" x14ac:dyDescent="0.2">
      <c r="A1548" t="s">
        <v>1921</v>
      </c>
      <c r="B1548" t="s">
        <v>8282</v>
      </c>
      <c r="C1548" t="s">
        <v>1920</v>
      </c>
      <c r="D1548" t="s">
        <v>10</v>
      </c>
      <c r="E1548" t="s">
        <v>16</v>
      </c>
      <c r="F1548">
        <v>1</v>
      </c>
    </row>
    <row r="1549" spans="1:6" x14ac:dyDescent="0.2">
      <c r="A1549" t="s">
        <v>9483</v>
      </c>
      <c r="B1549" t="s">
        <v>9476</v>
      </c>
      <c r="C1549" t="s">
        <v>9498</v>
      </c>
      <c r="D1549" t="s">
        <v>10</v>
      </c>
      <c r="E1549" t="s">
        <v>11</v>
      </c>
      <c r="F1549">
        <v>1</v>
      </c>
    </row>
    <row r="1550" spans="1:6" x14ac:dyDescent="0.2">
      <c r="A1550" t="s">
        <v>8506</v>
      </c>
      <c r="B1550" t="s">
        <v>8495</v>
      </c>
      <c r="C1550" t="s">
        <v>8505</v>
      </c>
      <c r="D1550" t="s">
        <v>10</v>
      </c>
      <c r="E1550" t="s">
        <v>11</v>
      </c>
      <c r="F1550">
        <v>1</v>
      </c>
    </row>
    <row r="1551" spans="1:6" x14ac:dyDescent="0.2">
      <c r="A1551" t="s">
        <v>1009</v>
      </c>
      <c r="B1551" t="s">
        <v>9476</v>
      </c>
      <c r="C1551" t="s">
        <v>9499</v>
      </c>
      <c r="D1551" t="s">
        <v>10</v>
      </c>
      <c r="E1551" t="s">
        <v>16</v>
      </c>
      <c r="F1551">
        <v>1</v>
      </c>
    </row>
    <row r="1552" spans="1:6" x14ac:dyDescent="0.2">
      <c r="A1552" t="s">
        <v>8106</v>
      </c>
      <c r="B1552" t="s">
        <v>9476</v>
      </c>
      <c r="C1552" t="s">
        <v>9500</v>
      </c>
      <c r="D1552" t="s">
        <v>10</v>
      </c>
      <c r="E1552" t="s">
        <v>52</v>
      </c>
      <c r="F1552">
        <v>1</v>
      </c>
    </row>
    <row r="1553" spans="1:6" x14ac:dyDescent="0.2">
      <c r="A1553" t="s">
        <v>7384</v>
      </c>
      <c r="B1553" t="s">
        <v>7382</v>
      </c>
      <c r="C1553" t="s">
        <v>7383</v>
      </c>
      <c r="D1553" t="s">
        <v>10</v>
      </c>
      <c r="E1553" t="s">
        <v>16</v>
      </c>
      <c r="F1553">
        <v>1</v>
      </c>
    </row>
    <row r="1554" spans="1:6" x14ac:dyDescent="0.2">
      <c r="A1554" t="s">
        <v>252</v>
      </c>
      <c r="B1554" t="s">
        <v>8131</v>
      </c>
      <c r="C1554" t="s">
        <v>12103</v>
      </c>
      <c r="D1554" t="s">
        <v>10</v>
      </c>
      <c r="E1554" t="s">
        <v>16</v>
      </c>
      <c r="F1554">
        <v>1</v>
      </c>
    </row>
    <row r="1555" spans="1:6" x14ac:dyDescent="0.2">
      <c r="A1555" t="s">
        <v>692</v>
      </c>
      <c r="B1555" t="s">
        <v>8291</v>
      </c>
      <c r="C1555" t="s">
        <v>8302</v>
      </c>
      <c r="D1555" t="s">
        <v>10</v>
      </c>
      <c r="E1555" t="s">
        <v>16</v>
      </c>
      <c r="F1555">
        <v>1</v>
      </c>
    </row>
    <row r="1556" spans="1:6" x14ac:dyDescent="0.2">
      <c r="A1556" t="s">
        <v>8292</v>
      </c>
      <c r="B1556" t="s">
        <v>8291</v>
      </c>
      <c r="C1556" t="s">
        <v>8321</v>
      </c>
      <c r="D1556" t="s">
        <v>10</v>
      </c>
      <c r="E1556" t="s">
        <v>16</v>
      </c>
      <c r="F1556">
        <v>1</v>
      </c>
    </row>
    <row r="1557" spans="1:6" x14ac:dyDescent="0.2">
      <c r="A1557" t="s">
        <v>9488</v>
      </c>
      <c r="B1557" t="s">
        <v>9476</v>
      </c>
      <c r="C1557" t="s">
        <v>9503</v>
      </c>
      <c r="D1557" t="s">
        <v>10</v>
      </c>
      <c r="E1557" t="s">
        <v>16</v>
      </c>
      <c r="F1557">
        <v>1</v>
      </c>
    </row>
    <row r="1558" spans="1:6" x14ac:dyDescent="0.2">
      <c r="A1558" t="s">
        <v>7426</v>
      </c>
      <c r="B1558" t="s">
        <v>7422</v>
      </c>
      <c r="C1558" t="s">
        <v>7425</v>
      </c>
      <c r="D1558" t="s">
        <v>10</v>
      </c>
      <c r="E1558" t="s">
        <v>16</v>
      </c>
      <c r="F1558">
        <v>1</v>
      </c>
    </row>
    <row r="1559" spans="1:6" x14ac:dyDescent="0.2">
      <c r="A1559" t="s">
        <v>8326</v>
      </c>
      <c r="B1559" t="s">
        <v>8291</v>
      </c>
      <c r="C1559" t="s">
        <v>8327</v>
      </c>
      <c r="D1559" t="s">
        <v>10</v>
      </c>
      <c r="E1559" t="s">
        <v>16</v>
      </c>
      <c r="F1559">
        <v>1</v>
      </c>
    </row>
    <row r="1560" spans="1:6" x14ac:dyDescent="0.2">
      <c r="A1560" t="s">
        <v>9490</v>
      </c>
      <c r="B1560" t="s">
        <v>9476</v>
      </c>
      <c r="C1560" t="s">
        <v>9504</v>
      </c>
      <c r="D1560" t="s">
        <v>10</v>
      </c>
      <c r="E1560" t="s">
        <v>16</v>
      </c>
      <c r="F1560">
        <v>1</v>
      </c>
    </row>
    <row r="1561" spans="1:6" x14ac:dyDescent="0.2">
      <c r="A1561" t="s">
        <v>9478</v>
      </c>
      <c r="B1561" t="s">
        <v>9476</v>
      </c>
      <c r="C1561" t="s">
        <v>9506</v>
      </c>
      <c r="D1561" t="s">
        <v>10</v>
      </c>
      <c r="E1561" t="s">
        <v>16</v>
      </c>
      <c r="F1561">
        <v>1</v>
      </c>
    </row>
    <row r="1562" spans="1:6" x14ac:dyDescent="0.2">
      <c r="A1562" t="s">
        <v>9516</v>
      </c>
      <c r="B1562" t="s">
        <v>9476</v>
      </c>
      <c r="C1562" t="s">
        <v>9515</v>
      </c>
      <c r="D1562" t="s">
        <v>10</v>
      </c>
      <c r="E1562" t="s">
        <v>52</v>
      </c>
      <c r="F1562">
        <v>2</v>
      </c>
    </row>
    <row r="1563" spans="1:6" x14ac:dyDescent="0.2">
      <c r="A1563" t="s">
        <v>8199</v>
      </c>
      <c r="B1563" t="s">
        <v>8193</v>
      </c>
      <c r="C1563" t="s">
        <v>8201</v>
      </c>
      <c r="D1563" t="s">
        <v>10</v>
      </c>
      <c r="E1563" t="s">
        <v>16</v>
      </c>
      <c r="F1563">
        <v>1</v>
      </c>
    </row>
    <row r="1564" spans="1:6" x14ac:dyDescent="0.2">
      <c r="A1564" t="s">
        <v>8199</v>
      </c>
      <c r="B1564" t="s">
        <v>8193</v>
      </c>
      <c r="C1564" t="s">
        <v>8202</v>
      </c>
      <c r="D1564" t="s">
        <v>10</v>
      </c>
      <c r="E1564" t="s">
        <v>16</v>
      </c>
      <c r="F1564">
        <v>1</v>
      </c>
    </row>
    <row r="1565" spans="1:6" x14ac:dyDescent="0.2">
      <c r="A1565" t="s">
        <v>5917</v>
      </c>
      <c r="B1565" t="s">
        <v>7865</v>
      </c>
      <c r="C1565" t="s">
        <v>5916</v>
      </c>
      <c r="D1565" t="s">
        <v>10</v>
      </c>
      <c r="E1565" t="s">
        <v>16</v>
      </c>
      <c r="F1565">
        <v>1</v>
      </c>
    </row>
    <row r="1566" spans="1:6" x14ac:dyDescent="0.2">
      <c r="A1566" t="s">
        <v>159</v>
      </c>
      <c r="B1566" t="s">
        <v>148</v>
      </c>
      <c r="C1566" t="s">
        <v>158</v>
      </c>
      <c r="D1566" t="s">
        <v>10</v>
      </c>
      <c r="E1566" t="s">
        <v>11</v>
      </c>
      <c r="F1566">
        <v>1</v>
      </c>
    </row>
    <row r="1567" spans="1:6" x14ac:dyDescent="0.2">
      <c r="A1567" t="s">
        <v>161</v>
      </c>
      <c r="B1567" t="s">
        <v>148</v>
      </c>
      <c r="C1567" t="s">
        <v>160</v>
      </c>
      <c r="D1567" t="s">
        <v>10</v>
      </c>
      <c r="E1567" t="s">
        <v>11</v>
      </c>
      <c r="F1567">
        <v>1</v>
      </c>
    </row>
    <row r="1568" spans="1:6" x14ac:dyDescent="0.2">
      <c r="A1568" t="s">
        <v>7522</v>
      </c>
      <c r="B1568" t="s">
        <v>10440</v>
      </c>
      <c r="C1568" t="s">
        <v>7521</v>
      </c>
      <c r="D1568" t="s">
        <v>10</v>
      </c>
      <c r="E1568" t="s">
        <v>11</v>
      </c>
      <c r="F1568">
        <v>1</v>
      </c>
    </row>
    <row r="1569" spans="1:6" x14ac:dyDescent="0.2">
      <c r="A1569" t="s">
        <v>1287</v>
      </c>
      <c r="B1569" t="s">
        <v>1281</v>
      </c>
      <c r="C1569" t="s">
        <v>1286</v>
      </c>
      <c r="D1569" t="s">
        <v>10</v>
      </c>
      <c r="E1569" t="s">
        <v>16</v>
      </c>
      <c r="F1569">
        <v>1</v>
      </c>
    </row>
    <row r="1570" spans="1:6" x14ac:dyDescent="0.2">
      <c r="A1570" t="s">
        <v>7961</v>
      </c>
      <c r="B1570" t="s">
        <v>7959</v>
      </c>
      <c r="C1570" t="s">
        <v>7960</v>
      </c>
      <c r="D1570" t="s">
        <v>10</v>
      </c>
      <c r="E1570" t="s">
        <v>16</v>
      </c>
      <c r="F1570">
        <v>2</v>
      </c>
    </row>
    <row r="1571" spans="1:6" x14ac:dyDescent="0.2">
      <c r="A1571" t="s">
        <v>7964</v>
      </c>
      <c r="B1571" t="s">
        <v>7962</v>
      </c>
      <c r="C1571" t="s">
        <v>7971</v>
      </c>
      <c r="D1571" t="s">
        <v>10</v>
      </c>
      <c r="E1571" t="s">
        <v>16</v>
      </c>
      <c r="F1571">
        <v>1</v>
      </c>
    </row>
    <row r="1572" spans="1:6" x14ac:dyDescent="0.2">
      <c r="A1572" t="s">
        <v>7953</v>
      </c>
      <c r="B1572" t="s">
        <v>7947</v>
      </c>
      <c r="C1572" t="s">
        <v>12104</v>
      </c>
      <c r="D1572" t="s">
        <v>10</v>
      </c>
      <c r="E1572" t="s">
        <v>16</v>
      </c>
      <c r="F1572">
        <v>2</v>
      </c>
    </row>
    <row r="1573" spans="1:6" x14ac:dyDescent="0.2">
      <c r="A1573" t="s">
        <v>7969</v>
      </c>
      <c r="B1573" t="s">
        <v>7962</v>
      </c>
      <c r="C1573" t="s">
        <v>7978</v>
      </c>
      <c r="D1573" t="s">
        <v>10</v>
      </c>
      <c r="E1573" t="s">
        <v>16</v>
      </c>
      <c r="F1573">
        <v>1</v>
      </c>
    </row>
    <row r="1574" spans="1:6" x14ac:dyDescent="0.2">
      <c r="A1574" t="s">
        <v>8503</v>
      </c>
      <c r="B1574" t="s">
        <v>8495</v>
      </c>
      <c r="C1574" t="s">
        <v>8507</v>
      </c>
      <c r="D1574" t="s">
        <v>10</v>
      </c>
      <c r="E1574" t="s">
        <v>11</v>
      </c>
      <c r="F1574">
        <v>2</v>
      </c>
    </row>
    <row r="1575" spans="1:6" x14ac:dyDescent="0.2">
      <c r="A1575" t="s">
        <v>7982</v>
      </c>
      <c r="B1575" t="s">
        <v>7962</v>
      </c>
      <c r="C1575" t="s">
        <v>7981</v>
      </c>
      <c r="D1575" t="s">
        <v>10</v>
      </c>
      <c r="E1575" t="s">
        <v>16</v>
      </c>
      <c r="F1575">
        <v>1</v>
      </c>
    </row>
    <row r="1576" spans="1:6" x14ac:dyDescent="0.2">
      <c r="A1576" t="s">
        <v>9302</v>
      </c>
      <c r="B1576" t="s">
        <v>9166</v>
      </c>
      <c r="C1576" t="s">
        <v>9301</v>
      </c>
      <c r="D1576" t="s">
        <v>10</v>
      </c>
      <c r="E1576" t="s">
        <v>52</v>
      </c>
      <c r="F1576">
        <v>1</v>
      </c>
    </row>
    <row r="1577" spans="1:6" x14ac:dyDescent="0.2">
      <c r="A1577" t="s">
        <v>7966</v>
      </c>
      <c r="B1577" t="s">
        <v>7962</v>
      </c>
      <c r="C1577" t="s">
        <v>8002</v>
      </c>
      <c r="D1577" t="s">
        <v>10</v>
      </c>
      <c r="E1577" t="s">
        <v>16</v>
      </c>
      <c r="F1577">
        <v>1</v>
      </c>
    </row>
    <row r="1578" spans="1:6" x14ac:dyDescent="0.2">
      <c r="A1578" t="s">
        <v>11349</v>
      </c>
      <c r="B1578" t="s">
        <v>11347</v>
      </c>
      <c r="C1578" t="s">
        <v>11348</v>
      </c>
      <c r="D1578" t="s">
        <v>56</v>
      </c>
      <c r="E1578" t="s">
        <v>16</v>
      </c>
      <c r="F1578">
        <v>1</v>
      </c>
    </row>
    <row r="1579" spans="1:6" x14ac:dyDescent="0.2">
      <c r="A1579" t="s">
        <v>7988</v>
      </c>
      <c r="B1579" t="s">
        <v>7962</v>
      </c>
      <c r="C1579" t="s">
        <v>8004</v>
      </c>
      <c r="D1579" t="s">
        <v>10</v>
      </c>
      <c r="E1579" t="s">
        <v>52</v>
      </c>
      <c r="F1579">
        <v>1</v>
      </c>
    </row>
    <row r="1580" spans="1:6" x14ac:dyDescent="0.2">
      <c r="A1580" t="s">
        <v>7991</v>
      </c>
      <c r="B1580" t="s">
        <v>7962</v>
      </c>
      <c r="C1580" t="s">
        <v>7990</v>
      </c>
      <c r="D1580" t="s">
        <v>10</v>
      </c>
      <c r="E1580" t="s">
        <v>16</v>
      </c>
      <c r="F1580">
        <v>1</v>
      </c>
    </row>
    <row r="1581" spans="1:6" x14ac:dyDescent="0.2">
      <c r="A1581" t="s">
        <v>7993</v>
      </c>
      <c r="B1581" t="s">
        <v>7962</v>
      </c>
      <c r="C1581" t="s">
        <v>7992</v>
      </c>
      <c r="D1581" t="s">
        <v>10</v>
      </c>
      <c r="E1581" t="s">
        <v>16</v>
      </c>
      <c r="F1581">
        <v>1</v>
      </c>
    </row>
    <row r="1582" spans="1:6" x14ac:dyDescent="0.2">
      <c r="A1582" t="s">
        <v>5033</v>
      </c>
      <c r="B1582" t="s">
        <v>5031</v>
      </c>
      <c r="C1582" t="s">
        <v>5032</v>
      </c>
      <c r="D1582" t="s">
        <v>10</v>
      </c>
      <c r="E1582" t="s">
        <v>16</v>
      </c>
      <c r="F1582">
        <v>1</v>
      </c>
    </row>
    <row r="1583" spans="1:6" x14ac:dyDescent="0.2">
      <c r="A1583" t="s">
        <v>7941</v>
      </c>
      <c r="B1583" t="s">
        <v>7939</v>
      </c>
      <c r="C1583" t="s">
        <v>7942</v>
      </c>
      <c r="D1583" t="s">
        <v>10</v>
      </c>
      <c r="E1583" t="s">
        <v>16</v>
      </c>
      <c r="F1583">
        <v>1</v>
      </c>
    </row>
    <row r="1584" spans="1:6" x14ac:dyDescent="0.2">
      <c r="A1584" t="s">
        <v>11906</v>
      </c>
      <c r="B1584" t="s">
        <v>11899</v>
      </c>
      <c r="C1584" t="s">
        <v>11905</v>
      </c>
      <c r="D1584" t="s">
        <v>10</v>
      </c>
      <c r="E1584" t="s">
        <v>52</v>
      </c>
      <c r="F1584">
        <v>2</v>
      </c>
    </row>
    <row r="1585" spans="1:6" x14ac:dyDescent="0.2">
      <c r="A1585" t="s">
        <v>11908</v>
      </c>
      <c r="B1585" t="s">
        <v>11899</v>
      </c>
      <c r="C1585" t="s">
        <v>11907</v>
      </c>
      <c r="D1585" t="s">
        <v>10</v>
      </c>
      <c r="E1585" t="s">
        <v>52</v>
      </c>
      <c r="F1585">
        <v>2</v>
      </c>
    </row>
    <row r="1586" spans="1:6" x14ac:dyDescent="0.2">
      <c r="A1586" t="s">
        <v>4942</v>
      </c>
      <c r="B1586" t="s">
        <v>4940</v>
      </c>
      <c r="C1586" t="s">
        <v>4941</v>
      </c>
      <c r="D1586" t="s">
        <v>10</v>
      </c>
      <c r="E1586" t="s">
        <v>16</v>
      </c>
      <c r="F1586">
        <v>1</v>
      </c>
    </row>
    <row r="1587" spans="1:6" x14ac:dyDescent="0.2">
      <c r="A1587" t="s">
        <v>8207</v>
      </c>
      <c r="B1587" t="s">
        <v>8193</v>
      </c>
      <c r="C1587" t="s">
        <v>8206</v>
      </c>
      <c r="D1587" t="s">
        <v>10</v>
      </c>
      <c r="E1587" t="s">
        <v>16</v>
      </c>
      <c r="F1587">
        <v>1</v>
      </c>
    </row>
    <row r="1588" spans="1:6" x14ac:dyDescent="0.2">
      <c r="A1588" t="s">
        <v>1295</v>
      </c>
      <c r="B1588" t="s">
        <v>1290</v>
      </c>
      <c r="C1588" t="s">
        <v>1294</v>
      </c>
      <c r="D1588" t="s">
        <v>10</v>
      </c>
      <c r="E1588" t="s">
        <v>16</v>
      </c>
      <c r="F1588">
        <v>1</v>
      </c>
    </row>
    <row r="1589" spans="1:6" x14ac:dyDescent="0.2">
      <c r="A1589" t="s">
        <v>5456</v>
      </c>
      <c r="B1589" t="s">
        <v>7859</v>
      </c>
      <c r="C1589" t="s">
        <v>7860</v>
      </c>
      <c r="D1589" t="s">
        <v>10</v>
      </c>
      <c r="E1589" t="s">
        <v>16</v>
      </c>
      <c r="F1589">
        <v>1</v>
      </c>
    </row>
    <row r="1590" spans="1:6" x14ac:dyDescent="0.2">
      <c r="A1590" t="s">
        <v>7460</v>
      </c>
      <c r="B1590" t="s">
        <v>7434</v>
      </c>
      <c r="C1590" t="s">
        <v>7459</v>
      </c>
      <c r="D1590" t="s">
        <v>10</v>
      </c>
      <c r="E1590" t="s">
        <v>16</v>
      </c>
      <c r="F1590">
        <v>1</v>
      </c>
    </row>
    <row r="1591" spans="1:6" x14ac:dyDescent="0.2">
      <c r="A1591" t="s">
        <v>8102</v>
      </c>
      <c r="B1591" t="s">
        <v>8100</v>
      </c>
      <c r="C1591" t="s">
        <v>8101</v>
      </c>
      <c r="D1591" t="s">
        <v>10</v>
      </c>
      <c r="E1591" t="s">
        <v>16</v>
      </c>
      <c r="F1591">
        <v>1</v>
      </c>
    </row>
    <row r="1592" spans="1:6" x14ac:dyDescent="0.2">
      <c r="A1592" t="s">
        <v>408</v>
      </c>
      <c r="B1592" t="s">
        <v>2666</v>
      </c>
      <c r="C1592" t="s">
        <v>407</v>
      </c>
      <c r="D1592" t="s">
        <v>10</v>
      </c>
      <c r="E1592" t="s">
        <v>16</v>
      </c>
      <c r="F1592">
        <v>1</v>
      </c>
    </row>
    <row r="1593" spans="1:6" x14ac:dyDescent="0.2">
      <c r="A1593" t="s">
        <v>7949</v>
      </c>
      <c r="B1593" t="s">
        <v>7947</v>
      </c>
      <c r="C1593" t="s">
        <v>7948</v>
      </c>
      <c r="D1593" t="s">
        <v>3928</v>
      </c>
      <c r="E1593" t="s">
        <v>16</v>
      </c>
      <c r="F1593">
        <v>4</v>
      </c>
    </row>
    <row r="1594" spans="1:6" x14ac:dyDescent="0.2">
      <c r="A1594" t="s">
        <v>135</v>
      </c>
      <c r="B1594" t="s">
        <v>131</v>
      </c>
      <c r="C1594" t="s">
        <v>134</v>
      </c>
      <c r="D1594" t="s">
        <v>10</v>
      </c>
      <c r="E1594" t="s">
        <v>16</v>
      </c>
      <c r="F1594">
        <v>1</v>
      </c>
    </row>
    <row r="1595" spans="1:6" x14ac:dyDescent="0.2">
      <c r="A1595" t="s">
        <v>8286</v>
      </c>
      <c r="B1595" t="s">
        <v>8284</v>
      </c>
      <c r="C1595" t="s">
        <v>8285</v>
      </c>
      <c r="D1595" t="s">
        <v>10</v>
      </c>
      <c r="E1595" t="s">
        <v>16</v>
      </c>
      <c r="F1595">
        <v>1</v>
      </c>
    </row>
    <row r="1596" spans="1:6" x14ac:dyDescent="0.2">
      <c r="A1596" t="s">
        <v>4088</v>
      </c>
      <c r="B1596" t="s">
        <v>4084</v>
      </c>
      <c r="C1596" t="s">
        <v>4089</v>
      </c>
      <c r="D1596" t="s">
        <v>10</v>
      </c>
      <c r="E1596" t="s">
        <v>16</v>
      </c>
      <c r="F1596">
        <v>2</v>
      </c>
    </row>
    <row r="1597" spans="1:6" x14ac:dyDescent="0.2">
      <c r="A1597" t="s">
        <v>6953</v>
      </c>
      <c r="B1597" t="s">
        <v>6951</v>
      </c>
      <c r="C1597" t="s">
        <v>6952</v>
      </c>
      <c r="D1597" t="s">
        <v>10</v>
      </c>
      <c r="E1597" t="s">
        <v>11</v>
      </c>
      <c r="F1597">
        <v>2</v>
      </c>
    </row>
    <row r="1598" spans="1:6" x14ac:dyDescent="0.2">
      <c r="A1598" t="s">
        <v>8133</v>
      </c>
      <c r="B1598" t="s">
        <v>8131</v>
      </c>
      <c r="C1598" t="s">
        <v>8132</v>
      </c>
      <c r="D1598" t="s">
        <v>10</v>
      </c>
      <c r="E1598" t="s">
        <v>16</v>
      </c>
      <c r="F1598">
        <v>1</v>
      </c>
    </row>
    <row r="1599" spans="1:6" x14ac:dyDescent="0.2">
      <c r="A1599" t="s">
        <v>8283</v>
      </c>
      <c r="B1599" t="s">
        <v>8282</v>
      </c>
      <c r="C1599" t="s">
        <v>12105</v>
      </c>
      <c r="D1599" t="s">
        <v>10</v>
      </c>
      <c r="E1599" t="s">
        <v>16</v>
      </c>
      <c r="F1599">
        <v>1</v>
      </c>
    </row>
    <row r="1600" spans="1:6" x14ac:dyDescent="0.2">
      <c r="A1600" t="s">
        <v>3993</v>
      </c>
      <c r="B1600" t="s">
        <v>3991</v>
      </c>
      <c r="C1600" t="s">
        <v>3992</v>
      </c>
      <c r="D1600" t="s">
        <v>10</v>
      </c>
      <c r="E1600" t="s">
        <v>16</v>
      </c>
      <c r="F1600">
        <v>1</v>
      </c>
    </row>
    <row r="1601" spans="1:6" x14ac:dyDescent="0.2">
      <c r="A1601" t="s">
        <v>8290</v>
      </c>
      <c r="B1601" t="s">
        <v>8288</v>
      </c>
      <c r="C1601" t="s">
        <v>8289</v>
      </c>
      <c r="D1601" t="s">
        <v>10</v>
      </c>
      <c r="E1601" t="s">
        <v>16</v>
      </c>
      <c r="F1601">
        <v>1</v>
      </c>
    </row>
    <row r="1602" spans="1:6" x14ac:dyDescent="0.2">
      <c r="A1602" t="s">
        <v>4086</v>
      </c>
      <c r="B1602" t="s">
        <v>4903</v>
      </c>
      <c r="C1602" t="s">
        <v>4913</v>
      </c>
      <c r="D1602" t="s">
        <v>10</v>
      </c>
      <c r="E1602" t="s">
        <v>16</v>
      </c>
      <c r="F1602">
        <v>1</v>
      </c>
    </row>
    <row r="1603" spans="1:6" x14ac:dyDescent="0.2">
      <c r="A1603" t="s">
        <v>4911</v>
      </c>
      <c r="B1603" t="s">
        <v>4903</v>
      </c>
      <c r="C1603" t="s">
        <v>4912</v>
      </c>
      <c r="D1603" t="s">
        <v>10</v>
      </c>
      <c r="E1603" t="s">
        <v>16</v>
      </c>
      <c r="F1603">
        <v>1</v>
      </c>
    </row>
    <row r="1604" spans="1:6" x14ac:dyDescent="0.2">
      <c r="A1604" t="s">
        <v>4916</v>
      </c>
      <c r="B1604" t="s">
        <v>4903</v>
      </c>
      <c r="C1604" t="s">
        <v>4915</v>
      </c>
      <c r="D1604" t="s">
        <v>10</v>
      </c>
      <c r="E1604" t="s">
        <v>16</v>
      </c>
      <c r="F1604">
        <v>1</v>
      </c>
    </row>
    <row r="1605" spans="1:6" x14ac:dyDescent="0.2">
      <c r="A1605" t="s">
        <v>7312</v>
      </c>
      <c r="B1605" t="s">
        <v>7308</v>
      </c>
      <c r="C1605" t="s">
        <v>7311</v>
      </c>
      <c r="D1605" t="s">
        <v>10</v>
      </c>
      <c r="E1605" t="s">
        <v>16</v>
      </c>
      <c r="F1605">
        <v>1</v>
      </c>
    </row>
    <row r="1606" spans="1:6" x14ac:dyDescent="0.2">
      <c r="A1606" t="s">
        <v>2826</v>
      </c>
      <c r="B1606" t="s">
        <v>8050</v>
      </c>
      <c r="C1606" t="s">
        <v>2825</v>
      </c>
      <c r="D1606" t="s">
        <v>10</v>
      </c>
      <c r="E1606" t="s">
        <v>11</v>
      </c>
      <c r="F1606">
        <v>3</v>
      </c>
    </row>
    <row r="1607" spans="1:6" x14ac:dyDescent="0.2">
      <c r="A1607" t="s">
        <v>4444</v>
      </c>
      <c r="B1607" t="s">
        <v>4442</v>
      </c>
      <c r="C1607" t="s">
        <v>4443</v>
      </c>
      <c r="D1607" t="s">
        <v>10</v>
      </c>
      <c r="E1607" t="s">
        <v>16</v>
      </c>
      <c r="F1607">
        <v>1</v>
      </c>
    </row>
    <row r="1608" spans="1:6" x14ac:dyDescent="0.2">
      <c r="A1608" t="s">
        <v>5622</v>
      </c>
      <c r="B1608" t="s">
        <v>5620</v>
      </c>
      <c r="C1608" t="s">
        <v>5621</v>
      </c>
      <c r="D1608" t="s">
        <v>10</v>
      </c>
      <c r="E1608" t="s">
        <v>16</v>
      </c>
      <c r="F1608">
        <v>1</v>
      </c>
    </row>
    <row r="1609" spans="1:6" x14ac:dyDescent="0.2">
      <c r="A1609" t="s">
        <v>2843</v>
      </c>
      <c r="B1609" t="s">
        <v>8050</v>
      </c>
      <c r="C1609" t="s">
        <v>2842</v>
      </c>
      <c r="D1609" t="s">
        <v>56</v>
      </c>
      <c r="E1609" t="s">
        <v>52</v>
      </c>
      <c r="F1609">
        <v>1</v>
      </c>
    </row>
    <row r="1610" spans="1:6" x14ac:dyDescent="0.2">
      <c r="A1610" t="s">
        <v>2848</v>
      </c>
      <c r="B1610" t="s">
        <v>8050</v>
      </c>
      <c r="C1610" t="s">
        <v>2847</v>
      </c>
      <c r="D1610" t="s">
        <v>56</v>
      </c>
      <c r="E1610" t="s">
        <v>52</v>
      </c>
      <c r="F1610">
        <v>1</v>
      </c>
    </row>
    <row r="1611" spans="1:6" x14ac:dyDescent="0.2">
      <c r="A1611" t="s">
        <v>2828</v>
      </c>
      <c r="B1611" t="s">
        <v>8050</v>
      </c>
      <c r="C1611" t="s">
        <v>2827</v>
      </c>
      <c r="D1611" t="s">
        <v>10</v>
      </c>
      <c r="E1611" t="s">
        <v>11</v>
      </c>
      <c r="F1611">
        <v>2</v>
      </c>
    </row>
    <row r="1612" spans="1:6" x14ac:dyDescent="0.2">
      <c r="A1612" t="s">
        <v>2830</v>
      </c>
      <c r="B1612" t="s">
        <v>8050</v>
      </c>
      <c r="C1612" t="s">
        <v>2829</v>
      </c>
      <c r="D1612" t="s">
        <v>10</v>
      </c>
      <c r="E1612" t="s">
        <v>11</v>
      </c>
      <c r="F1612">
        <v>2</v>
      </c>
    </row>
    <row r="1613" spans="1:6" x14ac:dyDescent="0.2">
      <c r="A1613" t="s">
        <v>2832</v>
      </c>
      <c r="B1613" t="s">
        <v>8050</v>
      </c>
      <c r="C1613" t="s">
        <v>2831</v>
      </c>
      <c r="D1613" t="s">
        <v>10</v>
      </c>
      <c r="E1613" t="s">
        <v>11</v>
      </c>
      <c r="F1613">
        <v>2</v>
      </c>
    </row>
    <row r="1614" spans="1:6" x14ac:dyDescent="0.2">
      <c r="A1614" t="s">
        <v>2834</v>
      </c>
      <c r="B1614" t="s">
        <v>8050</v>
      </c>
      <c r="C1614" t="s">
        <v>2833</v>
      </c>
      <c r="D1614" t="s">
        <v>10</v>
      </c>
      <c r="E1614" t="s">
        <v>11</v>
      </c>
      <c r="F1614">
        <v>2</v>
      </c>
    </row>
    <row r="1615" spans="1:6" x14ac:dyDescent="0.2">
      <c r="A1615" t="s">
        <v>2836</v>
      </c>
      <c r="B1615" t="s">
        <v>8050</v>
      </c>
      <c r="C1615" t="s">
        <v>2835</v>
      </c>
      <c r="D1615" t="s">
        <v>10</v>
      </c>
      <c r="E1615" t="s">
        <v>11</v>
      </c>
      <c r="F1615">
        <v>2</v>
      </c>
    </row>
    <row r="1616" spans="1:6" x14ac:dyDescent="0.2">
      <c r="A1616" t="s">
        <v>2838</v>
      </c>
      <c r="B1616" t="s">
        <v>8050</v>
      </c>
      <c r="C1616" t="s">
        <v>2837</v>
      </c>
      <c r="D1616" t="s">
        <v>10</v>
      </c>
      <c r="E1616" t="s">
        <v>11</v>
      </c>
      <c r="F1616">
        <v>2</v>
      </c>
    </row>
    <row r="1617" spans="1:6" x14ac:dyDescent="0.2">
      <c r="A1617" t="s">
        <v>8116</v>
      </c>
      <c r="B1617" t="s">
        <v>8114</v>
      </c>
      <c r="C1617" t="s">
        <v>8115</v>
      </c>
      <c r="D1617" t="s">
        <v>10</v>
      </c>
      <c r="E1617" t="s">
        <v>16</v>
      </c>
      <c r="F1617">
        <v>1</v>
      </c>
    </row>
    <row r="1618" spans="1:6" x14ac:dyDescent="0.2">
      <c r="A1618" t="s">
        <v>6587</v>
      </c>
      <c r="B1618" t="s">
        <v>8114</v>
      </c>
      <c r="C1618" t="s">
        <v>8117</v>
      </c>
      <c r="D1618" t="s">
        <v>10</v>
      </c>
      <c r="E1618" t="s">
        <v>16</v>
      </c>
      <c r="F1618">
        <v>1</v>
      </c>
    </row>
    <row r="1619" spans="1:6" x14ac:dyDescent="0.2">
      <c r="A1619" t="s">
        <v>7516</v>
      </c>
      <c r="B1619" t="s">
        <v>8114</v>
      </c>
      <c r="C1619" t="s">
        <v>8118</v>
      </c>
      <c r="D1619" t="s">
        <v>10</v>
      </c>
      <c r="E1619" t="s">
        <v>11</v>
      </c>
      <c r="F1619">
        <v>2</v>
      </c>
    </row>
    <row r="1620" spans="1:6" x14ac:dyDescent="0.2">
      <c r="A1620" t="s">
        <v>8098</v>
      </c>
      <c r="B1620" t="s">
        <v>8098</v>
      </c>
      <c r="C1620" t="s">
        <v>8099</v>
      </c>
      <c r="D1620" t="s">
        <v>10</v>
      </c>
      <c r="E1620" t="s">
        <v>16</v>
      </c>
      <c r="F1620">
        <v>1</v>
      </c>
    </row>
    <row r="1621" spans="1:6" x14ac:dyDescent="0.2">
      <c r="A1621" t="s">
        <v>5828</v>
      </c>
      <c r="B1621" t="s">
        <v>5826</v>
      </c>
      <c r="C1621" t="s">
        <v>5827</v>
      </c>
      <c r="D1621" t="s">
        <v>10</v>
      </c>
      <c r="E1621" t="s">
        <v>16</v>
      </c>
      <c r="F1621">
        <v>1</v>
      </c>
    </row>
    <row r="1622" spans="1:6" x14ac:dyDescent="0.2">
      <c r="A1622" t="s">
        <v>1961</v>
      </c>
      <c r="B1622" t="s">
        <v>1959</v>
      </c>
      <c r="C1622" t="s">
        <v>1960</v>
      </c>
      <c r="D1622" t="s">
        <v>10</v>
      </c>
      <c r="E1622" t="s">
        <v>16</v>
      </c>
      <c r="F1622">
        <v>2</v>
      </c>
    </row>
    <row r="1623" spans="1:6" x14ac:dyDescent="0.2">
      <c r="A1623" t="s">
        <v>8211</v>
      </c>
      <c r="B1623" t="s">
        <v>8193</v>
      </c>
      <c r="C1623" t="s">
        <v>8210</v>
      </c>
      <c r="D1623" t="s">
        <v>10</v>
      </c>
      <c r="E1623" t="s">
        <v>16</v>
      </c>
      <c r="F1623">
        <v>1</v>
      </c>
    </row>
    <row r="1624" spans="1:6" x14ac:dyDescent="0.2">
      <c r="A1624" t="s">
        <v>1700</v>
      </c>
      <c r="B1624" t="s">
        <v>5956</v>
      </c>
      <c r="C1624" t="s">
        <v>1699</v>
      </c>
      <c r="D1624" t="s">
        <v>10</v>
      </c>
      <c r="E1624" t="s">
        <v>11</v>
      </c>
      <c r="F1624">
        <v>2</v>
      </c>
    </row>
    <row r="1625" spans="1:6" x14ac:dyDescent="0.2">
      <c r="A1625" t="s">
        <v>8113</v>
      </c>
      <c r="B1625" t="s">
        <v>8112</v>
      </c>
      <c r="C1625" t="s">
        <v>2802</v>
      </c>
      <c r="D1625" t="s">
        <v>10</v>
      </c>
      <c r="E1625" t="s">
        <v>16</v>
      </c>
      <c r="F1625">
        <v>1</v>
      </c>
    </row>
    <row r="1626" spans="1:6" x14ac:dyDescent="0.2">
      <c r="A1626" t="s">
        <v>7900</v>
      </c>
      <c r="B1626" t="s">
        <v>7897</v>
      </c>
      <c r="C1626" t="s">
        <v>7899</v>
      </c>
      <c r="D1626" t="s">
        <v>10</v>
      </c>
      <c r="E1626" t="s">
        <v>16</v>
      </c>
      <c r="F1626">
        <v>1</v>
      </c>
    </row>
    <row r="1627" spans="1:6" x14ac:dyDescent="0.2">
      <c r="A1627" t="s">
        <v>8896</v>
      </c>
      <c r="B1627" t="s">
        <v>10046</v>
      </c>
      <c r="C1627" t="s">
        <v>10071</v>
      </c>
      <c r="D1627" t="s">
        <v>10</v>
      </c>
      <c r="E1627" t="s">
        <v>16</v>
      </c>
      <c r="F1627">
        <v>1</v>
      </c>
    </row>
    <row r="1628" spans="1:6" x14ac:dyDescent="0.2">
      <c r="A1628" t="s">
        <v>209</v>
      </c>
      <c r="B1628" t="s">
        <v>8147</v>
      </c>
      <c r="C1628" t="s">
        <v>8151</v>
      </c>
      <c r="D1628" t="s">
        <v>10</v>
      </c>
      <c r="E1628" t="s">
        <v>11</v>
      </c>
      <c r="F1628">
        <v>1</v>
      </c>
    </row>
    <row r="1629" spans="1:6" x14ac:dyDescent="0.2">
      <c r="A1629" t="s">
        <v>3914</v>
      </c>
      <c r="B1629" t="s">
        <v>8147</v>
      </c>
      <c r="C1629" t="s">
        <v>8152</v>
      </c>
      <c r="D1629" t="s">
        <v>10</v>
      </c>
      <c r="E1629" t="s">
        <v>11</v>
      </c>
      <c r="F1629">
        <v>1</v>
      </c>
    </row>
    <row r="1630" spans="1:6" x14ac:dyDescent="0.2">
      <c r="A1630" t="s">
        <v>6194</v>
      </c>
      <c r="B1630" t="s">
        <v>8147</v>
      </c>
      <c r="C1630" t="s">
        <v>8153</v>
      </c>
      <c r="D1630" t="s">
        <v>10</v>
      </c>
      <c r="E1630" t="s">
        <v>11</v>
      </c>
      <c r="F1630">
        <v>2</v>
      </c>
    </row>
    <row r="1631" spans="1:6" x14ac:dyDescent="0.2">
      <c r="A1631" t="s">
        <v>703</v>
      </c>
      <c r="B1631" t="s">
        <v>8147</v>
      </c>
      <c r="C1631" t="s">
        <v>6565</v>
      </c>
      <c r="D1631" t="s">
        <v>10</v>
      </c>
      <c r="E1631" t="s">
        <v>11</v>
      </c>
      <c r="F1631">
        <v>1</v>
      </c>
    </row>
    <row r="1632" spans="1:6" x14ac:dyDescent="0.2">
      <c r="A1632" t="s">
        <v>6542</v>
      </c>
      <c r="B1632" t="s">
        <v>8147</v>
      </c>
      <c r="C1632" t="s">
        <v>8154</v>
      </c>
      <c r="D1632" t="s">
        <v>10</v>
      </c>
      <c r="E1632" t="s">
        <v>11</v>
      </c>
      <c r="F1632">
        <v>1</v>
      </c>
    </row>
    <row r="1633" spans="1:6" x14ac:dyDescent="0.2">
      <c r="A1633" t="s">
        <v>7904</v>
      </c>
      <c r="B1633" t="s">
        <v>8147</v>
      </c>
      <c r="C1633" t="s">
        <v>7903</v>
      </c>
      <c r="D1633" t="s">
        <v>10</v>
      </c>
      <c r="E1633" t="s">
        <v>11</v>
      </c>
      <c r="F1633">
        <v>2</v>
      </c>
    </row>
    <row r="1634" spans="1:6" x14ac:dyDescent="0.2">
      <c r="A1634" t="s">
        <v>7906</v>
      </c>
      <c r="B1634" t="s">
        <v>8147</v>
      </c>
      <c r="C1634" t="s">
        <v>7905</v>
      </c>
      <c r="D1634" t="s">
        <v>10</v>
      </c>
      <c r="E1634" t="s">
        <v>11</v>
      </c>
      <c r="F1634">
        <v>2</v>
      </c>
    </row>
    <row r="1635" spans="1:6" x14ac:dyDescent="0.2">
      <c r="A1635" t="s">
        <v>8150</v>
      </c>
      <c r="B1635" t="s">
        <v>8147</v>
      </c>
      <c r="C1635" t="s">
        <v>8149</v>
      </c>
      <c r="D1635" t="s">
        <v>10</v>
      </c>
      <c r="E1635" t="s">
        <v>11</v>
      </c>
      <c r="F1635">
        <v>2</v>
      </c>
    </row>
    <row r="1636" spans="1:6" x14ac:dyDescent="0.2">
      <c r="A1636" t="s">
        <v>7909</v>
      </c>
      <c r="B1636" t="s">
        <v>8147</v>
      </c>
      <c r="C1636" t="s">
        <v>7908</v>
      </c>
      <c r="D1636" t="s">
        <v>10</v>
      </c>
      <c r="E1636" t="s">
        <v>11</v>
      </c>
      <c r="F1636">
        <v>1</v>
      </c>
    </row>
    <row r="1637" spans="1:6" x14ac:dyDescent="0.2">
      <c r="A1637" t="s">
        <v>7163</v>
      </c>
      <c r="B1637" t="s">
        <v>7162</v>
      </c>
      <c r="C1637" t="s">
        <v>5281</v>
      </c>
      <c r="D1637" t="s">
        <v>10</v>
      </c>
      <c r="E1637" t="s">
        <v>16</v>
      </c>
      <c r="F1637">
        <v>1</v>
      </c>
    </row>
    <row r="1638" spans="1:6" x14ac:dyDescent="0.2">
      <c r="A1638" t="s">
        <v>1952</v>
      </c>
      <c r="B1638" t="s">
        <v>1951</v>
      </c>
      <c r="C1638" t="s">
        <v>1294</v>
      </c>
      <c r="D1638" t="s">
        <v>10</v>
      </c>
      <c r="E1638" t="s">
        <v>16</v>
      </c>
      <c r="F1638">
        <v>1</v>
      </c>
    </row>
    <row r="1639" spans="1:6" x14ac:dyDescent="0.2">
      <c r="A1639" t="s">
        <v>8249</v>
      </c>
      <c r="B1639" t="s">
        <v>8235</v>
      </c>
      <c r="C1639" t="s">
        <v>8248</v>
      </c>
      <c r="D1639" t="s">
        <v>56</v>
      </c>
      <c r="E1639" t="s">
        <v>52</v>
      </c>
      <c r="F1639">
        <v>2</v>
      </c>
    </row>
    <row r="1640" spans="1:6" x14ac:dyDescent="0.2">
      <c r="A1640" t="s">
        <v>585</v>
      </c>
      <c r="B1640" t="s">
        <v>583</v>
      </c>
      <c r="C1640" t="s">
        <v>586</v>
      </c>
      <c r="D1640" t="s">
        <v>10</v>
      </c>
      <c r="E1640" t="s">
        <v>16</v>
      </c>
      <c r="F1640">
        <v>1</v>
      </c>
    </row>
    <row r="1641" spans="1:6" x14ac:dyDescent="0.2">
      <c r="A1641" t="s">
        <v>8174</v>
      </c>
      <c r="B1641" t="s">
        <v>8160</v>
      </c>
      <c r="C1641" t="s">
        <v>8173</v>
      </c>
      <c r="D1641" t="s">
        <v>56</v>
      </c>
      <c r="E1641" t="s">
        <v>52</v>
      </c>
      <c r="F1641">
        <v>2</v>
      </c>
    </row>
    <row r="1642" spans="1:6" x14ac:dyDescent="0.2">
      <c r="A1642" t="s">
        <v>8176</v>
      </c>
      <c r="B1642" t="s">
        <v>8160</v>
      </c>
      <c r="C1642" t="s">
        <v>8175</v>
      </c>
      <c r="D1642" t="s">
        <v>56</v>
      </c>
      <c r="E1642" t="s">
        <v>52</v>
      </c>
      <c r="F1642">
        <v>2</v>
      </c>
    </row>
    <row r="1643" spans="1:6" x14ac:dyDescent="0.2">
      <c r="A1643" t="s">
        <v>8166</v>
      </c>
      <c r="B1643" t="s">
        <v>8160</v>
      </c>
      <c r="C1643" t="s">
        <v>8165</v>
      </c>
      <c r="D1643" t="s">
        <v>56</v>
      </c>
      <c r="E1643" t="s">
        <v>52</v>
      </c>
      <c r="F1643">
        <v>2</v>
      </c>
    </row>
    <row r="1644" spans="1:6" x14ac:dyDescent="0.2">
      <c r="A1644" t="s">
        <v>8162</v>
      </c>
      <c r="B1644" t="s">
        <v>8160</v>
      </c>
      <c r="C1644" t="s">
        <v>8180</v>
      </c>
      <c r="D1644" t="s">
        <v>56</v>
      </c>
      <c r="E1644" t="s">
        <v>52</v>
      </c>
      <c r="F1644">
        <v>2</v>
      </c>
    </row>
    <row r="1645" spans="1:6" x14ac:dyDescent="0.2">
      <c r="A1645" t="s">
        <v>8185</v>
      </c>
      <c r="B1645" t="s">
        <v>8160</v>
      </c>
      <c r="C1645" t="s">
        <v>8184</v>
      </c>
      <c r="D1645" t="s">
        <v>56</v>
      </c>
      <c r="E1645" t="s">
        <v>52</v>
      </c>
      <c r="F1645">
        <v>2</v>
      </c>
    </row>
    <row r="1646" spans="1:6" x14ac:dyDescent="0.2">
      <c r="A1646" t="s">
        <v>8187</v>
      </c>
      <c r="B1646" t="s">
        <v>8160</v>
      </c>
      <c r="C1646" t="s">
        <v>8186</v>
      </c>
      <c r="D1646" t="s">
        <v>56</v>
      </c>
      <c r="E1646" t="s">
        <v>16</v>
      </c>
      <c r="F1646">
        <v>1</v>
      </c>
    </row>
    <row r="1647" spans="1:6" x14ac:dyDescent="0.2">
      <c r="A1647" t="s">
        <v>8190</v>
      </c>
      <c r="B1647" t="s">
        <v>8160</v>
      </c>
      <c r="C1647" t="s">
        <v>8189</v>
      </c>
      <c r="D1647" t="s">
        <v>56</v>
      </c>
      <c r="E1647" t="s">
        <v>52</v>
      </c>
      <c r="F1647">
        <v>2</v>
      </c>
    </row>
    <row r="1648" spans="1:6" x14ac:dyDescent="0.2">
      <c r="A1648" t="s">
        <v>6337</v>
      </c>
      <c r="B1648" t="s">
        <v>8160</v>
      </c>
      <c r="C1648" t="s">
        <v>8167</v>
      </c>
      <c r="D1648" t="s">
        <v>56</v>
      </c>
      <c r="E1648" t="s">
        <v>16</v>
      </c>
      <c r="F1648">
        <v>1</v>
      </c>
    </row>
    <row r="1649" spans="1:6" x14ac:dyDescent="0.2">
      <c r="A1649" t="s">
        <v>8169</v>
      </c>
      <c r="B1649" t="s">
        <v>8160</v>
      </c>
      <c r="C1649" t="s">
        <v>8168</v>
      </c>
      <c r="D1649" t="s">
        <v>56</v>
      </c>
      <c r="E1649" t="s">
        <v>52</v>
      </c>
      <c r="F1649">
        <v>2</v>
      </c>
    </row>
    <row r="1650" spans="1:6" x14ac:dyDescent="0.2">
      <c r="A1650" t="s">
        <v>8171</v>
      </c>
      <c r="B1650" t="s">
        <v>8160</v>
      </c>
      <c r="C1650" t="s">
        <v>8170</v>
      </c>
      <c r="D1650" t="s">
        <v>56</v>
      </c>
      <c r="E1650" t="s">
        <v>52</v>
      </c>
      <c r="F1650">
        <v>2</v>
      </c>
    </row>
    <row r="1651" spans="1:6" x14ac:dyDescent="0.2">
      <c r="A1651" t="s">
        <v>67</v>
      </c>
      <c r="B1651" t="s">
        <v>65</v>
      </c>
      <c r="C1651" t="s">
        <v>68</v>
      </c>
      <c r="D1651" t="s">
        <v>10</v>
      </c>
      <c r="E1651" t="s">
        <v>16</v>
      </c>
      <c r="F1651">
        <v>1</v>
      </c>
    </row>
    <row r="1652" spans="1:6" x14ac:dyDescent="0.2">
      <c r="A1652" t="s">
        <v>368</v>
      </c>
      <c r="B1652" t="s">
        <v>362</v>
      </c>
      <c r="C1652" t="s">
        <v>367</v>
      </c>
      <c r="D1652" t="s">
        <v>10</v>
      </c>
      <c r="E1652" t="s">
        <v>16</v>
      </c>
      <c r="F1652">
        <v>1</v>
      </c>
    </row>
    <row r="1653" spans="1:6" x14ac:dyDescent="0.2">
      <c r="A1653" t="s">
        <v>3202</v>
      </c>
      <c r="B1653" t="s">
        <v>8483</v>
      </c>
      <c r="C1653" t="s">
        <v>3203</v>
      </c>
      <c r="D1653" t="s">
        <v>10</v>
      </c>
      <c r="E1653" t="s">
        <v>16</v>
      </c>
      <c r="F1653">
        <v>1</v>
      </c>
    </row>
    <row r="1654" spans="1:6" x14ac:dyDescent="0.2">
      <c r="A1654" t="s">
        <v>4421</v>
      </c>
      <c r="B1654" t="s">
        <v>4390</v>
      </c>
      <c r="C1654" t="s">
        <v>4420</v>
      </c>
      <c r="D1654" t="s">
        <v>10</v>
      </c>
      <c r="E1654" t="s">
        <v>11</v>
      </c>
      <c r="F1654">
        <v>1</v>
      </c>
    </row>
    <row r="1655" spans="1:6" x14ac:dyDescent="0.2">
      <c r="A1655" t="s">
        <v>1758</v>
      </c>
      <c r="B1655" t="s">
        <v>4390</v>
      </c>
      <c r="C1655" t="s">
        <v>4418</v>
      </c>
      <c r="D1655" t="s">
        <v>10</v>
      </c>
      <c r="E1655" t="s">
        <v>11</v>
      </c>
      <c r="F1655">
        <v>1</v>
      </c>
    </row>
    <row r="1656" spans="1:6" x14ac:dyDescent="0.2">
      <c r="A1656" t="s">
        <v>8300</v>
      </c>
      <c r="B1656" t="s">
        <v>8291</v>
      </c>
      <c r="C1656" t="s">
        <v>8299</v>
      </c>
      <c r="D1656" t="s">
        <v>10</v>
      </c>
      <c r="E1656" t="s">
        <v>16</v>
      </c>
      <c r="F1656">
        <v>1</v>
      </c>
    </row>
    <row r="1657" spans="1:6" x14ac:dyDescent="0.2">
      <c r="A1657" t="s">
        <v>7125</v>
      </c>
      <c r="B1657" t="s">
        <v>7097</v>
      </c>
      <c r="C1657" t="s">
        <v>7124</v>
      </c>
      <c r="D1657" t="s">
        <v>10</v>
      </c>
      <c r="E1657" t="s">
        <v>16</v>
      </c>
      <c r="F1657">
        <v>1</v>
      </c>
    </row>
    <row r="1658" spans="1:6" x14ac:dyDescent="0.2">
      <c r="A1658" t="s">
        <v>7127</v>
      </c>
      <c r="B1658" t="s">
        <v>7097</v>
      </c>
      <c r="C1658" t="s">
        <v>7126</v>
      </c>
      <c r="D1658" t="s">
        <v>10</v>
      </c>
      <c r="E1658" t="s">
        <v>16</v>
      </c>
      <c r="F1658">
        <v>1</v>
      </c>
    </row>
    <row r="1659" spans="1:6" x14ac:dyDescent="0.2">
      <c r="A1659" t="s">
        <v>7136</v>
      </c>
      <c r="B1659" t="s">
        <v>7097</v>
      </c>
      <c r="C1659" t="s">
        <v>7135</v>
      </c>
      <c r="D1659" t="s">
        <v>10</v>
      </c>
      <c r="E1659" t="s">
        <v>16</v>
      </c>
      <c r="F1659">
        <v>1</v>
      </c>
    </row>
    <row r="1660" spans="1:6" x14ac:dyDescent="0.2">
      <c r="A1660" t="s">
        <v>7114</v>
      </c>
      <c r="B1660" t="s">
        <v>7097</v>
      </c>
      <c r="C1660" t="s">
        <v>7113</v>
      </c>
      <c r="D1660" t="s">
        <v>10</v>
      </c>
      <c r="E1660" t="s">
        <v>16</v>
      </c>
      <c r="F1660">
        <v>1</v>
      </c>
    </row>
    <row r="1661" spans="1:6" x14ac:dyDescent="0.2">
      <c r="A1661" t="s">
        <v>7105</v>
      </c>
      <c r="B1661" t="s">
        <v>7097</v>
      </c>
      <c r="C1661" t="s">
        <v>7115</v>
      </c>
      <c r="D1661" t="s">
        <v>10</v>
      </c>
      <c r="E1661" t="s">
        <v>16</v>
      </c>
      <c r="F1661">
        <v>1</v>
      </c>
    </row>
    <row r="1662" spans="1:6" x14ac:dyDescent="0.2">
      <c r="A1662" t="s">
        <v>7117</v>
      </c>
      <c r="B1662" t="s">
        <v>7097</v>
      </c>
      <c r="C1662" t="s">
        <v>7116</v>
      </c>
      <c r="D1662" t="s">
        <v>10</v>
      </c>
      <c r="E1662" t="s">
        <v>16</v>
      </c>
      <c r="F1662">
        <v>1</v>
      </c>
    </row>
    <row r="1663" spans="1:6" x14ac:dyDescent="0.2">
      <c r="A1663" t="s">
        <v>7119</v>
      </c>
      <c r="B1663" t="s">
        <v>7097</v>
      </c>
      <c r="C1663" t="s">
        <v>7118</v>
      </c>
      <c r="D1663" t="s">
        <v>10</v>
      </c>
      <c r="E1663" t="s">
        <v>16</v>
      </c>
      <c r="F1663">
        <v>1</v>
      </c>
    </row>
    <row r="1664" spans="1:6" x14ac:dyDescent="0.2">
      <c r="A1664" t="s">
        <v>7101</v>
      </c>
      <c r="B1664" t="s">
        <v>7097</v>
      </c>
      <c r="C1664" t="s">
        <v>7130</v>
      </c>
      <c r="D1664" t="s">
        <v>10</v>
      </c>
      <c r="E1664" t="s">
        <v>16</v>
      </c>
      <c r="F1664">
        <v>1</v>
      </c>
    </row>
    <row r="1665" spans="1:6" x14ac:dyDescent="0.2">
      <c r="A1665" t="s">
        <v>7103</v>
      </c>
      <c r="B1665" t="s">
        <v>7097</v>
      </c>
      <c r="C1665" t="s">
        <v>7131</v>
      </c>
      <c r="D1665" t="s">
        <v>10</v>
      </c>
      <c r="E1665" t="s">
        <v>16</v>
      </c>
      <c r="F1665">
        <v>1</v>
      </c>
    </row>
    <row r="1666" spans="1:6" x14ac:dyDescent="0.2">
      <c r="A1666" t="s">
        <v>2964</v>
      </c>
      <c r="B1666" t="s">
        <v>7097</v>
      </c>
      <c r="C1666" t="s">
        <v>7120</v>
      </c>
      <c r="D1666" t="s">
        <v>10</v>
      </c>
      <c r="E1666" t="s">
        <v>16</v>
      </c>
      <c r="F1666">
        <v>1</v>
      </c>
    </row>
    <row r="1667" spans="1:6" x14ac:dyDescent="0.2">
      <c r="A1667" t="s">
        <v>7110</v>
      </c>
      <c r="B1667" t="s">
        <v>7097</v>
      </c>
      <c r="C1667" t="s">
        <v>7132</v>
      </c>
      <c r="D1667" t="s">
        <v>10</v>
      </c>
      <c r="E1667" t="s">
        <v>16</v>
      </c>
      <c r="F1667">
        <v>1</v>
      </c>
    </row>
    <row r="1668" spans="1:6" x14ac:dyDescent="0.2">
      <c r="A1668" t="s">
        <v>7099</v>
      </c>
      <c r="B1668" t="s">
        <v>7097</v>
      </c>
      <c r="C1668" t="s">
        <v>7121</v>
      </c>
      <c r="D1668" t="s">
        <v>10</v>
      </c>
      <c r="E1668" t="s">
        <v>16</v>
      </c>
      <c r="F1668">
        <v>1</v>
      </c>
    </row>
    <row r="1669" spans="1:6" x14ac:dyDescent="0.2">
      <c r="A1669" t="s">
        <v>7107</v>
      </c>
      <c r="B1669" t="s">
        <v>7097</v>
      </c>
      <c r="C1669" t="s">
        <v>7133</v>
      </c>
      <c r="D1669" t="s">
        <v>10</v>
      </c>
      <c r="E1669" t="s">
        <v>16</v>
      </c>
      <c r="F1669">
        <v>1</v>
      </c>
    </row>
    <row r="1670" spans="1:6" x14ac:dyDescent="0.2">
      <c r="A1670" t="s">
        <v>7123</v>
      </c>
      <c r="B1670" t="s">
        <v>7097</v>
      </c>
      <c r="C1670" t="s">
        <v>7122</v>
      </c>
      <c r="D1670" t="s">
        <v>10</v>
      </c>
      <c r="E1670" t="s">
        <v>16</v>
      </c>
      <c r="F1670">
        <v>1</v>
      </c>
    </row>
    <row r="1671" spans="1:6" x14ac:dyDescent="0.2">
      <c r="A1671" t="s">
        <v>7112</v>
      </c>
      <c r="B1671" t="s">
        <v>7097</v>
      </c>
      <c r="C1671" t="s">
        <v>7134</v>
      </c>
      <c r="D1671" t="s">
        <v>10</v>
      </c>
      <c r="E1671" t="s">
        <v>16</v>
      </c>
      <c r="F1671">
        <v>1</v>
      </c>
    </row>
    <row r="1672" spans="1:6" x14ac:dyDescent="0.2">
      <c r="A1672" t="s">
        <v>1386</v>
      </c>
      <c r="B1672" t="s">
        <v>1384</v>
      </c>
      <c r="C1672" t="s">
        <v>1385</v>
      </c>
      <c r="D1672" t="s">
        <v>10</v>
      </c>
      <c r="E1672" t="s">
        <v>16</v>
      </c>
      <c r="F1672">
        <v>1</v>
      </c>
    </row>
    <row r="1673" spans="1:6" x14ac:dyDescent="0.2">
      <c r="A1673" t="s">
        <v>7878</v>
      </c>
      <c r="B1673" t="s">
        <v>7876</v>
      </c>
      <c r="C1673" t="s">
        <v>7877</v>
      </c>
      <c r="D1673" t="s">
        <v>64</v>
      </c>
      <c r="E1673" t="s">
        <v>16</v>
      </c>
      <c r="F1673">
        <v>1</v>
      </c>
    </row>
    <row r="1674" spans="1:6" x14ac:dyDescent="0.2">
      <c r="A1674" t="s">
        <v>7880</v>
      </c>
      <c r="B1674" t="s">
        <v>7876</v>
      </c>
      <c r="C1674" t="s">
        <v>7879</v>
      </c>
      <c r="D1674" t="s">
        <v>64</v>
      </c>
      <c r="E1674" t="s">
        <v>16</v>
      </c>
      <c r="F1674">
        <v>1</v>
      </c>
    </row>
    <row r="1675" spans="1:6" x14ac:dyDescent="0.2">
      <c r="A1675" t="s">
        <v>7882</v>
      </c>
      <c r="B1675" t="s">
        <v>7876</v>
      </c>
      <c r="C1675" t="s">
        <v>7881</v>
      </c>
      <c r="D1675" t="s">
        <v>64</v>
      </c>
      <c r="E1675" t="s">
        <v>16</v>
      </c>
      <c r="F1675">
        <v>1</v>
      </c>
    </row>
    <row r="1676" spans="1:6" x14ac:dyDescent="0.2">
      <c r="A1676" t="s">
        <v>7884</v>
      </c>
      <c r="B1676" t="s">
        <v>7876</v>
      </c>
      <c r="C1676" t="s">
        <v>7883</v>
      </c>
      <c r="D1676" t="s">
        <v>64</v>
      </c>
      <c r="E1676" t="s">
        <v>16</v>
      </c>
      <c r="F1676">
        <v>1</v>
      </c>
    </row>
    <row r="1677" spans="1:6" x14ac:dyDescent="0.2">
      <c r="A1677" t="s">
        <v>7886</v>
      </c>
      <c r="B1677" t="s">
        <v>7876</v>
      </c>
      <c r="C1677" t="s">
        <v>7885</v>
      </c>
      <c r="D1677" t="s">
        <v>64</v>
      </c>
      <c r="E1677" t="s">
        <v>16</v>
      </c>
      <c r="F1677">
        <v>1</v>
      </c>
    </row>
    <row r="1678" spans="1:6" x14ac:dyDescent="0.2">
      <c r="A1678" t="s">
        <v>7888</v>
      </c>
      <c r="B1678" t="s">
        <v>7876</v>
      </c>
      <c r="C1678" t="s">
        <v>7889</v>
      </c>
      <c r="D1678" t="s">
        <v>64</v>
      </c>
      <c r="E1678" t="s">
        <v>16</v>
      </c>
      <c r="F1678">
        <v>1</v>
      </c>
    </row>
    <row r="1679" spans="1:6" x14ac:dyDescent="0.2">
      <c r="A1679" t="s">
        <v>8043</v>
      </c>
      <c r="B1679" t="s">
        <v>8041</v>
      </c>
      <c r="C1679" t="s">
        <v>8042</v>
      </c>
      <c r="D1679" t="s">
        <v>10</v>
      </c>
      <c r="E1679" t="s">
        <v>16</v>
      </c>
      <c r="F1679">
        <v>1</v>
      </c>
    </row>
    <row r="1680" spans="1:6" x14ac:dyDescent="0.2">
      <c r="A1680" t="s">
        <v>7875</v>
      </c>
      <c r="B1680" t="s">
        <v>7873</v>
      </c>
      <c r="C1680" t="s">
        <v>7874</v>
      </c>
      <c r="D1680" t="s">
        <v>64</v>
      </c>
      <c r="E1680" t="s">
        <v>16</v>
      </c>
      <c r="F1680">
        <v>1</v>
      </c>
    </row>
    <row r="1681" spans="1:6" x14ac:dyDescent="0.2">
      <c r="A1681" t="s">
        <v>7914</v>
      </c>
      <c r="B1681" t="s">
        <v>7912</v>
      </c>
      <c r="C1681" t="s">
        <v>7915</v>
      </c>
      <c r="D1681" t="s">
        <v>10</v>
      </c>
      <c r="E1681" t="s">
        <v>16</v>
      </c>
      <c r="F1681">
        <v>1</v>
      </c>
    </row>
    <row r="1682" spans="1:6" x14ac:dyDescent="0.2">
      <c r="A1682" t="s">
        <v>8657</v>
      </c>
      <c r="B1682" t="s">
        <v>8650</v>
      </c>
      <c r="C1682" t="s">
        <v>8656</v>
      </c>
      <c r="D1682" t="s">
        <v>10</v>
      </c>
      <c r="E1682" t="s">
        <v>16</v>
      </c>
      <c r="F1682">
        <v>1</v>
      </c>
    </row>
    <row r="1683" spans="1:6" x14ac:dyDescent="0.2">
      <c r="A1683" t="s">
        <v>4288</v>
      </c>
      <c r="B1683" t="s">
        <v>4286</v>
      </c>
      <c r="C1683" t="s">
        <v>4287</v>
      </c>
      <c r="D1683" t="s">
        <v>10</v>
      </c>
      <c r="E1683" t="s">
        <v>16</v>
      </c>
      <c r="F1683">
        <v>1</v>
      </c>
    </row>
    <row r="1684" spans="1:6" x14ac:dyDescent="0.2">
      <c r="A1684" t="s">
        <v>7323</v>
      </c>
      <c r="B1684" t="s">
        <v>7321</v>
      </c>
      <c r="C1684" t="s">
        <v>7322</v>
      </c>
      <c r="D1684" t="s">
        <v>10</v>
      </c>
      <c r="E1684" t="s">
        <v>16</v>
      </c>
      <c r="F1684">
        <v>1</v>
      </c>
    </row>
    <row r="1685" spans="1:6" x14ac:dyDescent="0.2">
      <c r="A1685" t="s">
        <v>8272</v>
      </c>
      <c r="B1685" t="s">
        <v>8271</v>
      </c>
      <c r="C1685" t="s">
        <v>12106</v>
      </c>
      <c r="D1685" t="s">
        <v>10</v>
      </c>
      <c r="E1685" t="s">
        <v>16</v>
      </c>
      <c r="F1685">
        <v>1</v>
      </c>
    </row>
    <row r="1686" spans="1:6" x14ac:dyDescent="0.2">
      <c r="A1686" t="s">
        <v>8209</v>
      </c>
      <c r="B1686" t="s">
        <v>8193</v>
      </c>
      <c r="C1686" t="s">
        <v>8208</v>
      </c>
      <c r="D1686" t="s">
        <v>10</v>
      </c>
      <c r="E1686" t="s">
        <v>16</v>
      </c>
      <c r="F1686">
        <v>1</v>
      </c>
    </row>
    <row r="1687" spans="1:6" x14ac:dyDescent="0.2">
      <c r="A1687" t="s">
        <v>8281</v>
      </c>
      <c r="B1687" t="s">
        <v>8277</v>
      </c>
      <c r="C1687" t="s">
        <v>8280</v>
      </c>
      <c r="D1687" t="s">
        <v>10</v>
      </c>
      <c r="E1687" t="s">
        <v>16</v>
      </c>
      <c r="F1687">
        <v>1</v>
      </c>
    </row>
    <row r="1688" spans="1:6" x14ac:dyDescent="0.2">
      <c r="A1688" t="s">
        <v>8430</v>
      </c>
      <c r="B1688" t="s">
        <v>11581</v>
      </c>
      <c r="C1688" t="s">
        <v>11582</v>
      </c>
      <c r="D1688" t="s">
        <v>10</v>
      </c>
      <c r="E1688" t="s">
        <v>16</v>
      </c>
      <c r="F1688">
        <v>1</v>
      </c>
    </row>
    <row r="1689" spans="1:6" x14ac:dyDescent="0.2">
      <c r="A1689" t="s">
        <v>8274</v>
      </c>
      <c r="B1689" t="s">
        <v>8273</v>
      </c>
      <c r="C1689" t="s">
        <v>1710</v>
      </c>
      <c r="D1689" t="s">
        <v>10</v>
      </c>
      <c r="E1689" t="s">
        <v>16</v>
      </c>
      <c r="F1689">
        <v>1</v>
      </c>
    </row>
    <row r="1690" spans="1:6" x14ac:dyDescent="0.2">
      <c r="A1690" t="s">
        <v>4480</v>
      </c>
      <c r="B1690" t="s">
        <v>4451</v>
      </c>
      <c r="C1690" t="s">
        <v>4479</v>
      </c>
      <c r="D1690" t="s">
        <v>10</v>
      </c>
      <c r="E1690" t="s">
        <v>16</v>
      </c>
      <c r="F1690">
        <v>2</v>
      </c>
    </row>
    <row r="1691" spans="1:6" x14ac:dyDescent="0.2">
      <c r="A1691" t="s">
        <v>6691</v>
      </c>
      <c r="B1691" t="s">
        <v>6687</v>
      </c>
      <c r="C1691" t="s">
        <v>6690</v>
      </c>
      <c r="D1691" t="s">
        <v>10</v>
      </c>
      <c r="E1691" t="s">
        <v>16</v>
      </c>
      <c r="F1691">
        <v>1</v>
      </c>
    </row>
    <row r="1692" spans="1:6" x14ac:dyDescent="0.2">
      <c r="A1692" t="s">
        <v>343</v>
      </c>
      <c r="B1692" t="s">
        <v>341</v>
      </c>
      <c r="C1692" t="s">
        <v>342</v>
      </c>
      <c r="D1692" t="s">
        <v>10</v>
      </c>
      <c r="E1692" t="s">
        <v>16</v>
      </c>
      <c r="F1692">
        <v>1</v>
      </c>
    </row>
    <row r="1693" spans="1:6" x14ac:dyDescent="0.2">
      <c r="A1693" t="s">
        <v>9350</v>
      </c>
      <c r="B1693" t="s">
        <v>9348</v>
      </c>
      <c r="C1693" t="s">
        <v>9351</v>
      </c>
      <c r="D1693" t="s">
        <v>10</v>
      </c>
      <c r="E1693" t="s">
        <v>16</v>
      </c>
      <c r="F1693">
        <v>1</v>
      </c>
    </row>
    <row r="1694" spans="1:6" x14ac:dyDescent="0.2">
      <c r="A1694" t="s">
        <v>8470</v>
      </c>
      <c r="B1694" t="s">
        <v>8462</v>
      </c>
      <c r="C1694" t="s">
        <v>8469</v>
      </c>
      <c r="D1694" t="s">
        <v>10</v>
      </c>
      <c r="E1694" t="s">
        <v>16</v>
      </c>
      <c r="F1694">
        <v>1</v>
      </c>
    </row>
    <row r="1695" spans="1:6" x14ac:dyDescent="0.2">
      <c r="A1695" t="s">
        <v>8464</v>
      </c>
      <c r="B1695" t="s">
        <v>8462</v>
      </c>
      <c r="C1695" t="s">
        <v>8471</v>
      </c>
      <c r="D1695" t="s">
        <v>10</v>
      </c>
      <c r="E1695" t="s">
        <v>16</v>
      </c>
      <c r="F1695">
        <v>1</v>
      </c>
    </row>
    <row r="1696" spans="1:6" x14ac:dyDescent="0.2">
      <c r="A1696" t="s">
        <v>8474</v>
      </c>
      <c r="B1696" t="s">
        <v>8462</v>
      </c>
      <c r="C1696" t="s">
        <v>8473</v>
      </c>
      <c r="D1696" t="s">
        <v>10</v>
      </c>
      <c r="E1696" t="s">
        <v>52</v>
      </c>
      <c r="F1696">
        <v>1</v>
      </c>
    </row>
    <row r="1697" spans="1:6" x14ac:dyDescent="0.2">
      <c r="A1697" t="s">
        <v>8279</v>
      </c>
      <c r="B1697" t="s">
        <v>8277</v>
      </c>
      <c r="C1697" t="s">
        <v>8278</v>
      </c>
      <c r="D1697" t="s">
        <v>10</v>
      </c>
      <c r="E1697" t="s">
        <v>16</v>
      </c>
      <c r="F1697">
        <v>1</v>
      </c>
    </row>
    <row r="1698" spans="1:6" x14ac:dyDescent="0.2">
      <c r="A1698" t="s">
        <v>6354</v>
      </c>
      <c r="B1698" t="s">
        <v>6352</v>
      </c>
      <c r="C1698" t="s">
        <v>6353</v>
      </c>
      <c r="D1698" t="s">
        <v>10</v>
      </c>
      <c r="E1698" t="s">
        <v>16</v>
      </c>
      <c r="F1698">
        <v>1</v>
      </c>
    </row>
    <row r="1699" spans="1:6" x14ac:dyDescent="0.2">
      <c r="A1699" t="s">
        <v>4423</v>
      </c>
      <c r="B1699" t="s">
        <v>4390</v>
      </c>
      <c r="C1699" t="s">
        <v>4422</v>
      </c>
      <c r="D1699" t="s">
        <v>10</v>
      </c>
      <c r="E1699" t="s">
        <v>11</v>
      </c>
      <c r="F1699">
        <v>1</v>
      </c>
    </row>
    <row r="1700" spans="1:6" x14ac:dyDescent="0.2">
      <c r="A1700" t="s">
        <v>8267</v>
      </c>
      <c r="B1700" t="s">
        <v>8235</v>
      </c>
      <c r="C1700" t="s">
        <v>8266</v>
      </c>
      <c r="D1700" t="s">
        <v>10</v>
      </c>
      <c r="E1700" t="s">
        <v>11</v>
      </c>
      <c r="F1700">
        <v>2</v>
      </c>
    </row>
    <row r="1701" spans="1:6" x14ac:dyDescent="0.2">
      <c r="A1701" t="s">
        <v>8269</v>
      </c>
      <c r="B1701" t="s">
        <v>8235</v>
      </c>
      <c r="C1701" t="s">
        <v>8268</v>
      </c>
      <c r="D1701" t="s">
        <v>10</v>
      </c>
      <c r="E1701" t="s">
        <v>11</v>
      </c>
      <c r="F1701">
        <v>2</v>
      </c>
    </row>
    <row r="1702" spans="1:6" x14ac:dyDescent="0.2">
      <c r="A1702" t="s">
        <v>4258</v>
      </c>
      <c r="B1702" t="s">
        <v>4334</v>
      </c>
      <c r="C1702" t="s">
        <v>4257</v>
      </c>
      <c r="D1702" t="s">
        <v>29</v>
      </c>
      <c r="E1702" t="s">
        <v>16</v>
      </c>
      <c r="F1702">
        <v>1</v>
      </c>
    </row>
    <row r="1703" spans="1:6" x14ac:dyDescent="0.2">
      <c r="A1703" t="s">
        <v>8231</v>
      </c>
      <c r="B1703" t="s">
        <v>8227</v>
      </c>
      <c r="C1703" t="s">
        <v>8230</v>
      </c>
      <c r="D1703" t="s">
        <v>10</v>
      </c>
      <c r="E1703" t="s">
        <v>16</v>
      </c>
      <c r="F1703">
        <v>1</v>
      </c>
    </row>
    <row r="1704" spans="1:6" x14ac:dyDescent="0.2">
      <c r="A1704" t="s">
        <v>8521</v>
      </c>
      <c r="B1704" t="s">
        <v>8519</v>
      </c>
      <c r="C1704" t="s">
        <v>8520</v>
      </c>
      <c r="D1704" t="s">
        <v>10</v>
      </c>
      <c r="E1704" t="s">
        <v>16</v>
      </c>
      <c r="F1704">
        <v>1</v>
      </c>
    </row>
    <row r="1705" spans="1:6" x14ac:dyDescent="0.2">
      <c r="A1705" t="s">
        <v>10734</v>
      </c>
      <c r="B1705" t="s">
        <v>10721</v>
      </c>
      <c r="C1705" t="s">
        <v>10733</v>
      </c>
      <c r="D1705" t="s">
        <v>10</v>
      </c>
      <c r="E1705" t="s">
        <v>16</v>
      </c>
      <c r="F1705">
        <v>1</v>
      </c>
    </row>
    <row r="1706" spans="1:6" x14ac:dyDescent="0.2">
      <c r="A1706" t="s">
        <v>8362</v>
      </c>
      <c r="B1706" t="s">
        <v>8353</v>
      </c>
      <c r="C1706" t="s">
        <v>8361</v>
      </c>
      <c r="D1706" t="s">
        <v>10</v>
      </c>
      <c r="E1706" t="s">
        <v>16</v>
      </c>
      <c r="F1706">
        <v>1</v>
      </c>
    </row>
    <row r="1707" spans="1:6" x14ac:dyDescent="0.2">
      <c r="A1707" t="s">
        <v>10736</v>
      </c>
      <c r="B1707" t="s">
        <v>10721</v>
      </c>
      <c r="C1707" t="s">
        <v>10735</v>
      </c>
      <c r="D1707" t="s">
        <v>10</v>
      </c>
      <c r="E1707" t="s">
        <v>16</v>
      </c>
      <c r="F1707">
        <v>1</v>
      </c>
    </row>
    <row r="1708" spans="1:6" x14ac:dyDescent="0.2">
      <c r="A1708" t="s">
        <v>10725</v>
      </c>
      <c r="B1708" t="s">
        <v>10721</v>
      </c>
      <c r="C1708" t="s">
        <v>10737</v>
      </c>
      <c r="D1708" t="s">
        <v>10</v>
      </c>
      <c r="E1708" t="s">
        <v>16</v>
      </c>
      <c r="F1708">
        <v>1</v>
      </c>
    </row>
    <row r="1709" spans="1:6" x14ac:dyDescent="0.2">
      <c r="A1709" t="s">
        <v>8364</v>
      </c>
      <c r="B1709" t="s">
        <v>8353</v>
      </c>
      <c r="C1709" t="s">
        <v>8363</v>
      </c>
      <c r="D1709" t="s">
        <v>10</v>
      </c>
      <c r="E1709" t="s">
        <v>16</v>
      </c>
      <c r="F1709">
        <v>1</v>
      </c>
    </row>
    <row r="1710" spans="1:6" x14ac:dyDescent="0.2">
      <c r="A1710" t="s">
        <v>8357</v>
      </c>
      <c r="B1710" t="s">
        <v>8353</v>
      </c>
      <c r="C1710" t="s">
        <v>8372</v>
      </c>
      <c r="D1710" t="s">
        <v>10</v>
      </c>
      <c r="E1710" t="s">
        <v>16</v>
      </c>
      <c r="F1710">
        <v>1</v>
      </c>
    </row>
    <row r="1711" spans="1:6" x14ac:dyDescent="0.2">
      <c r="A1711" t="s">
        <v>4690</v>
      </c>
      <c r="B1711" t="s">
        <v>8353</v>
      </c>
      <c r="C1711" t="s">
        <v>4689</v>
      </c>
      <c r="D1711" t="s">
        <v>10</v>
      </c>
      <c r="E1711" t="s">
        <v>11</v>
      </c>
      <c r="F1711">
        <v>2</v>
      </c>
    </row>
    <row r="1712" spans="1:6" x14ac:dyDescent="0.2">
      <c r="A1712" t="s">
        <v>8355</v>
      </c>
      <c r="B1712" t="s">
        <v>8353</v>
      </c>
      <c r="C1712" t="s">
        <v>8354</v>
      </c>
      <c r="D1712" t="s">
        <v>10</v>
      </c>
      <c r="E1712" t="s">
        <v>16</v>
      </c>
      <c r="F1712">
        <v>1</v>
      </c>
    </row>
    <row r="1713" spans="1:6" x14ac:dyDescent="0.2">
      <c r="A1713" t="s">
        <v>8355</v>
      </c>
      <c r="B1713" t="s">
        <v>8353</v>
      </c>
      <c r="C1713" t="s">
        <v>8358</v>
      </c>
      <c r="D1713" t="s">
        <v>10</v>
      </c>
      <c r="E1713" t="s">
        <v>16</v>
      </c>
      <c r="F1713">
        <v>1</v>
      </c>
    </row>
    <row r="1714" spans="1:6" x14ac:dyDescent="0.2">
      <c r="A1714" t="s">
        <v>2110</v>
      </c>
      <c r="B1714" t="s">
        <v>2104</v>
      </c>
      <c r="C1714" t="s">
        <v>2109</v>
      </c>
      <c r="D1714" t="s">
        <v>10</v>
      </c>
      <c r="E1714" t="s">
        <v>16</v>
      </c>
      <c r="F1714">
        <v>1</v>
      </c>
    </row>
    <row r="1715" spans="1:6" x14ac:dyDescent="0.2">
      <c r="A1715" t="s">
        <v>1862</v>
      </c>
      <c r="B1715" t="s">
        <v>9964</v>
      </c>
      <c r="C1715" t="s">
        <v>1861</v>
      </c>
      <c r="D1715" t="s">
        <v>64</v>
      </c>
      <c r="E1715" t="s">
        <v>16</v>
      </c>
      <c r="F1715">
        <v>1</v>
      </c>
    </row>
    <row r="1716" spans="1:6" x14ac:dyDescent="0.2">
      <c r="A1716" t="s">
        <v>8246</v>
      </c>
      <c r="B1716" t="s">
        <v>8235</v>
      </c>
      <c r="C1716" t="s">
        <v>8250</v>
      </c>
      <c r="D1716" t="s">
        <v>10</v>
      </c>
      <c r="E1716" t="s">
        <v>52</v>
      </c>
      <c r="F1716">
        <v>2</v>
      </c>
    </row>
    <row r="1717" spans="1:6" x14ac:dyDescent="0.2">
      <c r="A1717" t="s">
        <v>1362</v>
      </c>
      <c r="B1717" t="s">
        <v>1360</v>
      </c>
      <c r="C1717" t="s">
        <v>1361</v>
      </c>
      <c r="D1717" t="s">
        <v>10</v>
      </c>
      <c r="E1717" t="s">
        <v>16</v>
      </c>
      <c r="F1717">
        <v>1</v>
      </c>
    </row>
    <row r="1718" spans="1:6" x14ac:dyDescent="0.2">
      <c r="A1718" t="s">
        <v>8239</v>
      </c>
      <c r="B1718" t="s">
        <v>8235</v>
      </c>
      <c r="C1718" t="s">
        <v>8253</v>
      </c>
      <c r="D1718" t="s">
        <v>10</v>
      </c>
      <c r="E1718" t="s">
        <v>11</v>
      </c>
      <c r="F1718">
        <v>2</v>
      </c>
    </row>
    <row r="1719" spans="1:6" x14ac:dyDescent="0.2">
      <c r="A1719" t="s">
        <v>3200</v>
      </c>
      <c r="B1719" t="s">
        <v>3198</v>
      </c>
      <c r="C1719" t="s">
        <v>3199</v>
      </c>
      <c r="D1719" t="s">
        <v>10</v>
      </c>
      <c r="E1719" t="s">
        <v>16</v>
      </c>
      <c r="F1719">
        <v>1</v>
      </c>
    </row>
    <row r="1720" spans="1:6" x14ac:dyDescent="0.2">
      <c r="A1720" t="s">
        <v>3200</v>
      </c>
      <c r="B1720" t="s">
        <v>8483</v>
      </c>
      <c r="C1720" t="s">
        <v>3199</v>
      </c>
      <c r="D1720" t="s">
        <v>10</v>
      </c>
      <c r="E1720" t="s">
        <v>16</v>
      </c>
      <c r="F1720">
        <v>1</v>
      </c>
    </row>
    <row r="1721" spans="1:6" x14ac:dyDescent="0.2">
      <c r="A1721" t="s">
        <v>8486</v>
      </c>
      <c r="B1721" t="s">
        <v>8484</v>
      </c>
      <c r="C1721" t="s">
        <v>8485</v>
      </c>
      <c r="D1721" t="s">
        <v>10</v>
      </c>
      <c r="E1721" t="s">
        <v>16</v>
      </c>
      <c r="F1721">
        <v>1</v>
      </c>
    </row>
    <row r="1722" spans="1:6" x14ac:dyDescent="0.2">
      <c r="A1722" t="s">
        <v>9032</v>
      </c>
      <c r="B1722" t="s">
        <v>9031</v>
      </c>
      <c r="C1722" t="s">
        <v>134</v>
      </c>
      <c r="D1722" t="s">
        <v>10</v>
      </c>
      <c r="E1722" t="s">
        <v>16</v>
      </c>
      <c r="F1722">
        <v>1</v>
      </c>
    </row>
    <row r="1723" spans="1:6" x14ac:dyDescent="0.2">
      <c r="A1723" t="s">
        <v>726</v>
      </c>
      <c r="B1723" t="s">
        <v>722</v>
      </c>
      <c r="C1723" t="s">
        <v>727</v>
      </c>
      <c r="D1723" t="s">
        <v>10</v>
      </c>
      <c r="E1723" t="s">
        <v>16</v>
      </c>
      <c r="F1723">
        <v>1</v>
      </c>
    </row>
    <row r="1724" spans="1:6" x14ac:dyDescent="0.2">
      <c r="A1724" t="s">
        <v>335</v>
      </c>
      <c r="B1724" t="s">
        <v>348</v>
      </c>
      <c r="C1724" t="s">
        <v>352</v>
      </c>
      <c r="D1724" t="s">
        <v>10</v>
      </c>
      <c r="E1724" t="s">
        <v>16</v>
      </c>
      <c r="F1724">
        <v>1</v>
      </c>
    </row>
    <row r="1725" spans="1:6" x14ac:dyDescent="0.2">
      <c r="A1725" t="s">
        <v>8493</v>
      </c>
      <c r="B1725" t="s">
        <v>8491</v>
      </c>
      <c r="C1725" t="s">
        <v>8492</v>
      </c>
      <c r="D1725" t="s">
        <v>10</v>
      </c>
      <c r="E1725" t="s">
        <v>16</v>
      </c>
      <c r="F1725">
        <v>1</v>
      </c>
    </row>
    <row r="1726" spans="1:6" x14ac:dyDescent="0.2">
      <c r="A1726" t="s">
        <v>332</v>
      </c>
      <c r="B1726" t="s">
        <v>348</v>
      </c>
      <c r="C1726" t="s">
        <v>353</v>
      </c>
      <c r="D1726" t="s">
        <v>10</v>
      </c>
      <c r="E1726" t="s">
        <v>16</v>
      </c>
      <c r="F1726">
        <v>1</v>
      </c>
    </row>
    <row r="1727" spans="1:6" x14ac:dyDescent="0.2">
      <c r="A1727" t="s">
        <v>724</v>
      </c>
      <c r="B1727" t="s">
        <v>722</v>
      </c>
      <c r="C1727" t="s">
        <v>728</v>
      </c>
      <c r="D1727" t="s">
        <v>10</v>
      </c>
      <c r="E1727" t="s">
        <v>16</v>
      </c>
      <c r="F1727">
        <v>1</v>
      </c>
    </row>
    <row r="1728" spans="1:6" x14ac:dyDescent="0.2">
      <c r="A1728" t="s">
        <v>350</v>
      </c>
      <c r="B1728" t="s">
        <v>722</v>
      </c>
      <c r="C1728" t="s">
        <v>351</v>
      </c>
      <c r="D1728" t="s">
        <v>10</v>
      </c>
      <c r="E1728" t="s">
        <v>16</v>
      </c>
      <c r="F1728">
        <v>1</v>
      </c>
    </row>
    <row r="1729" spans="1:6" x14ac:dyDescent="0.2">
      <c r="A1729" t="s">
        <v>8494</v>
      </c>
      <c r="B1729" t="s">
        <v>8491</v>
      </c>
      <c r="C1729" t="s">
        <v>8494</v>
      </c>
      <c r="D1729" t="s">
        <v>10</v>
      </c>
      <c r="E1729" t="s">
        <v>16</v>
      </c>
      <c r="F1729">
        <v>1</v>
      </c>
    </row>
    <row r="1730" spans="1:6" x14ac:dyDescent="0.2">
      <c r="A1730" t="s">
        <v>8517</v>
      </c>
      <c r="B1730" t="s">
        <v>8513</v>
      </c>
      <c r="C1730" t="s">
        <v>8516</v>
      </c>
      <c r="D1730" t="s">
        <v>10</v>
      </c>
      <c r="E1730" t="s">
        <v>16</v>
      </c>
      <c r="F1730">
        <v>1</v>
      </c>
    </row>
    <row r="1731" spans="1:6" x14ac:dyDescent="0.2">
      <c r="A1731" t="s">
        <v>8515</v>
      </c>
      <c r="B1731" t="s">
        <v>8513</v>
      </c>
      <c r="C1731" t="s">
        <v>8518</v>
      </c>
      <c r="D1731" t="s">
        <v>10</v>
      </c>
      <c r="E1731" t="s">
        <v>16</v>
      </c>
      <c r="F1731">
        <v>1</v>
      </c>
    </row>
    <row r="1732" spans="1:6" x14ac:dyDescent="0.2">
      <c r="A1732" t="s">
        <v>8497</v>
      </c>
      <c r="B1732" t="s">
        <v>8495</v>
      </c>
      <c r="C1732" t="s">
        <v>7970</v>
      </c>
      <c r="D1732" t="s">
        <v>10</v>
      </c>
      <c r="E1732" t="s">
        <v>11</v>
      </c>
      <c r="F1732">
        <v>4</v>
      </c>
    </row>
    <row r="1733" spans="1:6" x14ac:dyDescent="0.2">
      <c r="A1733" t="s">
        <v>4417</v>
      </c>
      <c r="B1733" t="s">
        <v>4390</v>
      </c>
      <c r="C1733" t="s">
        <v>4416</v>
      </c>
      <c r="D1733" t="s">
        <v>10</v>
      </c>
      <c r="E1733" t="s">
        <v>11</v>
      </c>
      <c r="F1733">
        <v>1</v>
      </c>
    </row>
    <row r="1734" spans="1:6" x14ac:dyDescent="0.2">
      <c r="A1734" t="s">
        <v>8630</v>
      </c>
      <c r="B1734" t="s">
        <v>8624</v>
      </c>
      <c r="C1734" t="s">
        <v>8629</v>
      </c>
      <c r="D1734" t="s">
        <v>10</v>
      </c>
      <c r="E1734" t="s">
        <v>16</v>
      </c>
      <c r="F1734">
        <v>1</v>
      </c>
    </row>
    <row r="1735" spans="1:6" x14ac:dyDescent="0.2">
      <c r="A1735" t="s">
        <v>8634</v>
      </c>
      <c r="B1735" t="s">
        <v>8624</v>
      </c>
      <c r="C1735" t="s">
        <v>8633</v>
      </c>
      <c r="D1735" t="s">
        <v>10</v>
      </c>
      <c r="E1735" t="s">
        <v>16</v>
      </c>
      <c r="F1735">
        <v>1</v>
      </c>
    </row>
    <row r="1736" spans="1:6" x14ac:dyDescent="0.2">
      <c r="A1736" t="s">
        <v>8798</v>
      </c>
      <c r="B1736" t="s">
        <v>8796</v>
      </c>
      <c r="C1736" t="s">
        <v>8797</v>
      </c>
      <c r="D1736" t="s">
        <v>10</v>
      </c>
      <c r="E1736" t="s">
        <v>52</v>
      </c>
      <c r="F1736">
        <v>2</v>
      </c>
    </row>
    <row r="1737" spans="1:6" x14ac:dyDescent="0.2">
      <c r="A1737" t="s">
        <v>8033</v>
      </c>
      <c r="B1737" t="s">
        <v>8029</v>
      </c>
      <c r="C1737" t="s">
        <v>8032</v>
      </c>
      <c r="D1737" t="s">
        <v>10</v>
      </c>
      <c r="E1737" t="s">
        <v>52</v>
      </c>
      <c r="F1737">
        <v>2</v>
      </c>
    </row>
    <row r="1738" spans="1:6" x14ac:dyDescent="0.2">
      <c r="A1738" t="s">
        <v>8033</v>
      </c>
      <c r="B1738" t="s">
        <v>8624</v>
      </c>
      <c r="C1738" t="s">
        <v>8625</v>
      </c>
      <c r="D1738" t="s">
        <v>10</v>
      </c>
      <c r="E1738" t="s">
        <v>52</v>
      </c>
      <c r="F1738">
        <v>2</v>
      </c>
    </row>
    <row r="1739" spans="1:6" x14ac:dyDescent="0.2">
      <c r="A1739" t="s">
        <v>643</v>
      </c>
      <c r="B1739" t="s">
        <v>587</v>
      </c>
      <c r="C1739" t="s">
        <v>650</v>
      </c>
      <c r="D1739" t="s">
        <v>10</v>
      </c>
      <c r="E1739" t="s">
        <v>52</v>
      </c>
      <c r="F1739">
        <v>2</v>
      </c>
    </row>
    <row r="1740" spans="1:6" x14ac:dyDescent="0.2">
      <c r="A1740" t="s">
        <v>8790</v>
      </c>
      <c r="B1740" t="s">
        <v>8788</v>
      </c>
      <c r="C1740" t="s">
        <v>8791</v>
      </c>
      <c r="D1740" t="s">
        <v>10</v>
      </c>
      <c r="E1740" t="s">
        <v>16</v>
      </c>
      <c r="F1740">
        <v>1</v>
      </c>
    </row>
    <row r="1741" spans="1:6" x14ac:dyDescent="0.2">
      <c r="A1741" t="s">
        <v>8641</v>
      </c>
      <c r="B1741" t="s">
        <v>8624</v>
      </c>
      <c r="C1741" t="s">
        <v>12107</v>
      </c>
      <c r="D1741" t="s">
        <v>10</v>
      </c>
      <c r="E1741" t="s">
        <v>16</v>
      </c>
      <c r="F1741">
        <v>1</v>
      </c>
    </row>
    <row r="1742" spans="1:6" x14ac:dyDescent="0.2">
      <c r="A1742" t="s">
        <v>8642</v>
      </c>
      <c r="B1742" t="s">
        <v>8624</v>
      </c>
      <c r="C1742" t="s">
        <v>12108</v>
      </c>
      <c r="D1742" t="s">
        <v>10</v>
      </c>
      <c r="E1742" t="s">
        <v>16</v>
      </c>
      <c r="F1742">
        <v>1</v>
      </c>
    </row>
    <row r="1743" spans="1:6" x14ac:dyDescent="0.2">
      <c r="A1743" t="s">
        <v>8554</v>
      </c>
      <c r="B1743" t="s">
        <v>8553</v>
      </c>
      <c r="C1743" t="s">
        <v>8554</v>
      </c>
      <c r="D1743" t="s">
        <v>10</v>
      </c>
      <c r="E1743" t="s">
        <v>16</v>
      </c>
      <c r="F1743">
        <v>1</v>
      </c>
    </row>
    <row r="1744" spans="1:6" x14ac:dyDescent="0.2">
      <c r="A1744" t="s">
        <v>6629</v>
      </c>
      <c r="B1744" t="s">
        <v>6619</v>
      </c>
      <c r="C1744" t="s">
        <v>6628</v>
      </c>
      <c r="D1744" t="s">
        <v>10</v>
      </c>
      <c r="E1744" t="s">
        <v>16</v>
      </c>
      <c r="F1744">
        <v>1</v>
      </c>
    </row>
    <row r="1745" spans="1:6" x14ac:dyDescent="0.2">
      <c r="A1745" t="s">
        <v>11521</v>
      </c>
      <c r="B1745" t="s">
        <v>11519</v>
      </c>
      <c r="C1745" t="s">
        <v>11522</v>
      </c>
      <c r="D1745" t="s">
        <v>56</v>
      </c>
      <c r="E1745" t="s">
        <v>52</v>
      </c>
      <c r="F1745">
        <v>2</v>
      </c>
    </row>
    <row r="1746" spans="1:6" x14ac:dyDescent="0.2">
      <c r="A1746" t="s">
        <v>8527</v>
      </c>
      <c r="B1746" t="s">
        <v>8526</v>
      </c>
      <c r="C1746" t="s">
        <v>8528</v>
      </c>
      <c r="D1746" t="s">
        <v>10</v>
      </c>
      <c r="E1746" t="s">
        <v>16</v>
      </c>
      <c r="F1746">
        <v>1</v>
      </c>
    </row>
    <row r="1747" spans="1:6" x14ac:dyDescent="0.2">
      <c r="A1747" t="s">
        <v>8685</v>
      </c>
      <c r="B1747" t="s">
        <v>10031</v>
      </c>
      <c r="C1747" t="s">
        <v>8692</v>
      </c>
      <c r="D1747" t="s">
        <v>10</v>
      </c>
      <c r="E1747" t="s">
        <v>16</v>
      </c>
      <c r="F1747">
        <v>1</v>
      </c>
    </row>
    <row r="1748" spans="1:6" x14ac:dyDescent="0.2">
      <c r="A1748" t="s">
        <v>8644</v>
      </c>
      <c r="B1748" t="s">
        <v>8624</v>
      </c>
      <c r="C1748" t="s">
        <v>8643</v>
      </c>
      <c r="D1748" t="s">
        <v>10</v>
      </c>
      <c r="E1748" t="s">
        <v>16</v>
      </c>
      <c r="F1748">
        <v>1</v>
      </c>
    </row>
    <row r="1749" spans="1:6" x14ac:dyDescent="0.2">
      <c r="A1749" t="s">
        <v>8560</v>
      </c>
      <c r="B1749" t="s">
        <v>8558</v>
      </c>
      <c r="C1749" t="s">
        <v>8559</v>
      </c>
      <c r="D1749" t="s">
        <v>10</v>
      </c>
      <c r="E1749" t="s">
        <v>52</v>
      </c>
      <c r="F1749">
        <v>1</v>
      </c>
    </row>
    <row r="1750" spans="1:6" x14ac:dyDescent="0.2">
      <c r="A1750" t="s">
        <v>8660</v>
      </c>
      <c r="B1750" t="s">
        <v>8658</v>
      </c>
      <c r="C1750" t="s">
        <v>8659</v>
      </c>
      <c r="D1750" t="s">
        <v>10</v>
      </c>
      <c r="E1750" t="s">
        <v>16</v>
      </c>
      <c r="F1750">
        <v>1</v>
      </c>
    </row>
    <row r="1751" spans="1:6" x14ac:dyDescent="0.2">
      <c r="A1751" t="s">
        <v>8662</v>
      </c>
      <c r="B1751" t="s">
        <v>8658</v>
      </c>
      <c r="C1751" t="s">
        <v>8661</v>
      </c>
      <c r="D1751" t="s">
        <v>10</v>
      </c>
      <c r="E1751" t="s">
        <v>16</v>
      </c>
      <c r="F1751">
        <v>1</v>
      </c>
    </row>
    <row r="1752" spans="1:6" x14ac:dyDescent="0.2">
      <c r="A1752" t="s">
        <v>8652</v>
      </c>
      <c r="B1752" t="s">
        <v>8650</v>
      </c>
      <c r="C1752" t="s">
        <v>8651</v>
      </c>
      <c r="D1752" t="s">
        <v>10</v>
      </c>
      <c r="E1752" t="s">
        <v>16</v>
      </c>
      <c r="F1752">
        <v>1</v>
      </c>
    </row>
    <row r="1753" spans="1:6" x14ac:dyDescent="0.2">
      <c r="A1753" t="s">
        <v>3142</v>
      </c>
      <c r="B1753" t="s">
        <v>3140</v>
      </c>
      <c r="C1753" t="s">
        <v>3141</v>
      </c>
      <c r="D1753" t="s">
        <v>10</v>
      </c>
      <c r="E1753" t="s">
        <v>16</v>
      </c>
      <c r="F1753">
        <v>1</v>
      </c>
    </row>
    <row r="1754" spans="1:6" x14ac:dyDescent="0.2">
      <c r="A1754" t="s">
        <v>3144</v>
      </c>
      <c r="B1754" t="s">
        <v>3140</v>
      </c>
      <c r="C1754" t="s">
        <v>3143</v>
      </c>
      <c r="D1754" t="s">
        <v>10</v>
      </c>
      <c r="E1754" t="s">
        <v>16</v>
      </c>
      <c r="F1754">
        <v>1</v>
      </c>
    </row>
    <row r="1755" spans="1:6" x14ac:dyDescent="0.2">
      <c r="A1755" t="s">
        <v>1856</v>
      </c>
      <c r="B1755" t="s">
        <v>8604</v>
      </c>
      <c r="C1755" t="s">
        <v>8605</v>
      </c>
      <c r="D1755" t="s">
        <v>56</v>
      </c>
      <c r="E1755" t="s">
        <v>52</v>
      </c>
      <c r="F1755">
        <v>2</v>
      </c>
    </row>
    <row r="1756" spans="1:6" x14ac:dyDescent="0.2">
      <c r="A1756" t="s">
        <v>8593</v>
      </c>
      <c r="B1756" t="s">
        <v>8591</v>
      </c>
      <c r="C1756" t="s">
        <v>8592</v>
      </c>
      <c r="D1756" t="s">
        <v>10</v>
      </c>
      <c r="E1756" t="s">
        <v>16</v>
      </c>
      <c r="F1756">
        <v>1</v>
      </c>
    </row>
    <row r="1757" spans="1:6" x14ac:dyDescent="0.2">
      <c r="A1757" t="s">
        <v>8615</v>
      </c>
      <c r="B1757" t="s">
        <v>8613</v>
      </c>
      <c r="C1757" t="s">
        <v>8614</v>
      </c>
      <c r="D1757" t="s">
        <v>10</v>
      </c>
      <c r="E1757" t="s">
        <v>16</v>
      </c>
      <c r="F1757">
        <v>1</v>
      </c>
    </row>
    <row r="1758" spans="1:6" x14ac:dyDescent="0.2">
      <c r="A1758" t="s">
        <v>1911</v>
      </c>
      <c r="B1758" t="s">
        <v>1909</v>
      </c>
      <c r="C1758" t="s">
        <v>1910</v>
      </c>
      <c r="D1758" t="s">
        <v>10</v>
      </c>
      <c r="E1758" t="s">
        <v>16</v>
      </c>
      <c r="F1758">
        <v>1</v>
      </c>
    </row>
    <row r="1759" spans="1:6" x14ac:dyDescent="0.2">
      <c r="A1759" t="s">
        <v>10198</v>
      </c>
      <c r="B1759" t="s">
        <v>10193</v>
      </c>
      <c r="C1759" t="s">
        <v>10235</v>
      </c>
      <c r="D1759" t="s">
        <v>10</v>
      </c>
      <c r="E1759" t="s">
        <v>16</v>
      </c>
      <c r="F1759">
        <v>1</v>
      </c>
    </row>
    <row r="1760" spans="1:6" x14ac:dyDescent="0.2">
      <c r="A1760" t="s">
        <v>2016</v>
      </c>
      <c r="B1760" t="s">
        <v>11393</v>
      </c>
      <c r="C1760" t="s">
        <v>2017</v>
      </c>
      <c r="D1760" t="s">
        <v>10</v>
      </c>
      <c r="E1760" t="s">
        <v>16</v>
      </c>
      <c r="F1760">
        <v>1</v>
      </c>
    </row>
    <row r="1761" spans="1:6" x14ac:dyDescent="0.2">
      <c r="A1761" t="s">
        <v>8530</v>
      </c>
      <c r="B1761" t="s">
        <v>8526</v>
      </c>
      <c r="C1761" t="s">
        <v>8529</v>
      </c>
      <c r="D1761" t="s">
        <v>10</v>
      </c>
      <c r="E1761" t="s">
        <v>16</v>
      </c>
      <c r="F1761">
        <v>1</v>
      </c>
    </row>
    <row r="1762" spans="1:6" x14ac:dyDescent="0.2">
      <c r="A1762" t="s">
        <v>5196</v>
      </c>
      <c r="B1762" t="s">
        <v>5191</v>
      </c>
      <c r="C1762" t="s">
        <v>5195</v>
      </c>
      <c r="D1762" t="s">
        <v>10</v>
      </c>
      <c r="E1762" t="s">
        <v>16</v>
      </c>
      <c r="F1762">
        <v>1</v>
      </c>
    </row>
    <row r="1763" spans="1:6" x14ac:dyDescent="0.2">
      <c r="A1763" t="s">
        <v>5196</v>
      </c>
      <c r="B1763" t="s">
        <v>5239</v>
      </c>
      <c r="C1763" t="s">
        <v>5241</v>
      </c>
      <c r="D1763" t="s">
        <v>10</v>
      </c>
      <c r="E1763" t="s">
        <v>16</v>
      </c>
      <c r="F1763">
        <v>1</v>
      </c>
    </row>
    <row r="1764" spans="1:6" x14ac:dyDescent="0.2">
      <c r="A1764" t="s">
        <v>2618</v>
      </c>
      <c r="B1764" t="s">
        <v>2614</v>
      </c>
      <c r="C1764" t="s">
        <v>2617</v>
      </c>
      <c r="D1764" t="s">
        <v>10</v>
      </c>
      <c r="E1764" t="s">
        <v>16</v>
      </c>
      <c r="F1764">
        <v>1</v>
      </c>
    </row>
    <row r="1765" spans="1:6" x14ac:dyDescent="0.2">
      <c r="A1765" t="s">
        <v>5796</v>
      </c>
      <c r="B1765" t="s">
        <v>5794</v>
      </c>
      <c r="C1765" t="s">
        <v>5798</v>
      </c>
      <c r="D1765" t="s">
        <v>10</v>
      </c>
      <c r="E1765" t="s">
        <v>52</v>
      </c>
      <c r="F1765">
        <v>2</v>
      </c>
    </row>
    <row r="1766" spans="1:6" x14ac:dyDescent="0.2">
      <c r="A1766" t="s">
        <v>8640</v>
      </c>
      <c r="B1766" t="s">
        <v>8624</v>
      </c>
      <c r="C1766" t="s">
        <v>8639</v>
      </c>
      <c r="D1766" t="s">
        <v>10</v>
      </c>
      <c r="E1766" t="s">
        <v>16</v>
      </c>
      <c r="F1766">
        <v>2</v>
      </c>
    </row>
    <row r="1767" spans="1:6" x14ac:dyDescent="0.2">
      <c r="A1767" t="s">
        <v>3451</v>
      </c>
      <c r="B1767" t="s">
        <v>8619</v>
      </c>
      <c r="C1767" t="s">
        <v>8621</v>
      </c>
      <c r="D1767" t="s">
        <v>10</v>
      </c>
      <c r="E1767" t="s">
        <v>16</v>
      </c>
      <c r="F1767">
        <v>1</v>
      </c>
    </row>
    <row r="1768" spans="1:6" x14ac:dyDescent="0.2">
      <c r="A1768" t="s">
        <v>9733</v>
      </c>
      <c r="B1768" t="s">
        <v>9728</v>
      </c>
      <c r="C1768" t="s">
        <v>9732</v>
      </c>
      <c r="D1768" t="s">
        <v>10</v>
      </c>
      <c r="E1768" t="s">
        <v>16</v>
      </c>
      <c r="F1768">
        <v>1</v>
      </c>
    </row>
    <row r="1769" spans="1:6" x14ac:dyDescent="0.2">
      <c r="A1769" t="s">
        <v>4326</v>
      </c>
      <c r="B1769" t="s">
        <v>4320</v>
      </c>
      <c r="C1769" t="s">
        <v>4325</v>
      </c>
      <c r="D1769" t="s">
        <v>10</v>
      </c>
      <c r="E1769" t="s">
        <v>16</v>
      </c>
      <c r="F1769">
        <v>1</v>
      </c>
    </row>
    <row r="1770" spans="1:6" x14ac:dyDescent="0.2">
      <c r="A1770" t="s">
        <v>8806</v>
      </c>
      <c r="B1770" t="s">
        <v>8804</v>
      </c>
      <c r="C1770" t="s">
        <v>8805</v>
      </c>
      <c r="D1770" t="s">
        <v>10</v>
      </c>
      <c r="E1770" t="s">
        <v>16</v>
      </c>
      <c r="F1770">
        <v>1</v>
      </c>
    </row>
    <row r="1771" spans="1:6" x14ac:dyDescent="0.2">
      <c r="A1771" t="s">
        <v>8583</v>
      </c>
      <c r="B1771" t="s">
        <v>8582</v>
      </c>
      <c r="C1771" t="s">
        <v>8583</v>
      </c>
      <c r="D1771" t="s">
        <v>10</v>
      </c>
      <c r="E1771" t="s">
        <v>16</v>
      </c>
      <c r="F1771">
        <v>1</v>
      </c>
    </row>
    <row r="1772" spans="1:6" x14ac:dyDescent="0.2">
      <c r="A1772" t="s">
        <v>5009</v>
      </c>
      <c r="B1772" t="s">
        <v>5008</v>
      </c>
      <c r="C1772" t="s">
        <v>5009</v>
      </c>
      <c r="D1772" t="s">
        <v>10</v>
      </c>
      <c r="E1772" t="s">
        <v>1080</v>
      </c>
      <c r="F1772">
        <v>1</v>
      </c>
    </row>
    <row r="1773" spans="1:6" x14ac:dyDescent="0.2">
      <c r="A1773" t="s">
        <v>3550</v>
      </c>
      <c r="B1773" t="s">
        <v>3509</v>
      </c>
      <c r="C1773" t="s">
        <v>3762</v>
      </c>
      <c r="D1773" t="s">
        <v>10</v>
      </c>
      <c r="E1773" t="s">
        <v>16</v>
      </c>
      <c r="F1773">
        <v>1</v>
      </c>
    </row>
    <row r="1774" spans="1:6" x14ac:dyDescent="0.2">
      <c r="A1774" t="s">
        <v>7752</v>
      </c>
      <c r="B1774" t="s">
        <v>7597</v>
      </c>
      <c r="C1774" t="s">
        <v>7751</v>
      </c>
      <c r="D1774" t="s">
        <v>10</v>
      </c>
      <c r="E1774" t="s">
        <v>16</v>
      </c>
      <c r="F1774">
        <v>1</v>
      </c>
    </row>
    <row r="1775" spans="1:6" x14ac:dyDescent="0.2">
      <c r="A1775" t="s">
        <v>7249</v>
      </c>
      <c r="B1775" t="s">
        <v>7239</v>
      </c>
      <c r="C1775" t="s">
        <v>7248</v>
      </c>
      <c r="D1775" t="s">
        <v>56</v>
      </c>
      <c r="E1775" t="s">
        <v>52</v>
      </c>
      <c r="F1775">
        <v>2</v>
      </c>
    </row>
    <row r="1776" spans="1:6" x14ac:dyDescent="0.2">
      <c r="A1776" t="s">
        <v>321</v>
      </c>
      <c r="B1776" t="s">
        <v>319</v>
      </c>
      <c r="C1776" t="s">
        <v>320</v>
      </c>
      <c r="D1776" t="s">
        <v>64</v>
      </c>
      <c r="E1776" t="s">
        <v>16</v>
      </c>
      <c r="F1776">
        <v>1</v>
      </c>
    </row>
    <row r="1777" spans="1:6" x14ac:dyDescent="0.2">
      <c r="A1777" t="s">
        <v>8431</v>
      </c>
      <c r="B1777" t="s">
        <v>8428</v>
      </c>
      <c r="C1777" t="s">
        <v>8433</v>
      </c>
      <c r="D1777" t="s">
        <v>10</v>
      </c>
      <c r="E1777" t="s">
        <v>16</v>
      </c>
      <c r="F1777">
        <v>1</v>
      </c>
    </row>
    <row r="1778" spans="1:6" x14ac:dyDescent="0.2">
      <c r="A1778" t="s">
        <v>8808</v>
      </c>
      <c r="B1778" t="s">
        <v>8807</v>
      </c>
      <c r="C1778" t="s">
        <v>1294</v>
      </c>
      <c r="D1778" t="s">
        <v>10</v>
      </c>
      <c r="E1778" t="s">
        <v>16</v>
      </c>
      <c r="F1778">
        <v>1</v>
      </c>
    </row>
    <row r="1779" spans="1:6" x14ac:dyDescent="0.2">
      <c r="A1779" t="s">
        <v>6963</v>
      </c>
      <c r="B1779" t="s">
        <v>6961</v>
      </c>
      <c r="C1779" t="s">
        <v>6962</v>
      </c>
      <c r="D1779" t="s">
        <v>10</v>
      </c>
      <c r="E1779" t="s">
        <v>16</v>
      </c>
      <c r="F1779">
        <v>1</v>
      </c>
    </row>
    <row r="1780" spans="1:6" x14ac:dyDescent="0.2">
      <c r="A1780" t="s">
        <v>8826</v>
      </c>
      <c r="B1780" t="s">
        <v>8824</v>
      </c>
      <c r="C1780" t="s">
        <v>8825</v>
      </c>
      <c r="D1780" t="s">
        <v>10</v>
      </c>
      <c r="E1780" t="s">
        <v>52</v>
      </c>
      <c r="F1780">
        <v>1</v>
      </c>
    </row>
    <row r="1781" spans="1:6" x14ac:dyDescent="0.2">
      <c r="A1781" t="s">
        <v>1315</v>
      </c>
      <c r="B1781" t="s">
        <v>5970</v>
      </c>
      <c r="C1781" t="s">
        <v>5971</v>
      </c>
      <c r="D1781" t="s">
        <v>10</v>
      </c>
      <c r="E1781" t="s">
        <v>16</v>
      </c>
      <c r="F1781">
        <v>1</v>
      </c>
    </row>
    <row r="1782" spans="1:6" x14ac:dyDescent="0.2">
      <c r="A1782" t="s">
        <v>10844</v>
      </c>
      <c r="B1782" t="s">
        <v>10836</v>
      </c>
      <c r="C1782" t="s">
        <v>10843</v>
      </c>
      <c r="D1782" t="s">
        <v>10</v>
      </c>
      <c r="E1782" t="s">
        <v>16</v>
      </c>
      <c r="F1782">
        <v>1</v>
      </c>
    </row>
    <row r="1783" spans="1:6" x14ac:dyDescent="0.2">
      <c r="A1783" t="s">
        <v>3165</v>
      </c>
      <c r="B1783" t="s">
        <v>4958</v>
      </c>
      <c r="C1783" t="s">
        <v>4959</v>
      </c>
      <c r="D1783" t="s">
        <v>10</v>
      </c>
      <c r="E1783" t="s">
        <v>16</v>
      </c>
      <c r="F1783">
        <v>1</v>
      </c>
    </row>
    <row r="1784" spans="1:6" x14ac:dyDescent="0.2">
      <c r="A1784" t="s">
        <v>8846</v>
      </c>
      <c r="B1784" t="s">
        <v>8845</v>
      </c>
      <c r="C1784" t="s">
        <v>12109</v>
      </c>
      <c r="D1784" t="s">
        <v>29</v>
      </c>
      <c r="E1784" t="s">
        <v>16</v>
      </c>
      <c r="F1784">
        <v>1</v>
      </c>
    </row>
    <row r="1785" spans="1:6" x14ac:dyDescent="0.2">
      <c r="A1785" t="s">
        <v>8848</v>
      </c>
      <c r="B1785" t="s">
        <v>8845</v>
      </c>
      <c r="C1785" t="s">
        <v>8847</v>
      </c>
      <c r="D1785" t="s">
        <v>29</v>
      </c>
      <c r="E1785" t="s">
        <v>16</v>
      </c>
      <c r="F1785">
        <v>2</v>
      </c>
    </row>
    <row r="1786" spans="1:6" x14ac:dyDescent="0.2">
      <c r="A1786" t="s">
        <v>769</v>
      </c>
      <c r="B1786" t="s">
        <v>767</v>
      </c>
      <c r="C1786" t="s">
        <v>770</v>
      </c>
      <c r="D1786" t="s">
        <v>10</v>
      </c>
      <c r="E1786" t="s">
        <v>16</v>
      </c>
      <c r="F1786">
        <v>1</v>
      </c>
    </row>
    <row r="1787" spans="1:6" x14ac:dyDescent="0.2">
      <c r="A1787" t="s">
        <v>769</v>
      </c>
      <c r="B1787" t="s">
        <v>8930</v>
      </c>
      <c r="C1787" t="s">
        <v>8941</v>
      </c>
      <c r="D1787" t="s">
        <v>10</v>
      </c>
      <c r="E1787" t="s">
        <v>16</v>
      </c>
      <c r="F1787">
        <v>1</v>
      </c>
    </row>
    <row r="1788" spans="1:6" x14ac:dyDescent="0.2">
      <c r="A1788" t="s">
        <v>8820</v>
      </c>
      <c r="B1788" t="s">
        <v>8818</v>
      </c>
      <c r="C1788" t="s">
        <v>8819</v>
      </c>
      <c r="D1788" t="s">
        <v>10</v>
      </c>
      <c r="E1788" t="s">
        <v>16</v>
      </c>
      <c r="F1788">
        <v>1</v>
      </c>
    </row>
    <row r="1789" spans="1:6" x14ac:dyDescent="0.2">
      <c r="A1789" t="s">
        <v>11636</v>
      </c>
      <c r="B1789" t="s">
        <v>11634</v>
      </c>
      <c r="C1789" t="s">
        <v>11635</v>
      </c>
      <c r="D1789" t="s">
        <v>10</v>
      </c>
      <c r="E1789" t="s">
        <v>16</v>
      </c>
      <c r="F1789">
        <v>1</v>
      </c>
    </row>
    <row r="1790" spans="1:6" x14ac:dyDescent="0.2">
      <c r="A1790" t="s">
        <v>3174</v>
      </c>
      <c r="B1790" t="s">
        <v>3172</v>
      </c>
      <c r="C1790" t="s">
        <v>3173</v>
      </c>
      <c r="D1790" t="s">
        <v>10</v>
      </c>
      <c r="E1790" t="s">
        <v>16</v>
      </c>
      <c r="F1790">
        <v>1</v>
      </c>
    </row>
    <row r="1791" spans="1:6" x14ac:dyDescent="0.2">
      <c r="A1791" t="s">
        <v>11316</v>
      </c>
      <c r="B1791" t="s">
        <v>11294</v>
      </c>
      <c r="C1791" t="s">
        <v>11315</v>
      </c>
      <c r="D1791" t="s">
        <v>10</v>
      </c>
      <c r="E1791" t="s">
        <v>16</v>
      </c>
      <c r="F1791">
        <v>2</v>
      </c>
    </row>
    <row r="1792" spans="1:6" x14ac:dyDescent="0.2">
      <c r="A1792" t="s">
        <v>7260</v>
      </c>
      <c r="B1792" t="s">
        <v>7239</v>
      </c>
      <c r="C1792" t="s">
        <v>7259</v>
      </c>
      <c r="D1792" t="s">
        <v>10</v>
      </c>
      <c r="E1792" t="s">
        <v>11</v>
      </c>
      <c r="F1792">
        <v>4</v>
      </c>
    </row>
    <row r="1793" spans="1:6" x14ac:dyDescent="0.2">
      <c r="A1793" t="s">
        <v>9414</v>
      </c>
      <c r="B1793" t="s">
        <v>9396</v>
      </c>
      <c r="C1793" t="s">
        <v>9413</v>
      </c>
      <c r="D1793" t="s">
        <v>10</v>
      </c>
      <c r="E1793" t="s">
        <v>16</v>
      </c>
      <c r="F1793">
        <v>1</v>
      </c>
    </row>
    <row r="1794" spans="1:6" x14ac:dyDescent="0.2">
      <c r="A1794" t="s">
        <v>9400</v>
      </c>
      <c r="B1794" t="s">
        <v>9396</v>
      </c>
      <c r="C1794" t="s">
        <v>9415</v>
      </c>
      <c r="D1794" t="s">
        <v>10</v>
      </c>
      <c r="E1794" t="s">
        <v>16</v>
      </c>
      <c r="F1794">
        <v>1</v>
      </c>
    </row>
    <row r="1795" spans="1:6" x14ac:dyDescent="0.2">
      <c r="A1795" t="s">
        <v>9045</v>
      </c>
      <c r="B1795" t="s">
        <v>9040</v>
      </c>
      <c r="C1795" t="s">
        <v>9044</v>
      </c>
      <c r="D1795" t="s">
        <v>29</v>
      </c>
      <c r="E1795" t="s">
        <v>16</v>
      </c>
      <c r="F1795">
        <v>2</v>
      </c>
    </row>
    <row r="1796" spans="1:6" x14ac:dyDescent="0.2">
      <c r="A1796" t="s">
        <v>9047</v>
      </c>
      <c r="B1796" t="s">
        <v>9040</v>
      </c>
      <c r="C1796" t="s">
        <v>9046</v>
      </c>
      <c r="D1796" t="s">
        <v>10</v>
      </c>
      <c r="E1796" t="s">
        <v>16</v>
      </c>
      <c r="F1796">
        <v>1</v>
      </c>
    </row>
    <row r="1797" spans="1:6" x14ac:dyDescent="0.2">
      <c r="A1797" t="s">
        <v>5664</v>
      </c>
      <c r="B1797" t="s">
        <v>9040</v>
      </c>
      <c r="C1797" t="s">
        <v>9048</v>
      </c>
      <c r="D1797" t="s">
        <v>10</v>
      </c>
      <c r="E1797" t="s">
        <v>16</v>
      </c>
      <c r="F1797">
        <v>1</v>
      </c>
    </row>
    <row r="1798" spans="1:6" x14ac:dyDescent="0.2">
      <c r="A1798" t="s">
        <v>9043</v>
      </c>
      <c r="B1798" t="s">
        <v>9040</v>
      </c>
      <c r="C1798" t="s">
        <v>9059</v>
      </c>
      <c r="D1798" t="s">
        <v>10</v>
      </c>
      <c r="E1798" t="s">
        <v>52</v>
      </c>
      <c r="F1798">
        <v>2</v>
      </c>
    </row>
    <row r="1799" spans="1:6" x14ac:dyDescent="0.2">
      <c r="A1799" t="s">
        <v>10711</v>
      </c>
      <c r="B1799" t="s">
        <v>10709</v>
      </c>
      <c r="C1799" t="s">
        <v>10710</v>
      </c>
      <c r="D1799" t="s">
        <v>10</v>
      </c>
      <c r="E1799" t="s">
        <v>52</v>
      </c>
      <c r="F1799">
        <v>1</v>
      </c>
    </row>
    <row r="1800" spans="1:6" x14ac:dyDescent="0.2">
      <c r="A1800" t="s">
        <v>1914</v>
      </c>
      <c r="B1800" t="s">
        <v>1909</v>
      </c>
      <c r="C1800" t="s">
        <v>1913</v>
      </c>
      <c r="D1800" t="s">
        <v>10</v>
      </c>
      <c r="E1800" t="s">
        <v>16</v>
      </c>
      <c r="F1800">
        <v>1</v>
      </c>
    </row>
    <row r="1801" spans="1:6" x14ac:dyDescent="0.2">
      <c r="A1801" t="s">
        <v>9062</v>
      </c>
      <c r="B1801" t="s">
        <v>9040</v>
      </c>
      <c r="C1801" t="s">
        <v>9061</v>
      </c>
      <c r="D1801" t="s">
        <v>10</v>
      </c>
      <c r="E1801" t="s">
        <v>52</v>
      </c>
      <c r="F1801">
        <v>2</v>
      </c>
    </row>
    <row r="1802" spans="1:6" x14ac:dyDescent="0.2">
      <c r="A1802" t="s">
        <v>7685</v>
      </c>
      <c r="B1802" t="s">
        <v>7597</v>
      </c>
      <c r="C1802" t="s">
        <v>7711</v>
      </c>
      <c r="D1802" t="s">
        <v>10</v>
      </c>
      <c r="E1802" t="s">
        <v>16</v>
      </c>
      <c r="F1802">
        <v>2</v>
      </c>
    </row>
    <row r="1803" spans="1:6" x14ac:dyDescent="0.2">
      <c r="A1803" t="s">
        <v>11318</v>
      </c>
      <c r="B1803" t="s">
        <v>11294</v>
      </c>
      <c r="C1803" t="s">
        <v>11317</v>
      </c>
      <c r="D1803" t="s">
        <v>10</v>
      </c>
      <c r="E1803" t="s">
        <v>16</v>
      </c>
      <c r="F1803">
        <v>1</v>
      </c>
    </row>
    <row r="1804" spans="1:6" x14ac:dyDescent="0.2">
      <c r="A1804" t="s">
        <v>2001</v>
      </c>
      <c r="B1804" t="s">
        <v>3509</v>
      </c>
      <c r="C1804" t="s">
        <v>3771</v>
      </c>
      <c r="D1804" t="s">
        <v>10</v>
      </c>
      <c r="E1804" t="s">
        <v>16</v>
      </c>
      <c r="F1804">
        <v>1</v>
      </c>
    </row>
    <row r="1805" spans="1:6" x14ac:dyDescent="0.2">
      <c r="A1805" t="s">
        <v>11313</v>
      </c>
      <c r="B1805" t="s">
        <v>11294</v>
      </c>
      <c r="C1805" t="s">
        <v>11312</v>
      </c>
      <c r="D1805" t="s">
        <v>10</v>
      </c>
      <c r="E1805" t="s">
        <v>16</v>
      </c>
      <c r="F1805">
        <v>2</v>
      </c>
    </row>
    <row r="1806" spans="1:6" x14ac:dyDescent="0.2">
      <c r="A1806" t="s">
        <v>232</v>
      </c>
      <c r="B1806" t="s">
        <v>9396</v>
      </c>
      <c r="C1806" t="s">
        <v>738</v>
      </c>
      <c r="D1806" t="s">
        <v>10</v>
      </c>
      <c r="E1806" t="s">
        <v>16</v>
      </c>
      <c r="F1806">
        <v>1</v>
      </c>
    </row>
    <row r="1807" spans="1:6" x14ac:dyDescent="0.2">
      <c r="A1807" t="s">
        <v>9422</v>
      </c>
      <c r="B1807" t="s">
        <v>9396</v>
      </c>
      <c r="C1807" t="s">
        <v>9421</v>
      </c>
      <c r="D1807" t="s">
        <v>10</v>
      </c>
      <c r="E1807" t="s">
        <v>16</v>
      </c>
      <c r="F1807">
        <v>1</v>
      </c>
    </row>
    <row r="1808" spans="1:6" x14ac:dyDescent="0.2">
      <c r="A1808" t="s">
        <v>6185</v>
      </c>
      <c r="B1808" t="s">
        <v>6181</v>
      </c>
      <c r="C1808" t="s">
        <v>6184</v>
      </c>
      <c r="D1808" t="s">
        <v>10</v>
      </c>
      <c r="E1808" t="s">
        <v>16</v>
      </c>
      <c r="F1808">
        <v>1</v>
      </c>
    </row>
    <row r="1809" spans="1:6" x14ac:dyDescent="0.2">
      <c r="A1809" t="s">
        <v>9398</v>
      </c>
      <c r="B1809" t="s">
        <v>9396</v>
      </c>
      <c r="C1809" t="s">
        <v>9423</v>
      </c>
      <c r="D1809" t="s">
        <v>10</v>
      </c>
      <c r="E1809" t="s">
        <v>16</v>
      </c>
      <c r="F1809">
        <v>1</v>
      </c>
    </row>
    <row r="1810" spans="1:6" x14ac:dyDescent="0.2">
      <c r="A1810" t="s">
        <v>900</v>
      </c>
      <c r="B1810" t="s">
        <v>9166</v>
      </c>
      <c r="C1810" t="s">
        <v>9178</v>
      </c>
      <c r="D1810" t="s">
        <v>10</v>
      </c>
      <c r="E1810" t="s">
        <v>16</v>
      </c>
      <c r="F1810">
        <v>1</v>
      </c>
    </row>
    <row r="1811" spans="1:6" x14ac:dyDescent="0.2">
      <c r="A1811" t="s">
        <v>903</v>
      </c>
      <c r="B1811" t="s">
        <v>9166</v>
      </c>
      <c r="C1811" t="s">
        <v>902</v>
      </c>
      <c r="D1811" t="s">
        <v>10</v>
      </c>
      <c r="E1811" t="s">
        <v>16</v>
      </c>
      <c r="F1811">
        <v>1</v>
      </c>
    </row>
    <row r="1812" spans="1:6" x14ac:dyDescent="0.2">
      <c r="A1812" t="s">
        <v>907</v>
      </c>
      <c r="B1812" t="s">
        <v>9166</v>
      </c>
      <c r="C1812" t="s">
        <v>941</v>
      </c>
      <c r="D1812" t="s">
        <v>10</v>
      </c>
      <c r="E1812" t="s">
        <v>16</v>
      </c>
      <c r="F1812">
        <v>1</v>
      </c>
    </row>
    <row r="1813" spans="1:6" x14ac:dyDescent="0.2">
      <c r="A1813" t="s">
        <v>980</v>
      </c>
      <c r="B1813" t="s">
        <v>9166</v>
      </c>
      <c r="C1813" t="s">
        <v>9310</v>
      </c>
      <c r="D1813" t="s">
        <v>10</v>
      </c>
      <c r="E1813" t="s">
        <v>16</v>
      </c>
      <c r="F1813">
        <v>1</v>
      </c>
    </row>
    <row r="1814" spans="1:6" x14ac:dyDescent="0.2">
      <c r="A1814" t="s">
        <v>3945</v>
      </c>
      <c r="B1814" t="s">
        <v>9166</v>
      </c>
      <c r="C1814" t="s">
        <v>9245</v>
      </c>
      <c r="D1814" t="s">
        <v>10</v>
      </c>
      <c r="E1814" t="s">
        <v>16</v>
      </c>
      <c r="F1814">
        <v>1</v>
      </c>
    </row>
    <row r="1815" spans="1:6" x14ac:dyDescent="0.2">
      <c r="A1815" t="s">
        <v>982</v>
      </c>
      <c r="B1815" t="s">
        <v>9166</v>
      </c>
      <c r="C1815" t="s">
        <v>986</v>
      </c>
      <c r="D1815" t="s">
        <v>10</v>
      </c>
      <c r="E1815" t="s">
        <v>16</v>
      </c>
      <c r="F1815">
        <v>1</v>
      </c>
    </row>
    <row r="1816" spans="1:6" x14ac:dyDescent="0.2">
      <c r="A1816" t="s">
        <v>7243</v>
      </c>
      <c r="B1816" t="s">
        <v>7597</v>
      </c>
      <c r="C1816" t="s">
        <v>7251</v>
      </c>
      <c r="D1816" t="s">
        <v>10</v>
      </c>
      <c r="E1816" t="s">
        <v>52</v>
      </c>
      <c r="F1816">
        <v>4</v>
      </c>
    </row>
    <row r="1817" spans="1:6" x14ac:dyDescent="0.2">
      <c r="A1817" t="s">
        <v>924</v>
      </c>
      <c r="B1817" t="s">
        <v>9166</v>
      </c>
      <c r="C1817" t="s">
        <v>955</v>
      </c>
      <c r="D1817" t="s">
        <v>10</v>
      </c>
      <c r="E1817" t="s">
        <v>16</v>
      </c>
      <c r="F1817">
        <v>1</v>
      </c>
    </row>
    <row r="1818" spans="1:6" x14ac:dyDescent="0.2">
      <c r="A1818" t="s">
        <v>958</v>
      </c>
      <c r="B1818" t="s">
        <v>9166</v>
      </c>
      <c r="C1818" t="s">
        <v>5098</v>
      </c>
      <c r="D1818" t="s">
        <v>10</v>
      </c>
      <c r="E1818" t="s">
        <v>16</v>
      </c>
      <c r="F1818">
        <v>1</v>
      </c>
    </row>
    <row r="1819" spans="1:6" x14ac:dyDescent="0.2">
      <c r="A1819" t="s">
        <v>3734</v>
      </c>
      <c r="B1819" t="s">
        <v>3509</v>
      </c>
      <c r="C1819" t="s">
        <v>3772</v>
      </c>
      <c r="D1819" t="s">
        <v>10</v>
      </c>
      <c r="E1819" t="s">
        <v>16</v>
      </c>
      <c r="F1819">
        <v>2</v>
      </c>
    </row>
    <row r="1820" spans="1:6" x14ac:dyDescent="0.2">
      <c r="A1820" t="s">
        <v>7643</v>
      </c>
      <c r="B1820" t="s">
        <v>7597</v>
      </c>
      <c r="C1820" t="s">
        <v>7713</v>
      </c>
      <c r="D1820" t="s">
        <v>10</v>
      </c>
      <c r="E1820" t="s">
        <v>16</v>
      </c>
      <c r="F1820">
        <v>2</v>
      </c>
    </row>
    <row r="1821" spans="1:6" x14ac:dyDescent="0.2">
      <c r="A1821" t="s">
        <v>2453</v>
      </c>
      <c r="B1821" t="s">
        <v>2412</v>
      </c>
      <c r="C1821" t="s">
        <v>2481</v>
      </c>
      <c r="D1821" t="s">
        <v>10</v>
      </c>
      <c r="E1821" t="s">
        <v>16</v>
      </c>
      <c r="F1821">
        <v>1</v>
      </c>
    </row>
    <row r="1822" spans="1:6" x14ac:dyDescent="0.2">
      <c r="A1822" t="s">
        <v>4310</v>
      </c>
      <c r="B1822" t="s">
        <v>4304</v>
      </c>
      <c r="C1822" t="s">
        <v>4317</v>
      </c>
      <c r="D1822" t="s">
        <v>10</v>
      </c>
      <c r="E1822" t="s">
        <v>16</v>
      </c>
      <c r="F1822">
        <v>1</v>
      </c>
    </row>
    <row r="1823" spans="1:6" x14ac:dyDescent="0.2">
      <c r="A1823" t="s">
        <v>7022</v>
      </c>
      <c r="B1823" t="s">
        <v>9166</v>
      </c>
      <c r="C1823" t="s">
        <v>9277</v>
      </c>
      <c r="D1823" t="s">
        <v>10</v>
      </c>
      <c r="E1823" t="s">
        <v>52</v>
      </c>
      <c r="F1823">
        <v>1</v>
      </c>
    </row>
    <row r="1824" spans="1:6" x14ac:dyDescent="0.2">
      <c r="A1824" t="s">
        <v>9782</v>
      </c>
      <c r="B1824" t="s">
        <v>9780</v>
      </c>
      <c r="C1824" t="s">
        <v>9783</v>
      </c>
      <c r="D1824" t="s">
        <v>10</v>
      </c>
      <c r="E1824" t="s">
        <v>16</v>
      </c>
      <c r="F1824">
        <v>1</v>
      </c>
    </row>
    <row r="1825" spans="1:6" x14ac:dyDescent="0.2">
      <c r="A1825" t="s">
        <v>4199</v>
      </c>
      <c r="B1825" t="s">
        <v>4178</v>
      </c>
      <c r="C1825" t="s">
        <v>4198</v>
      </c>
      <c r="D1825" t="s">
        <v>10</v>
      </c>
      <c r="E1825" t="s">
        <v>16</v>
      </c>
      <c r="F1825">
        <v>4</v>
      </c>
    </row>
    <row r="1826" spans="1:6" x14ac:dyDescent="0.2">
      <c r="A1826" t="s">
        <v>9402</v>
      </c>
      <c r="B1826" t="s">
        <v>9396</v>
      </c>
      <c r="C1826" t="s">
        <v>9407</v>
      </c>
      <c r="D1826" t="s">
        <v>10</v>
      </c>
      <c r="E1826" t="s">
        <v>16</v>
      </c>
      <c r="F1826">
        <v>1</v>
      </c>
    </row>
    <row r="1827" spans="1:6" x14ac:dyDescent="0.2">
      <c r="A1827" t="s">
        <v>4130</v>
      </c>
      <c r="B1827" t="s">
        <v>8663</v>
      </c>
      <c r="C1827" t="s">
        <v>2963</v>
      </c>
      <c r="D1827" t="s">
        <v>10</v>
      </c>
      <c r="E1827" t="s">
        <v>16</v>
      </c>
      <c r="F1827">
        <v>1</v>
      </c>
    </row>
    <row r="1828" spans="1:6" x14ac:dyDescent="0.2">
      <c r="A1828" t="s">
        <v>8937</v>
      </c>
      <c r="B1828" t="s">
        <v>8930</v>
      </c>
      <c r="C1828" t="s">
        <v>8940</v>
      </c>
      <c r="D1828" t="s">
        <v>10</v>
      </c>
      <c r="E1828" t="s">
        <v>16</v>
      </c>
      <c r="F1828">
        <v>1</v>
      </c>
    </row>
    <row r="1829" spans="1:6" x14ac:dyDescent="0.2">
      <c r="A1829" t="s">
        <v>9406</v>
      </c>
      <c r="B1829" t="s">
        <v>9396</v>
      </c>
      <c r="C1829" t="s">
        <v>9408</v>
      </c>
      <c r="D1829" t="s">
        <v>10</v>
      </c>
      <c r="E1829" t="s">
        <v>16</v>
      </c>
      <c r="F1829">
        <v>1</v>
      </c>
    </row>
    <row r="1830" spans="1:6" x14ac:dyDescent="0.2">
      <c r="A1830" t="s">
        <v>8754</v>
      </c>
      <c r="B1830" t="s">
        <v>8748</v>
      </c>
      <c r="C1830" t="s">
        <v>8762</v>
      </c>
      <c r="D1830" t="s">
        <v>10</v>
      </c>
      <c r="E1830" t="s">
        <v>16</v>
      </c>
      <c r="F1830">
        <v>2</v>
      </c>
    </row>
    <row r="1831" spans="1:6" x14ac:dyDescent="0.2">
      <c r="A1831" t="s">
        <v>2475</v>
      </c>
      <c r="B1831" t="s">
        <v>2412</v>
      </c>
      <c r="C1831" t="s">
        <v>2482</v>
      </c>
      <c r="D1831" t="s">
        <v>10</v>
      </c>
      <c r="E1831" t="s">
        <v>16</v>
      </c>
      <c r="F1831">
        <v>1</v>
      </c>
    </row>
    <row r="1832" spans="1:6" x14ac:dyDescent="0.2">
      <c r="A1832" t="s">
        <v>9041</v>
      </c>
      <c r="B1832" t="s">
        <v>9040</v>
      </c>
      <c r="C1832" t="s">
        <v>9050</v>
      </c>
      <c r="D1832" t="s">
        <v>10</v>
      </c>
      <c r="E1832" t="s">
        <v>16</v>
      </c>
      <c r="F1832">
        <v>2</v>
      </c>
    </row>
    <row r="1833" spans="1:6" x14ac:dyDescent="0.2">
      <c r="A1833" t="s">
        <v>9055</v>
      </c>
      <c r="B1833" t="s">
        <v>9040</v>
      </c>
      <c r="C1833" t="s">
        <v>9054</v>
      </c>
      <c r="D1833" t="s">
        <v>10</v>
      </c>
      <c r="E1833" t="s">
        <v>52</v>
      </c>
      <c r="F1833">
        <v>2</v>
      </c>
    </row>
    <row r="1834" spans="1:6" x14ac:dyDescent="0.2">
      <c r="A1834" t="s">
        <v>8938</v>
      </c>
      <c r="B1834" t="s">
        <v>8930</v>
      </c>
      <c r="C1834" t="s">
        <v>8946</v>
      </c>
      <c r="D1834" t="s">
        <v>10</v>
      </c>
      <c r="E1834" t="s">
        <v>16</v>
      </c>
      <c r="F1834">
        <v>2</v>
      </c>
    </row>
    <row r="1835" spans="1:6" x14ac:dyDescent="0.2">
      <c r="A1835" t="s">
        <v>8932</v>
      </c>
      <c r="B1835" t="s">
        <v>8930</v>
      </c>
      <c r="C1835" t="s">
        <v>8931</v>
      </c>
      <c r="D1835" t="s">
        <v>10</v>
      </c>
      <c r="E1835" t="s">
        <v>52</v>
      </c>
      <c r="F1835">
        <v>2</v>
      </c>
    </row>
    <row r="1836" spans="1:6" x14ac:dyDescent="0.2">
      <c r="A1836" t="s">
        <v>9410</v>
      </c>
      <c r="B1836" t="s">
        <v>9396</v>
      </c>
      <c r="C1836" t="s">
        <v>9409</v>
      </c>
      <c r="D1836" t="s">
        <v>10</v>
      </c>
      <c r="E1836" t="s">
        <v>16</v>
      </c>
      <c r="F1836">
        <v>1</v>
      </c>
    </row>
    <row r="1837" spans="1:6" x14ac:dyDescent="0.2">
      <c r="A1837" t="s">
        <v>8882</v>
      </c>
      <c r="B1837" t="s">
        <v>8880</v>
      </c>
      <c r="C1837" t="s">
        <v>8883</v>
      </c>
      <c r="D1837" t="s">
        <v>10</v>
      </c>
      <c r="E1837" t="s">
        <v>52</v>
      </c>
      <c r="F1837">
        <v>1</v>
      </c>
    </row>
    <row r="1838" spans="1:6" x14ac:dyDescent="0.2">
      <c r="A1838" t="s">
        <v>2877</v>
      </c>
      <c r="B1838" t="s">
        <v>2673</v>
      </c>
      <c r="C1838" t="s">
        <v>2879</v>
      </c>
      <c r="D1838" t="s">
        <v>10</v>
      </c>
      <c r="E1838" t="s">
        <v>11</v>
      </c>
      <c r="F1838">
        <v>2</v>
      </c>
    </row>
    <row r="1839" spans="1:6" x14ac:dyDescent="0.2">
      <c r="A1839" t="s">
        <v>9412</v>
      </c>
      <c r="B1839" t="s">
        <v>9396</v>
      </c>
      <c r="C1839" t="s">
        <v>9411</v>
      </c>
      <c r="D1839" t="s">
        <v>10</v>
      </c>
      <c r="E1839" t="s">
        <v>16</v>
      </c>
      <c r="F1839">
        <v>1</v>
      </c>
    </row>
    <row r="1840" spans="1:6" x14ac:dyDescent="0.2">
      <c r="A1840" t="s">
        <v>8681</v>
      </c>
      <c r="B1840" t="s">
        <v>8663</v>
      </c>
      <c r="C1840" t="s">
        <v>8696</v>
      </c>
      <c r="D1840" t="s">
        <v>10</v>
      </c>
      <c r="E1840" t="s">
        <v>16</v>
      </c>
      <c r="F1840">
        <v>2</v>
      </c>
    </row>
    <row r="1841" spans="1:6" x14ac:dyDescent="0.2">
      <c r="A1841" t="s">
        <v>1564</v>
      </c>
      <c r="B1841" t="s">
        <v>9166</v>
      </c>
      <c r="C1841" t="s">
        <v>9212</v>
      </c>
      <c r="D1841" t="s">
        <v>10</v>
      </c>
      <c r="E1841" t="s">
        <v>16</v>
      </c>
      <c r="F1841">
        <v>1</v>
      </c>
    </row>
    <row r="1842" spans="1:6" x14ac:dyDescent="0.2">
      <c r="A1842" t="s">
        <v>2106</v>
      </c>
      <c r="B1842" t="s">
        <v>9166</v>
      </c>
      <c r="C1842" t="s">
        <v>2108</v>
      </c>
      <c r="D1842" t="s">
        <v>10</v>
      </c>
      <c r="E1842" t="s">
        <v>16</v>
      </c>
      <c r="F1842">
        <v>1</v>
      </c>
    </row>
    <row r="1843" spans="1:6" x14ac:dyDescent="0.2">
      <c r="A1843" t="s">
        <v>9197</v>
      </c>
      <c r="B1843" t="s">
        <v>9166</v>
      </c>
      <c r="C1843" t="s">
        <v>9213</v>
      </c>
      <c r="D1843" t="s">
        <v>10</v>
      </c>
      <c r="E1843" t="s">
        <v>16</v>
      </c>
      <c r="F1843">
        <v>1</v>
      </c>
    </row>
    <row r="1844" spans="1:6" x14ac:dyDescent="0.2">
      <c r="A1844" t="s">
        <v>9215</v>
      </c>
      <c r="B1844" t="s">
        <v>9166</v>
      </c>
      <c r="C1844" t="s">
        <v>9214</v>
      </c>
      <c r="D1844" t="s">
        <v>10</v>
      </c>
      <c r="E1844" t="s">
        <v>16</v>
      </c>
      <c r="F1844">
        <v>1</v>
      </c>
    </row>
    <row r="1845" spans="1:6" x14ac:dyDescent="0.2">
      <c r="A1845" t="s">
        <v>9185</v>
      </c>
      <c r="B1845" t="s">
        <v>9166</v>
      </c>
      <c r="C1845" t="s">
        <v>9216</v>
      </c>
      <c r="D1845" t="s">
        <v>10</v>
      </c>
      <c r="E1845" t="s">
        <v>16</v>
      </c>
      <c r="F1845">
        <v>1</v>
      </c>
    </row>
    <row r="1846" spans="1:6" x14ac:dyDescent="0.2">
      <c r="A1846" t="s">
        <v>9218</v>
      </c>
      <c r="B1846" t="s">
        <v>9166</v>
      </c>
      <c r="C1846" t="s">
        <v>9217</v>
      </c>
      <c r="D1846" t="s">
        <v>10</v>
      </c>
      <c r="E1846" t="s">
        <v>16</v>
      </c>
      <c r="F1846">
        <v>1</v>
      </c>
    </row>
    <row r="1847" spans="1:6" x14ac:dyDescent="0.2">
      <c r="A1847" t="s">
        <v>1301</v>
      </c>
      <c r="B1847" t="s">
        <v>9166</v>
      </c>
      <c r="C1847" t="s">
        <v>2107</v>
      </c>
      <c r="D1847" t="s">
        <v>10</v>
      </c>
      <c r="E1847" t="s">
        <v>16</v>
      </c>
      <c r="F1847">
        <v>1</v>
      </c>
    </row>
    <row r="1848" spans="1:6" x14ac:dyDescent="0.2">
      <c r="A1848" t="s">
        <v>9221</v>
      </c>
      <c r="B1848" t="s">
        <v>9166</v>
      </c>
      <c r="C1848" t="s">
        <v>9220</v>
      </c>
      <c r="D1848" t="s">
        <v>10</v>
      </c>
      <c r="E1848" t="s">
        <v>16</v>
      </c>
      <c r="F1848">
        <v>1</v>
      </c>
    </row>
    <row r="1849" spans="1:6" x14ac:dyDescent="0.2">
      <c r="A1849" t="s">
        <v>9176</v>
      </c>
      <c r="B1849" t="s">
        <v>9166</v>
      </c>
      <c r="C1849" t="s">
        <v>9224</v>
      </c>
      <c r="D1849" t="s">
        <v>10</v>
      </c>
      <c r="E1849" t="s">
        <v>16</v>
      </c>
      <c r="F1849">
        <v>1</v>
      </c>
    </row>
    <row r="1850" spans="1:6" x14ac:dyDescent="0.2">
      <c r="A1850" t="s">
        <v>8218</v>
      </c>
      <c r="B1850" t="s">
        <v>9166</v>
      </c>
      <c r="C1850" t="s">
        <v>9225</v>
      </c>
      <c r="D1850" t="s">
        <v>10</v>
      </c>
      <c r="E1850" t="s">
        <v>16</v>
      </c>
      <c r="F1850">
        <v>2</v>
      </c>
    </row>
    <row r="1851" spans="1:6" x14ac:dyDescent="0.2">
      <c r="A1851" t="s">
        <v>9188</v>
      </c>
      <c r="B1851" t="s">
        <v>9166</v>
      </c>
      <c r="C1851" t="s">
        <v>9230</v>
      </c>
      <c r="D1851" t="s">
        <v>10</v>
      </c>
      <c r="E1851" t="s">
        <v>16</v>
      </c>
      <c r="F1851">
        <v>1</v>
      </c>
    </row>
    <row r="1852" spans="1:6" x14ac:dyDescent="0.2">
      <c r="A1852" t="s">
        <v>3956</v>
      </c>
      <c r="B1852" t="s">
        <v>9166</v>
      </c>
      <c r="C1852" t="s">
        <v>5097</v>
      </c>
      <c r="D1852" t="s">
        <v>10</v>
      </c>
      <c r="E1852" t="s">
        <v>16</v>
      </c>
      <c r="F1852">
        <v>1</v>
      </c>
    </row>
    <row r="1853" spans="1:6" x14ac:dyDescent="0.2">
      <c r="A1853" t="s">
        <v>3947</v>
      </c>
      <c r="B1853" t="s">
        <v>9166</v>
      </c>
      <c r="C1853" t="s">
        <v>9227</v>
      </c>
      <c r="D1853" t="s">
        <v>10</v>
      </c>
      <c r="E1853" t="s">
        <v>16</v>
      </c>
      <c r="F1853">
        <v>2</v>
      </c>
    </row>
    <row r="1854" spans="1:6" x14ac:dyDescent="0.2">
      <c r="A1854" t="s">
        <v>944</v>
      </c>
      <c r="B1854" t="s">
        <v>9166</v>
      </c>
      <c r="C1854" t="s">
        <v>943</v>
      </c>
      <c r="D1854" t="s">
        <v>10</v>
      </c>
      <c r="E1854" t="s">
        <v>16</v>
      </c>
      <c r="F1854">
        <v>2</v>
      </c>
    </row>
    <row r="1855" spans="1:6" x14ac:dyDescent="0.2">
      <c r="A1855" t="s">
        <v>921</v>
      </c>
      <c r="B1855" t="s">
        <v>9166</v>
      </c>
      <c r="C1855" t="s">
        <v>9247</v>
      </c>
      <c r="D1855" t="s">
        <v>10</v>
      </c>
      <c r="E1855" t="s">
        <v>16</v>
      </c>
      <c r="F1855">
        <v>2</v>
      </c>
    </row>
    <row r="1856" spans="1:6" x14ac:dyDescent="0.2">
      <c r="A1856" t="s">
        <v>913</v>
      </c>
      <c r="B1856" t="s">
        <v>9166</v>
      </c>
      <c r="C1856" t="s">
        <v>952</v>
      </c>
      <c r="D1856" t="s">
        <v>10</v>
      </c>
      <c r="E1856" t="s">
        <v>16</v>
      </c>
      <c r="F1856">
        <v>1</v>
      </c>
    </row>
    <row r="1857" spans="1:6" x14ac:dyDescent="0.2">
      <c r="A1857" t="s">
        <v>960</v>
      </c>
      <c r="B1857" t="s">
        <v>9166</v>
      </c>
      <c r="C1857" t="s">
        <v>959</v>
      </c>
      <c r="D1857" t="s">
        <v>10</v>
      </c>
      <c r="E1857" t="s">
        <v>16</v>
      </c>
      <c r="F1857">
        <v>2</v>
      </c>
    </row>
    <row r="1858" spans="1:6" x14ac:dyDescent="0.2">
      <c r="A1858" t="s">
        <v>962</v>
      </c>
      <c r="B1858" t="s">
        <v>9166</v>
      </c>
      <c r="C1858" t="s">
        <v>961</v>
      </c>
      <c r="D1858" t="s">
        <v>10</v>
      </c>
      <c r="E1858" t="s">
        <v>16</v>
      </c>
      <c r="F1858">
        <v>1</v>
      </c>
    </row>
    <row r="1859" spans="1:6" x14ac:dyDescent="0.2">
      <c r="A1859" t="s">
        <v>964</v>
      </c>
      <c r="B1859" t="s">
        <v>9166</v>
      </c>
      <c r="C1859" t="s">
        <v>963</v>
      </c>
      <c r="D1859" t="s">
        <v>10</v>
      </c>
      <c r="E1859" t="s">
        <v>16</v>
      </c>
      <c r="F1859">
        <v>1</v>
      </c>
    </row>
    <row r="1860" spans="1:6" x14ac:dyDescent="0.2">
      <c r="A1860" t="s">
        <v>967</v>
      </c>
      <c r="B1860" t="s">
        <v>9166</v>
      </c>
      <c r="C1860" t="s">
        <v>966</v>
      </c>
      <c r="D1860" t="s">
        <v>10</v>
      </c>
      <c r="E1860" t="s">
        <v>16</v>
      </c>
      <c r="F1860">
        <v>2</v>
      </c>
    </row>
    <row r="1861" spans="1:6" x14ac:dyDescent="0.2">
      <c r="A1861" t="s">
        <v>9207</v>
      </c>
      <c r="B1861" t="s">
        <v>9166</v>
      </c>
      <c r="C1861" t="s">
        <v>9275</v>
      </c>
      <c r="D1861" t="s">
        <v>10</v>
      </c>
      <c r="E1861" t="s">
        <v>16</v>
      </c>
      <c r="F1861">
        <v>1</v>
      </c>
    </row>
    <row r="1862" spans="1:6" x14ac:dyDescent="0.2">
      <c r="A1862" t="s">
        <v>9291</v>
      </c>
      <c r="B1862" t="s">
        <v>9166</v>
      </c>
      <c r="C1862" t="s">
        <v>9290</v>
      </c>
      <c r="D1862" t="s">
        <v>10</v>
      </c>
      <c r="E1862" t="s">
        <v>11</v>
      </c>
      <c r="F1862">
        <v>1</v>
      </c>
    </row>
    <row r="1863" spans="1:6" x14ac:dyDescent="0.2">
      <c r="A1863" t="s">
        <v>2578</v>
      </c>
      <c r="B1863" t="s">
        <v>2545</v>
      </c>
      <c r="C1863" t="s">
        <v>2577</v>
      </c>
      <c r="D1863" t="s">
        <v>10</v>
      </c>
      <c r="E1863" t="s">
        <v>16</v>
      </c>
      <c r="F1863">
        <v>1</v>
      </c>
    </row>
    <row r="1864" spans="1:6" x14ac:dyDescent="0.2">
      <c r="A1864" t="s">
        <v>1417</v>
      </c>
      <c r="B1864" t="s">
        <v>10142</v>
      </c>
      <c r="C1864" t="s">
        <v>1416</v>
      </c>
      <c r="D1864" t="s">
        <v>10</v>
      </c>
      <c r="E1864" t="s">
        <v>16</v>
      </c>
      <c r="F1864">
        <v>1</v>
      </c>
    </row>
    <row r="1865" spans="1:6" x14ac:dyDescent="0.2">
      <c r="A1865" t="s">
        <v>9958</v>
      </c>
      <c r="B1865" t="s">
        <v>9957</v>
      </c>
      <c r="C1865" t="s">
        <v>4074</v>
      </c>
      <c r="D1865" t="s">
        <v>10</v>
      </c>
      <c r="E1865" t="s">
        <v>16</v>
      </c>
      <c r="F1865">
        <v>1</v>
      </c>
    </row>
    <row r="1866" spans="1:6" x14ac:dyDescent="0.2">
      <c r="A1866" t="s">
        <v>8909</v>
      </c>
      <c r="B1866" t="s">
        <v>8908</v>
      </c>
      <c r="C1866" t="s">
        <v>7259</v>
      </c>
      <c r="D1866" t="s">
        <v>10</v>
      </c>
      <c r="E1866" t="s">
        <v>16</v>
      </c>
      <c r="F1866">
        <v>1</v>
      </c>
    </row>
    <row r="1867" spans="1:6" x14ac:dyDescent="0.2">
      <c r="A1867" t="s">
        <v>8912</v>
      </c>
      <c r="B1867" t="s">
        <v>8908</v>
      </c>
      <c r="C1867" t="s">
        <v>8911</v>
      </c>
      <c r="D1867" t="s">
        <v>10</v>
      </c>
      <c r="E1867" t="s">
        <v>16</v>
      </c>
      <c r="F1867">
        <v>1</v>
      </c>
    </row>
    <row r="1868" spans="1:6" x14ac:dyDescent="0.2">
      <c r="A1868" t="s">
        <v>9112</v>
      </c>
      <c r="B1868" t="s">
        <v>10914</v>
      </c>
      <c r="C1868" t="s">
        <v>10915</v>
      </c>
      <c r="D1868" t="s">
        <v>10</v>
      </c>
      <c r="E1868" t="s">
        <v>16</v>
      </c>
      <c r="F1868">
        <v>1</v>
      </c>
    </row>
    <row r="1869" spans="1:6" x14ac:dyDescent="0.2">
      <c r="A1869" t="s">
        <v>1738</v>
      </c>
      <c r="B1869" t="s">
        <v>1283</v>
      </c>
      <c r="C1869" t="s">
        <v>1737</v>
      </c>
      <c r="D1869" t="s">
        <v>10</v>
      </c>
      <c r="E1869" t="s">
        <v>16</v>
      </c>
      <c r="F1869">
        <v>1</v>
      </c>
    </row>
    <row r="1870" spans="1:6" x14ac:dyDescent="0.2">
      <c r="A1870" t="s">
        <v>8569</v>
      </c>
      <c r="B1870" t="s">
        <v>9166</v>
      </c>
      <c r="C1870" t="s">
        <v>9263</v>
      </c>
      <c r="D1870" t="s">
        <v>10</v>
      </c>
      <c r="E1870" t="s">
        <v>52</v>
      </c>
      <c r="F1870">
        <v>2</v>
      </c>
    </row>
    <row r="1871" spans="1:6" x14ac:dyDescent="0.2">
      <c r="A1871" t="s">
        <v>8565</v>
      </c>
      <c r="B1871" t="s">
        <v>8954</v>
      </c>
      <c r="C1871" t="s">
        <v>8955</v>
      </c>
      <c r="D1871" t="s">
        <v>10</v>
      </c>
      <c r="E1871" t="s">
        <v>16</v>
      </c>
      <c r="F1871">
        <v>1</v>
      </c>
    </row>
    <row r="1872" spans="1:6" x14ac:dyDescent="0.2">
      <c r="A1872" t="s">
        <v>3386</v>
      </c>
      <c r="B1872" t="s">
        <v>3384</v>
      </c>
      <c r="C1872" t="s">
        <v>3385</v>
      </c>
      <c r="D1872" t="s">
        <v>64</v>
      </c>
      <c r="E1872" t="s">
        <v>16</v>
      </c>
      <c r="F1872">
        <v>1</v>
      </c>
    </row>
    <row r="1873" spans="1:6" x14ac:dyDescent="0.2">
      <c r="A1873" t="s">
        <v>3952</v>
      </c>
      <c r="B1873" t="s">
        <v>9166</v>
      </c>
      <c r="C1873" t="s">
        <v>9262</v>
      </c>
      <c r="D1873" t="s">
        <v>10</v>
      </c>
      <c r="E1873" t="s">
        <v>52</v>
      </c>
      <c r="F1873">
        <v>2</v>
      </c>
    </row>
    <row r="1874" spans="1:6" x14ac:dyDescent="0.2">
      <c r="A1874" t="s">
        <v>916</v>
      </c>
      <c r="B1874" t="s">
        <v>9166</v>
      </c>
      <c r="C1874" t="s">
        <v>950</v>
      </c>
      <c r="D1874" t="s">
        <v>10</v>
      </c>
      <c r="E1874" t="s">
        <v>52</v>
      </c>
      <c r="F1874">
        <v>2</v>
      </c>
    </row>
    <row r="1875" spans="1:6" x14ac:dyDescent="0.2">
      <c r="A1875" t="s">
        <v>919</v>
      </c>
      <c r="B1875" t="s">
        <v>9166</v>
      </c>
      <c r="C1875" t="s">
        <v>965</v>
      </c>
      <c r="D1875" t="s">
        <v>10</v>
      </c>
      <c r="E1875" t="s">
        <v>52</v>
      </c>
      <c r="F1875">
        <v>2</v>
      </c>
    </row>
    <row r="1876" spans="1:6" x14ac:dyDescent="0.2">
      <c r="A1876" t="s">
        <v>9184</v>
      </c>
      <c r="B1876" t="s">
        <v>9166</v>
      </c>
      <c r="C1876" t="s">
        <v>9273</v>
      </c>
      <c r="D1876" t="s">
        <v>10</v>
      </c>
      <c r="E1876" t="s">
        <v>52</v>
      </c>
      <c r="F1876">
        <v>2</v>
      </c>
    </row>
    <row r="1877" spans="1:6" x14ac:dyDescent="0.2">
      <c r="A1877" t="s">
        <v>9143</v>
      </c>
      <c r="B1877" t="s">
        <v>9138</v>
      </c>
      <c r="C1877" t="s">
        <v>9155</v>
      </c>
      <c r="D1877" t="s">
        <v>10</v>
      </c>
      <c r="E1877" t="s">
        <v>52</v>
      </c>
      <c r="F1877">
        <v>1</v>
      </c>
    </row>
    <row r="1878" spans="1:6" x14ac:dyDescent="0.2">
      <c r="A1878" t="s">
        <v>9159</v>
      </c>
      <c r="B1878" t="s">
        <v>9138</v>
      </c>
      <c r="C1878" t="s">
        <v>9158</v>
      </c>
      <c r="D1878" t="s">
        <v>10</v>
      </c>
      <c r="E1878" t="s">
        <v>52</v>
      </c>
      <c r="F1878">
        <v>1</v>
      </c>
    </row>
    <row r="1879" spans="1:6" x14ac:dyDescent="0.2">
      <c r="A1879" t="s">
        <v>9140</v>
      </c>
      <c r="B1879" t="s">
        <v>9138</v>
      </c>
      <c r="C1879" t="s">
        <v>9139</v>
      </c>
      <c r="D1879" t="s">
        <v>10</v>
      </c>
      <c r="E1879" t="s">
        <v>11</v>
      </c>
      <c r="F1879">
        <v>2</v>
      </c>
    </row>
    <row r="1880" spans="1:6" x14ac:dyDescent="0.2">
      <c r="A1880" t="s">
        <v>9149</v>
      </c>
      <c r="B1880" t="s">
        <v>9138</v>
      </c>
      <c r="C1880" t="s">
        <v>9148</v>
      </c>
      <c r="D1880" t="s">
        <v>10</v>
      </c>
      <c r="E1880" t="s">
        <v>16</v>
      </c>
      <c r="F1880">
        <v>1</v>
      </c>
    </row>
    <row r="1881" spans="1:6" x14ac:dyDescent="0.2">
      <c r="A1881" t="s">
        <v>5377</v>
      </c>
      <c r="B1881" t="s">
        <v>9138</v>
      </c>
      <c r="C1881" t="s">
        <v>9152</v>
      </c>
      <c r="D1881" t="s">
        <v>10</v>
      </c>
      <c r="E1881" t="s">
        <v>52</v>
      </c>
      <c r="F1881">
        <v>1</v>
      </c>
    </row>
    <row r="1882" spans="1:6" x14ac:dyDescent="0.2">
      <c r="A1882" t="s">
        <v>1755</v>
      </c>
      <c r="B1882" t="s">
        <v>9138</v>
      </c>
      <c r="C1882" t="s">
        <v>1765</v>
      </c>
      <c r="D1882" t="s">
        <v>10</v>
      </c>
      <c r="E1882" t="s">
        <v>52</v>
      </c>
      <c r="F1882">
        <v>1</v>
      </c>
    </row>
    <row r="1883" spans="1:6" x14ac:dyDescent="0.2">
      <c r="A1883" t="s">
        <v>6406</v>
      </c>
      <c r="B1883" t="s">
        <v>9138</v>
      </c>
      <c r="C1883" t="s">
        <v>6405</v>
      </c>
      <c r="D1883" t="s">
        <v>10</v>
      </c>
      <c r="E1883" t="s">
        <v>52</v>
      </c>
      <c r="F1883">
        <v>1</v>
      </c>
    </row>
    <row r="1884" spans="1:6" x14ac:dyDescent="0.2">
      <c r="A1884" t="s">
        <v>9340</v>
      </c>
      <c r="B1884" t="s">
        <v>9338</v>
      </c>
      <c r="C1884" t="s">
        <v>9339</v>
      </c>
      <c r="D1884" t="s">
        <v>64</v>
      </c>
      <c r="E1884" t="s">
        <v>16</v>
      </c>
      <c r="F1884">
        <v>1</v>
      </c>
    </row>
    <row r="1885" spans="1:6" x14ac:dyDescent="0.2">
      <c r="A1885" t="s">
        <v>11665</v>
      </c>
      <c r="B1885" t="s">
        <v>11663</v>
      </c>
      <c r="C1885" t="s">
        <v>11668</v>
      </c>
      <c r="D1885" t="s">
        <v>10</v>
      </c>
      <c r="E1885" t="s">
        <v>16</v>
      </c>
      <c r="F1885">
        <v>2</v>
      </c>
    </row>
    <row r="1886" spans="1:6" x14ac:dyDescent="0.2">
      <c r="A1886" t="s">
        <v>9445</v>
      </c>
      <c r="B1886" t="s">
        <v>9443</v>
      </c>
      <c r="C1886" t="s">
        <v>9444</v>
      </c>
      <c r="D1886" t="s">
        <v>10</v>
      </c>
      <c r="E1886" t="s">
        <v>16</v>
      </c>
      <c r="F1886">
        <v>1</v>
      </c>
    </row>
    <row r="1887" spans="1:6" x14ac:dyDescent="0.2">
      <c r="A1887" t="s">
        <v>5879</v>
      </c>
      <c r="B1887" t="s">
        <v>5871</v>
      </c>
      <c r="C1887" t="s">
        <v>5878</v>
      </c>
      <c r="D1887" t="s">
        <v>10</v>
      </c>
      <c r="E1887" t="s">
        <v>16</v>
      </c>
      <c r="F1887">
        <v>2</v>
      </c>
    </row>
    <row r="1888" spans="1:6" x14ac:dyDescent="0.2">
      <c r="A1888" t="s">
        <v>8979</v>
      </c>
      <c r="B1888" t="s">
        <v>8977</v>
      </c>
      <c r="C1888" t="s">
        <v>8978</v>
      </c>
      <c r="D1888" t="s">
        <v>10</v>
      </c>
      <c r="E1888" t="s">
        <v>16</v>
      </c>
      <c r="F1888">
        <v>1</v>
      </c>
    </row>
    <row r="1889" spans="1:6" x14ac:dyDescent="0.2">
      <c r="A1889" t="s">
        <v>5612</v>
      </c>
      <c r="B1889" t="s">
        <v>11511</v>
      </c>
      <c r="C1889" t="s">
        <v>5611</v>
      </c>
      <c r="D1889" t="s">
        <v>10</v>
      </c>
      <c r="E1889" t="s">
        <v>16</v>
      </c>
      <c r="F1889">
        <v>1</v>
      </c>
    </row>
    <row r="1890" spans="1:6" x14ac:dyDescent="0.2">
      <c r="A1890" t="s">
        <v>6699</v>
      </c>
      <c r="B1890" t="s">
        <v>8993</v>
      </c>
      <c r="C1890" t="s">
        <v>6698</v>
      </c>
      <c r="D1890" t="s">
        <v>10</v>
      </c>
      <c r="E1890" t="s">
        <v>16</v>
      </c>
      <c r="F1890">
        <v>2</v>
      </c>
    </row>
    <row r="1891" spans="1:6" x14ac:dyDescent="0.2">
      <c r="A1891" t="s">
        <v>289</v>
      </c>
      <c r="B1891" t="s">
        <v>287</v>
      </c>
      <c r="C1891" t="s">
        <v>288</v>
      </c>
      <c r="D1891" t="s">
        <v>10</v>
      </c>
      <c r="E1891" t="s">
        <v>16</v>
      </c>
      <c r="F1891">
        <v>1</v>
      </c>
    </row>
    <row r="1892" spans="1:6" x14ac:dyDescent="0.2">
      <c r="A1892" t="s">
        <v>35</v>
      </c>
      <c r="B1892" t="s">
        <v>4961</v>
      </c>
      <c r="C1892" t="s">
        <v>4963</v>
      </c>
      <c r="D1892" t="s">
        <v>29</v>
      </c>
      <c r="E1892" t="s">
        <v>16</v>
      </c>
      <c r="F1892">
        <v>1</v>
      </c>
    </row>
    <row r="1893" spans="1:6" x14ac:dyDescent="0.2">
      <c r="A1893" t="s">
        <v>6607</v>
      </c>
      <c r="B1893" t="s">
        <v>6605</v>
      </c>
      <c r="C1893" t="s">
        <v>6606</v>
      </c>
      <c r="D1893" t="s">
        <v>10</v>
      </c>
      <c r="E1893" t="s">
        <v>16</v>
      </c>
      <c r="F1893">
        <v>1</v>
      </c>
    </row>
    <row r="1894" spans="1:6" x14ac:dyDescent="0.2">
      <c r="A1894" t="s">
        <v>11833</v>
      </c>
      <c r="B1894" t="s">
        <v>11831</v>
      </c>
      <c r="C1894" t="s">
        <v>11834</v>
      </c>
      <c r="D1894" t="s">
        <v>10</v>
      </c>
      <c r="E1894" t="s">
        <v>16</v>
      </c>
      <c r="F1894">
        <v>1</v>
      </c>
    </row>
    <row r="1895" spans="1:6" x14ac:dyDescent="0.2">
      <c r="A1895" t="s">
        <v>11672</v>
      </c>
      <c r="B1895" t="s">
        <v>11670</v>
      </c>
      <c r="C1895" t="s">
        <v>11671</v>
      </c>
      <c r="D1895" t="s">
        <v>56</v>
      </c>
      <c r="E1895" t="s">
        <v>16</v>
      </c>
      <c r="F1895">
        <v>1</v>
      </c>
    </row>
    <row r="1896" spans="1:6" x14ac:dyDescent="0.2">
      <c r="A1896" t="s">
        <v>9024</v>
      </c>
      <c r="B1896" t="s">
        <v>9022</v>
      </c>
      <c r="C1896" t="s">
        <v>9023</v>
      </c>
      <c r="D1896" t="s">
        <v>64</v>
      </c>
      <c r="E1896" t="s">
        <v>16</v>
      </c>
      <c r="F1896">
        <v>1</v>
      </c>
    </row>
    <row r="1897" spans="1:6" x14ac:dyDescent="0.2">
      <c r="A1897" t="s">
        <v>5742</v>
      </c>
      <c r="B1897" t="s">
        <v>5740</v>
      </c>
      <c r="C1897" t="s">
        <v>5741</v>
      </c>
      <c r="D1897" t="s">
        <v>10</v>
      </c>
      <c r="E1897" t="s">
        <v>16</v>
      </c>
      <c r="F1897">
        <v>1</v>
      </c>
    </row>
    <row r="1898" spans="1:6" x14ac:dyDescent="0.2">
      <c r="A1898" t="s">
        <v>9323</v>
      </c>
      <c r="B1898" t="s">
        <v>9315</v>
      </c>
      <c r="C1898" t="s">
        <v>9324</v>
      </c>
      <c r="D1898" t="s">
        <v>10</v>
      </c>
      <c r="E1898" t="s">
        <v>1080</v>
      </c>
      <c r="F1898">
        <v>1</v>
      </c>
    </row>
    <row r="1899" spans="1:6" x14ac:dyDescent="0.2">
      <c r="A1899" t="s">
        <v>9332</v>
      </c>
      <c r="B1899" t="s">
        <v>9315</v>
      </c>
      <c r="C1899" t="s">
        <v>9331</v>
      </c>
      <c r="D1899" t="s">
        <v>10</v>
      </c>
      <c r="E1899" t="s">
        <v>16</v>
      </c>
      <c r="F1899">
        <v>1</v>
      </c>
    </row>
    <row r="1900" spans="1:6" x14ac:dyDescent="0.2">
      <c r="A1900" t="s">
        <v>5291</v>
      </c>
      <c r="B1900" t="s">
        <v>9447</v>
      </c>
      <c r="C1900" t="s">
        <v>5877</v>
      </c>
      <c r="D1900" t="s">
        <v>10</v>
      </c>
      <c r="E1900" t="s">
        <v>16</v>
      </c>
      <c r="F1900">
        <v>1</v>
      </c>
    </row>
    <row r="1901" spans="1:6" x14ac:dyDescent="0.2">
      <c r="A1901" t="s">
        <v>3419</v>
      </c>
      <c r="B1901" t="s">
        <v>5191</v>
      </c>
      <c r="C1901" t="s">
        <v>5200</v>
      </c>
      <c r="D1901" t="s">
        <v>10</v>
      </c>
      <c r="E1901" t="s">
        <v>16</v>
      </c>
      <c r="F1901">
        <v>1</v>
      </c>
    </row>
    <row r="1902" spans="1:6" x14ac:dyDescent="0.2">
      <c r="A1902" t="s">
        <v>5882</v>
      </c>
      <c r="B1902" t="s">
        <v>5871</v>
      </c>
      <c r="C1902" t="s">
        <v>5881</v>
      </c>
      <c r="D1902" t="s">
        <v>10</v>
      </c>
      <c r="E1902" t="s">
        <v>16</v>
      </c>
      <c r="F1902">
        <v>1</v>
      </c>
    </row>
    <row r="1903" spans="1:6" x14ac:dyDescent="0.2">
      <c r="A1903" t="s">
        <v>9335</v>
      </c>
      <c r="B1903" t="s">
        <v>9315</v>
      </c>
      <c r="C1903" t="s">
        <v>9334</v>
      </c>
      <c r="D1903" t="s">
        <v>10</v>
      </c>
      <c r="E1903" t="s">
        <v>16</v>
      </c>
      <c r="F1903">
        <v>1</v>
      </c>
    </row>
    <row r="1904" spans="1:6" x14ac:dyDescent="0.2">
      <c r="A1904" t="s">
        <v>9337</v>
      </c>
      <c r="B1904" t="s">
        <v>9315</v>
      </c>
      <c r="C1904" t="s">
        <v>9336</v>
      </c>
      <c r="D1904" t="s">
        <v>10</v>
      </c>
      <c r="E1904" t="s">
        <v>16</v>
      </c>
      <c r="F1904">
        <v>1</v>
      </c>
    </row>
    <row r="1905" spans="1:6" x14ac:dyDescent="0.2">
      <c r="A1905" t="s">
        <v>9321</v>
      </c>
      <c r="B1905" t="s">
        <v>9315</v>
      </c>
      <c r="C1905" t="s">
        <v>9320</v>
      </c>
      <c r="D1905" t="s">
        <v>10</v>
      </c>
      <c r="E1905" t="s">
        <v>1080</v>
      </c>
      <c r="F1905">
        <v>1</v>
      </c>
    </row>
    <row r="1906" spans="1:6" x14ac:dyDescent="0.2">
      <c r="A1906" t="s">
        <v>9319</v>
      </c>
      <c r="B1906" t="s">
        <v>9315</v>
      </c>
      <c r="C1906" t="s">
        <v>9318</v>
      </c>
      <c r="D1906" t="s">
        <v>10</v>
      </c>
      <c r="E1906" t="s">
        <v>16</v>
      </c>
      <c r="F1906">
        <v>1</v>
      </c>
    </row>
    <row r="1907" spans="1:6" x14ac:dyDescent="0.2">
      <c r="A1907" t="s">
        <v>9317</v>
      </c>
      <c r="B1907" t="s">
        <v>9315</v>
      </c>
      <c r="C1907" t="s">
        <v>9333</v>
      </c>
      <c r="D1907" t="s">
        <v>10</v>
      </c>
      <c r="E1907" t="s">
        <v>1080</v>
      </c>
      <c r="F1907">
        <v>1</v>
      </c>
    </row>
    <row r="1908" spans="1:6" x14ac:dyDescent="0.2">
      <c r="A1908" t="s">
        <v>9329</v>
      </c>
      <c r="B1908" t="s">
        <v>9315</v>
      </c>
      <c r="C1908" t="s">
        <v>9330</v>
      </c>
      <c r="D1908" t="s">
        <v>10</v>
      </c>
      <c r="E1908" t="s">
        <v>1080</v>
      </c>
      <c r="F1908">
        <v>1</v>
      </c>
    </row>
    <row r="1909" spans="1:6" x14ac:dyDescent="0.2">
      <c r="A1909" t="s">
        <v>9326</v>
      </c>
      <c r="B1909" t="s">
        <v>9315</v>
      </c>
      <c r="C1909" t="s">
        <v>9327</v>
      </c>
      <c r="D1909" t="s">
        <v>10</v>
      </c>
      <c r="E1909" t="s">
        <v>16</v>
      </c>
      <c r="F1909">
        <v>1</v>
      </c>
    </row>
    <row r="1910" spans="1:6" x14ac:dyDescent="0.2">
      <c r="A1910" t="s">
        <v>9120</v>
      </c>
      <c r="B1910" t="s">
        <v>9114</v>
      </c>
      <c r="C1910" t="s">
        <v>9119</v>
      </c>
      <c r="D1910" t="s">
        <v>10</v>
      </c>
      <c r="E1910" t="s">
        <v>16</v>
      </c>
      <c r="F1910">
        <v>1</v>
      </c>
    </row>
    <row r="1911" spans="1:6" x14ac:dyDescent="0.2">
      <c r="A1911" t="s">
        <v>9116</v>
      </c>
      <c r="B1911" t="s">
        <v>9114</v>
      </c>
      <c r="C1911" t="s">
        <v>9121</v>
      </c>
      <c r="D1911" t="s">
        <v>10</v>
      </c>
      <c r="E1911" t="s">
        <v>16</v>
      </c>
      <c r="F1911">
        <v>1</v>
      </c>
    </row>
    <row r="1912" spans="1:6" x14ac:dyDescent="0.2">
      <c r="A1912" t="s">
        <v>9123</v>
      </c>
      <c r="B1912" t="s">
        <v>9114</v>
      </c>
      <c r="C1912" t="s">
        <v>9122</v>
      </c>
      <c r="D1912" t="s">
        <v>10</v>
      </c>
      <c r="E1912" t="s">
        <v>16</v>
      </c>
      <c r="F1912">
        <v>1</v>
      </c>
    </row>
    <row r="1913" spans="1:6" x14ac:dyDescent="0.2">
      <c r="A1913" t="s">
        <v>9118</v>
      </c>
      <c r="B1913" t="s">
        <v>9114</v>
      </c>
      <c r="C1913" t="s">
        <v>9124</v>
      </c>
      <c r="D1913" t="s">
        <v>10</v>
      </c>
      <c r="E1913" t="s">
        <v>16</v>
      </c>
      <c r="F1913">
        <v>1</v>
      </c>
    </row>
    <row r="1914" spans="1:6" x14ac:dyDescent="0.2">
      <c r="A1914" t="s">
        <v>4977</v>
      </c>
      <c r="B1914" t="s">
        <v>9114</v>
      </c>
      <c r="C1914" t="s">
        <v>4976</v>
      </c>
      <c r="D1914" t="s">
        <v>10</v>
      </c>
      <c r="E1914" t="s">
        <v>16</v>
      </c>
      <c r="F1914">
        <v>1</v>
      </c>
    </row>
    <row r="1915" spans="1:6" x14ac:dyDescent="0.2">
      <c r="A1915" t="s">
        <v>9126</v>
      </c>
      <c r="B1915" t="s">
        <v>9114</v>
      </c>
      <c r="C1915" t="s">
        <v>9125</v>
      </c>
      <c r="D1915" t="s">
        <v>10</v>
      </c>
      <c r="E1915" t="s">
        <v>16</v>
      </c>
      <c r="F1915">
        <v>1</v>
      </c>
    </row>
    <row r="1916" spans="1:6" x14ac:dyDescent="0.2">
      <c r="A1916" t="s">
        <v>9128</v>
      </c>
      <c r="B1916" t="s">
        <v>9114</v>
      </c>
      <c r="C1916" t="s">
        <v>9127</v>
      </c>
      <c r="D1916" t="s">
        <v>10</v>
      </c>
      <c r="E1916" t="s">
        <v>16</v>
      </c>
      <c r="F1916">
        <v>1</v>
      </c>
    </row>
    <row r="1917" spans="1:6" x14ac:dyDescent="0.2">
      <c r="A1917" t="s">
        <v>9136</v>
      </c>
      <c r="B1917" t="s">
        <v>9114</v>
      </c>
      <c r="C1917" t="s">
        <v>9135</v>
      </c>
      <c r="D1917" t="s">
        <v>10</v>
      </c>
      <c r="E1917" t="s">
        <v>16</v>
      </c>
      <c r="F1917">
        <v>1</v>
      </c>
    </row>
    <row r="1918" spans="1:6" x14ac:dyDescent="0.2">
      <c r="A1918" t="s">
        <v>9136</v>
      </c>
      <c r="B1918" t="s">
        <v>9114</v>
      </c>
      <c r="C1918" t="s">
        <v>9137</v>
      </c>
      <c r="D1918" t="s">
        <v>10</v>
      </c>
      <c r="E1918" t="s">
        <v>16</v>
      </c>
      <c r="F1918">
        <v>1</v>
      </c>
    </row>
    <row r="1919" spans="1:6" x14ac:dyDescent="0.2">
      <c r="A1919" t="s">
        <v>11497</v>
      </c>
      <c r="B1919" t="s">
        <v>11495</v>
      </c>
      <c r="C1919" t="s">
        <v>11499</v>
      </c>
      <c r="D1919" t="s">
        <v>10</v>
      </c>
      <c r="E1919" t="s">
        <v>16</v>
      </c>
      <c r="F1919">
        <v>1</v>
      </c>
    </row>
    <row r="1920" spans="1:6" x14ac:dyDescent="0.2">
      <c r="A1920" t="s">
        <v>8967</v>
      </c>
      <c r="B1920" t="s">
        <v>8965</v>
      </c>
      <c r="C1920" t="s">
        <v>8968</v>
      </c>
      <c r="D1920" t="s">
        <v>10</v>
      </c>
      <c r="E1920" t="s">
        <v>16</v>
      </c>
      <c r="F1920">
        <v>1</v>
      </c>
    </row>
    <row r="1921" spans="1:6" x14ac:dyDescent="0.2">
      <c r="A1921" t="s">
        <v>5580</v>
      </c>
      <c r="B1921" t="s">
        <v>11434</v>
      </c>
      <c r="C1921" t="s">
        <v>5581</v>
      </c>
      <c r="D1921" t="s">
        <v>10</v>
      </c>
      <c r="E1921" t="s">
        <v>16</v>
      </c>
      <c r="F1921">
        <v>1</v>
      </c>
    </row>
    <row r="1922" spans="1:6" x14ac:dyDescent="0.2">
      <c r="A1922" t="s">
        <v>8970</v>
      </c>
      <c r="B1922" t="s">
        <v>8965</v>
      </c>
      <c r="C1922" t="s">
        <v>8969</v>
      </c>
      <c r="D1922" t="s">
        <v>10</v>
      </c>
      <c r="E1922" t="s">
        <v>16</v>
      </c>
      <c r="F1922">
        <v>1</v>
      </c>
    </row>
    <row r="1923" spans="1:6" x14ac:dyDescent="0.2">
      <c r="A1923" t="s">
        <v>8972</v>
      </c>
      <c r="B1923" t="s">
        <v>8965</v>
      </c>
      <c r="C1923" t="s">
        <v>8971</v>
      </c>
      <c r="D1923" t="s">
        <v>10</v>
      </c>
      <c r="E1923" t="s">
        <v>16</v>
      </c>
      <c r="F1923">
        <v>1</v>
      </c>
    </row>
    <row r="1924" spans="1:6" x14ac:dyDescent="0.2">
      <c r="A1924" t="s">
        <v>8974</v>
      </c>
      <c r="B1924" t="s">
        <v>8965</v>
      </c>
      <c r="C1924" t="s">
        <v>8973</v>
      </c>
      <c r="D1924" t="s">
        <v>10</v>
      </c>
      <c r="E1924" t="s">
        <v>16</v>
      </c>
      <c r="F1924">
        <v>1</v>
      </c>
    </row>
    <row r="1925" spans="1:6" x14ac:dyDescent="0.2">
      <c r="A1925" t="s">
        <v>11257</v>
      </c>
      <c r="B1925" t="s">
        <v>11255</v>
      </c>
      <c r="C1925" t="s">
        <v>11262</v>
      </c>
      <c r="D1925" t="s">
        <v>10</v>
      </c>
      <c r="E1925" t="s">
        <v>16</v>
      </c>
      <c r="F1925">
        <v>1</v>
      </c>
    </row>
    <row r="1926" spans="1:6" x14ac:dyDescent="0.2">
      <c r="A1926" t="s">
        <v>1452</v>
      </c>
      <c r="B1926" t="s">
        <v>1445</v>
      </c>
      <c r="C1926" t="s">
        <v>1453</v>
      </c>
      <c r="D1926" t="s">
        <v>10</v>
      </c>
      <c r="E1926" t="s">
        <v>16</v>
      </c>
      <c r="F1926">
        <v>1</v>
      </c>
    </row>
    <row r="1927" spans="1:6" x14ac:dyDescent="0.2">
      <c r="A1927" t="s">
        <v>1455</v>
      </c>
      <c r="B1927" t="s">
        <v>1445</v>
      </c>
      <c r="C1927" t="s">
        <v>1454</v>
      </c>
      <c r="D1927" t="s">
        <v>10</v>
      </c>
      <c r="E1927" t="s">
        <v>16</v>
      </c>
      <c r="F1927">
        <v>1</v>
      </c>
    </row>
    <row r="1928" spans="1:6" x14ac:dyDescent="0.2">
      <c r="A1928" t="s">
        <v>1447</v>
      </c>
      <c r="B1928" t="s">
        <v>1445</v>
      </c>
      <c r="C1928" t="s">
        <v>1446</v>
      </c>
      <c r="D1928" t="s">
        <v>10</v>
      </c>
      <c r="E1928" t="s">
        <v>16</v>
      </c>
      <c r="F1928">
        <v>1</v>
      </c>
    </row>
    <row r="1929" spans="1:6" x14ac:dyDescent="0.2">
      <c r="A1929" t="s">
        <v>10891</v>
      </c>
      <c r="B1929" t="s">
        <v>10890</v>
      </c>
      <c r="C1929" t="s">
        <v>652</v>
      </c>
      <c r="D1929" t="s">
        <v>10</v>
      </c>
      <c r="E1929" t="s">
        <v>16</v>
      </c>
      <c r="F1929">
        <v>1</v>
      </c>
    </row>
    <row r="1930" spans="1:6" x14ac:dyDescent="0.2">
      <c r="A1930" t="s">
        <v>4264</v>
      </c>
      <c r="B1930" t="s">
        <v>9369</v>
      </c>
      <c r="C1930" t="s">
        <v>9376</v>
      </c>
      <c r="D1930" t="s">
        <v>10</v>
      </c>
      <c r="E1930" t="s">
        <v>16</v>
      </c>
      <c r="F1930">
        <v>1</v>
      </c>
    </row>
    <row r="1931" spans="1:6" x14ac:dyDescent="0.2">
      <c r="A1931" t="s">
        <v>9390</v>
      </c>
      <c r="B1931" t="s">
        <v>9388</v>
      </c>
      <c r="C1931" t="s">
        <v>9389</v>
      </c>
      <c r="D1931" t="s">
        <v>10</v>
      </c>
      <c r="E1931" t="s">
        <v>16</v>
      </c>
      <c r="F1931">
        <v>1</v>
      </c>
    </row>
    <row r="1932" spans="1:6" x14ac:dyDescent="0.2">
      <c r="A1932" t="s">
        <v>1474</v>
      </c>
      <c r="B1932" t="s">
        <v>1472</v>
      </c>
      <c r="C1932" t="s">
        <v>1473</v>
      </c>
      <c r="D1932" t="s">
        <v>10</v>
      </c>
      <c r="E1932" t="s">
        <v>16</v>
      </c>
      <c r="F1932">
        <v>1</v>
      </c>
    </row>
    <row r="1933" spans="1:6" x14ac:dyDescent="0.2">
      <c r="A1933" t="s">
        <v>9727</v>
      </c>
      <c r="B1933" t="s">
        <v>9725</v>
      </c>
      <c r="C1933" t="s">
        <v>9726</v>
      </c>
      <c r="D1933" t="s">
        <v>29</v>
      </c>
      <c r="E1933" t="s">
        <v>16</v>
      </c>
      <c r="F1933">
        <v>1</v>
      </c>
    </row>
    <row r="1934" spans="1:6" x14ac:dyDescent="0.2">
      <c r="A1934" t="s">
        <v>9145</v>
      </c>
      <c r="B1934" t="s">
        <v>9138</v>
      </c>
      <c r="C1934" t="s">
        <v>8910</v>
      </c>
      <c r="D1934" t="s">
        <v>10</v>
      </c>
      <c r="E1934" t="s">
        <v>16</v>
      </c>
      <c r="F1934">
        <v>1</v>
      </c>
    </row>
    <row r="1935" spans="1:6" x14ac:dyDescent="0.2">
      <c r="A1935" t="s">
        <v>9147</v>
      </c>
      <c r="B1935" t="s">
        <v>9138</v>
      </c>
      <c r="C1935" t="s">
        <v>9146</v>
      </c>
      <c r="D1935" t="s">
        <v>10</v>
      </c>
      <c r="E1935" t="s">
        <v>16</v>
      </c>
      <c r="F1935">
        <v>1</v>
      </c>
    </row>
    <row r="1936" spans="1:6" x14ac:dyDescent="0.2">
      <c r="A1936" t="s">
        <v>6697</v>
      </c>
      <c r="B1936" t="s">
        <v>8993</v>
      </c>
      <c r="C1936" t="s">
        <v>6696</v>
      </c>
      <c r="D1936" t="s">
        <v>10</v>
      </c>
      <c r="E1936" t="s">
        <v>16</v>
      </c>
      <c r="F1936">
        <v>1</v>
      </c>
    </row>
    <row r="1937" spans="1:6" x14ac:dyDescent="0.2">
      <c r="A1937" t="s">
        <v>6662</v>
      </c>
      <c r="B1937" t="s">
        <v>6648</v>
      </c>
      <c r="C1937" t="s">
        <v>6661</v>
      </c>
      <c r="D1937" t="s">
        <v>10</v>
      </c>
      <c r="E1937" t="s">
        <v>16</v>
      </c>
      <c r="F1937">
        <v>1</v>
      </c>
    </row>
    <row r="1938" spans="1:6" x14ac:dyDescent="0.2">
      <c r="A1938" t="s">
        <v>6660</v>
      </c>
      <c r="B1938" t="s">
        <v>6648</v>
      </c>
      <c r="C1938" t="s">
        <v>6659</v>
      </c>
      <c r="D1938" t="s">
        <v>10</v>
      </c>
      <c r="E1938" t="s">
        <v>16</v>
      </c>
      <c r="F1938">
        <v>1</v>
      </c>
    </row>
    <row r="1939" spans="1:6" x14ac:dyDescent="0.2">
      <c r="A1939" t="s">
        <v>9006</v>
      </c>
      <c r="B1939" t="s">
        <v>8993</v>
      </c>
      <c r="C1939" t="s">
        <v>9005</v>
      </c>
      <c r="D1939" t="s">
        <v>10</v>
      </c>
      <c r="E1939" t="s">
        <v>16</v>
      </c>
      <c r="F1939">
        <v>2</v>
      </c>
    </row>
    <row r="1940" spans="1:6" x14ac:dyDescent="0.2">
      <c r="A1940" t="s">
        <v>9003</v>
      </c>
      <c r="B1940" t="s">
        <v>8993</v>
      </c>
      <c r="C1940" t="s">
        <v>9002</v>
      </c>
      <c r="D1940" t="s">
        <v>10</v>
      </c>
      <c r="E1940" t="s">
        <v>16</v>
      </c>
      <c r="F1940">
        <v>1</v>
      </c>
    </row>
    <row r="1941" spans="1:6" x14ac:dyDescent="0.2">
      <c r="A1941" t="s">
        <v>5963</v>
      </c>
      <c r="B1941" t="s">
        <v>5961</v>
      </c>
      <c r="C1941" t="s">
        <v>5962</v>
      </c>
      <c r="D1941" t="s">
        <v>10</v>
      </c>
      <c r="E1941" t="s">
        <v>16</v>
      </c>
      <c r="F1941">
        <v>1</v>
      </c>
    </row>
    <row r="1942" spans="1:6" x14ac:dyDescent="0.2">
      <c r="A1942" t="s">
        <v>9442</v>
      </c>
      <c r="B1942" t="s">
        <v>9438</v>
      </c>
      <c r="C1942" t="s">
        <v>9441</v>
      </c>
      <c r="D1942" t="s">
        <v>10</v>
      </c>
      <c r="E1942" t="s">
        <v>16</v>
      </c>
      <c r="F1942">
        <v>1</v>
      </c>
    </row>
    <row r="1943" spans="1:6" x14ac:dyDescent="0.2">
      <c r="A1943" t="s">
        <v>2652</v>
      </c>
      <c r="B1943" t="s">
        <v>2650</v>
      </c>
      <c r="C1943" t="s">
        <v>2651</v>
      </c>
      <c r="D1943" t="s">
        <v>10</v>
      </c>
      <c r="E1943" t="s">
        <v>16</v>
      </c>
      <c r="F1943">
        <v>1</v>
      </c>
    </row>
    <row r="1944" spans="1:6" x14ac:dyDescent="0.2">
      <c r="A1944" t="s">
        <v>6381</v>
      </c>
      <c r="B1944" t="s">
        <v>6378</v>
      </c>
      <c r="C1944" t="s">
        <v>6380</v>
      </c>
      <c r="D1944" t="s">
        <v>10</v>
      </c>
      <c r="E1944" t="s">
        <v>11</v>
      </c>
      <c r="F1944">
        <v>2</v>
      </c>
    </row>
    <row r="1945" spans="1:6" x14ac:dyDescent="0.2">
      <c r="A1945" t="s">
        <v>8998</v>
      </c>
      <c r="B1945" t="s">
        <v>8993</v>
      </c>
      <c r="C1945" t="s">
        <v>8997</v>
      </c>
      <c r="D1945" t="s">
        <v>10</v>
      </c>
      <c r="E1945" t="s">
        <v>16</v>
      </c>
      <c r="F1945">
        <v>1</v>
      </c>
    </row>
    <row r="1946" spans="1:6" x14ac:dyDescent="0.2">
      <c r="A1946" t="s">
        <v>4260</v>
      </c>
      <c r="B1946" t="s">
        <v>4334</v>
      </c>
      <c r="C1946" t="s">
        <v>4259</v>
      </c>
      <c r="D1946" t="s">
        <v>10</v>
      </c>
      <c r="E1946" t="s">
        <v>16</v>
      </c>
      <c r="F1946">
        <v>1</v>
      </c>
    </row>
    <row r="1947" spans="1:6" x14ac:dyDescent="0.2">
      <c r="A1947" t="s">
        <v>8436</v>
      </c>
      <c r="B1947" t="s">
        <v>9465</v>
      </c>
      <c r="C1947" t="s">
        <v>6562</v>
      </c>
      <c r="D1947" t="s">
        <v>10</v>
      </c>
      <c r="E1947" t="s">
        <v>16</v>
      </c>
      <c r="F1947">
        <v>1</v>
      </c>
    </row>
    <row r="1948" spans="1:6" x14ac:dyDescent="0.2">
      <c r="A1948" t="s">
        <v>6657</v>
      </c>
      <c r="B1948" t="s">
        <v>6648</v>
      </c>
      <c r="C1948" t="s">
        <v>6656</v>
      </c>
      <c r="D1948" t="s">
        <v>10</v>
      </c>
      <c r="E1948" t="s">
        <v>16</v>
      </c>
      <c r="F1948">
        <v>1</v>
      </c>
    </row>
    <row r="1949" spans="1:6" x14ac:dyDescent="0.2">
      <c r="A1949" t="s">
        <v>10012</v>
      </c>
      <c r="B1949" t="s">
        <v>10146</v>
      </c>
      <c r="C1949" t="s">
        <v>10011</v>
      </c>
      <c r="D1949" t="s">
        <v>10</v>
      </c>
      <c r="E1949" t="s">
        <v>11</v>
      </c>
      <c r="F1949">
        <v>2</v>
      </c>
    </row>
    <row r="1950" spans="1:6" x14ac:dyDescent="0.2">
      <c r="A1950" t="s">
        <v>9440</v>
      </c>
      <c r="B1950" t="s">
        <v>9438</v>
      </c>
      <c r="C1950" t="s">
        <v>9439</v>
      </c>
      <c r="D1950" t="s">
        <v>10</v>
      </c>
      <c r="E1950" t="s">
        <v>52</v>
      </c>
      <c r="F1950">
        <v>1</v>
      </c>
    </row>
    <row r="1951" spans="1:6" x14ac:dyDescent="0.2">
      <c r="A1951" t="s">
        <v>9364</v>
      </c>
      <c r="B1951" t="s">
        <v>9358</v>
      </c>
      <c r="C1951" t="s">
        <v>9363</v>
      </c>
      <c r="D1951" t="s">
        <v>10</v>
      </c>
      <c r="E1951" t="s">
        <v>16</v>
      </c>
      <c r="F1951">
        <v>1</v>
      </c>
    </row>
    <row r="1952" spans="1:6" x14ac:dyDescent="0.2">
      <c r="A1952" t="s">
        <v>9577</v>
      </c>
      <c r="B1952" t="s">
        <v>9568</v>
      </c>
      <c r="C1952" t="s">
        <v>9593</v>
      </c>
      <c r="D1952" t="s">
        <v>56</v>
      </c>
      <c r="E1952" t="s">
        <v>52</v>
      </c>
      <c r="F1952">
        <v>1</v>
      </c>
    </row>
    <row r="1953" spans="1:6" x14ac:dyDescent="0.2">
      <c r="A1953" t="s">
        <v>9404</v>
      </c>
      <c r="B1953" t="s">
        <v>9396</v>
      </c>
      <c r="C1953" t="s">
        <v>9420</v>
      </c>
      <c r="D1953" t="s">
        <v>10</v>
      </c>
      <c r="E1953" t="s">
        <v>16</v>
      </c>
      <c r="F1953">
        <v>1</v>
      </c>
    </row>
    <row r="1954" spans="1:6" x14ac:dyDescent="0.2">
      <c r="A1954" t="s">
        <v>10035</v>
      </c>
      <c r="B1954" t="s">
        <v>10031</v>
      </c>
      <c r="C1954" t="s">
        <v>10034</v>
      </c>
      <c r="D1954" t="s">
        <v>10</v>
      </c>
      <c r="E1954" t="s">
        <v>16</v>
      </c>
      <c r="F1954">
        <v>1</v>
      </c>
    </row>
    <row r="1955" spans="1:6" x14ac:dyDescent="0.2">
      <c r="A1955" t="s">
        <v>9417</v>
      </c>
      <c r="B1955" t="s">
        <v>9396</v>
      </c>
      <c r="C1955" t="s">
        <v>9416</v>
      </c>
      <c r="D1955" t="s">
        <v>10</v>
      </c>
      <c r="E1955" t="s">
        <v>16</v>
      </c>
      <c r="F1955">
        <v>1</v>
      </c>
    </row>
    <row r="1956" spans="1:6" x14ac:dyDescent="0.2">
      <c r="A1956" t="s">
        <v>9419</v>
      </c>
      <c r="B1956" t="s">
        <v>9396</v>
      </c>
      <c r="C1956" t="s">
        <v>9418</v>
      </c>
      <c r="D1956" t="s">
        <v>10</v>
      </c>
      <c r="E1956" t="s">
        <v>16</v>
      </c>
      <c r="F1956">
        <v>1</v>
      </c>
    </row>
    <row r="1957" spans="1:6" x14ac:dyDescent="0.2">
      <c r="A1957" t="s">
        <v>7310</v>
      </c>
      <c r="B1957" t="s">
        <v>9341</v>
      </c>
      <c r="C1957" t="s">
        <v>7313</v>
      </c>
      <c r="D1957" t="s">
        <v>10</v>
      </c>
      <c r="E1957" t="s">
        <v>16</v>
      </c>
      <c r="F1957">
        <v>1</v>
      </c>
    </row>
    <row r="1958" spans="1:6" x14ac:dyDescent="0.2">
      <c r="A1958" t="s">
        <v>743</v>
      </c>
      <c r="B1958" t="s">
        <v>9341</v>
      </c>
      <c r="C1958" t="s">
        <v>9342</v>
      </c>
      <c r="D1958" t="s">
        <v>10</v>
      </c>
      <c r="E1958" t="s">
        <v>16</v>
      </c>
      <c r="F1958">
        <v>1</v>
      </c>
    </row>
    <row r="1959" spans="1:6" x14ac:dyDescent="0.2">
      <c r="A1959" t="s">
        <v>745</v>
      </c>
      <c r="B1959" t="s">
        <v>9341</v>
      </c>
      <c r="C1959" t="s">
        <v>9343</v>
      </c>
      <c r="D1959" t="s">
        <v>10</v>
      </c>
      <c r="E1959" t="s">
        <v>16</v>
      </c>
      <c r="F1959">
        <v>1</v>
      </c>
    </row>
    <row r="1960" spans="1:6" x14ac:dyDescent="0.2">
      <c r="A1960" t="s">
        <v>1930</v>
      </c>
      <c r="B1960" t="s">
        <v>9341</v>
      </c>
      <c r="C1960" t="s">
        <v>1929</v>
      </c>
      <c r="D1960" t="s">
        <v>10</v>
      </c>
      <c r="E1960" t="s">
        <v>16</v>
      </c>
      <c r="F1960">
        <v>1</v>
      </c>
    </row>
    <row r="1961" spans="1:6" x14ac:dyDescent="0.2">
      <c r="A1961" t="s">
        <v>9472</v>
      </c>
      <c r="B1961" t="s">
        <v>9466</v>
      </c>
      <c r="C1961" t="s">
        <v>9471</v>
      </c>
      <c r="D1961" t="s">
        <v>10</v>
      </c>
      <c r="E1961" t="s">
        <v>16</v>
      </c>
      <c r="F1961">
        <v>1</v>
      </c>
    </row>
    <row r="1962" spans="1:6" x14ac:dyDescent="0.2">
      <c r="A1962" t="s">
        <v>8873</v>
      </c>
      <c r="B1962" t="s">
        <v>8871</v>
      </c>
      <c r="C1962" t="s">
        <v>8872</v>
      </c>
      <c r="D1962" t="s">
        <v>10</v>
      </c>
      <c r="E1962" t="s">
        <v>16</v>
      </c>
      <c r="F1962">
        <v>1</v>
      </c>
    </row>
    <row r="1963" spans="1:6" x14ac:dyDescent="0.2">
      <c r="A1963" t="s">
        <v>280</v>
      </c>
      <c r="B1963" t="s">
        <v>278</v>
      </c>
      <c r="C1963" t="s">
        <v>279</v>
      </c>
      <c r="D1963" t="s">
        <v>10</v>
      </c>
      <c r="E1963" t="s">
        <v>16</v>
      </c>
      <c r="F1963">
        <v>1</v>
      </c>
    </row>
    <row r="1964" spans="1:6" x14ac:dyDescent="0.2">
      <c r="A1964" t="s">
        <v>624</v>
      </c>
      <c r="B1964" t="s">
        <v>587</v>
      </c>
      <c r="C1964" t="s">
        <v>660</v>
      </c>
      <c r="D1964" t="s">
        <v>56</v>
      </c>
      <c r="E1964" t="s">
        <v>52</v>
      </c>
      <c r="F1964">
        <v>2</v>
      </c>
    </row>
    <row r="1965" spans="1:6" x14ac:dyDescent="0.2">
      <c r="A1965" t="s">
        <v>2152</v>
      </c>
      <c r="B1965" t="s">
        <v>2145</v>
      </c>
      <c r="C1965" t="s">
        <v>2151</v>
      </c>
      <c r="D1965" t="s">
        <v>10</v>
      </c>
      <c r="E1965" t="s">
        <v>16</v>
      </c>
      <c r="F1965">
        <v>1</v>
      </c>
    </row>
    <row r="1966" spans="1:6" x14ac:dyDescent="0.2">
      <c r="A1966" t="s">
        <v>9666</v>
      </c>
      <c r="B1966" t="s">
        <v>9659</v>
      </c>
      <c r="C1966" t="s">
        <v>9671</v>
      </c>
      <c r="D1966" t="s">
        <v>10</v>
      </c>
      <c r="E1966" t="s">
        <v>16</v>
      </c>
      <c r="F1966">
        <v>1</v>
      </c>
    </row>
    <row r="1967" spans="1:6" x14ac:dyDescent="0.2">
      <c r="A1967" t="s">
        <v>9434</v>
      </c>
      <c r="B1967" t="s">
        <v>9432</v>
      </c>
      <c r="C1967" t="s">
        <v>9433</v>
      </c>
      <c r="D1967" t="s">
        <v>10</v>
      </c>
      <c r="E1967" t="s">
        <v>16</v>
      </c>
      <c r="F1967">
        <v>1</v>
      </c>
    </row>
    <row r="1968" spans="1:6" x14ac:dyDescent="0.2">
      <c r="A1968" t="s">
        <v>9379</v>
      </c>
      <c r="B1968" t="s">
        <v>9377</v>
      </c>
      <c r="C1968" t="s">
        <v>9378</v>
      </c>
      <c r="D1968" t="s">
        <v>10</v>
      </c>
      <c r="E1968" t="s">
        <v>16</v>
      </c>
      <c r="F1968">
        <v>1</v>
      </c>
    </row>
    <row r="1969" spans="1:6" x14ac:dyDescent="0.2">
      <c r="A1969" t="s">
        <v>7580</v>
      </c>
      <c r="B1969" t="s">
        <v>9522</v>
      </c>
      <c r="C1969" t="s">
        <v>7583</v>
      </c>
      <c r="D1969" t="s">
        <v>10</v>
      </c>
      <c r="E1969" t="s">
        <v>16</v>
      </c>
      <c r="F1969">
        <v>1</v>
      </c>
    </row>
    <row r="1970" spans="1:6" x14ac:dyDescent="0.2">
      <c r="A1970" t="s">
        <v>9562</v>
      </c>
      <c r="B1970" t="s">
        <v>9522</v>
      </c>
      <c r="C1970" t="s">
        <v>9565</v>
      </c>
      <c r="D1970" t="s">
        <v>10</v>
      </c>
      <c r="E1970" t="s">
        <v>16</v>
      </c>
      <c r="F1970">
        <v>1</v>
      </c>
    </row>
    <row r="1971" spans="1:6" x14ac:dyDescent="0.2">
      <c r="A1971" t="s">
        <v>7582</v>
      </c>
      <c r="B1971" t="s">
        <v>9522</v>
      </c>
      <c r="C1971" t="s">
        <v>9566</v>
      </c>
      <c r="D1971" t="s">
        <v>10</v>
      </c>
      <c r="E1971" t="s">
        <v>16</v>
      </c>
      <c r="F1971">
        <v>1</v>
      </c>
    </row>
    <row r="1972" spans="1:6" x14ac:dyDescent="0.2">
      <c r="A1972" t="s">
        <v>9526</v>
      </c>
      <c r="B1972" t="s">
        <v>9522</v>
      </c>
      <c r="C1972" t="s">
        <v>9525</v>
      </c>
      <c r="D1972" t="s">
        <v>10</v>
      </c>
      <c r="E1972" t="s">
        <v>16</v>
      </c>
      <c r="F1972">
        <v>1</v>
      </c>
    </row>
    <row r="1973" spans="1:6" x14ac:dyDescent="0.2">
      <c r="A1973" t="s">
        <v>9528</v>
      </c>
      <c r="B1973" t="s">
        <v>9522</v>
      </c>
      <c r="C1973" t="s">
        <v>9527</v>
      </c>
      <c r="D1973" t="s">
        <v>10</v>
      </c>
      <c r="E1973" t="s">
        <v>16</v>
      </c>
      <c r="F1973">
        <v>1</v>
      </c>
    </row>
    <row r="1974" spans="1:6" x14ac:dyDescent="0.2">
      <c r="A1974" t="s">
        <v>9545</v>
      </c>
      <c r="B1974" t="s">
        <v>9522</v>
      </c>
      <c r="C1974" t="s">
        <v>9544</v>
      </c>
      <c r="D1974" t="s">
        <v>10</v>
      </c>
      <c r="E1974" t="s">
        <v>16</v>
      </c>
      <c r="F1974">
        <v>1</v>
      </c>
    </row>
    <row r="1975" spans="1:6" x14ac:dyDescent="0.2">
      <c r="A1975" t="s">
        <v>778</v>
      </c>
      <c r="B1975" t="s">
        <v>9522</v>
      </c>
      <c r="C1975" t="s">
        <v>779</v>
      </c>
      <c r="D1975" t="s">
        <v>10</v>
      </c>
      <c r="E1975" t="s">
        <v>16</v>
      </c>
      <c r="F1975">
        <v>1</v>
      </c>
    </row>
    <row r="1976" spans="1:6" x14ac:dyDescent="0.2">
      <c r="A1976" t="s">
        <v>9548</v>
      </c>
      <c r="B1976" t="s">
        <v>9522</v>
      </c>
      <c r="C1976" t="s">
        <v>9547</v>
      </c>
      <c r="D1976" t="s">
        <v>10</v>
      </c>
      <c r="E1976" t="s">
        <v>52</v>
      </c>
      <c r="F1976">
        <v>1</v>
      </c>
    </row>
    <row r="1977" spans="1:6" x14ac:dyDescent="0.2">
      <c r="A1977" t="s">
        <v>9524</v>
      </c>
      <c r="B1977" t="s">
        <v>9522</v>
      </c>
      <c r="C1977" t="s">
        <v>9523</v>
      </c>
      <c r="D1977" t="s">
        <v>10</v>
      </c>
      <c r="E1977" t="s">
        <v>16</v>
      </c>
      <c r="F1977">
        <v>1</v>
      </c>
    </row>
    <row r="1978" spans="1:6" x14ac:dyDescent="0.2">
      <c r="A1978" t="s">
        <v>9532</v>
      </c>
      <c r="B1978" t="s">
        <v>9522</v>
      </c>
      <c r="C1978" t="s">
        <v>9533</v>
      </c>
      <c r="D1978" t="s">
        <v>10</v>
      </c>
      <c r="E1978" t="s">
        <v>52</v>
      </c>
      <c r="F1978">
        <v>1</v>
      </c>
    </row>
    <row r="1979" spans="1:6" x14ac:dyDescent="0.2">
      <c r="A1979" t="s">
        <v>9767</v>
      </c>
      <c r="B1979" t="s">
        <v>9765</v>
      </c>
      <c r="C1979" t="s">
        <v>9766</v>
      </c>
      <c r="D1979" t="s">
        <v>10</v>
      </c>
      <c r="E1979" t="s">
        <v>16</v>
      </c>
      <c r="F1979">
        <v>1</v>
      </c>
    </row>
    <row r="1980" spans="1:6" x14ac:dyDescent="0.2">
      <c r="A1980" t="s">
        <v>5856</v>
      </c>
      <c r="B1980" t="s">
        <v>5854</v>
      </c>
      <c r="C1980" t="s">
        <v>5855</v>
      </c>
      <c r="D1980" t="s">
        <v>10</v>
      </c>
      <c r="E1980" t="s">
        <v>16</v>
      </c>
      <c r="F1980">
        <v>1</v>
      </c>
    </row>
    <row r="1981" spans="1:6" x14ac:dyDescent="0.2">
      <c r="A1981" t="s">
        <v>2945</v>
      </c>
      <c r="B1981" t="s">
        <v>2673</v>
      </c>
      <c r="C1981" t="s">
        <v>2944</v>
      </c>
      <c r="D1981" t="s">
        <v>10</v>
      </c>
      <c r="E1981" t="s">
        <v>11</v>
      </c>
      <c r="F1981">
        <v>1</v>
      </c>
    </row>
    <row r="1982" spans="1:6" x14ac:dyDescent="0.2">
      <c r="A1982" t="s">
        <v>8778</v>
      </c>
      <c r="B1982" t="s">
        <v>8772</v>
      </c>
      <c r="C1982" t="s">
        <v>8777</v>
      </c>
      <c r="D1982" t="s">
        <v>10</v>
      </c>
      <c r="E1982" t="s">
        <v>11</v>
      </c>
      <c r="F1982">
        <v>1</v>
      </c>
    </row>
    <row r="1983" spans="1:6" x14ac:dyDescent="0.2">
      <c r="A1983" t="s">
        <v>6621</v>
      </c>
      <c r="B1983" t="s">
        <v>8532</v>
      </c>
      <c r="C1983" t="s">
        <v>6630</v>
      </c>
      <c r="D1983" t="s">
        <v>10</v>
      </c>
      <c r="E1983" t="s">
        <v>11</v>
      </c>
      <c r="F1983">
        <v>2</v>
      </c>
    </row>
    <row r="1984" spans="1:6" x14ac:dyDescent="0.2">
      <c r="A1984" t="s">
        <v>5864</v>
      </c>
      <c r="B1984" t="s">
        <v>5854</v>
      </c>
      <c r="C1984" t="s">
        <v>5863</v>
      </c>
      <c r="D1984" t="s">
        <v>10</v>
      </c>
      <c r="E1984" t="s">
        <v>52</v>
      </c>
      <c r="F1984">
        <v>1</v>
      </c>
    </row>
    <row r="1985" spans="1:6" x14ac:dyDescent="0.2">
      <c r="A1985" t="s">
        <v>683</v>
      </c>
      <c r="B1985" t="s">
        <v>682</v>
      </c>
      <c r="C1985" t="s">
        <v>48</v>
      </c>
      <c r="D1985" t="s">
        <v>10</v>
      </c>
      <c r="E1985" t="s">
        <v>16</v>
      </c>
      <c r="F1985">
        <v>1</v>
      </c>
    </row>
    <row r="1986" spans="1:6" x14ac:dyDescent="0.2">
      <c r="A1986" t="s">
        <v>5661</v>
      </c>
      <c r="B1986" t="s">
        <v>5659</v>
      </c>
      <c r="C1986" t="s">
        <v>5660</v>
      </c>
      <c r="D1986" t="s">
        <v>10</v>
      </c>
      <c r="E1986" t="s">
        <v>16</v>
      </c>
      <c r="F1986">
        <v>1</v>
      </c>
    </row>
    <row r="1987" spans="1:6" x14ac:dyDescent="0.2">
      <c r="A1987" t="s">
        <v>8836</v>
      </c>
      <c r="B1987" t="s">
        <v>8834</v>
      </c>
      <c r="C1987" t="s">
        <v>8835</v>
      </c>
      <c r="D1987" t="s">
        <v>10</v>
      </c>
      <c r="E1987" t="s">
        <v>16</v>
      </c>
      <c r="F1987">
        <v>1</v>
      </c>
    </row>
    <row r="1988" spans="1:6" x14ac:dyDescent="0.2">
      <c r="A1988" t="s">
        <v>9611</v>
      </c>
      <c r="B1988" t="s">
        <v>9607</v>
      </c>
      <c r="C1988" t="s">
        <v>9610</v>
      </c>
      <c r="D1988" t="s">
        <v>10</v>
      </c>
      <c r="E1988" t="s">
        <v>16</v>
      </c>
      <c r="F1988">
        <v>1</v>
      </c>
    </row>
    <row r="1989" spans="1:6" x14ac:dyDescent="0.2">
      <c r="A1989" t="s">
        <v>10221</v>
      </c>
      <c r="B1989" t="s">
        <v>10193</v>
      </c>
      <c r="C1989" t="s">
        <v>10220</v>
      </c>
      <c r="D1989" t="s">
        <v>10</v>
      </c>
      <c r="E1989" t="s">
        <v>16</v>
      </c>
      <c r="F1989">
        <v>1</v>
      </c>
    </row>
    <row r="1990" spans="1:6" x14ac:dyDescent="0.2">
      <c r="A1990" t="s">
        <v>9602</v>
      </c>
      <c r="B1990" t="s">
        <v>9600</v>
      </c>
      <c r="C1990" t="s">
        <v>9601</v>
      </c>
      <c r="D1990" t="s">
        <v>10</v>
      </c>
      <c r="E1990" t="s">
        <v>16</v>
      </c>
      <c r="F1990">
        <v>1</v>
      </c>
    </row>
    <row r="1991" spans="1:6" x14ac:dyDescent="0.2">
      <c r="A1991" t="s">
        <v>347</v>
      </c>
      <c r="B1991" t="s">
        <v>345</v>
      </c>
      <c r="C1991" t="s">
        <v>346</v>
      </c>
      <c r="D1991" t="s">
        <v>10</v>
      </c>
      <c r="E1991" t="s">
        <v>16</v>
      </c>
      <c r="F1991">
        <v>1</v>
      </c>
    </row>
    <row r="1992" spans="1:6" x14ac:dyDescent="0.2">
      <c r="A1992" t="s">
        <v>9609</v>
      </c>
      <c r="B1992" t="s">
        <v>9607</v>
      </c>
      <c r="C1992" t="s">
        <v>9608</v>
      </c>
      <c r="D1992" t="s">
        <v>10</v>
      </c>
      <c r="E1992" t="s">
        <v>16</v>
      </c>
      <c r="F1992">
        <v>1</v>
      </c>
    </row>
    <row r="1993" spans="1:6" x14ac:dyDescent="0.2">
      <c r="A1993" t="s">
        <v>9833</v>
      </c>
      <c r="B1993" t="s">
        <v>9826</v>
      </c>
      <c r="C1993" t="s">
        <v>9877</v>
      </c>
      <c r="D1993" t="s">
        <v>10</v>
      </c>
      <c r="E1993" t="s">
        <v>16</v>
      </c>
      <c r="F1993">
        <v>1</v>
      </c>
    </row>
    <row r="1994" spans="1:6" x14ac:dyDescent="0.2">
      <c r="A1994" t="s">
        <v>1272</v>
      </c>
      <c r="B1994" t="s">
        <v>9806</v>
      </c>
      <c r="C1994" t="s">
        <v>1271</v>
      </c>
      <c r="D1994" t="s">
        <v>10</v>
      </c>
      <c r="E1994" t="s">
        <v>16</v>
      </c>
      <c r="F1994">
        <v>1</v>
      </c>
    </row>
    <row r="1995" spans="1:6" x14ac:dyDescent="0.2">
      <c r="A1995" t="s">
        <v>9988</v>
      </c>
      <c r="B1995" t="s">
        <v>9986</v>
      </c>
      <c r="C1995" t="s">
        <v>9987</v>
      </c>
      <c r="D1995" t="s">
        <v>10</v>
      </c>
      <c r="E1995" t="s">
        <v>16</v>
      </c>
      <c r="F1995">
        <v>1</v>
      </c>
    </row>
    <row r="1996" spans="1:6" x14ac:dyDescent="0.2">
      <c r="A1996" t="s">
        <v>2781</v>
      </c>
      <c r="B1996" t="s">
        <v>2673</v>
      </c>
      <c r="C1996" t="s">
        <v>2860</v>
      </c>
      <c r="D1996" t="s">
        <v>10</v>
      </c>
      <c r="E1996" t="s">
        <v>11</v>
      </c>
      <c r="F1996">
        <v>4</v>
      </c>
    </row>
    <row r="1997" spans="1:6" x14ac:dyDescent="0.2">
      <c r="A1997" t="s">
        <v>7074</v>
      </c>
      <c r="B1997" t="s">
        <v>7072</v>
      </c>
      <c r="C1997" t="s">
        <v>7073</v>
      </c>
      <c r="D1997" t="s">
        <v>10</v>
      </c>
      <c r="E1997" t="s">
        <v>16</v>
      </c>
      <c r="F1997">
        <v>1</v>
      </c>
    </row>
    <row r="1998" spans="1:6" x14ac:dyDescent="0.2">
      <c r="A1998" t="s">
        <v>10140</v>
      </c>
      <c r="B1998" t="s">
        <v>10138</v>
      </c>
      <c r="C1998" t="s">
        <v>10139</v>
      </c>
      <c r="D1998" t="s">
        <v>3928</v>
      </c>
      <c r="E1998" t="s">
        <v>16</v>
      </c>
      <c r="F1998">
        <v>1</v>
      </c>
    </row>
    <row r="1999" spans="1:6" x14ac:dyDescent="0.2">
      <c r="A1999" t="s">
        <v>1441</v>
      </c>
      <c r="B1999" t="s">
        <v>9826</v>
      </c>
      <c r="C1999" t="s">
        <v>9878</v>
      </c>
      <c r="D1999" t="s">
        <v>10</v>
      </c>
      <c r="E1999" t="s">
        <v>16</v>
      </c>
      <c r="F1999">
        <v>1</v>
      </c>
    </row>
    <row r="2000" spans="1:6" x14ac:dyDescent="0.2">
      <c r="A2000" t="s">
        <v>283</v>
      </c>
      <c r="B2000" t="s">
        <v>9897</v>
      </c>
      <c r="C2000" t="s">
        <v>9902</v>
      </c>
      <c r="D2000" t="s">
        <v>56</v>
      </c>
      <c r="E2000" t="s">
        <v>16</v>
      </c>
      <c r="F2000">
        <v>1</v>
      </c>
    </row>
    <row r="2001" spans="1:6" x14ac:dyDescent="0.2">
      <c r="A2001" t="s">
        <v>9876</v>
      </c>
      <c r="B2001" t="s">
        <v>9826</v>
      </c>
      <c r="C2001" t="s">
        <v>9875</v>
      </c>
      <c r="D2001" t="s">
        <v>10</v>
      </c>
      <c r="E2001" t="s">
        <v>16</v>
      </c>
      <c r="F2001">
        <v>1</v>
      </c>
    </row>
    <row r="2002" spans="1:6" x14ac:dyDescent="0.2">
      <c r="A2002" t="s">
        <v>10488</v>
      </c>
      <c r="B2002" t="s">
        <v>10464</v>
      </c>
      <c r="C2002" t="s">
        <v>10487</v>
      </c>
      <c r="D2002" t="s">
        <v>56</v>
      </c>
      <c r="E2002" t="s">
        <v>16</v>
      </c>
      <c r="F2002">
        <v>1</v>
      </c>
    </row>
    <row r="2003" spans="1:6" x14ac:dyDescent="0.2">
      <c r="A2003" t="s">
        <v>9899</v>
      </c>
      <c r="B2003" t="s">
        <v>9897</v>
      </c>
      <c r="C2003" t="s">
        <v>9907</v>
      </c>
      <c r="D2003" t="s">
        <v>56</v>
      </c>
      <c r="E2003" t="s">
        <v>16</v>
      </c>
      <c r="F2003">
        <v>1</v>
      </c>
    </row>
    <row r="2004" spans="1:6" x14ac:dyDescent="0.2">
      <c r="A2004" t="s">
        <v>9909</v>
      </c>
      <c r="B2004" t="s">
        <v>9897</v>
      </c>
      <c r="C2004" t="s">
        <v>9908</v>
      </c>
      <c r="D2004" t="s">
        <v>56</v>
      </c>
      <c r="E2004" t="s">
        <v>52</v>
      </c>
      <c r="F2004">
        <v>1</v>
      </c>
    </row>
    <row r="2005" spans="1:6" x14ac:dyDescent="0.2">
      <c r="A2005" t="s">
        <v>2687</v>
      </c>
      <c r="B2005" t="s">
        <v>2673</v>
      </c>
      <c r="C2005" t="s">
        <v>2686</v>
      </c>
      <c r="D2005" t="s">
        <v>10</v>
      </c>
      <c r="E2005" t="s">
        <v>11</v>
      </c>
      <c r="F2005">
        <v>3</v>
      </c>
    </row>
    <row r="2006" spans="1:6" x14ac:dyDescent="0.2">
      <c r="A2006" t="s">
        <v>2693</v>
      </c>
      <c r="B2006" t="s">
        <v>2673</v>
      </c>
      <c r="C2006" t="s">
        <v>2692</v>
      </c>
      <c r="D2006" t="s">
        <v>10</v>
      </c>
      <c r="E2006" t="s">
        <v>11</v>
      </c>
      <c r="F2006">
        <v>3</v>
      </c>
    </row>
    <row r="2007" spans="1:6" x14ac:dyDescent="0.2">
      <c r="A2007" t="s">
        <v>9993</v>
      </c>
      <c r="B2007" t="s">
        <v>9989</v>
      </c>
      <c r="C2007" t="s">
        <v>9992</v>
      </c>
      <c r="D2007" t="s">
        <v>10</v>
      </c>
      <c r="E2007" t="s">
        <v>16</v>
      </c>
      <c r="F2007">
        <v>1</v>
      </c>
    </row>
    <row r="2008" spans="1:6" x14ac:dyDescent="0.2">
      <c r="A2008" t="s">
        <v>9991</v>
      </c>
      <c r="B2008" t="s">
        <v>9989</v>
      </c>
      <c r="C2008" t="s">
        <v>9994</v>
      </c>
      <c r="D2008" t="s">
        <v>10</v>
      </c>
      <c r="E2008" t="s">
        <v>16</v>
      </c>
      <c r="F2008">
        <v>1</v>
      </c>
    </row>
    <row r="2009" spans="1:6" x14ac:dyDescent="0.2">
      <c r="A2009" t="s">
        <v>9996</v>
      </c>
      <c r="B2009" t="s">
        <v>9989</v>
      </c>
      <c r="C2009" t="s">
        <v>9995</v>
      </c>
      <c r="D2009" t="s">
        <v>10</v>
      </c>
      <c r="E2009" t="s">
        <v>52</v>
      </c>
      <c r="F2009">
        <v>1</v>
      </c>
    </row>
    <row r="2010" spans="1:6" x14ac:dyDescent="0.2">
      <c r="A2010" t="s">
        <v>104</v>
      </c>
      <c r="B2010" t="s">
        <v>102</v>
      </c>
      <c r="C2010" t="s">
        <v>105</v>
      </c>
      <c r="D2010" t="s">
        <v>10</v>
      </c>
      <c r="E2010" t="s">
        <v>16</v>
      </c>
      <c r="F2010">
        <v>1</v>
      </c>
    </row>
    <row r="2011" spans="1:6" x14ac:dyDescent="0.2">
      <c r="A2011" t="s">
        <v>107</v>
      </c>
      <c r="B2011" t="s">
        <v>102</v>
      </c>
      <c r="C2011" t="s">
        <v>106</v>
      </c>
      <c r="D2011" t="s">
        <v>10</v>
      </c>
      <c r="E2011" t="s">
        <v>16</v>
      </c>
      <c r="F2011">
        <v>1</v>
      </c>
    </row>
    <row r="2012" spans="1:6" x14ac:dyDescent="0.2">
      <c r="A2012" t="s">
        <v>9956</v>
      </c>
      <c r="B2012" t="s">
        <v>9954</v>
      </c>
      <c r="C2012" t="s">
        <v>9955</v>
      </c>
      <c r="D2012" t="s">
        <v>64</v>
      </c>
      <c r="E2012" t="s">
        <v>16</v>
      </c>
      <c r="F2012">
        <v>1</v>
      </c>
    </row>
    <row r="2013" spans="1:6" x14ac:dyDescent="0.2">
      <c r="A2013" t="s">
        <v>10643</v>
      </c>
      <c r="B2013" t="s">
        <v>10641</v>
      </c>
      <c r="C2013" t="s">
        <v>10642</v>
      </c>
      <c r="D2013" t="s">
        <v>10</v>
      </c>
      <c r="E2013" t="s">
        <v>16</v>
      </c>
      <c r="F2013">
        <v>1</v>
      </c>
    </row>
    <row r="2014" spans="1:6" x14ac:dyDescent="0.2">
      <c r="A2014" t="s">
        <v>685</v>
      </c>
      <c r="B2014" t="s">
        <v>682</v>
      </c>
      <c r="C2014" t="s">
        <v>684</v>
      </c>
      <c r="D2014" t="s">
        <v>10</v>
      </c>
      <c r="E2014" t="s">
        <v>16</v>
      </c>
      <c r="F2014">
        <v>1</v>
      </c>
    </row>
    <row r="2015" spans="1:6" x14ac:dyDescent="0.2">
      <c r="A2015" t="s">
        <v>8374</v>
      </c>
      <c r="B2015" t="s">
        <v>8353</v>
      </c>
      <c r="C2015" t="s">
        <v>8373</v>
      </c>
      <c r="D2015" t="s">
        <v>10</v>
      </c>
      <c r="E2015" t="s">
        <v>16</v>
      </c>
      <c r="F2015">
        <v>1</v>
      </c>
    </row>
    <row r="2016" spans="1:6" x14ac:dyDescent="0.2">
      <c r="A2016" t="s">
        <v>8557</v>
      </c>
      <c r="B2016" t="s">
        <v>8555</v>
      </c>
      <c r="C2016" t="s">
        <v>8556</v>
      </c>
      <c r="D2016" t="s">
        <v>10</v>
      </c>
      <c r="E2016" t="s">
        <v>16</v>
      </c>
      <c r="F2016">
        <v>1</v>
      </c>
    </row>
    <row r="2017" spans="1:6" x14ac:dyDescent="0.2">
      <c r="A2017" t="s">
        <v>8587</v>
      </c>
      <c r="B2017" t="s">
        <v>8585</v>
      </c>
      <c r="C2017" t="s">
        <v>8586</v>
      </c>
      <c r="D2017" t="s">
        <v>10</v>
      </c>
      <c r="E2017" t="s">
        <v>16</v>
      </c>
      <c r="F2017">
        <v>1</v>
      </c>
    </row>
    <row r="2018" spans="1:6" x14ac:dyDescent="0.2">
      <c r="A2018" t="s">
        <v>9689</v>
      </c>
      <c r="B2018" t="s">
        <v>9687</v>
      </c>
      <c r="C2018" t="s">
        <v>9688</v>
      </c>
      <c r="D2018" t="s">
        <v>10</v>
      </c>
      <c r="E2018" t="s">
        <v>16</v>
      </c>
      <c r="F2018">
        <v>1</v>
      </c>
    </row>
    <row r="2019" spans="1:6" x14ac:dyDescent="0.2">
      <c r="A2019" t="s">
        <v>9691</v>
      </c>
      <c r="B2019" t="s">
        <v>9687</v>
      </c>
      <c r="C2019" t="s">
        <v>9690</v>
      </c>
      <c r="D2019" t="s">
        <v>10</v>
      </c>
      <c r="E2019" t="s">
        <v>16</v>
      </c>
      <c r="F2019">
        <v>1</v>
      </c>
    </row>
    <row r="2020" spans="1:6" x14ac:dyDescent="0.2">
      <c r="A2020" t="s">
        <v>10122</v>
      </c>
      <c r="B2020" t="s">
        <v>10120</v>
      </c>
      <c r="C2020" t="s">
        <v>10121</v>
      </c>
      <c r="D2020" t="s">
        <v>10</v>
      </c>
      <c r="E2020" t="s">
        <v>16</v>
      </c>
      <c r="F2020">
        <v>1</v>
      </c>
    </row>
    <row r="2021" spans="1:6" x14ac:dyDescent="0.2">
      <c r="A2021" t="s">
        <v>8466</v>
      </c>
      <c r="B2021" t="s">
        <v>8462</v>
      </c>
      <c r="C2021" t="s">
        <v>8465</v>
      </c>
      <c r="D2021" t="s">
        <v>10</v>
      </c>
      <c r="E2021" t="s">
        <v>16</v>
      </c>
      <c r="F2021">
        <v>1</v>
      </c>
    </row>
    <row r="2022" spans="1:6" x14ac:dyDescent="0.2">
      <c r="A2022" t="s">
        <v>9785</v>
      </c>
      <c r="B2022" t="s">
        <v>9780</v>
      </c>
      <c r="C2022" t="s">
        <v>9784</v>
      </c>
      <c r="D2022" t="s">
        <v>29</v>
      </c>
      <c r="E2022" t="s">
        <v>16</v>
      </c>
      <c r="F2022">
        <v>1</v>
      </c>
    </row>
    <row r="2023" spans="1:6" x14ac:dyDescent="0.2">
      <c r="A2023" t="s">
        <v>5763</v>
      </c>
      <c r="B2023" t="s">
        <v>9914</v>
      </c>
      <c r="C2023" t="s">
        <v>9923</v>
      </c>
      <c r="D2023" t="s">
        <v>10</v>
      </c>
      <c r="E2023" t="s">
        <v>16</v>
      </c>
      <c r="F2023">
        <v>2</v>
      </c>
    </row>
    <row r="2024" spans="1:6" x14ac:dyDescent="0.2">
      <c r="A2024" t="s">
        <v>8481</v>
      </c>
      <c r="B2024" t="s">
        <v>8462</v>
      </c>
      <c r="C2024" t="s">
        <v>8480</v>
      </c>
      <c r="D2024" t="s">
        <v>10</v>
      </c>
      <c r="E2024" t="s">
        <v>16</v>
      </c>
      <c r="F2024">
        <v>1</v>
      </c>
    </row>
    <row r="2025" spans="1:6" x14ac:dyDescent="0.2">
      <c r="A2025" t="s">
        <v>4897</v>
      </c>
      <c r="B2025" t="s">
        <v>4895</v>
      </c>
      <c r="C2025" t="s">
        <v>4898</v>
      </c>
      <c r="D2025" t="s">
        <v>10</v>
      </c>
      <c r="E2025" t="s">
        <v>16</v>
      </c>
      <c r="F2025">
        <v>1</v>
      </c>
    </row>
    <row r="2026" spans="1:6" x14ac:dyDescent="0.2">
      <c r="A2026" t="s">
        <v>4591</v>
      </c>
      <c r="B2026" t="s">
        <v>4588</v>
      </c>
      <c r="C2026" t="s">
        <v>4592</v>
      </c>
      <c r="D2026" t="s">
        <v>10</v>
      </c>
      <c r="E2026" t="s">
        <v>16</v>
      </c>
      <c r="F2026">
        <v>1</v>
      </c>
    </row>
    <row r="2027" spans="1:6" x14ac:dyDescent="0.2">
      <c r="A2027" t="s">
        <v>9730</v>
      </c>
      <c r="B2027" t="s">
        <v>9728</v>
      </c>
      <c r="C2027" t="s">
        <v>9729</v>
      </c>
      <c r="D2027" t="s">
        <v>10</v>
      </c>
      <c r="E2027" t="s">
        <v>16</v>
      </c>
      <c r="F2027">
        <v>1</v>
      </c>
    </row>
    <row r="2028" spans="1:6" x14ac:dyDescent="0.2">
      <c r="A2028" t="s">
        <v>11004</v>
      </c>
      <c r="B2028" t="s">
        <v>10998</v>
      </c>
      <c r="C2028" t="s">
        <v>11003</v>
      </c>
      <c r="D2028" t="s">
        <v>10</v>
      </c>
      <c r="E2028" t="s">
        <v>16</v>
      </c>
      <c r="F2028">
        <v>1</v>
      </c>
    </row>
    <row r="2029" spans="1:6" x14ac:dyDescent="0.2">
      <c r="A2029" t="s">
        <v>8468</v>
      </c>
      <c r="B2029" t="s">
        <v>8462</v>
      </c>
      <c r="C2029" t="s">
        <v>7414</v>
      </c>
      <c r="D2029" t="s">
        <v>10</v>
      </c>
      <c r="E2029" t="s">
        <v>16</v>
      </c>
      <c r="F2029">
        <v>1</v>
      </c>
    </row>
    <row r="2030" spans="1:6" x14ac:dyDescent="0.2">
      <c r="A2030" t="s">
        <v>6059</v>
      </c>
      <c r="B2030" t="s">
        <v>6050</v>
      </c>
      <c r="C2030" t="s">
        <v>6058</v>
      </c>
      <c r="D2030" t="s">
        <v>64</v>
      </c>
      <c r="E2030" t="s">
        <v>52</v>
      </c>
      <c r="F2030">
        <v>1</v>
      </c>
    </row>
    <row r="2031" spans="1:6" x14ac:dyDescent="0.2">
      <c r="A2031" t="s">
        <v>440</v>
      </c>
      <c r="B2031" t="s">
        <v>5726</v>
      </c>
      <c r="C2031" t="s">
        <v>713</v>
      </c>
      <c r="D2031" t="s">
        <v>10</v>
      </c>
      <c r="E2031" t="s">
        <v>16</v>
      </c>
      <c r="F2031">
        <v>1</v>
      </c>
    </row>
    <row r="2032" spans="1:6" x14ac:dyDescent="0.2">
      <c r="A2032" t="s">
        <v>1432</v>
      </c>
      <c r="B2032" t="s">
        <v>5726</v>
      </c>
      <c r="C2032" t="s">
        <v>1431</v>
      </c>
      <c r="D2032" t="s">
        <v>10</v>
      </c>
      <c r="E2032" t="s">
        <v>16</v>
      </c>
      <c r="F2032">
        <v>1</v>
      </c>
    </row>
    <row r="2033" spans="1:6" x14ac:dyDescent="0.2">
      <c r="A2033" t="s">
        <v>1434</v>
      </c>
      <c r="B2033" t="s">
        <v>5726</v>
      </c>
      <c r="C2033" t="s">
        <v>1433</v>
      </c>
      <c r="D2033" t="s">
        <v>10</v>
      </c>
      <c r="E2033" t="s">
        <v>16</v>
      </c>
      <c r="F2033">
        <v>1</v>
      </c>
    </row>
    <row r="2034" spans="1:6" x14ac:dyDescent="0.2">
      <c r="A2034" t="s">
        <v>1683</v>
      </c>
      <c r="B2034" t="s">
        <v>5726</v>
      </c>
      <c r="C2034" t="s">
        <v>1682</v>
      </c>
      <c r="D2034" t="s">
        <v>10</v>
      </c>
      <c r="E2034" t="s">
        <v>16</v>
      </c>
      <c r="F2034">
        <v>1</v>
      </c>
    </row>
    <row r="2035" spans="1:6" x14ac:dyDescent="0.2">
      <c r="A2035" t="s">
        <v>292</v>
      </c>
      <c r="B2035" t="s">
        <v>5726</v>
      </c>
      <c r="C2035" t="s">
        <v>5727</v>
      </c>
      <c r="D2035" t="s">
        <v>10</v>
      </c>
      <c r="E2035" t="s">
        <v>16</v>
      </c>
      <c r="F2035">
        <v>1</v>
      </c>
    </row>
    <row r="2036" spans="1:6" x14ac:dyDescent="0.2">
      <c r="A2036" t="s">
        <v>5729</v>
      </c>
      <c r="B2036" t="s">
        <v>5726</v>
      </c>
      <c r="C2036" t="s">
        <v>5728</v>
      </c>
      <c r="D2036" t="s">
        <v>10</v>
      </c>
      <c r="E2036" t="s">
        <v>16</v>
      </c>
      <c r="F2036">
        <v>1</v>
      </c>
    </row>
    <row r="2037" spans="1:6" x14ac:dyDescent="0.2">
      <c r="A2037" t="s">
        <v>60</v>
      </c>
      <c r="B2037" t="s">
        <v>5726</v>
      </c>
      <c r="C2037" t="s">
        <v>59</v>
      </c>
      <c r="D2037" t="s">
        <v>10</v>
      </c>
      <c r="E2037" t="s">
        <v>16</v>
      </c>
      <c r="F2037">
        <v>1</v>
      </c>
    </row>
    <row r="2038" spans="1:6" x14ac:dyDescent="0.2">
      <c r="A2038" t="s">
        <v>4432</v>
      </c>
      <c r="B2038" t="s">
        <v>4390</v>
      </c>
      <c r="C2038" t="s">
        <v>4431</v>
      </c>
      <c r="D2038" t="s">
        <v>10</v>
      </c>
      <c r="E2038" t="s">
        <v>11</v>
      </c>
      <c r="F2038">
        <v>2</v>
      </c>
    </row>
    <row r="2039" spans="1:6" x14ac:dyDescent="0.2">
      <c r="A2039" t="s">
        <v>8567</v>
      </c>
      <c r="B2039" t="s">
        <v>8563</v>
      </c>
      <c r="C2039" t="s">
        <v>8566</v>
      </c>
      <c r="D2039" t="s">
        <v>10</v>
      </c>
      <c r="E2039" t="s">
        <v>16</v>
      </c>
      <c r="F2039">
        <v>1</v>
      </c>
    </row>
    <row r="2040" spans="1:6" x14ac:dyDescent="0.2">
      <c r="A2040" t="s">
        <v>9386</v>
      </c>
      <c r="B2040" t="s">
        <v>11154</v>
      </c>
      <c r="C2040" t="s">
        <v>9385</v>
      </c>
      <c r="D2040" t="s">
        <v>10</v>
      </c>
      <c r="E2040" t="s">
        <v>16</v>
      </c>
      <c r="F2040">
        <v>1</v>
      </c>
    </row>
    <row r="2041" spans="1:6" x14ac:dyDescent="0.2">
      <c r="A2041" t="s">
        <v>7095</v>
      </c>
      <c r="B2041" t="s">
        <v>7094</v>
      </c>
      <c r="C2041" t="s">
        <v>7096</v>
      </c>
      <c r="D2041" t="s">
        <v>10</v>
      </c>
      <c r="E2041" t="s">
        <v>16</v>
      </c>
      <c r="F2041">
        <v>1</v>
      </c>
    </row>
    <row r="2042" spans="1:6" x14ac:dyDescent="0.2">
      <c r="A2042" t="s">
        <v>885</v>
      </c>
      <c r="B2042" t="s">
        <v>3094</v>
      </c>
      <c r="C2042" t="s">
        <v>3123</v>
      </c>
      <c r="D2042" t="s">
        <v>10</v>
      </c>
      <c r="E2042" t="s">
        <v>11</v>
      </c>
      <c r="F2042">
        <v>4</v>
      </c>
    </row>
    <row r="2043" spans="1:6" x14ac:dyDescent="0.2">
      <c r="A2043" t="s">
        <v>881</v>
      </c>
      <c r="B2043" t="s">
        <v>3094</v>
      </c>
      <c r="C2043" t="s">
        <v>3121</v>
      </c>
      <c r="D2043" t="s">
        <v>10</v>
      </c>
      <c r="E2043" t="s">
        <v>11</v>
      </c>
      <c r="F2043">
        <v>4</v>
      </c>
    </row>
    <row r="2044" spans="1:6" x14ac:dyDescent="0.2">
      <c r="A2044" t="s">
        <v>883</v>
      </c>
      <c r="B2044" t="s">
        <v>3094</v>
      </c>
      <c r="C2044" t="s">
        <v>3122</v>
      </c>
      <c r="D2044" t="s">
        <v>10</v>
      </c>
      <c r="E2044" t="s">
        <v>11</v>
      </c>
      <c r="F2044">
        <v>4</v>
      </c>
    </row>
    <row r="2045" spans="1:6" x14ac:dyDescent="0.2">
      <c r="A2045" t="s">
        <v>7166</v>
      </c>
      <c r="B2045" t="s">
        <v>7164</v>
      </c>
      <c r="C2045" t="s">
        <v>7165</v>
      </c>
      <c r="D2045" t="s">
        <v>10</v>
      </c>
      <c r="E2045" t="s">
        <v>16</v>
      </c>
      <c r="F2045">
        <v>1</v>
      </c>
    </row>
    <row r="2046" spans="1:6" x14ac:dyDescent="0.2">
      <c r="A2046" t="s">
        <v>9824</v>
      </c>
      <c r="B2046" t="s">
        <v>9822</v>
      </c>
      <c r="C2046" t="s">
        <v>9825</v>
      </c>
      <c r="D2046" t="s">
        <v>10</v>
      </c>
      <c r="E2046" t="s">
        <v>16</v>
      </c>
      <c r="F2046">
        <v>1</v>
      </c>
    </row>
    <row r="2047" spans="1:6" x14ac:dyDescent="0.2">
      <c r="A2047" t="s">
        <v>6520</v>
      </c>
      <c r="B2047" t="s">
        <v>6518</v>
      </c>
      <c r="C2047" t="s">
        <v>6519</v>
      </c>
      <c r="D2047" t="s">
        <v>56</v>
      </c>
      <c r="E2047" t="s">
        <v>52</v>
      </c>
      <c r="F2047">
        <v>1</v>
      </c>
    </row>
    <row r="2048" spans="1:6" x14ac:dyDescent="0.2">
      <c r="A2048" t="s">
        <v>4352</v>
      </c>
      <c r="B2048" t="s">
        <v>4350</v>
      </c>
      <c r="C2048" t="s">
        <v>4351</v>
      </c>
      <c r="D2048" t="s">
        <v>10</v>
      </c>
      <c r="E2048" t="s">
        <v>16</v>
      </c>
      <c r="F2048">
        <v>1</v>
      </c>
    </row>
    <row r="2049" spans="1:6" x14ac:dyDescent="0.2">
      <c r="A2049" t="s">
        <v>11591</v>
      </c>
      <c r="B2049" t="s">
        <v>11589</v>
      </c>
      <c r="C2049" t="s">
        <v>11590</v>
      </c>
      <c r="D2049" t="s">
        <v>10</v>
      </c>
      <c r="E2049" t="s">
        <v>6357</v>
      </c>
      <c r="F2049">
        <v>1</v>
      </c>
    </row>
    <row r="2050" spans="1:6" x14ac:dyDescent="0.2">
      <c r="A2050" t="s">
        <v>1270</v>
      </c>
      <c r="B2050" t="s">
        <v>9806</v>
      </c>
      <c r="C2050" t="s">
        <v>1269</v>
      </c>
      <c r="D2050" t="s">
        <v>10</v>
      </c>
      <c r="E2050" t="s">
        <v>16</v>
      </c>
      <c r="F2050">
        <v>1</v>
      </c>
    </row>
    <row r="2051" spans="1:6" x14ac:dyDescent="0.2">
      <c r="A2051" t="s">
        <v>1487</v>
      </c>
      <c r="B2051" t="s">
        <v>1485</v>
      </c>
      <c r="C2051" t="s">
        <v>1486</v>
      </c>
      <c r="D2051" t="s">
        <v>10</v>
      </c>
      <c r="E2051" t="s">
        <v>16</v>
      </c>
      <c r="F2051">
        <v>1</v>
      </c>
    </row>
    <row r="2052" spans="1:6" x14ac:dyDescent="0.2">
      <c r="A2052" t="s">
        <v>8022</v>
      </c>
      <c r="B2052" t="s">
        <v>8020</v>
      </c>
      <c r="C2052" t="s">
        <v>8021</v>
      </c>
      <c r="D2052" t="s">
        <v>10</v>
      </c>
      <c r="E2052" t="s">
        <v>16</v>
      </c>
      <c r="F2052">
        <v>1</v>
      </c>
    </row>
    <row r="2053" spans="1:6" x14ac:dyDescent="0.2">
      <c r="A2053" t="s">
        <v>8255</v>
      </c>
      <c r="B2053" t="s">
        <v>8235</v>
      </c>
      <c r="C2053" t="s">
        <v>8254</v>
      </c>
      <c r="D2053" t="s">
        <v>56</v>
      </c>
      <c r="E2053" t="s">
        <v>52</v>
      </c>
      <c r="F2053">
        <v>2</v>
      </c>
    </row>
    <row r="2054" spans="1:6" x14ac:dyDescent="0.2">
      <c r="A2054" t="s">
        <v>7591</v>
      </c>
      <c r="B2054" t="s">
        <v>7589</v>
      </c>
      <c r="C2054" t="s">
        <v>7590</v>
      </c>
      <c r="D2054" t="s">
        <v>64</v>
      </c>
      <c r="E2054" t="s">
        <v>16</v>
      </c>
      <c r="F2054">
        <v>1</v>
      </c>
    </row>
    <row r="2055" spans="1:6" x14ac:dyDescent="0.2">
      <c r="A2055" t="s">
        <v>9661</v>
      </c>
      <c r="B2055" t="s">
        <v>9659</v>
      </c>
      <c r="C2055" t="s">
        <v>9672</v>
      </c>
      <c r="D2055" t="s">
        <v>10</v>
      </c>
      <c r="E2055" t="s">
        <v>16</v>
      </c>
      <c r="F2055">
        <v>1</v>
      </c>
    </row>
    <row r="2056" spans="1:6" x14ac:dyDescent="0.2">
      <c r="A2056" t="s">
        <v>10899</v>
      </c>
      <c r="B2056" t="s">
        <v>10895</v>
      </c>
      <c r="C2056" t="s">
        <v>10898</v>
      </c>
      <c r="D2056" t="s">
        <v>10</v>
      </c>
      <c r="E2056" t="s">
        <v>16</v>
      </c>
      <c r="F2056">
        <v>1</v>
      </c>
    </row>
    <row r="2057" spans="1:6" x14ac:dyDescent="0.2">
      <c r="A2057" t="s">
        <v>9683</v>
      </c>
      <c r="B2057" t="s">
        <v>9659</v>
      </c>
      <c r="C2057" t="s">
        <v>9682</v>
      </c>
      <c r="D2057" t="s">
        <v>10</v>
      </c>
      <c r="E2057" t="s">
        <v>16</v>
      </c>
      <c r="F2057">
        <v>1</v>
      </c>
    </row>
    <row r="2058" spans="1:6" x14ac:dyDescent="0.2">
      <c r="A2058" t="s">
        <v>9685</v>
      </c>
      <c r="B2058" t="s">
        <v>9659</v>
      </c>
      <c r="C2058" t="s">
        <v>9684</v>
      </c>
      <c r="D2058" t="s">
        <v>10</v>
      </c>
      <c r="E2058" t="s">
        <v>16</v>
      </c>
      <c r="F2058">
        <v>1</v>
      </c>
    </row>
    <row r="2059" spans="1:6" x14ac:dyDescent="0.2">
      <c r="A2059" t="s">
        <v>9980</v>
      </c>
      <c r="B2059" t="s">
        <v>9978</v>
      </c>
      <c r="C2059" t="s">
        <v>9981</v>
      </c>
      <c r="D2059" t="s">
        <v>10</v>
      </c>
      <c r="E2059" t="s">
        <v>16</v>
      </c>
      <c r="F2059">
        <v>1</v>
      </c>
    </row>
    <row r="2060" spans="1:6" x14ac:dyDescent="0.2">
      <c r="A2060" t="s">
        <v>10310</v>
      </c>
      <c r="B2060" t="s">
        <v>10308</v>
      </c>
      <c r="C2060" t="s">
        <v>10309</v>
      </c>
      <c r="D2060" t="s">
        <v>10</v>
      </c>
      <c r="E2060" t="s">
        <v>16</v>
      </c>
      <c r="F2060">
        <v>1</v>
      </c>
    </row>
    <row r="2061" spans="1:6" x14ac:dyDescent="0.2">
      <c r="A2061" t="s">
        <v>11575</v>
      </c>
      <c r="B2061" t="s">
        <v>11558</v>
      </c>
      <c r="C2061" t="s">
        <v>11574</v>
      </c>
      <c r="D2061" t="s">
        <v>10</v>
      </c>
      <c r="E2061" t="s">
        <v>16</v>
      </c>
      <c r="F2061">
        <v>1</v>
      </c>
    </row>
    <row r="2062" spans="1:6" x14ac:dyDescent="0.2">
      <c r="A2062" t="s">
        <v>11577</v>
      </c>
      <c r="B2062" t="s">
        <v>11558</v>
      </c>
      <c r="C2062" t="s">
        <v>11576</v>
      </c>
      <c r="D2062" t="s">
        <v>10</v>
      </c>
      <c r="E2062" t="s">
        <v>16</v>
      </c>
      <c r="F2062">
        <v>1</v>
      </c>
    </row>
    <row r="2063" spans="1:6" x14ac:dyDescent="0.2">
      <c r="A2063" t="s">
        <v>11560</v>
      </c>
      <c r="B2063" t="s">
        <v>11558</v>
      </c>
      <c r="C2063" t="s">
        <v>11559</v>
      </c>
      <c r="D2063" t="s">
        <v>10</v>
      </c>
      <c r="E2063" t="s">
        <v>16</v>
      </c>
      <c r="F2063">
        <v>1</v>
      </c>
    </row>
    <row r="2064" spans="1:6" x14ac:dyDescent="0.2">
      <c r="A2064" t="s">
        <v>11562</v>
      </c>
      <c r="B2064" t="s">
        <v>11558</v>
      </c>
      <c r="C2064" t="s">
        <v>11561</v>
      </c>
      <c r="D2064" t="s">
        <v>10</v>
      </c>
      <c r="E2064" t="s">
        <v>16</v>
      </c>
      <c r="F2064">
        <v>1</v>
      </c>
    </row>
    <row r="2065" spans="1:6" x14ac:dyDescent="0.2">
      <c r="A2065" t="s">
        <v>11564</v>
      </c>
      <c r="B2065" t="s">
        <v>11558</v>
      </c>
      <c r="C2065" t="s">
        <v>11563</v>
      </c>
      <c r="D2065" t="s">
        <v>10</v>
      </c>
      <c r="E2065" t="s">
        <v>16</v>
      </c>
      <c r="F2065">
        <v>1</v>
      </c>
    </row>
    <row r="2066" spans="1:6" x14ac:dyDescent="0.2">
      <c r="A2066" t="s">
        <v>11566</v>
      </c>
      <c r="B2066" t="s">
        <v>11558</v>
      </c>
      <c r="C2066" t="s">
        <v>11565</v>
      </c>
      <c r="D2066" t="s">
        <v>10</v>
      </c>
      <c r="E2066" t="s">
        <v>52</v>
      </c>
      <c r="F2066">
        <v>1</v>
      </c>
    </row>
    <row r="2067" spans="1:6" x14ac:dyDescent="0.2">
      <c r="A2067" t="s">
        <v>1005</v>
      </c>
      <c r="B2067" t="s">
        <v>11558</v>
      </c>
      <c r="C2067" t="s">
        <v>11567</v>
      </c>
      <c r="D2067" t="s">
        <v>10</v>
      </c>
      <c r="E2067" t="s">
        <v>16</v>
      </c>
      <c r="F2067">
        <v>1</v>
      </c>
    </row>
    <row r="2068" spans="1:6" x14ac:dyDescent="0.2">
      <c r="A2068" t="s">
        <v>11569</v>
      </c>
      <c r="B2068" t="s">
        <v>11558</v>
      </c>
      <c r="C2068" t="s">
        <v>11568</v>
      </c>
      <c r="D2068" t="s">
        <v>10</v>
      </c>
      <c r="E2068" t="s">
        <v>16</v>
      </c>
      <c r="F2068">
        <v>1</v>
      </c>
    </row>
    <row r="2069" spans="1:6" x14ac:dyDescent="0.2">
      <c r="A2069" t="s">
        <v>11571</v>
      </c>
      <c r="B2069" t="s">
        <v>11558</v>
      </c>
      <c r="C2069" t="s">
        <v>11570</v>
      </c>
      <c r="D2069" t="s">
        <v>10</v>
      </c>
      <c r="E2069" t="s">
        <v>16</v>
      </c>
      <c r="F2069">
        <v>1</v>
      </c>
    </row>
    <row r="2070" spans="1:6" x14ac:dyDescent="0.2">
      <c r="A2070" t="s">
        <v>11573</v>
      </c>
      <c r="B2070" t="s">
        <v>11558</v>
      </c>
      <c r="C2070" t="s">
        <v>11572</v>
      </c>
      <c r="D2070" t="s">
        <v>10</v>
      </c>
      <c r="E2070" t="s">
        <v>16</v>
      </c>
      <c r="F2070">
        <v>1</v>
      </c>
    </row>
    <row r="2071" spans="1:6" x14ac:dyDescent="0.2">
      <c r="A2071" t="s">
        <v>1760</v>
      </c>
      <c r="B2071" t="s">
        <v>4586</v>
      </c>
      <c r="C2071" t="s">
        <v>4587</v>
      </c>
      <c r="D2071" t="s">
        <v>56</v>
      </c>
      <c r="E2071" t="s">
        <v>52</v>
      </c>
      <c r="F2071">
        <v>2</v>
      </c>
    </row>
    <row r="2072" spans="1:6" x14ac:dyDescent="0.2">
      <c r="A2072" t="s">
        <v>9629</v>
      </c>
      <c r="B2072" t="s">
        <v>9627</v>
      </c>
      <c r="C2072" t="s">
        <v>9628</v>
      </c>
      <c r="D2072" t="s">
        <v>10</v>
      </c>
      <c r="E2072" t="s">
        <v>16</v>
      </c>
      <c r="F2072">
        <v>1</v>
      </c>
    </row>
    <row r="2073" spans="1:6" x14ac:dyDescent="0.2">
      <c r="A2073" t="s">
        <v>9631</v>
      </c>
      <c r="B2073" t="s">
        <v>9627</v>
      </c>
      <c r="C2073" t="s">
        <v>9630</v>
      </c>
      <c r="D2073" t="s">
        <v>10</v>
      </c>
      <c r="E2073" t="s">
        <v>16</v>
      </c>
      <c r="F2073">
        <v>1</v>
      </c>
    </row>
    <row r="2074" spans="1:6" x14ac:dyDescent="0.2">
      <c r="A2074" t="s">
        <v>9633</v>
      </c>
      <c r="B2074" t="s">
        <v>9627</v>
      </c>
      <c r="C2074" t="s">
        <v>9632</v>
      </c>
      <c r="D2074" t="s">
        <v>10</v>
      </c>
      <c r="E2074" t="s">
        <v>16</v>
      </c>
      <c r="F2074">
        <v>1</v>
      </c>
    </row>
    <row r="2075" spans="1:6" x14ac:dyDescent="0.2">
      <c r="A2075" t="s">
        <v>9635</v>
      </c>
      <c r="B2075" t="s">
        <v>9627</v>
      </c>
      <c r="C2075" t="s">
        <v>9634</v>
      </c>
      <c r="D2075" t="s">
        <v>10</v>
      </c>
      <c r="E2075" t="s">
        <v>16</v>
      </c>
      <c r="F2075">
        <v>1</v>
      </c>
    </row>
    <row r="2076" spans="1:6" x14ac:dyDescent="0.2">
      <c r="A2076" t="s">
        <v>9799</v>
      </c>
      <c r="B2076" t="s">
        <v>9805</v>
      </c>
      <c r="C2076" t="s">
        <v>9801</v>
      </c>
      <c r="D2076" t="s">
        <v>10</v>
      </c>
      <c r="E2076" t="s">
        <v>16</v>
      </c>
      <c r="F2076">
        <v>1</v>
      </c>
    </row>
    <row r="2077" spans="1:6" x14ac:dyDescent="0.2">
      <c r="A2077" t="s">
        <v>9454</v>
      </c>
      <c r="B2077" t="s">
        <v>11273</v>
      </c>
      <c r="C2077" t="s">
        <v>9453</v>
      </c>
      <c r="D2077" t="s">
        <v>10</v>
      </c>
      <c r="E2077" t="s">
        <v>52</v>
      </c>
      <c r="F2077">
        <v>2</v>
      </c>
    </row>
    <row r="2078" spans="1:6" x14ac:dyDescent="0.2">
      <c r="A2078" t="s">
        <v>10033</v>
      </c>
      <c r="B2078" t="s">
        <v>10031</v>
      </c>
      <c r="C2078" t="s">
        <v>10038</v>
      </c>
      <c r="D2078" t="s">
        <v>10</v>
      </c>
      <c r="E2078" t="s">
        <v>16</v>
      </c>
      <c r="F2078">
        <v>1</v>
      </c>
    </row>
    <row r="2079" spans="1:6" x14ac:dyDescent="0.2">
      <c r="A2079" t="s">
        <v>10444</v>
      </c>
      <c r="B2079" t="s">
        <v>10440</v>
      </c>
      <c r="C2079" t="s">
        <v>10443</v>
      </c>
      <c r="D2079" t="s">
        <v>10</v>
      </c>
      <c r="E2079" t="s">
        <v>16</v>
      </c>
      <c r="F2079">
        <v>1</v>
      </c>
    </row>
    <row r="2080" spans="1:6" x14ac:dyDescent="0.2">
      <c r="A2080" t="s">
        <v>10446</v>
      </c>
      <c r="B2080" t="s">
        <v>10440</v>
      </c>
      <c r="C2080" t="s">
        <v>10445</v>
      </c>
      <c r="D2080" t="s">
        <v>10</v>
      </c>
      <c r="E2080" t="s">
        <v>16</v>
      </c>
      <c r="F2080">
        <v>1</v>
      </c>
    </row>
    <row r="2081" spans="1:6" x14ac:dyDescent="0.2">
      <c r="A2081" t="s">
        <v>1687</v>
      </c>
      <c r="B2081" t="s">
        <v>6915</v>
      </c>
      <c r="C2081" t="s">
        <v>6917</v>
      </c>
      <c r="D2081" t="s">
        <v>10</v>
      </c>
      <c r="E2081" t="s">
        <v>16</v>
      </c>
      <c r="F2081">
        <v>1</v>
      </c>
    </row>
    <row r="2082" spans="1:6" x14ac:dyDescent="0.2">
      <c r="A2082" t="s">
        <v>11000</v>
      </c>
      <c r="B2082" t="s">
        <v>10998</v>
      </c>
      <c r="C2082" t="s">
        <v>10999</v>
      </c>
      <c r="D2082" t="s">
        <v>10</v>
      </c>
      <c r="E2082" t="s">
        <v>16</v>
      </c>
      <c r="F2082">
        <v>1</v>
      </c>
    </row>
    <row r="2083" spans="1:6" x14ac:dyDescent="0.2">
      <c r="A2083" t="s">
        <v>10904</v>
      </c>
      <c r="B2083" t="s">
        <v>10903</v>
      </c>
      <c r="C2083" t="s">
        <v>12110</v>
      </c>
      <c r="D2083" t="s">
        <v>3928</v>
      </c>
      <c r="E2083" t="s">
        <v>16</v>
      </c>
      <c r="F2083">
        <v>1</v>
      </c>
    </row>
    <row r="2084" spans="1:6" x14ac:dyDescent="0.2">
      <c r="A2084" t="s">
        <v>9170</v>
      </c>
      <c r="B2084" t="s">
        <v>10998</v>
      </c>
      <c r="C2084" t="s">
        <v>9169</v>
      </c>
      <c r="D2084" t="s">
        <v>10</v>
      </c>
      <c r="E2084" t="s">
        <v>16</v>
      </c>
      <c r="F2084">
        <v>1</v>
      </c>
    </row>
    <row r="2085" spans="1:6" x14ac:dyDescent="0.2">
      <c r="A2085" t="s">
        <v>10965</v>
      </c>
      <c r="B2085" t="s">
        <v>10963</v>
      </c>
      <c r="C2085" t="s">
        <v>10967</v>
      </c>
      <c r="D2085" t="s">
        <v>10</v>
      </c>
      <c r="E2085" t="s">
        <v>16</v>
      </c>
      <c r="F2085">
        <v>1</v>
      </c>
    </row>
    <row r="2086" spans="1:6" x14ac:dyDescent="0.2">
      <c r="A2086" t="s">
        <v>5691</v>
      </c>
      <c r="B2086" t="s">
        <v>5665</v>
      </c>
      <c r="C2086" t="s">
        <v>5694</v>
      </c>
      <c r="D2086" t="s">
        <v>10</v>
      </c>
      <c r="E2086" t="s">
        <v>16</v>
      </c>
      <c r="F2086">
        <v>1</v>
      </c>
    </row>
    <row r="2087" spans="1:6" x14ac:dyDescent="0.2">
      <c r="A2087" t="s">
        <v>10879</v>
      </c>
      <c r="B2087" t="s">
        <v>10877</v>
      </c>
      <c r="C2087" t="s">
        <v>10882</v>
      </c>
      <c r="D2087" t="s">
        <v>29</v>
      </c>
      <c r="E2087" t="s">
        <v>16</v>
      </c>
      <c r="F2087">
        <v>1</v>
      </c>
    </row>
    <row r="2088" spans="1:6" x14ac:dyDescent="0.2">
      <c r="A2088" t="s">
        <v>10661</v>
      </c>
      <c r="B2088" t="s">
        <v>10659</v>
      </c>
      <c r="C2088" t="s">
        <v>10660</v>
      </c>
      <c r="D2088" t="s">
        <v>10</v>
      </c>
      <c r="E2088" t="s">
        <v>16</v>
      </c>
      <c r="F2088">
        <v>2</v>
      </c>
    </row>
    <row r="2089" spans="1:6" x14ac:dyDescent="0.2">
      <c r="A2089" t="s">
        <v>10969</v>
      </c>
      <c r="B2089" t="s">
        <v>10963</v>
      </c>
      <c r="C2089" t="s">
        <v>10968</v>
      </c>
      <c r="D2089" t="s">
        <v>10</v>
      </c>
      <c r="E2089" t="s">
        <v>16</v>
      </c>
      <c r="F2089">
        <v>1</v>
      </c>
    </row>
    <row r="2090" spans="1:6" x14ac:dyDescent="0.2">
      <c r="A2090" t="s">
        <v>10972</v>
      </c>
      <c r="B2090" t="s">
        <v>10963</v>
      </c>
      <c r="C2090" t="s">
        <v>10971</v>
      </c>
      <c r="D2090" t="s">
        <v>10</v>
      </c>
      <c r="E2090" t="s">
        <v>16</v>
      </c>
      <c r="F2090">
        <v>1</v>
      </c>
    </row>
    <row r="2091" spans="1:6" x14ac:dyDescent="0.2">
      <c r="A2091" t="s">
        <v>10100</v>
      </c>
      <c r="B2091" t="s">
        <v>10963</v>
      </c>
      <c r="C2091" t="s">
        <v>10099</v>
      </c>
      <c r="D2091" t="s">
        <v>10</v>
      </c>
      <c r="E2091" t="s">
        <v>16</v>
      </c>
      <c r="F2091">
        <v>1</v>
      </c>
    </row>
    <row r="2092" spans="1:6" x14ac:dyDescent="0.2">
      <c r="A2092" t="s">
        <v>10628</v>
      </c>
      <c r="B2092" t="s">
        <v>10626</v>
      </c>
      <c r="C2092" t="s">
        <v>10629</v>
      </c>
      <c r="D2092" t="s">
        <v>10</v>
      </c>
      <c r="E2092" t="s">
        <v>11</v>
      </c>
      <c r="F2092">
        <v>1</v>
      </c>
    </row>
    <row r="2093" spans="1:6" x14ac:dyDescent="0.2">
      <c r="A2093" t="s">
        <v>10361</v>
      </c>
      <c r="B2093" t="s">
        <v>10357</v>
      </c>
      <c r="C2093" t="s">
        <v>10360</v>
      </c>
      <c r="D2093" t="s">
        <v>29</v>
      </c>
      <c r="E2093" t="s">
        <v>16</v>
      </c>
      <c r="F2093">
        <v>2</v>
      </c>
    </row>
    <row r="2094" spans="1:6" x14ac:dyDescent="0.2">
      <c r="A2094" t="s">
        <v>10451</v>
      </c>
      <c r="B2094" t="s">
        <v>10440</v>
      </c>
      <c r="C2094" t="s">
        <v>10450</v>
      </c>
      <c r="D2094" t="s">
        <v>10</v>
      </c>
      <c r="E2094" t="s">
        <v>16</v>
      </c>
      <c r="F2094">
        <v>1</v>
      </c>
    </row>
    <row r="2095" spans="1:6" x14ac:dyDescent="0.2">
      <c r="A2095" t="s">
        <v>7868</v>
      </c>
      <c r="B2095" t="s">
        <v>7866</v>
      </c>
      <c r="C2095" t="s">
        <v>7867</v>
      </c>
      <c r="D2095" t="s">
        <v>10</v>
      </c>
      <c r="E2095" t="s">
        <v>16</v>
      </c>
      <c r="F2095">
        <v>1</v>
      </c>
    </row>
    <row r="2096" spans="1:6" x14ac:dyDescent="0.2">
      <c r="A2096" t="s">
        <v>8892</v>
      </c>
      <c r="B2096" t="s">
        <v>10440</v>
      </c>
      <c r="C2096" t="s">
        <v>8891</v>
      </c>
      <c r="D2096" t="s">
        <v>10</v>
      </c>
      <c r="E2096" t="s">
        <v>11</v>
      </c>
      <c r="F2096">
        <v>1</v>
      </c>
    </row>
    <row r="2097" spans="1:6" x14ac:dyDescent="0.2">
      <c r="A2097" t="s">
        <v>3393</v>
      </c>
      <c r="B2097" t="s">
        <v>8036</v>
      </c>
      <c r="C2097" t="s">
        <v>3392</v>
      </c>
      <c r="D2097" t="s">
        <v>10</v>
      </c>
      <c r="E2097" t="s">
        <v>16</v>
      </c>
      <c r="F2097">
        <v>1</v>
      </c>
    </row>
    <row r="2098" spans="1:6" x14ac:dyDescent="0.2">
      <c r="A2098" t="s">
        <v>4022</v>
      </c>
      <c r="B2098" t="s">
        <v>4014</v>
      </c>
      <c r="C2098" t="s">
        <v>4024</v>
      </c>
      <c r="D2098" t="s">
        <v>10</v>
      </c>
      <c r="E2098" t="s">
        <v>16</v>
      </c>
      <c r="F2098">
        <v>1</v>
      </c>
    </row>
    <row r="2099" spans="1:6" x14ac:dyDescent="0.2">
      <c r="A2099" t="s">
        <v>6943</v>
      </c>
      <c r="B2099" t="s">
        <v>6941</v>
      </c>
      <c r="C2099" t="s">
        <v>6942</v>
      </c>
      <c r="D2099" t="s">
        <v>56</v>
      </c>
      <c r="E2099" t="s">
        <v>52</v>
      </c>
      <c r="F2099">
        <v>1</v>
      </c>
    </row>
    <row r="2100" spans="1:6" x14ac:dyDescent="0.2">
      <c r="A2100" t="s">
        <v>6505</v>
      </c>
      <c r="B2100" t="s">
        <v>6499</v>
      </c>
      <c r="C2100" t="s">
        <v>6504</v>
      </c>
      <c r="D2100" t="s">
        <v>56</v>
      </c>
      <c r="E2100" t="s">
        <v>52</v>
      </c>
      <c r="F2100">
        <v>1</v>
      </c>
    </row>
    <row r="2101" spans="1:6" x14ac:dyDescent="0.2">
      <c r="A2101" t="s">
        <v>6508</v>
      </c>
      <c r="B2101" t="s">
        <v>6499</v>
      </c>
      <c r="C2101" t="s">
        <v>6507</v>
      </c>
      <c r="D2101" t="s">
        <v>56</v>
      </c>
      <c r="E2101" t="s">
        <v>52</v>
      </c>
      <c r="F2101">
        <v>1</v>
      </c>
    </row>
    <row r="2102" spans="1:6" x14ac:dyDescent="0.2">
      <c r="A2102" t="s">
        <v>4162</v>
      </c>
      <c r="B2102" t="s">
        <v>6073</v>
      </c>
      <c r="C2102" t="s">
        <v>4560</v>
      </c>
      <c r="D2102" t="s">
        <v>10</v>
      </c>
      <c r="E2102" t="s">
        <v>16</v>
      </c>
      <c r="F2102">
        <v>2</v>
      </c>
    </row>
    <row r="2103" spans="1:6" x14ac:dyDescent="0.2">
      <c r="A2103" t="s">
        <v>4165</v>
      </c>
      <c r="B2103" t="s">
        <v>6073</v>
      </c>
      <c r="C2103" t="s">
        <v>6153</v>
      </c>
      <c r="D2103" t="s">
        <v>10</v>
      </c>
      <c r="E2103" t="s">
        <v>52</v>
      </c>
      <c r="F2103">
        <v>2</v>
      </c>
    </row>
    <row r="2104" spans="1:6" x14ac:dyDescent="0.2">
      <c r="A2104" t="s">
        <v>7682</v>
      </c>
      <c r="B2104" t="s">
        <v>7597</v>
      </c>
      <c r="C2104" t="s">
        <v>7723</v>
      </c>
      <c r="D2104" t="s">
        <v>10</v>
      </c>
      <c r="E2104" t="s">
        <v>11</v>
      </c>
      <c r="F2104">
        <v>2</v>
      </c>
    </row>
    <row r="2105" spans="1:6" x14ac:dyDescent="0.2">
      <c r="A2105" t="s">
        <v>10293</v>
      </c>
      <c r="B2105" t="s">
        <v>10464</v>
      </c>
      <c r="C2105" t="s">
        <v>10466</v>
      </c>
      <c r="D2105" t="s">
        <v>56</v>
      </c>
      <c r="E2105" t="s">
        <v>52</v>
      </c>
      <c r="F2105">
        <v>1</v>
      </c>
    </row>
    <row r="2106" spans="1:6" x14ac:dyDescent="0.2">
      <c r="A2106" t="s">
        <v>10153</v>
      </c>
      <c r="B2106" t="s">
        <v>10146</v>
      </c>
      <c r="C2106" t="s">
        <v>10152</v>
      </c>
      <c r="D2106" t="s">
        <v>10</v>
      </c>
      <c r="E2106" t="s">
        <v>16</v>
      </c>
      <c r="F2106">
        <v>1</v>
      </c>
    </row>
    <row r="2107" spans="1:6" x14ac:dyDescent="0.2">
      <c r="A2107" t="s">
        <v>631</v>
      </c>
      <c r="B2107" t="s">
        <v>587</v>
      </c>
      <c r="C2107" t="s">
        <v>662</v>
      </c>
      <c r="D2107" t="s">
        <v>56</v>
      </c>
      <c r="E2107" t="s">
        <v>52</v>
      </c>
      <c r="F2107">
        <v>1</v>
      </c>
    </row>
    <row r="2108" spans="1:6" x14ac:dyDescent="0.2">
      <c r="A2108" t="s">
        <v>11088</v>
      </c>
      <c r="B2108" t="s">
        <v>11087</v>
      </c>
      <c r="C2108" t="s">
        <v>11090</v>
      </c>
      <c r="D2108" t="s">
        <v>10</v>
      </c>
      <c r="E2108" t="s">
        <v>11</v>
      </c>
      <c r="F2108">
        <v>2</v>
      </c>
    </row>
    <row r="2109" spans="1:6" x14ac:dyDescent="0.2">
      <c r="A2109" t="s">
        <v>10494</v>
      </c>
      <c r="B2109" t="s">
        <v>10464</v>
      </c>
      <c r="C2109" t="s">
        <v>10493</v>
      </c>
      <c r="D2109" t="s">
        <v>29</v>
      </c>
      <c r="E2109" t="s">
        <v>16</v>
      </c>
      <c r="F2109">
        <v>2</v>
      </c>
    </row>
    <row r="2110" spans="1:6" x14ac:dyDescent="0.2">
      <c r="A2110" t="s">
        <v>10496</v>
      </c>
      <c r="B2110" t="s">
        <v>10464</v>
      </c>
      <c r="C2110" t="s">
        <v>10495</v>
      </c>
      <c r="D2110" t="s">
        <v>29</v>
      </c>
      <c r="E2110" t="s">
        <v>16</v>
      </c>
      <c r="F2110">
        <v>1</v>
      </c>
    </row>
    <row r="2111" spans="1:6" x14ac:dyDescent="0.2">
      <c r="A2111" t="s">
        <v>1689</v>
      </c>
      <c r="B2111" t="s">
        <v>1685</v>
      </c>
      <c r="C2111" t="s">
        <v>1691</v>
      </c>
      <c r="D2111" t="s">
        <v>10</v>
      </c>
      <c r="E2111" t="s">
        <v>16</v>
      </c>
      <c r="F2111">
        <v>1</v>
      </c>
    </row>
    <row r="2112" spans="1:6" x14ac:dyDescent="0.2">
      <c r="A2112" t="s">
        <v>10359</v>
      </c>
      <c r="B2112" t="s">
        <v>10357</v>
      </c>
      <c r="C2112" t="s">
        <v>10362</v>
      </c>
      <c r="D2112" t="s">
        <v>3928</v>
      </c>
      <c r="E2112" t="s">
        <v>16</v>
      </c>
      <c r="F2112">
        <v>2</v>
      </c>
    </row>
    <row r="2113" spans="1:6" x14ac:dyDescent="0.2">
      <c r="A2113" t="s">
        <v>10468</v>
      </c>
      <c r="B2113" t="s">
        <v>10464</v>
      </c>
      <c r="C2113" t="s">
        <v>10467</v>
      </c>
      <c r="D2113" t="s">
        <v>56</v>
      </c>
      <c r="E2113" t="s">
        <v>52</v>
      </c>
      <c r="F2113">
        <v>1</v>
      </c>
    </row>
    <row r="2114" spans="1:6" x14ac:dyDescent="0.2">
      <c r="A2114" t="s">
        <v>8928</v>
      </c>
      <c r="B2114" t="s">
        <v>8926</v>
      </c>
      <c r="C2114" t="s">
        <v>8929</v>
      </c>
      <c r="D2114" t="s">
        <v>10</v>
      </c>
      <c r="E2114" t="s">
        <v>16</v>
      </c>
      <c r="F2114">
        <v>1</v>
      </c>
    </row>
    <row r="2115" spans="1:6" x14ac:dyDescent="0.2">
      <c r="A2115" t="s">
        <v>338</v>
      </c>
      <c r="B2115" t="s">
        <v>330</v>
      </c>
      <c r="C2115" t="s">
        <v>337</v>
      </c>
      <c r="D2115" t="s">
        <v>10</v>
      </c>
      <c r="E2115" t="s">
        <v>16</v>
      </c>
      <c r="F2115">
        <v>1</v>
      </c>
    </row>
    <row r="2116" spans="1:6" x14ac:dyDescent="0.2">
      <c r="A2116" t="s">
        <v>10490</v>
      </c>
      <c r="B2116" t="s">
        <v>10464</v>
      </c>
      <c r="C2116" t="s">
        <v>10497</v>
      </c>
      <c r="D2116" t="s">
        <v>56</v>
      </c>
      <c r="E2116" t="s">
        <v>16</v>
      </c>
      <c r="F2116">
        <v>1</v>
      </c>
    </row>
    <row r="2117" spans="1:6" x14ac:dyDescent="0.2">
      <c r="A2117" t="s">
        <v>10989</v>
      </c>
      <c r="B2117" t="s">
        <v>10987</v>
      </c>
      <c r="C2117" t="s">
        <v>10988</v>
      </c>
      <c r="D2117" t="s">
        <v>10</v>
      </c>
      <c r="E2117" t="s">
        <v>16</v>
      </c>
      <c r="F2117">
        <v>1</v>
      </c>
    </row>
    <row r="2118" spans="1:6" x14ac:dyDescent="0.2">
      <c r="A2118" t="s">
        <v>10499</v>
      </c>
      <c r="B2118" t="s">
        <v>10464</v>
      </c>
      <c r="C2118" t="s">
        <v>10498</v>
      </c>
      <c r="D2118" t="s">
        <v>56</v>
      </c>
      <c r="E2118" t="s">
        <v>16</v>
      </c>
      <c r="F2118">
        <v>1</v>
      </c>
    </row>
    <row r="2119" spans="1:6" x14ac:dyDescent="0.2">
      <c r="A2119" t="s">
        <v>10501</v>
      </c>
      <c r="B2119" t="s">
        <v>10464</v>
      </c>
      <c r="C2119" t="s">
        <v>10500</v>
      </c>
      <c r="D2119" t="s">
        <v>56</v>
      </c>
      <c r="E2119" t="s">
        <v>16</v>
      </c>
      <c r="F2119">
        <v>1</v>
      </c>
    </row>
    <row r="2120" spans="1:6" x14ac:dyDescent="0.2">
      <c r="A2120" t="s">
        <v>10505</v>
      </c>
      <c r="B2120" t="s">
        <v>10464</v>
      </c>
      <c r="C2120" t="s">
        <v>10504</v>
      </c>
      <c r="D2120" t="s">
        <v>56</v>
      </c>
      <c r="E2120" t="s">
        <v>52</v>
      </c>
      <c r="F2120">
        <v>1</v>
      </c>
    </row>
    <row r="2121" spans="1:6" x14ac:dyDescent="0.2">
      <c r="A2121" t="s">
        <v>10507</v>
      </c>
      <c r="B2121" t="s">
        <v>10464</v>
      </c>
      <c r="C2121" t="s">
        <v>10506</v>
      </c>
      <c r="D2121" t="s">
        <v>56</v>
      </c>
      <c r="E2121" t="s">
        <v>16</v>
      </c>
      <c r="F2121">
        <v>1</v>
      </c>
    </row>
    <row r="2122" spans="1:6" x14ac:dyDescent="0.2">
      <c r="A2122" t="s">
        <v>10562</v>
      </c>
      <c r="B2122" t="s">
        <v>10464</v>
      </c>
      <c r="C2122" t="s">
        <v>10564</v>
      </c>
      <c r="D2122" t="s">
        <v>56</v>
      </c>
      <c r="E2122" t="s">
        <v>52</v>
      </c>
      <c r="F2122">
        <v>1</v>
      </c>
    </row>
    <row r="2123" spans="1:6" x14ac:dyDescent="0.2">
      <c r="A2123" t="s">
        <v>10975</v>
      </c>
      <c r="B2123" t="s">
        <v>10963</v>
      </c>
      <c r="C2123" t="s">
        <v>10974</v>
      </c>
      <c r="D2123" t="s">
        <v>10</v>
      </c>
      <c r="E2123" t="s">
        <v>16</v>
      </c>
      <c r="F2123">
        <v>1</v>
      </c>
    </row>
    <row r="2124" spans="1:6" x14ac:dyDescent="0.2">
      <c r="A2124" t="s">
        <v>628</v>
      </c>
      <c r="B2124" t="s">
        <v>587</v>
      </c>
      <c r="C2124" t="s">
        <v>670</v>
      </c>
      <c r="D2124" t="s">
        <v>10</v>
      </c>
      <c r="E2124" t="s">
        <v>11</v>
      </c>
      <c r="F2124">
        <v>2</v>
      </c>
    </row>
    <row r="2125" spans="1:6" x14ac:dyDescent="0.2">
      <c r="A2125" t="s">
        <v>805</v>
      </c>
      <c r="B2125" t="s">
        <v>10464</v>
      </c>
      <c r="C2125" t="s">
        <v>8256</v>
      </c>
      <c r="D2125" t="s">
        <v>56</v>
      </c>
      <c r="E2125" t="s">
        <v>52</v>
      </c>
      <c r="F2125">
        <v>2</v>
      </c>
    </row>
    <row r="2126" spans="1:6" x14ac:dyDescent="0.2">
      <c r="A2126" t="s">
        <v>808</v>
      </c>
      <c r="B2126" t="s">
        <v>10464</v>
      </c>
      <c r="C2126" t="s">
        <v>10569</v>
      </c>
      <c r="D2126" t="s">
        <v>56</v>
      </c>
      <c r="E2126" t="s">
        <v>52</v>
      </c>
      <c r="F2126">
        <v>2</v>
      </c>
    </row>
    <row r="2127" spans="1:6" x14ac:dyDescent="0.2">
      <c r="A2127" t="s">
        <v>10544</v>
      </c>
      <c r="B2127" t="s">
        <v>10464</v>
      </c>
      <c r="C2127" t="s">
        <v>10570</v>
      </c>
      <c r="D2127" t="s">
        <v>56</v>
      </c>
      <c r="E2127" t="s">
        <v>52</v>
      </c>
      <c r="F2127">
        <v>1</v>
      </c>
    </row>
    <row r="2128" spans="1:6" x14ac:dyDescent="0.2">
      <c r="A2128" t="s">
        <v>10528</v>
      </c>
      <c r="B2128" t="s">
        <v>10464</v>
      </c>
      <c r="C2128" t="s">
        <v>10571</v>
      </c>
      <c r="D2128" t="s">
        <v>56</v>
      </c>
      <c r="E2128" t="s">
        <v>52</v>
      </c>
      <c r="F2128">
        <v>2</v>
      </c>
    </row>
    <row r="2129" spans="1:6" x14ac:dyDescent="0.2">
      <c r="A2129" t="s">
        <v>634</v>
      </c>
      <c r="B2129" t="s">
        <v>587</v>
      </c>
      <c r="C2129" t="s">
        <v>664</v>
      </c>
      <c r="D2129" t="s">
        <v>56</v>
      </c>
      <c r="E2129" t="s">
        <v>52</v>
      </c>
      <c r="F2129">
        <v>2</v>
      </c>
    </row>
    <row r="2130" spans="1:6" x14ac:dyDescent="0.2">
      <c r="A2130" t="s">
        <v>7288</v>
      </c>
      <c r="B2130" t="s">
        <v>10464</v>
      </c>
      <c r="C2130" t="s">
        <v>7287</v>
      </c>
      <c r="D2130" t="s">
        <v>56</v>
      </c>
      <c r="E2130" t="s">
        <v>52</v>
      </c>
      <c r="F2130">
        <v>2</v>
      </c>
    </row>
    <row r="2131" spans="1:6" x14ac:dyDescent="0.2">
      <c r="A2131" t="s">
        <v>10631</v>
      </c>
      <c r="B2131" t="s">
        <v>10626</v>
      </c>
      <c r="C2131" t="s">
        <v>10630</v>
      </c>
      <c r="D2131" t="s">
        <v>10</v>
      </c>
      <c r="E2131" t="s">
        <v>16</v>
      </c>
      <c r="F2131">
        <v>1</v>
      </c>
    </row>
    <row r="2132" spans="1:6" x14ac:dyDescent="0.2">
      <c r="A2132" t="s">
        <v>10510</v>
      </c>
      <c r="B2132" t="s">
        <v>10464</v>
      </c>
      <c r="C2132" t="s">
        <v>10581</v>
      </c>
      <c r="D2132" t="s">
        <v>56</v>
      </c>
      <c r="E2132" t="s">
        <v>52</v>
      </c>
      <c r="F2132">
        <v>2</v>
      </c>
    </row>
    <row r="2133" spans="1:6" x14ac:dyDescent="0.2">
      <c r="A2133" t="s">
        <v>10473</v>
      </c>
      <c r="B2133" t="s">
        <v>10464</v>
      </c>
      <c r="C2133" t="s">
        <v>10472</v>
      </c>
      <c r="D2133" t="s">
        <v>56</v>
      </c>
      <c r="E2133" t="s">
        <v>52</v>
      </c>
      <c r="F2133">
        <v>1</v>
      </c>
    </row>
    <row r="2134" spans="1:6" x14ac:dyDescent="0.2">
      <c r="A2134" t="s">
        <v>7148</v>
      </c>
      <c r="B2134" t="s">
        <v>7146</v>
      </c>
      <c r="C2134" t="s">
        <v>7153</v>
      </c>
      <c r="D2134" t="s">
        <v>10</v>
      </c>
      <c r="E2134" t="s">
        <v>16</v>
      </c>
      <c r="F2134">
        <v>1</v>
      </c>
    </row>
    <row r="2135" spans="1:6" x14ac:dyDescent="0.2">
      <c r="A2135" t="s">
        <v>7150</v>
      </c>
      <c r="B2135" t="s">
        <v>7146</v>
      </c>
      <c r="C2135" t="s">
        <v>7154</v>
      </c>
      <c r="D2135" t="s">
        <v>10</v>
      </c>
      <c r="E2135" t="s">
        <v>16</v>
      </c>
      <c r="F2135">
        <v>1</v>
      </c>
    </row>
    <row r="2136" spans="1:6" x14ac:dyDescent="0.2">
      <c r="A2136" t="s">
        <v>7152</v>
      </c>
      <c r="B2136" t="s">
        <v>7146</v>
      </c>
      <c r="C2136" t="s">
        <v>7155</v>
      </c>
      <c r="D2136" t="s">
        <v>10</v>
      </c>
      <c r="E2136" t="s">
        <v>16</v>
      </c>
      <c r="F2136">
        <v>1</v>
      </c>
    </row>
    <row r="2137" spans="1:6" x14ac:dyDescent="0.2">
      <c r="A2137" t="s">
        <v>7157</v>
      </c>
      <c r="B2137" t="s">
        <v>7146</v>
      </c>
      <c r="C2137" t="s">
        <v>7156</v>
      </c>
      <c r="D2137" t="s">
        <v>10</v>
      </c>
      <c r="E2137" t="s">
        <v>16</v>
      </c>
      <c r="F2137">
        <v>1</v>
      </c>
    </row>
    <row r="2138" spans="1:6" x14ac:dyDescent="0.2">
      <c r="A2138" t="s">
        <v>11045</v>
      </c>
      <c r="B2138" t="s">
        <v>11039</v>
      </c>
      <c r="C2138" t="s">
        <v>11044</v>
      </c>
      <c r="D2138" t="s">
        <v>10</v>
      </c>
      <c r="E2138" t="s">
        <v>16</v>
      </c>
      <c r="F2138">
        <v>1</v>
      </c>
    </row>
    <row r="2139" spans="1:6" x14ac:dyDescent="0.2">
      <c r="A2139" t="s">
        <v>11028</v>
      </c>
      <c r="B2139" t="s">
        <v>11022</v>
      </c>
      <c r="C2139" t="s">
        <v>11033</v>
      </c>
      <c r="D2139" t="s">
        <v>10</v>
      </c>
      <c r="E2139" t="s">
        <v>16</v>
      </c>
      <c r="F2139">
        <v>1</v>
      </c>
    </row>
    <row r="2140" spans="1:6" x14ac:dyDescent="0.2">
      <c r="A2140" t="s">
        <v>6802</v>
      </c>
      <c r="B2140" t="s">
        <v>6799</v>
      </c>
      <c r="C2140" t="s">
        <v>6801</v>
      </c>
      <c r="D2140" t="s">
        <v>10</v>
      </c>
      <c r="E2140" t="s">
        <v>16</v>
      </c>
      <c r="F2140">
        <v>1</v>
      </c>
    </row>
    <row r="2141" spans="1:6" x14ac:dyDescent="0.2">
      <c r="A2141" t="s">
        <v>2609</v>
      </c>
      <c r="B2141" t="s">
        <v>2590</v>
      </c>
      <c r="C2141" t="s">
        <v>2608</v>
      </c>
      <c r="D2141" t="s">
        <v>29</v>
      </c>
      <c r="E2141" t="s">
        <v>16</v>
      </c>
      <c r="F2141">
        <v>1</v>
      </c>
    </row>
    <row r="2142" spans="1:6" x14ac:dyDescent="0.2">
      <c r="A2142" t="s">
        <v>11026</v>
      </c>
      <c r="B2142" t="s">
        <v>11022</v>
      </c>
      <c r="C2142" t="s">
        <v>11029</v>
      </c>
      <c r="D2142" t="s">
        <v>10</v>
      </c>
      <c r="E2142" t="s">
        <v>16</v>
      </c>
      <c r="F2142">
        <v>1</v>
      </c>
    </row>
    <row r="2143" spans="1:6" x14ac:dyDescent="0.2">
      <c r="A2143" t="s">
        <v>11047</v>
      </c>
      <c r="B2143" t="s">
        <v>11039</v>
      </c>
      <c r="C2143" t="s">
        <v>11046</v>
      </c>
      <c r="D2143" t="s">
        <v>10</v>
      </c>
      <c r="E2143" t="s">
        <v>16</v>
      </c>
      <c r="F2143">
        <v>1</v>
      </c>
    </row>
    <row r="2144" spans="1:6" x14ac:dyDescent="0.2">
      <c r="A2144" t="s">
        <v>10296</v>
      </c>
      <c r="B2144" t="s">
        <v>10281</v>
      </c>
      <c r="C2144" t="s">
        <v>10306</v>
      </c>
      <c r="D2144" t="s">
        <v>10</v>
      </c>
      <c r="E2144" t="s">
        <v>16</v>
      </c>
      <c r="F2144">
        <v>1</v>
      </c>
    </row>
    <row r="2145" spans="1:6" x14ac:dyDescent="0.2">
      <c r="A2145" t="s">
        <v>10283</v>
      </c>
      <c r="B2145" t="s">
        <v>10281</v>
      </c>
      <c r="C2145" t="s">
        <v>10299</v>
      </c>
      <c r="D2145" t="s">
        <v>10</v>
      </c>
      <c r="E2145" t="s">
        <v>16</v>
      </c>
      <c r="F2145">
        <v>2</v>
      </c>
    </row>
    <row r="2146" spans="1:6" x14ac:dyDescent="0.2">
      <c r="A2146" t="s">
        <v>11049</v>
      </c>
      <c r="B2146" t="s">
        <v>11039</v>
      </c>
      <c r="C2146" t="s">
        <v>11048</v>
      </c>
      <c r="D2146" t="s">
        <v>10</v>
      </c>
      <c r="E2146" t="s">
        <v>16</v>
      </c>
      <c r="F2146">
        <v>1</v>
      </c>
    </row>
    <row r="2147" spans="1:6" x14ac:dyDescent="0.2">
      <c r="A2147" t="s">
        <v>11024</v>
      </c>
      <c r="B2147" t="s">
        <v>11022</v>
      </c>
      <c r="C2147" t="s">
        <v>11030</v>
      </c>
      <c r="D2147" t="s">
        <v>10</v>
      </c>
      <c r="E2147" t="s">
        <v>16</v>
      </c>
      <c r="F2147">
        <v>1</v>
      </c>
    </row>
    <row r="2148" spans="1:6" x14ac:dyDescent="0.2">
      <c r="A2148" t="s">
        <v>10910</v>
      </c>
      <c r="B2148" t="s">
        <v>10908</v>
      </c>
      <c r="C2148" t="s">
        <v>10911</v>
      </c>
      <c r="D2148" t="s">
        <v>10</v>
      </c>
      <c r="E2148" t="s">
        <v>52</v>
      </c>
      <c r="F2148">
        <v>1</v>
      </c>
    </row>
    <row r="2149" spans="1:6" x14ac:dyDescent="0.2">
      <c r="A2149" t="s">
        <v>11032</v>
      </c>
      <c r="B2149" t="s">
        <v>11022</v>
      </c>
      <c r="C2149" t="s">
        <v>11031</v>
      </c>
      <c r="D2149" t="s">
        <v>10</v>
      </c>
      <c r="E2149" t="s">
        <v>16</v>
      </c>
      <c r="F2149">
        <v>1</v>
      </c>
    </row>
    <row r="2150" spans="1:6" x14ac:dyDescent="0.2">
      <c r="A2150" t="s">
        <v>11041</v>
      </c>
      <c r="B2150" t="s">
        <v>11039</v>
      </c>
      <c r="C2150" t="s">
        <v>11050</v>
      </c>
      <c r="D2150" t="s">
        <v>10</v>
      </c>
      <c r="E2150" t="s">
        <v>16</v>
      </c>
      <c r="F2150">
        <v>1</v>
      </c>
    </row>
    <row r="2151" spans="1:6" x14ac:dyDescent="0.2">
      <c r="A2151" t="s">
        <v>11043</v>
      </c>
      <c r="B2151" t="s">
        <v>11039</v>
      </c>
      <c r="C2151" t="s">
        <v>11051</v>
      </c>
      <c r="D2151" t="s">
        <v>10</v>
      </c>
      <c r="E2151" t="s">
        <v>16</v>
      </c>
      <c r="F2151">
        <v>1</v>
      </c>
    </row>
    <row r="2152" spans="1:6" x14ac:dyDescent="0.2">
      <c r="A2152" t="s">
        <v>10285</v>
      </c>
      <c r="B2152" t="s">
        <v>10281</v>
      </c>
      <c r="C2152" t="s">
        <v>10287</v>
      </c>
      <c r="D2152" t="s">
        <v>10</v>
      </c>
      <c r="E2152" t="s">
        <v>52</v>
      </c>
      <c r="F2152">
        <v>2</v>
      </c>
    </row>
    <row r="2153" spans="1:6" x14ac:dyDescent="0.2">
      <c r="A2153" t="s">
        <v>1705</v>
      </c>
      <c r="B2153" t="s">
        <v>1703</v>
      </c>
      <c r="C2153" t="s">
        <v>1704</v>
      </c>
      <c r="D2153" t="s">
        <v>10</v>
      </c>
      <c r="E2153" t="s">
        <v>16</v>
      </c>
      <c r="F2153">
        <v>1</v>
      </c>
    </row>
    <row r="2154" spans="1:6" x14ac:dyDescent="0.2">
      <c r="A2154" t="s">
        <v>8918</v>
      </c>
      <c r="B2154" t="s">
        <v>8916</v>
      </c>
      <c r="C2154" t="s">
        <v>8917</v>
      </c>
      <c r="D2154" t="s">
        <v>10</v>
      </c>
      <c r="E2154" t="s">
        <v>16</v>
      </c>
      <c r="F2154">
        <v>1</v>
      </c>
    </row>
    <row r="2155" spans="1:6" x14ac:dyDescent="0.2">
      <c r="A2155" t="s">
        <v>73</v>
      </c>
      <c r="B2155" t="s">
        <v>9357</v>
      </c>
      <c r="C2155" t="s">
        <v>72</v>
      </c>
      <c r="D2155" t="s">
        <v>10</v>
      </c>
      <c r="E2155" t="s">
        <v>16</v>
      </c>
      <c r="F2155">
        <v>1</v>
      </c>
    </row>
    <row r="2156" spans="1:6" x14ac:dyDescent="0.2">
      <c r="A2156" t="s">
        <v>10708</v>
      </c>
      <c r="B2156" t="s">
        <v>10706</v>
      </c>
      <c r="C2156" t="s">
        <v>10707</v>
      </c>
      <c r="D2156" t="s">
        <v>10</v>
      </c>
      <c r="E2156" t="s">
        <v>16</v>
      </c>
      <c r="F2156">
        <v>1</v>
      </c>
    </row>
    <row r="2157" spans="1:6" x14ac:dyDescent="0.2">
      <c r="A2157" t="s">
        <v>6300</v>
      </c>
      <c r="B2157" t="s">
        <v>6298</v>
      </c>
      <c r="C2157" t="s">
        <v>6299</v>
      </c>
      <c r="D2157" t="s">
        <v>10</v>
      </c>
      <c r="E2157" t="s">
        <v>16</v>
      </c>
      <c r="F2157">
        <v>1</v>
      </c>
    </row>
    <row r="2158" spans="1:6" x14ac:dyDescent="0.2">
      <c r="A2158" t="s">
        <v>5590</v>
      </c>
      <c r="B2158" t="s">
        <v>11429</v>
      </c>
      <c r="C2158" t="s">
        <v>11430</v>
      </c>
      <c r="D2158" t="s">
        <v>10</v>
      </c>
      <c r="E2158" t="s">
        <v>16</v>
      </c>
      <c r="F2158">
        <v>1</v>
      </c>
    </row>
    <row r="2159" spans="1:6" x14ac:dyDescent="0.2">
      <c r="A2159" t="s">
        <v>9670</v>
      </c>
      <c r="B2159" t="s">
        <v>9659</v>
      </c>
      <c r="C2159" t="s">
        <v>9669</v>
      </c>
      <c r="D2159" t="s">
        <v>10</v>
      </c>
      <c r="E2159" t="s">
        <v>16</v>
      </c>
      <c r="F2159">
        <v>1</v>
      </c>
    </row>
    <row r="2160" spans="1:6" x14ac:dyDescent="0.2">
      <c r="A2160" t="s">
        <v>10658</v>
      </c>
      <c r="B2160" t="s">
        <v>10657</v>
      </c>
      <c r="C2160" t="s">
        <v>2595</v>
      </c>
      <c r="D2160" t="s">
        <v>10</v>
      </c>
      <c r="E2160" t="s">
        <v>16</v>
      </c>
      <c r="F2160">
        <v>1</v>
      </c>
    </row>
    <row r="2161" spans="1:6" x14ac:dyDescent="0.2">
      <c r="A2161" t="s">
        <v>10128</v>
      </c>
      <c r="B2161" t="s">
        <v>10126</v>
      </c>
      <c r="C2161" t="s">
        <v>10127</v>
      </c>
      <c r="D2161" t="s">
        <v>10</v>
      </c>
      <c r="E2161" t="s">
        <v>16</v>
      </c>
      <c r="F2161">
        <v>1</v>
      </c>
    </row>
    <row r="2162" spans="1:6" x14ac:dyDescent="0.2">
      <c r="A2162" t="s">
        <v>10426</v>
      </c>
      <c r="B2162" t="s">
        <v>10419</v>
      </c>
      <c r="C2162" t="s">
        <v>10425</v>
      </c>
      <c r="D2162" t="s">
        <v>3928</v>
      </c>
      <c r="E2162" t="s">
        <v>16</v>
      </c>
      <c r="F2162">
        <v>4</v>
      </c>
    </row>
    <row r="2163" spans="1:6" x14ac:dyDescent="0.2">
      <c r="A2163" t="s">
        <v>9103</v>
      </c>
      <c r="B2163" t="s">
        <v>9068</v>
      </c>
      <c r="C2163" t="s">
        <v>9102</v>
      </c>
      <c r="D2163" t="s">
        <v>10</v>
      </c>
      <c r="E2163" t="s">
        <v>16</v>
      </c>
      <c r="F2163">
        <v>1</v>
      </c>
    </row>
    <row r="2164" spans="1:6" x14ac:dyDescent="0.2">
      <c r="A2164" t="s">
        <v>10377</v>
      </c>
      <c r="B2164" t="s">
        <v>10376</v>
      </c>
      <c r="C2164" t="s">
        <v>5216</v>
      </c>
      <c r="D2164" t="s">
        <v>10</v>
      </c>
      <c r="E2164" t="s">
        <v>16</v>
      </c>
      <c r="F2164">
        <v>2</v>
      </c>
    </row>
    <row r="2165" spans="1:6" x14ac:dyDescent="0.2">
      <c r="A2165" t="s">
        <v>11139</v>
      </c>
      <c r="B2165" t="s">
        <v>11137</v>
      </c>
      <c r="C2165" t="s">
        <v>11138</v>
      </c>
      <c r="D2165" t="s">
        <v>10</v>
      </c>
      <c r="E2165" t="s">
        <v>16</v>
      </c>
      <c r="F2165">
        <v>1</v>
      </c>
    </row>
    <row r="2166" spans="1:6" x14ac:dyDescent="0.2">
      <c r="A2166" t="s">
        <v>9461</v>
      </c>
      <c r="B2166" t="s">
        <v>9459</v>
      </c>
      <c r="C2166" t="s">
        <v>9463</v>
      </c>
      <c r="D2166" t="s">
        <v>10</v>
      </c>
      <c r="E2166" t="s">
        <v>16</v>
      </c>
      <c r="F2166">
        <v>1</v>
      </c>
    </row>
    <row r="2167" spans="1:6" x14ac:dyDescent="0.2">
      <c r="A2167" t="s">
        <v>3413</v>
      </c>
      <c r="B2167" t="s">
        <v>6585</v>
      </c>
      <c r="C2167" t="s">
        <v>6588</v>
      </c>
      <c r="D2167" t="s">
        <v>10</v>
      </c>
      <c r="E2167" t="s">
        <v>11</v>
      </c>
      <c r="F2167">
        <v>2</v>
      </c>
    </row>
    <row r="2168" spans="1:6" x14ac:dyDescent="0.2">
      <c r="A2168" t="s">
        <v>10095</v>
      </c>
      <c r="B2168" t="s">
        <v>10091</v>
      </c>
      <c r="C2168" t="s">
        <v>4506</v>
      </c>
      <c r="D2168" t="s">
        <v>10</v>
      </c>
      <c r="E2168" t="s">
        <v>16</v>
      </c>
      <c r="F2168">
        <v>1</v>
      </c>
    </row>
    <row r="2169" spans="1:6" x14ac:dyDescent="0.2">
      <c r="A2169" t="s">
        <v>1423</v>
      </c>
      <c r="B2169" t="s">
        <v>1415</v>
      </c>
      <c r="C2169" t="s">
        <v>1422</v>
      </c>
      <c r="D2169" t="s">
        <v>10</v>
      </c>
      <c r="E2169" t="s">
        <v>16</v>
      </c>
      <c r="F2169">
        <v>1</v>
      </c>
    </row>
    <row r="2170" spans="1:6" x14ac:dyDescent="0.2">
      <c r="A2170" t="s">
        <v>1423</v>
      </c>
      <c r="B2170" t="s">
        <v>9997</v>
      </c>
      <c r="C2170" t="s">
        <v>9998</v>
      </c>
      <c r="D2170" t="s">
        <v>10</v>
      </c>
      <c r="E2170" t="s">
        <v>16</v>
      </c>
      <c r="F2170">
        <v>1</v>
      </c>
    </row>
    <row r="2171" spans="1:6" x14ac:dyDescent="0.2">
      <c r="A2171" t="s">
        <v>1423</v>
      </c>
      <c r="B2171" t="s">
        <v>12052</v>
      </c>
      <c r="C2171" t="s">
        <v>9998</v>
      </c>
      <c r="D2171" t="s">
        <v>10</v>
      </c>
      <c r="E2171" t="s">
        <v>16</v>
      </c>
      <c r="F2171">
        <v>1</v>
      </c>
    </row>
    <row r="2172" spans="1:6" x14ac:dyDescent="0.2">
      <c r="A2172" t="s">
        <v>10056</v>
      </c>
      <c r="B2172" t="s">
        <v>10046</v>
      </c>
      <c r="C2172" t="s">
        <v>12111</v>
      </c>
      <c r="D2172" t="s">
        <v>10</v>
      </c>
      <c r="E2172" t="s">
        <v>11</v>
      </c>
      <c r="F2172">
        <v>2</v>
      </c>
    </row>
    <row r="2173" spans="1:6" x14ac:dyDescent="0.2">
      <c r="A2173" t="s">
        <v>10058</v>
      </c>
      <c r="B2173" t="s">
        <v>10046</v>
      </c>
      <c r="C2173" t="s">
        <v>12102</v>
      </c>
      <c r="D2173" t="s">
        <v>10</v>
      </c>
      <c r="E2173" t="s">
        <v>52</v>
      </c>
      <c r="F2173">
        <v>2</v>
      </c>
    </row>
    <row r="2174" spans="1:6" x14ac:dyDescent="0.2">
      <c r="A2174" t="s">
        <v>10047</v>
      </c>
      <c r="B2174" t="s">
        <v>10046</v>
      </c>
      <c r="C2174" t="s">
        <v>12112</v>
      </c>
      <c r="D2174" t="s">
        <v>10</v>
      </c>
      <c r="E2174" t="s">
        <v>11</v>
      </c>
      <c r="F2174">
        <v>1</v>
      </c>
    </row>
    <row r="2175" spans="1:6" x14ac:dyDescent="0.2">
      <c r="A2175" t="s">
        <v>10049</v>
      </c>
      <c r="B2175" t="s">
        <v>10046</v>
      </c>
      <c r="C2175" t="s">
        <v>10048</v>
      </c>
      <c r="D2175" t="s">
        <v>10</v>
      </c>
      <c r="E2175" t="s">
        <v>11</v>
      </c>
      <c r="F2175">
        <v>1</v>
      </c>
    </row>
    <row r="2176" spans="1:6" x14ac:dyDescent="0.2">
      <c r="A2176" t="s">
        <v>10051</v>
      </c>
      <c r="B2176" t="s">
        <v>10046</v>
      </c>
      <c r="C2176" t="s">
        <v>10050</v>
      </c>
      <c r="D2176" t="s">
        <v>10</v>
      </c>
      <c r="E2176" t="s">
        <v>11</v>
      </c>
      <c r="F2176">
        <v>1</v>
      </c>
    </row>
    <row r="2177" spans="1:6" x14ac:dyDescent="0.2">
      <c r="A2177" t="s">
        <v>10053</v>
      </c>
      <c r="B2177" t="s">
        <v>10046</v>
      </c>
      <c r="C2177" t="s">
        <v>10052</v>
      </c>
      <c r="D2177" t="s">
        <v>10</v>
      </c>
      <c r="E2177" t="s">
        <v>11</v>
      </c>
      <c r="F2177">
        <v>1</v>
      </c>
    </row>
    <row r="2178" spans="1:6" x14ac:dyDescent="0.2">
      <c r="A2178" t="s">
        <v>10055</v>
      </c>
      <c r="B2178" t="s">
        <v>10046</v>
      </c>
      <c r="C2178" t="s">
        <v>10054</v>
      </c>
      <c r="D2178" t="s">
        <v>10</v>
      </c>
      <c r="E2178" t="s">
        <v>11</v>
      </c>
      <c r="F2178">
        <v>1</v>
      </c>
    </row>
    <row r="2179" spans="1:6" x14ac:dyDescent="0.2">
      <c r="A2179" t="s">
        <v>10322</v>
      </c>
      <c r="B2179" t="s">
        <v>10320</v>
      </c>
      <c r="C2179" t="s">
        <v>10321</v>
      </c>
      <c r="D2179" t="s">
        <v>10</v>
      </c>
      <c r="E2179" t="s">
        <v>16</v>
      </c>
      <c r="F2179">
        <v>1</v>
      </c>
    </row>
    <row r="2180" spans="1:6" x14ac:dyDescent="0.2">
      <c r="A2180" t="s">
        <v>4574</v>
      </c>
      <c r="B2180" t="s">
        <v>10046</v>
      </c>
      <c r="C2180" t="s">
        <v>4573</v>
      </c>
      <c r="D2180" t="s">
        <v>10</v>
      </c>
      <c r="E2180" t="s">
        <v>16</v>
      </c>
      <c r="F2180">
        <v>1</v>
      </c>
    </row>
    <row r="2181" spans="1:6" x14ac:dyDescent="0.2">
      <c r="A2181" t="s">
        <v>4761</v>
      </c>
      <c r="B2181" t="s">
        <v>4753</v>
      </c>
      <c r="C2181" t="s">
        <v>4839</v>
      </c>
      <c r="D2181" t="s">
        <v>10</v>
      </c>
      <c r="E2181" t="s">
        <v>16</v>
      </c>
      <c r="F2181">
        <v>1</v>
      </c>
    </row>
    <row r="2182" spans="1:6" x14ac:dyDescent="0.2">
      <c r="A2182" t="s">
        <v>10691</v>
      </c>
      <c r="B2182" t="s">
        <v>10686</v>
      </c>
      <c r="C2182" t="s">
        <v>10690</v>
      </c>
      <c r="D2182" t="s">
        <v>10</v>
      </c>
      <c r="E2182" t="s">
        <v>16</v>
      </c>
      <c r="F2182">
        <v>2</v>
      </c>
    </row>
    <row r="2183" spans="1:6" x14ac:dyDescent="0.2">
      <c r="A2183" t="s">
        <v>4924</v>
      </c>
      <c r="B2183" t="s">
        <v>4922</v>
      </c>
      <c r="C2183" t="s">
        <v>4925</v>
      </c>
      <c r="D2183" t="s">
        <v>10</v>
      </c>
      <c r="E2183" t="s">
        <v>16</v>
      </c>
      <c r="F2183">
        <v>1</v>
      </c>
    </row>
    <row r="2184" spans="1:6" x14ac:dyDescent="0.2">
      <c r="A2184" t="s">
        <v>6914</v>
      </c>
      <c r="B2184" t="s">
        <v>6912</v>
      </c>
      <c r="C2184" t="s">
        <v>6913</v>
      </c>
      <c r="D2184" t="s">
        <v>10</v>
      </c>
      <c r="E2184" t="s">
        <v>16</v>
      </c>
      <c r="F2184">
        <v>1</v>
      </c>
    </row>
    <row r="2185" spans="1:6" x14ac:dyDescent="0.2">
      <c r="A2185" t="s">
        <v>8678</v>
      </c>
      <c r="B2185" t="s">
        <v>8663</v>
      </c>
      <c r="C2185" t="s">
        <v>8698</v>
      </c>
      <c r="D2185" t="s">
        <v>10</v>
      </c>
      <c r="E2185" t="s">
        <v>11</v>
      </c>
      <c r="F2185">
        <v>2</v>
      </c>
    </row>
    <row r="2186" spans="1:6" x14ac:dyDescent="0.2">
      <c r="A2186" t="s">
        <v>8735</v>
      </c>
      <c r="B2186" t="s">
        <v>9914</v>
      </c>
      <c r="C2186" t="s">
        <v>9931</v>
      </c>
      <c r="D2186" t="s">
        <v>10</v>
      </c>
      <c r="E2186" t="s">
        <v>11</v>
      </c>
      <c r="F2186">
        <v>2</v>
      </c>
    </row>
    <row r="2187" spans="1:6" x14ac:dyDescent="0.2">
      <c r="A2187" t="s">
        <v>5506</v>
      </c>
      <c r="B2187" t="s">
        <v>6282</v>
      </c>
      <c r="C2187" t="s">
        <v>5505</v>
      </c>
      <c r="D2187" t="s">
        <v>10</v>
      </c>
      <c r="E2187" t="s">
        <v>16</v>
      </c>
      <c r="F2187">
        <v>1</v>
      </c>
    </row>
    <row r="2188" spans="1:6" x14ac:dyDescent="0.2">
      <c r="A2188" t="s">
        <v>10431</v>
      </c>
      <c r="B2188" t="s">
        <v>10419</v>
      </c>
      <c r="C2188" t="s">
        <v>10432</v>
      </c>
      <c r="D2188" t="s">
        <v>10</v>
      </c>
      <c r="E2188" t="s">
        <v>52</v>
      </c>
      <c r="F2188">
        <v>2</v>
      </c>
    </row>
    <row r="2189" spans="1:6" x14ac:dyDescent="0.2">
      <c r="A2189" t="s">
        <v>687</v>
      </c>
      <c r="B2189" t="s">
        <v>682</v>
      </c>
      <c r="C2189" t="s">
        <v>686</v>
      </c>
      <c r="D2189" t="s">
        <v>10</v>
      </c>
      <c r="E2189" t="s">
        <v>16</v>
      </c>
      <c r="F2189">
        <v>1</v>
      </c>
    </row>
    <row r="2190" spans="1:6" x14ac:dyDescent="0.2">
      <c r="A2190" t="s">
        <v>10689</v>
      </c>
      <c r="B2190" t="s">
        <v>10686</v>
      </c>
      <c r="C2190" t="s">
        <v>10688</v>
      </c>
      <c r="D2190" t="s">
        <v>10</v>
      </c>
      <c r="E2190" t="s">
        <v>16</v>
      </c>
      <c r="F2190">
        <v>1</v>
      </c>
    </row>
    <row r="2191" spans="1:6" x14ac:dyDescent="0.2">
      <c r="A2191" t="s">
        <v>10889</v>
      </c>
      <c r="B2191" t="s">
        <v>10887</v>
      </c>
      <c r="C2191" t="s">
        <v>10888</v>
      </c>
      <c r="D2191" t="s">
        <v>64</v>
      </c>
      <c r="E2191" t="s">
        <v>16</v>
      </c>
      <c r="F2191">
        <v>1</v>
      </c>
    </row>
    <row r="2192" spans="1:6" x14ac:dyDescent="0.2">
      <c r="A2192" t="s">
        <v>1292</v>
      </c>
      <c r="B2192" t="s">
        <v>1288</v>
      </c>
      <c r="C2192" t="s">
        <v>1291</v>
      </c>
      <c r="D2192" t="s">
        <v>10</v>
      </c>
      <c r="E2192" t="s">
        <v>16</v>
      </c>
      <c r="F2192">
        <v>1</v>
      </c>
    </row>
    <row r="2193" spans="1:6" x14ac:dyDescent="0.2">
      <c r="A2193" t="s">
        <v>9975</v>
      </c>
      <c r="B2193" t="s">
        <v>9968</v>
      </c>
      <c r="C2193" t="s">
        <v>3841</v>
      </c>
      <c r="D2193" t="s">
        <v>56</v>
      </c>
      <c r="E2193" t="s">
        <v>16</v>
      </c>
      <c r="F2193">
        <v>1</v>
      </c>
    </row>
    <row r="2194" spans="1:6" x14ac:dyDescent="0.2">
      <c r="A2194" t="s">
        <v>11840</v>
      </c>
      <c r="B2194" t="s">
        <v>11835</v>
      </c>
      <c r="C2194" t="s">
        <v>471</v>
      </c>
      <c r="D2194" t="s">
        <v>56</v>
      </c>
      <c r="E2194" t="s">
        <v>52</v>
      </c>
      <c r="F2194">
        <v>1</v>
      </c>
    </row>
    <row r="2195" spans="1:6" x14ac:dyDescent="0.2">
      <c r="A2195" t="s">
        <v>1364</v>
      </c>
      <c r="B2195" t="s">
        <v>1360</v>
      </c>
      <c r="C2195" t="s">
        <v>1363</v>
      </c>
      <c r="D2195" t="s">
        <v>10</v>
      </c>
      <c r="E2195" t="s">
        <v>16</v>
      </c>
      <c r="F2195">
        <v>1</v>
      </c>
    </row>
    <row r="2196" spans="1:6" x14ac:dyDescent="0.2">
      <c r="A2196" t="s">
        <v>5541</v>
      </c>
      <c r="B2196" t="s">
        <v>5539</v>
      </c>
      <c r="C2196" t="s">
        <v>5540</v>
      </c>
      <c r="D2196" t="s">
        <v>10</v>
      </c>
      <c r="E2196" t="s">
        <v>16</v>
      </c>
      <c r="F2196">
        <v>1</v>
      </c>
    </row>
    <row r="2197" spans="1:6" x14ac:dyDescent="0.2">
      <c r="A2197" t="s">
        <v>296</v>
      </c>
      <c r="B2197" t="s">
        <v>294</v>
      </c>
      <c r="C2197" t="s">
        <v>295</v>
      </c>
      <c r="D2197" t="s">
        <v>10</v>
      </c>
      <c r="E2197" t="s">
        <v>16</v>
      </c>
      <c r="F2197">
        <v>1</v>
      </c>
    </row>
    <row r="2198" spans="1:6" x14ac:dyDescent="0.2">
      <c r="A2198" t="s">
        <v>10319</v>
      </c>
      <c r="B2198" t="s">
        <v>10318</v>
      </c>
      <c r="C2198" t="s">
        <v>12113</v>
      </c>
      <c r="D2198" t="s">
        <v>10</v>
      </c>
      <c r="E2198" t="s">
        <v>16</v>
      </c>
      <c r="F2198">
        <v>1</v>
      </c>
    </row>
    <row r="2199" spans="1:6" x14ac:dyDescent="0.2">
      <c r="A2199" t="s">
        <v>10650</v>
      </c>
      <c r="B2199" t="s">
        <v>10648</v>
      </c>
      <c r="C2199" t="s">
        <v>10649</v>
      </c>
      <c r="D2199" t="s">
        <v>10</v>
      </c>
      <c r="E2199" t="s">
        <v>16</v>
      </c>
      <c r="F2199">
        <v>1</v>
      </c>
    </row>
    <row r="2200" spans="1:6" x14ac:dyDescent="0.2">
      <c r="A2200" t="s">
        <v>11424</v>
      </c>
      <c r="B2200" t="s">
        <v>11422</v>
      </c>
      <c r="C2200" t="s">
        <v>11423</v>
      </c>
      <c r="D2200" t="s">
        <v>10</v>
      </c>
      <c r="E2200" t="s">
        <v>16</v>
      </c>
      <c r="F2200">
        <v>1</v>
      </c>
    </row>
    <row r="2201" spans="1:6" x14ac:dyDescent="0.2">
      <c r="A2201" t="s">
        <v>11055</v>
      </c>
      <c r="B2201" t="s">
        <v>11039</v>
      </c>
      <c r="C2201" t="s">
        <v>11054</v>
      </c>
      <c r="D2201" t="s">
        <v>10</v>
      </c>
      <c r="E2201" t="s">
        <v>16</v>
      </c>
      <c r="F2201">
        <v>1</v>
      </c>
    </row>
    <row r="2202" spans="1:6" x14ac:dyDescent="0.2">
      <c r="A2202" t="s">
        <v>9625</v>
      </c>
      <c r="B2202" t="s">
        <v>9623</v>
      </c>
      <c r="C2202" t="s">
        <v>9626</v>
      </c>
      <c r="D2202" t="s">
        <v>10</v>
      </c>
      <c r="E2202" t="s">
        <v>16</v>
      </c>
      <c r="F2202">
        <v>1</v>
      </c>
    </row>
    <row r="2203" spans="1:6" x14ac:dyDescent="0.2">
      <c r="A2203" t="s">
        <v>10332</v>
      </c>
      <c r="B2203" t="s">
        <v>10328</v>
      </c>
      <c r="C2203" t="s">
        <v>10331</v>
      </c>
      <c r="D2203" t="s">
        <v>29</v>
      </c>
      <c r="E2203" t="s">
        <v>52</v>
      </c>
      <c r="F2203">
        <v>1</v>
      </c>
    </row>
    <row r="2204" spans="1:6" x14ac:dyDescent="0.2">
      <c r="A2204" t="s">
        <v>10330</v>
      </c>
      <c r="B2204" t="s">
        <v>10328</v>
      </c>
      <c r="C2204" t="s">
        <v>10329</v>
      </c>
      <c r="D2204" t="s">
        <v>29</v>
      </c>
      <c r="E2204" t="s">
        <v>16</v>
      </c>
      <c r="F2204">
        <v>1</v>
      </c>
    </row>
    <row r="2205" spans="1:6" x14ac:dyDescent="0.2">
      <c r="A2205" t="s">
        <v>10349</v>
      </c>
      <c r="B2205" t="s">
        <v>10347</v>
      </c>
      <c r="C2205" t="s">
        <v>10348</v>
      </c>
      <c r="D2205" t="s">
        <v>10</v>
      </c>
      <c r="E2205" t="s">
        <v>16</v>
      </c>
      <c r="F2205">
        <v>1</v>
      </c>
    </row>
    <row r="2206" spans="1:6" x14ac:dyDescent="0.2">
      <c r="A2206" t="s">
        <v>6319</v>
      </c>
      <c r="B2206" t="s">
        <v>11624</v>
      </c>
      <c r="C2206" t="s">
        <v>6320</v>
      </c>
      <c r="D2206" t="s">
        <v>10</v>
      </c>
      <c r="E2206" t="s">
        <v>16</v>
      </c>
      <c r="F2206">
        <v>1</v>
      </c>
    </row>
    <row r="2207" spans="1:6" x14ac:dyDescent="0.2">
      <c r="A2207" t="s">
        <v>10172</v>
      </c>
      <c r="B2207" t="s">
        <v>10167</v>
      </c>
      <c r="C2207" t="s">
        <v>10171</v>
      </c>
      <c r="D2207" t="s">
        <v>10</v>
      </c>
      <c r="E2207" t="s">
        <v>16</v>
      </c>
      <c r="F2207">
        <v>1</v>
      </c>
    </row>
    <row r="2208" spans="1:6" x14ac:dyDescent="0.2">
      <c r="A2208" t="s">
        <v>10169</v>
      </c>
      <c r="B2208" t="s">
        <v>10167</v>
      </c>
      <c r="C2208" t="s">
        <v>10173</v>
      </c>
      <c r="D2208" t="s">
        <v>10</v>
      </c>
      <c r="E2208" t="s">
        <v>16</v>
      </c>
      <c r="F2208">
        <v>1</v>
      </c>
    </row>
    <row r="2209" spans="1:6" x14ac:dyDescent="0.2">
      <c r="A2209" t="s">
        <v>7813</v>
      </c>
      <c r="B2209" t="s">
        <v>10167</v>
      </c>
      <c r="C2209" t="s">
        <v>7814</v>
      </c>
      <c r="D2209" t="s">
        <v>10</v>
      </c>
      <c r="E2209" t="s">
        <v>16</v>
      </c>
      <c r="F2209">
        <v>1</v>
      </c>
    </row>
    <row r="2210" spans="1:6" x14ac:dyDescent="0.2">
      <c r="A2210" t="s">
        <v>10178</v>
      </c>
      <c r="B2210" t="s">
        <v>10167</v>
      </c>
      <c r="C2210" t="s">
        <v>10177</v>
      </c>
      <c r="D2210" t="s">
        <v>10</v>
      </c>
      <c r="E2210" t="s">
        <v>16</v>
      </c>
      <c r="F2210">
        <v>1</v>
      </c>
    </row>
    <row r="2211" spans="1:6" x14ac:dyDescent="0.2">
      <c r="A2211" t="s">
        <v>10180</v>
      </c>
      <c r="B2211" t="s">
        <v>10167</v>
      </c>
      <c r="C2211" t="s">
        <v>10179</v>
      </c>
      <c r="D2211" t="s">
        <v>10</v>
      </c>
      <c r="E2211" t="s">
        <v>16</v>
      </c>
      <c r="F2211">
        <v>1</v>
      </c>
    </row>
    <row r="2212" spans="1:6" x14ac:dyDescent="0.2">
      <c r="A2212" t="s">
        <v>10897</v>
      </c>
      <c r="B2212" t="s">
        <v>10895</v>
      </c>
      <c r="C2212" t="s">
        <v>10900</v>
      </c>
      <c r="D2212" t="s">
        <v>10</v>
      </c>
      <c r="E2212" t="s">
        <v>16</v>
      </c>
      <c r="F2212">
        <v>1</v>
      </c>
    </row>
    <row r="2213" spans="1:6" x14ac:dyDescent="0.2">
      <c r="A2213" t="s">
        <v>10182</v>
      </c>
      <c r="B2213" t="s">
        <v>10167</v>
      </c>
      <c r="C2213" t="s">
        <v>10181</v>
      </c>
      <c r="D2213" t="s">
        <v>10</v>
      </c>
      <c r="E2213" t="s">
        <v>16</v>
      </c>
      <c r="F2213">
        <v>1</v>
      </c>
    </row>
    <row r="2214" spans="1:6" x14ac:dyDescent="0.2">
      <c r="A2214" t="s">
        <v>10057</v>
      </c>
      <c r="B2214" t="s">
        <v>10046</v>
      </c>
      <c r="C2214" t="s">
        <v>12076</v>
      </c>
      <c r="D2214" t="s">
        <v>10</v>
      </c>
      <c r="E2214" t="s">
        <v>52</v>
      </c>
      <c r="F2214">
        <v>2</v>
      </c>
    </row>
    <row r="2215" spans="1:6" x14ac:dyDescent="0.2">
      <c r="A2215" t="s">
        <v>10184</v>
      </c>
      <c r="B2215" t="s">
        <v>10167</v>
      </c>
      <c r="C2215" t="s">
        <v>10183</v>
      </c>
      <c r="D2215" t="s">
        <v>10</v>
      </c>
      <c r="E2215" t="s">
        <v>16</v>
      </c>
      <c r="F2215">
        <v>1</v>
      </c>
    </row>
    <row r="2216" spans="1:6" x14ac:dyDescent="0.2">
      <c r="A2216" t="s">
        <v>10186</v>
      </c>
      <c r="B2216" t="s">
        <v>10167</v>
      </c>
      <c r="C2216" t="s">
        <v>10185</v>
      </c>
      <c r="D2216" t="s">
        <v>10</v>
      </c>
      <c r="E2216" t="s">
        <v>16</v>
      </c>
      <c r="F2216">
        <v>1</v>
      </c>
    </row>
    <row r="2217" spans="1:6" x14ac:dyDescent="0.2">
      <c r="A2217" t="s">
        <v>4026</v>
      </c>
      <c r="B2217" t="s">
        <v>4014</v>
      </c>
      <c r="C2217" t="s">
        <v>4027</v>
      </c>
      <c r="D2217" t="s">
        <v>10</v>
      </c>
      <c r="E2217" t="s">
        <v>11</v>
      </c>
      <c r="F2217">
        <v>1</v>
      </c>
    </row>
    <row r="2218" spans="1:6" x14ac:dyDescent="0.2">
      <c r="A2218" t="s">
        <v>10301</v>
      </c>
      <c r="B2218" t="s">
        <v>10281</v>
      </c>
      <c r="C2218" t="s">
        <v>10300</v>
      </c>
      <c r="D2218" t="s">
        <v>10</v>
      </c>
      <c r="E2218" t="s">
        <v>16</v>
      </c>
      <c r="F2218">
        <v>1</v>
      </c>
    </row>
    <row r="2219" spans="1:6" x14ac:dyDescent="0.2">
      <c r="A2219" t="s">
        <v>5944</v>
      </c>
      <c r="B2219" t="s">
        <v>5942</v>
      </c>
      <c r="C2219" t="s">
        <v>5943</v>
      </c>
      <c r="D2219" t="s">
        <v>10</v>
      </c>
      <c r="E2219" t="s">
        <v>16</v>
      </c>
      <c r="F2219">
        <v>1</v>
      </c>
    </row>
    <row r="2220" spans="1:6" x14ac:dyDescent="0.2">
      <c r="A2220" t="s">
        <v>11279</v>
      </c>
      <c r="B2220" t="s">
        <v>11273</v>
      </c>
      <c r="C2220" t="s">
        <v>11285</v>
      </c>
      <c r="D2220" t="s">
        <v>10</v>
      </c>
      <c r="E2220" t="s">
        <v>52</v>
      </c>
      <c r="F2220">
        <v>1</v>
      </c>
    </row>
    <row r="2221" spans="1:6" x14ac:dyDescent="0.2">
      <c r="A2221" t="s">
        <v>9437</v>
      </c>
      <c r="B2221" t="s">
        <v>10351</v>
      </c>
      <c r="C2221" t="s">
        <v>10352</v>
      </c>
      <c r="D2221" t="s">
        <v>10</v>
      </c>
      <c r="E2221" t="s">
        <v>16</v>
      </c>
      <c r="F2221">
        <v>1</v>
      </c>
    </row>
    <row r="2222" spans="1:6" x14ac:dyDescent="0.2">
      <c r="A2222" t="s">
        <v>317</v>
      </c>
      <c r="B2222" t="s">
        <v>315</v>
      </c>
      <c r="C2222" t="s">
        <v>316</v>
      </c>
      <c r="D2222" t="s">
        <v>10</v>
      </c>
      <c r="E2222" t="s">
        <v>52</v>
      </c>
      <c r="F2222">
        <v>4</v>
      </c>
    </row>
    <row r="2223" spans="1:6" x14ac:dyDescent="0.2">
      <c r="A2223" t="s">
        <v>10420</v>
      </c>
      <c r="B2223" t="s">
        <v>10419</v>
      </c>
      <c r="C2223" t="s">
        <v>12114</v>
      </c>
      <c r="D2223" t="s">
        <v>10</v>
      </c>
      <c r="E2223" t="s">
        <v>52</v>
      </c>
      <c r="F2223">
        <v>2</v>
      </c>
    </row>
    <row r="2224" spans="1:6" x14ac:dyDescent="0.2">
      <c r="A2224" t="s">
        <v>10421</v>
      </c>
      <c r="B2224" t="s">
        <v>10419</v>
      </c>
      <c r="C2224" t="s">
        <v>12115</v>
      </c>
      <c r="D2224" t="s">
        <v>10</v>
      </c>
      <c r="E2224" t="s">
        <v>52</v>
      </c>
      <c r="F2224">
        <v>2</v>
      </c>
    </row>
    <row r="2225" spans="1:6" x14ac:dyDescent="0.2">
      <c r="A2225" t="s">
        <v>10616</v>
      </c>
      <c r="B2225" t="s">
        <v>10614</v>
      </c>
      <c r="C2225" t="s">
        <v>10615</v>
      </c>
      <c r="D2225" t="s">
        <v>56</v>
      </c>
      <c r="E2225" t="s">
        <v>16</v>
      </c>
      <c r="F2225">
        <v>1</v>
      </c>
    </row>
    <row r="2226" spans="1:6" x14ac:dyDescent="0.2">
      <c r="A2226" t="s">
        <v>6333</v>
      </c>
      <c r="B2226" t="s">
        <v>6321</v>
      </c>
      <c r="C2226" t="s">
        <v>6332</v>
      </c>
      <c r="D2226" t="s">
        <v>3928</v>
      </c>
      <c r="E2226" t="s">
        <v>52</v>
      </c>
      <c r="F2226">
        <v>4</v>
      </c>
    </row>
    <row r="2227" spans="1:6" x14ac:dyDescent="0.2">
      <c r="A2227" t="s">
        <v>6333</v>
      </c>
      <c r="B2227" t="s">
        <v>6321</v>
      </c>
      <c r="C2227" t="s">
        <v>6334</v>
      </c>
      <c r="D2227" t="s">
        <v>3928</v>
      </c>
      <c r="E2227" t="s">
        <v>52</v>
      </c>
      <c r="F2227">
        <v>4</v>
      </c>
    </row>
    <row r="2228" spans="1:6" x14ac:dyDescent="0.2">
      <c r="A2228" t="s">
        <v>2051</v>
      </c>
      <c r="B2228" t="s">
        <v>2038</v>
      </c>
      <c r="C2228" t="s">
        <v>2050</v>
      </c>
      <c r="D2228" t="s">
        <v>10</v>
      </c>
      <c r="E2228" t="s">
        <v>16</v>
      </c>
      <c r="F2228">
        <v>4</v>
      </c>
    </row>
    <row r="2229" spans="1:6" x14ac:dyDescent="0.2">
      <c r="A2229" t="s">
        <v>5745</v>
      </c>
      <c r="B2229" t="s">
        <v>5743</v>
      </c>
      <c r="C2229" t="s">
        <v>5746</v>
      </c>
      <c r="D2229" t="s">
        <v>29</v>
      </c>
      <c r="E2229" t="s">
        <v>16</v>
      </c>
      <c r="F2229">
        <v>1</v>
      </c>
    </row>
    <row r="2230" spans="1:6" x14ac:dyDescent="0.2">
      <c r="A2230" t="s">
        <v>1702</v>
      </c>
      <c r="B2230" t="s">
        <v>6365</v>
      </c>
      <c r="C2230" t="s">
        <v>1701</v>
      </c>
      <c r="D2230" t="s">
        <v>10</v>
      </c>
      <c r="E2230" t="s">
        <v>11</v>
      </c>
      <c r="F2230">
        <v>1</v>
      </c>
    </row>
    <row r="2231" spans="1:6" x14ac:dyDescent="0.2">
      <c r="A2231" t="s">
        <v>10327</v>
      </c>
      <c r="B2231" t="s">
        <v>10325</v>
      </c>
      <c r="C2231" t="s">
        <v>10326</v>
      </c>
      <c r="D2231" t="s">
        <v>29</v>
      </c>
      <c r="E2231" t="s">
        <v>16</v>
      </c>
      <c r="F2231">
        <v>1</v>
      </c>
    </row>
    <row r="2232" spans="1:6" x14ac:dyDescent="0.2">
      <c r="A2232" t="s">
        <v>9675</v>
      </c>
      <c r="B2232" t="s">
        <v>9659</v>
      </c>
      <c r="C2232" t="s">
        <v>9674</v>
      </c>
      <c r="D2232" t="s">
        <v>10</v>
      </c>
      <c r="E2232" t="s">
        <v>16</v>
      </c>
      <c r="F2232">
        <v>1</v>
      </c>
    </row>
    <row r="2233" spans="1:6" x14ac:dyDescent="0.2">
      <c r="A2233" t="s">
        <v>8110</v>
      </c>
      <c r="B2233" t="s">
        <v>8108</v>
      </c>
      <c r="C2233" t="s">
        <v>8109</v>
      </c>
      <c r="D2233" t="s">
        <v>10</v>
      </c>
      <c r="E2233" t="s">
        <v>16</v>
      </c>
      <c r="F2233">
        <v>1</v>
      </c>
    </row>
    <row r="2234" spans="1:6" x14ac:dyDescent="0.2">
      <c r="A2234" t="s">
        <v>10125</v>
      </c>
      <c r="B2234" t="s">
        <v>10123</v>
      </c>
      <c r="C2234" t="s">
        <v>10124</v>
      </c>
      <c r="D2234" t="s">
        <v>10</v>
      </c>
      <c r="E2234" t="s">
        <v>16</v>
      </c>
      <c r="F2234">
        <v>1</v>
      </c>
    </row>
    <row r="2235" spans="1:6" x14ac:dyDescent="0.2">
      <c r="A2235" t="s">
        <v>6515</v>
      </c>
      <c r="B2235" t="s">
        <v>6514</v>
      </c>
      <c r="C2235" t="s">
        <v>2896</v>
      </c>
      <c r="D2235" t="s">
        <v>10</v>
      </c>
      <c r="E2235" t="s">
        <v>16</v>
      </c>
      <c r="F2235">
        <v>1</v>
      </c>
    </row>
    <row r="2236" spans="1:6" x14ac:dyDescent="0.2">
      <c r="A2236" t="s">
        <v>10375</v>
      </c>
      <c r="B2236" t="s">
        <v>10374</v>
      </c>
      <c r="C2236" t="s">
        <v>5216</v>
      </c>
      <c r="D2236" t="s">
        <v>10</v>
      </c>
      <c r="E2236" t="s">
        <v>16</v>
      </c>
      <c r="F2236">
        <v>1</v>
      </c>
    </row>
    <row r="2237" spans="1:6" x14ac:dyDescent="0.2">
      <c r="A2237" t="s">
        <v>10408</v>
      </c>
      <c r="B2237" t="s">
        <v>10403</v>
      </c>
      <c r="C2237" t="s">
        <v>10407</v>
      </c>
      <c r="D2237" t="s">
        <v>10</v>
      </c>
      <c r="E2237" t="s">
        <v>52</v>
      </c>
      <c r="F2237">
        <v>1</v>
      </c>
    </row>
    <row r="2238" spans="1:6" x14ac:dyDescent="0.2">
      <c r="A2238" t="s">
        <v>10715</v>
      </c>
      <c r="B2238" t="s">
        <v>10713</v>
      </c>
      <c r="C2238" t="s">
        <v>10716</v>
      </c>
      <c r="D2238" t="s">
        <v>10</v>
      </c>
      <c r="E2238" t="s">
        <v>16</v>
      </c>
      <c r="F2238">
        <v>1</v>
      </c>
    </row>
    <row r="2239" spans="1:6" x14ac:dyDescent="0.2">
      <c r="A2239" t="s">
        <v>5017</v>
      </c>
      <c r="B2239" t="s">
        <v>5010</v>
      </c>
      <c r="C2239" t="s">
        <v>5016</v>
      </c>
      <c r="D2239" t="s">
        <v>10</v>
      </c>
      <c r="E2239" t="s">
        <v>16</v>
      </c>
      <c r="F2239">
        <v>1</v>
      </c>
    </row>
    <row r="2240" spans="1:6" x14ac:dyDescent="0.2">
      <c r="A2240" t="s">
        <v>7837</v>
      </c>
      <c r="B2240" t="s">
        <v>10612</v>
      </c>
      <c r="C2240" t="s">
        <v>7836</v>
      </c>
      <c r="D2240" t="s">
        <v>10</v>
      </c>
      <c r="E2240" t="s">
        <v>16</v>
      </c>
      <c r="F2240">
        <v>1</v>
      </c>
    </row>
    <row r="2241" spans="1:6" x14ac:dyDescent="0.2">
      <c r="A2241" t="s">
        <v>9804</v>
      </c>
      <c r="B2241" t="s">
        <v>9792</v>
      </c>
      <c r="C2241" t="s">
        <v>9803</v>
      </c>
      <c r="D2241" t="s">
        <v>10</v>
      </c>
      <c r="E2241" t="s">
        <v>16</v>
      </c>
      <c r="F2241">
        <v>1</v>
      </c>
    </row>
    <row r="2242" spans="1:6" x14ac:dyDescent="0.2">
      <c r="A2242" t="s">
        <v>11304</v>
      </c>
      <c r="B2242" t="s">
        <v>11294</v>
      </c>
      <c r="C2242" t="s">
        <v>11303</v>
      </c>
      <c r="D2242" t="s">
        <v>10</v>
      </c>
      <c r="E2242" t="s">
        <v>16</v>
      </c>
      <c r="F2242">
        <v>1</v>
      </c>
    </row>
    <row r="2243" spans="1:6" x14ac:dyDescent="0.2">
      <c r="A2243" t="s">
        <v>5187</v>
      </c>
      <c r="B2243" t="s">
        <v>10625</v>
      </c>
      <c r="C2243" t="s">
        <v>5186</v>
      </c>
      <c r="D2243" t="s">
        <v>10</v>
      </c>
      <c r="E2243" t="s">
        <v>11</v>
      </c>
      <c r="F2243">
        <v>2</v>
      </c>
    </row>
    <row r="2244" spans="1:6" x14ac:dyDescent="0.2">
      <c r="A2244" t="s">
        <v>10653</v>
      </c>
      <c r="B2244" t="s">
        <v>10651</v>
      </c>
      <c r="C2244" t="s">
        <v>10652</v>
      </c>
      <c r="D2244" t="s">
        <v>10</v>
      </c>
      <c r="E2244" t="s">
        <v>16</v>
      </c>
      <c r="F2244">
        <v>1</v>
      </c>
    </row>
    <row r="2245" spans="1:6" x14ac:dyDescent="0.2">
      <c r="A2245" t="s">
        <v>10937</v>
      </c>
      <c r="B2245" t="s">
        <v>10935</v>
      </c>
      <c r="C2245" t="s">
        <v>10936</v>
      </c>
      <c r="D2245" t="s">
        <v>10</v>
      </c>
      <c r="E2245" t="s">
        <v>16</v>
      </c>
      <c r="F2245">
        <v>2</v>
      </c>
    </row>
    <row r="2246" spans="1:6" x14ac:dyDescent="0.2">
      <c r="A2246" t="s">
        <v>6814</v>
      </c>
      <c r="B2246" t="s">
        <v>6812</v>
      </c>
      <c r="C2246" t="s">
        <v>6813</v>
      </c>
      <c r="D2246" t="s">
        <v>10</v>
      </c>
      <c r="E2246" t="s">
        <v>16</v>
      </c>
      <c r="F2246">
        <v>1</v>
      </c>
    </row>
    <row r="2247" spans="1:6" x14ac:dyDescent="0.2">
      <c r="A2247" t="s">
        <v>433</v>
      </c>
      <c r="B2247" t="s">
        <v>431</v>
      </c>
      <c r="C2247" t="s">
        <v>432</v>
      </c>
      <c r="D2247" t="s">
        <v>29</v>
      </c>
      <c r="E2247" t="s">
        <v>16</v>
      </c>
      <c r="F2247">
        <v>1</v>
      </c>
    </row>
    <row r="2248" spans="1:6" x14ac:dyDescent="0.2">
      <c r="A2248" t="s">
        <v>4095</v>
      </c>
      <c r="B2248" t="s">
        <v>4093</v>
      </c>
      <c r="C2248" t="s">
        <v>4094</v>
      </c>
      <c r="D2248" t="s">
        <v>29</v>
      </c>
      <c r="E2248" t="s">
        <v>16</v>
      </c>
      <c r="F2248">
        <v>1</v>
      </c>
    </row>
    <row r="2249" spans="1:6" x14ac:dyDescent="0.2">
      <c r="A2249" t="s">
        <v>2616</v>
      </c>
      <c r="B2249" t="s">
        <v>2614</v>
      </c>
      <c r="C2249" t="s">
        <v>2615</v>
      </c>
      <c r="D2249" t="s">
        <v>10</v>
      </c>
      <c r="E2249" t="s">
        <v>16</v>
      </c>
      <c r="F2249">
        <v>1</v>
      </c>
    </row>
    <row r="2250" spans="1:6" x14ac:dyDescent="0.2">
      <c r="A2250" t="s">
        <v>8823</v>
      </c>
      <c r="B2250" t="s">
        <v>8821</v>
      </c>
      <c r="C2250" t="s">
        <v>8822</v>
      </c>
      <c r="D2250" t="s">
        <v>10</v>
      </c>
      <c r="E2250" t="s">
        <v>16</v>
      </c>
      <c r="F2250">
        <v>2</v>
      </c>
    </row>
    <row r="2251" spans="1:6" x14ac:dyDescent="0.2">
      <c r="A2251" t="s">
        <v>10665</v>
      </c>
      <c r="B2251" t="s">
        <v>10663</v>
      </c>
      <c r="C2251" t="s">
        <v>10664</v>
      </c>
      <c r="D2251" t="s">
        <v>10</v>
      </c>
      <c r="E2251" t="s">
        <v>16</v>
      </c>
      <c r="F2251">
        <v>1</v>
      </c>
    </row>
    <row r="2252" spans="1:6" x14ac:dyDescent="0.2">
      <c r="A2252" t="s">
        <v>4144</v>
      </c>
      <c r="B2252" t="s">
        <v>9707</v>
      </c>
      <c r="C2252" t="s">
        <v>4145</v>
      </c>
      <c r="D2252" t="s">
        <v>10</v>
      </c>
      <c r="E2252" t="s">
        <v>16</v>
      </c>
      <c r="F2252">
        <v>1</v>
      </c>
    </row>
    <row r="2253" spans="1:6" x14ac:dyDescent="0.2">
      <c r="A2253" t="s">
        <v>10922</v>
      </c>
      <c r="B2253" t="s">
        <v>10920</v>
      </c>
      <c r="C2253" t="s">
        <v>10921</v>
      </c>
      <c r="D2253" t="s">
        <v>10</v>
      </c>
      <c r="E2253" t="s">
        <v>16</v>
      </c>
      <c r="F2253">
        <v>1</v>
      </c>
    </row>
    <row r="2254" spans="1:6" x14ac:dyDescent="0.2">
      <c r="A2254" t="s">
        <v>7911</v>
      </c>
      <c r="B2254" t="s">
        <v>7902</v>
      </c>
      <c r="C2254" t="s">
        <v>7910</v>
      </c>
      <c r="D2254" t="s">
        <v>10</v>
      </c>
      <c r="E2254" t="s">
        <v>16</v>
      </c>
      <c r="F2254">
        <v>1</v>
      </c>
    </row>
    <row r="2255" spans="1:6" x14ac:dyDescent="0.2">
      <c r="A2255" t="s">
        <v>2027</v>
      </c>
      <c r="B2255" t="s">
        <v>2025</v>
      </c>
      <c r="C2255" t="s">
        <v>2028</v>
      </c>
      <c r="D2255" t="s">
        <v>10</v>
      </c>
      <c r="E2255" t="s">
        <v>16</v>
      </c>
      <c r="F2255">
        <v>1</v>
      </c>
    </row>
    <row r="2256" spans="1:6" x14ac:dyDescent="0.2">
      <c r="A2256" t="s">
        <v>10155</v>
      </c>
      <c r="B2256" t="s">
        <v>10146</v>
      </c>
      <c r="C2256" t="s">
        <v>10154</v>
      </c>
      <c r="D2256" t="s">
        <v>10</v>
      </c>
      <c r="E2256" t="s">
        <v>11</v>
      </c>
      <c r="F2256">
        <v>6</v>
      </c>
    </row>
    <row r="2257" spans="1:6" x14ac:dyDescent="0.2">
      <c r="A2257" t="s">
        <v>1323</v>
      </c>
      <c r="B2257" t="s">
        <v>10680</v>
      </c>
      <c r="C2257" t="s">
        <v>1324</v>
      </c>
      <c r="D2257" t="s">
        <v>10</v>
      </c>
      <c r="E2257" t="s">
        <v>16</v>
      </c>
      <c r="F2257">
        <v>1</v>
      </c>
    </row>
    <row r="2258" spans="1:6" x14ac:dyDescent="0.2">
      <c r="A2258" t="s">
        <v>1321</v>
      </c>
      <c r="B2258" t="s">
        <v>1319</v>
      </c>
      <c r="C2258" t="s">
        <v>1325</v>
      </c>
      <c r="D2258" t="s">
        <v>10</v>
      </c>
      <c r="E2258" t="s">
        <v>16</v>
      </c>
      <c r="F2258">
        <v>1</v>
      </c>
    </row>
    <row r="2259" spans="1:6" x14ac:dyDescent="0.2">
      <c r="A2259" t="s">
        <v>10682</v>
      </c>
      <c r="B2259" t="s">
        <v>10680</v>
      </c>
      <c r="C2259" t="s">
        <v>10681</v>
      </c>
      <c r="D2259" t="s">
        <v>10</v>
      </c>
      <c r="E2259" t="s">
        <v>16</v>
      </c>
      <c r="F2259">
        <v>1</v>
      </c>
    </row>
    <row r="2260" spans="1:6" x14ac:dyDescent="0.2">
      <c r="A2260" t="s">
        <v>10678</v>
      </c>
      <c r="B2260" t="s">
        <v>10677</v>
      </c>
      <c r="C2260" t="s">
        <v>12115</v>
      </c>
      <c r="D2260" t="s">
        <v>10</v>
      </c>
      <c r="E2260" t="s">
        <v>16</v>
      </c>
      <c r="F2260">
        <v>1</v>
      </c>
    </row>
    <row r="2261" spans="1:6" x14ac:dyDescent="0.2">
      <c r="A2261" t="s">
        <v>10679</v>
      </c>
      <c r="B2261" t="s">
        <v>10677</v>
      </c>
      <c r="C2261" t="s">
        <v>12116</v>
      </c>
      <c r="D2261" t="s">
        <v>10</v>
      </c>
      <c r="E2261" t="s">
        <v>16</v>
      </c>
      <c r="F2261">
        <v>1</v>
      </c>
    </row>
    <row r="2262" spans="1:6" x14ac:dyDescent="0.2">
      <c r="A2262" t="s">
        <v>10985</v>
      </c>
      <c r="B2262" t="s">
        <v>10983</v>
      </c>
      <c r="C2262" t="s">
        <v>10984</v>
      </c>
      <c r="D2262" t="s">
        <v>10</v>
      </c>
      <c r="E2262" t="s">
        <v>16</v>
      </c>
      <c r="F2262">
        <v>1</v>
      </c>
    </row>
    <row r="2263" spans="1:6" x14ac:dyDescent="0.2">
      <c r="A2263" t="s">
        <v>10461</v>
      </c>
      <c r="B2263" t="s">
        <v>10440</v>
      </c>
      <c r="C2263" t="s">
        <v>10460</v>
      </c>
      <c r="D2263" t="s">
        <v>10</v>
      </c>
      <c r="E2263" t="s">
        <v>52</v>
      </c>
      <c r="F2263">
        <v>1</v>
      </c>
    </row>
    <row r="2264" spans="1:6" x14ac:dyDescent="0.2">
      <c r="A2264" t="s">
        <v>11283</v>
      </c>
      <c r="B2264" t="s">
        <v>11273</v>
      </c>
      <c r="C2264" t="s">
        <v>11282</v>
      </c>
      <c r="D2264" t="s">
        <v>10</v>
      </c>
      <c r="E2264" t="s">
        <v>52</v>
      </c>
      <c r="F2264">
        <v>1</v>
      </c>
    </row>
    <row r="2265" spans="1:6" x14ac:dyDescent="0.2">
      <c r="A2265" t="s">
        <v>11012</v>
      </c>
      <c r="B2265" t="s">
        <v>10998</v>
      </c>
      <c r="C2265" t="s">
        <v>11011</v>
      </c>
      <c r="D2265" t="s">
        <v>10</v>
      </c>
      <c r="E2265" t="s">
        <v>16</v>
      </c>
      <c r="F2265">
        <v>3</v>
      </c>
    </row>
    <row r="2266" spans="1:6" x14ac:dyDescent="0.2">
      <c r="A2266" t="s">
        <v>8394</v>
      </c>
      <c r="B2266" t="s">
        <v>8386</v>
      </c>
      <c r="C2266" t="s">
        <v>8421</v>
      </c>
      <c r="D2266" t="s">
        <v>10</v>
      </c>
      <c r="E2266" t="s">
        <v>16</v>
      </c>
      <c r="F2266">
        <v>1</v>
      </c>
    </row>
    <row r="2267" spans="1:6" x14ac:dyDescent="0.2">
      <c r="A2267" t="s">
        <v>1311</v>
      </c>
      <c r="B2267" t="s">
        <v>1309</v>
      </c>
      <c r="C2267" t="s">
        <v>1312</v>
      </c>
      <c r="D2267" t="s">
        <v>29</v>
      </c>
      <c r="E2267" t="s">
        <v>16</v>
      </c>
      <c r="F2267">
        <v>1</v>
      </c>
    </row>
    <row r="2268" spans="1:6" x14ac:dyDescent="0.2">
      <c r="A2268" t="s">
        <v>4435</v>
      </c>
      <c r="B2268" t="s">
        <v>4390</v>
      </c>
      <c r="C2268" t="s">
        <v>4434</v>
      </c>
      <c r="D2268" t="s">
        <v>10</v>
      </c>
      <c r="E2268" t="s">
        <v>11</v>
      </c>
      <c r="F2268">
        <v>1</v>
      </c>
    </row>
    <row r="2269" spans="1:6" x14ac:dyDescent="0.2">
      <c r="A2269" t="s">
        <v>3257</v>
      </c>
      <c r="B2269" t="s">
        <v>3255</v>
      </c>
      <c r="C2269" t="s">
        <v>3256</v>
      </c>
      <c r="D2269" t="s">
        <v>64</v>
      </c>
      <c r="E2269" t="s">
        <v>16</v>
      </c>
      <c r="F2269">
        <v>1</v>
      </c>
    </row>
    <row r="2270" spans="1:6" x14ac:dyDescent="0.2">
      <c r="A2270" t="s">
        <v>4378</v>
      </c>
      <c r="B2270" t="s">
        <v>4376</v>
      </c>
      <c r="C2270" t="s">
        <v>4377</v>
      </c>
      <c r="D2270" t="s">
        <v>10</v>
      </c>
      <c r="E2270" t="s">
        <v>16</v>
      </c>
      <c r="F2270">
        <v>1</v>
      </c>
    </row>
    <row r="2271" spans="1:6" x14ac:dyDescent="0.2">
      <c r="A2271" t="s">
        <v>4002</v>
      </c>
      <c r="B2271" t="s">
        <v>4000</v>
      </c>
      <c r="C2271" t="s">
        <v>4001</v>
      </c>
      <c r="D2271" t="s">
        <v>10</v>
      </c>
      <c r="E2271" t="s">
        <v>16</v>
      </c>
      <c r="F2271">
        <v>1</v>
      </c>
    </row>
    <row r="2272" spans="1:6" x14ac:dyDescent="0.2">
      <c r="A2272" t="s">
        <v>11661</v>
      </c>
      <c r="B2272" t="s">
        <v>11659</v>
      </c>
      <c r="C2272" t="s">
        <v>11662</v>
      </c>
      <c r="D2272" t="s">
        <v>10</v>
      </c>
      <c r="E2272" t="s">
        <v>16</v>
      </c>
      <c r="F2272">
        <v>1</v>
      </c>
    </row>
    <row r="2273" spans="1:6" x14ac:dyDescent="0.2">
      <c r="A2273" t="s">
        <v>10858</v>
      </c>
      <c r="B2273" t="s">
        <v>10855</v>
      </c>
      <c r="C2273" t="s">
        <v>10861</v>
      </c>
      <c r="D2273" t="s">
        <v>10</v>
      </c>
      <c r="E2273" t="s">
        <v>16</v>
      </c>
      <c r="F2273">
        <v>1</v>
      </c>
    </row>
    <row r="2274" spans="1:6" x14ac:dyDescent="0.2">
      <c r="A2274" t="s">
        <v>10860</v>
      </c>
      <c r="B2274" t="s">
        <v>10855</v>
      </c>
      <c r="C2274" t="s">
        <v>10862</v>
      </c>
      <c r="D2274" t="s">
        <v>10</v>
      </c>
      <c r="E2274" t="s">
        <v>16</v>
      </c>
      <c r="F2274">
        <v>1</v>
      </c>
    </row>
    <row r="2275" spans="1:6" x14ac:dyDescent="0.2">
      <c r="A2275" t="s">
        <v>10857</v>
      </c>
      <c r="B2275" t="s">
        <v>10855</v>
      </c>
      <c r="C2275" t="s">
        <v>10863</v>
      </c>
      <c r="D2275" t="s">
        <v>10</v>
      </c>
      <c r="E2275" t="s">
        <v>16</v>
      </c>
      <c r="F2275">
        <v>1</v>
      </c>
    </row>
    <row r="2276" spans="1:6" x14ac:dyDescent="0.2">
      <c r="A2276" t="s">
        <v>1328</v>
      </c>
      <c r="B2276" t="s">
        <v>1326</v>
      </c>
      <c r="C2276" t="s">
        <v>1327</v>
      </c>
      <c r="D2276" t="s">
        <v>10</v>
      </c>
      <c r="E2276" t="s">
        <v>16</v>
      </c>
      <c r="F2276">
        <v>1</v>
      </c>
    </row>
    <row r="2277" spans="1:6" x14ac:dyDescent="0.2">
      <c r="A2277" t="s">
        <v>10802</v>
      </c>
      <c r="B2277" t="s">
        <v>10784</v>
      </c>
      <c r="C2277" t="s">
        <v>12085</v>
      </c>
      <c r="D2277" t="s">
        <v>10</v>
      </c>
      <c r="E2277" t="s">
        <v>16</v>
      </c>
      <c r="F2277">
        <v>1</v>
      </c>
    </row>
    <row r="2278" spans="1:6" x14ac:dyDescent="0.2">
      <c r="A2278" t="s">
        <v>8444</v>
      </c>
      <c r="B2278" t="s">
        <v>8440</v>
      </c>
      <c r="C2278" t="s">
        <v>8443</v>
      </c>
      <c r="D2278" t="s">
        <v>10</v>
      </c>
      <c r="E2278" t="s">
        <v>16</v>
      </c>
      <c r="F2278">
        <v>1</v>
      </c>
    </row>
    <row r="2279" spans="1:6" x14ac:dyDescent="0.2">
      <c r="A2279" t="s">
        <v>10820</v>
      </c>
      <c r="B2279" t="s">
        <v>10819</v>
      </c>
      <c r="C2279" t="s">
        <v>12106</v>
      </c>
      <c r="D2279" t="s">
        <v>10</v>
      </c>
      <c r="E2279" t="s">
        <v>1080</v>
      </c>
      <c r="F2279">
        <v>4</v>
      </c>
    </row>
    <row r="2280" spans="1:6" x14ac:dyDescent="0.2">
      <c r="A2280" t="s">
        <v>10821</v>
      </c>
      <c r="B2280" t="s">
        <v>10819</v>
      </c>
      <c r="C2280" t="s">
        <v>12085</v>
      </c>
      <c r="D2280" t="s">
        <v>10</v>
      </c>
      <c r="E2280" t="s">
        <v>1080</v>
      </c>
      <c r="F2280">
        <v>4</v>
      </c>
    </row>
    <row r="2281" spans="1:6" x14ac:dyDescent="0.2">
      <c r="A2281" t="s">
        <v>10007</v>
      </c>
      <c r="B2281" t="s">
        <v>9999</v>
      </c>
      <c r="C2281" t="s">
        <v>10006</v>
      </c>
      <c r="D2281" t="s">
        <v>10</v>
      </c>
      <c r="E2281" t="s">
        <v>16</v>
      </c>
      <c r="F2281">
        <v>1</v>
      </c>
    </row>
    <row r="2282" spans="1:6" x14ac:dyDescent="0.2">
      <c r="A2282" t="s">
        <v>10838</v>
      </c>
      <c r="B2282" t="s">
        <v>10836</v>
      </c>
      <c r="C2282" t="s">
        <v>10837</v>
      </c>
      <c r="D2282" t="s">
        <v>10</v>
      </c>
      <c r="E2282" t="s">
        <v>16</v>
      </c>
      <c r="F2282">
        <v>1</v>
      </c>
    </row>
    <row r="2283" spans="1:6" x14ac:dyDescent="0.2">
      <c r="A2283" t="s">
        <v>93</v>
      </c>
      <c r="B2283" t="s">
        <v>91</v>
      </c>
      <c r="C2283" t="s">
        <v>92</v>
      </c>
      <c r="D2283" t="s">
        <v>10</v>
      </c>
      <c r="E2283" t="s">
        <v>16</v>
      </c>
      <c r="F2283">
        <v>1</v>
      </c>
    </row>
    <row r="2284" spans="1:6" x14ac:dyDescent="0.2">
      <c r="A2284" t="s">
        <v>7476</v>
      </c>
      <c r="B2284" t="s">
        <v>7472</v>
      </c>
      <c r="C2284" t="s">
        <v>7475</v>
      </c>
      <c r="D2284" t="s">
        <v>10</v>
      </c>
      <c r="E2284" t="s">
        <v>16</v>
      </c>
      <c r="F2284">
        <v>1</v>
      </c>
    </row>
    <row r="2285" spans="1:6" x14ac:dyDescent="0.2">
      <c r="A2285" t="s">
        <v>7476</v>
      </c>
      <c r="B2285" t="s">
        <v>8134</v>
      </c>
      <c r="C2285" t="s">
        <v>8135</v>
      </c>
      <c r="D2285" t="s">
        <v>10</v>
      </c>
      <c r="E2285" t="s">
        <v>16</v>
      </c>
      <c r="F2285">
        <v>1</v>
      </c>
    </row>
    <row r="2286" spans="1:6" x14ac:dyDescent="0.2">
      <c r="A2286" t="s">
        <v>10873</v>
      </c>
      <c r="B2286" t="s">
        <v>10871</v>
      </c>
      <c r="C2286" t="s">
        <v>10874</v>
      </c>
      <c r="D2286" t="s">
        <v>10</v>
      </c>
      <c r="E2286" t="s">
        <v>11</v>
      </c>
      <c r="F2286">
        <v>2</v>
      </c>
    </row>
    <row r="2287" spans="1:6" x14ac:dyDescent="0.2">
      <c r="A2287" t="s">
        <v>11287</v>
      </c>
      <c r="B2287" t="s">
        <v>11273</v>
      </c>
      <c r="C2287" t="s">
        <v>11286</v>
      </c>
      <c r="D2287" t="s">
        <v>10</v>
      </c>
      <c r="E2287" t="s">
        <v>16</v>
      </c>
      <c r="F2287">
        <v>1</v>
      </c>
    </row>
    <row r="2288" spans="1:6" x14ac:dyDescent="0.2">
      <c r="A2288" t="s">
        <v>10145</v>
      </c>
      <c r="B2288" t="s">
        <v>10143</v>
      </c>
      <c r="C2288" t="s">
        <v>10144</v>
      </c>
      <c r="D2288" t="s">
        <v>10</v>
      </c>
      <c r="E2288" t="s">
        <v>16</v>
      </c>
      <c r="F2288">
        <v>1</v>
      </c>
    </row>
    <row r="2289" spans="1:6" x14ac:dyDescent="0.2">
      <c r="A2289" t="s">
        <v>10866</v>
      </c>
      <c r="B2289" t="s">
        <v>10864</v>
      </c>
      <c r="C2289" t="s">
        <v>10865</v>
      </c>
      <c r="D2289" t="s">
        <v>10</v>
      </c>
      <c r="E2289" t="s">
        <v>16</v>
      </c>
      <c r="F2289">
        <v>1</v>
      </c>
    </row>
    <row r="2290" spans="1:6" x14ac:dyDescent="0.2">
      <c r="A2290" t="s">
        <v>11276</v>
      </c>
      <c r="B2290" t="s">
        <v>11273</v>
      </c>
      <c r="C2290" t="s">
        <v>11288</v>
      </c>
      <c r="D2290" t="s">
        <v>10</v>
      </c>
      <c r="E2290" t="s">
        <v>16</v>
      </c>
      <c r="F2290">
        <v>1</v>
      </c>
    </row>
    <row r="2291" spans="1:6" x14ac:dyDescent="0.2">
      <c r="A2291" t="s">
        <v>11290</v>
      </c>
      <c r="B2291" t="s">
        <v>11273</v>
      </c>
      <c r="C2291" t="s">
        <v>11289</v>
      </c>
      <c r="D2291" t="s">
        <v>10</v>
      </c>
      <c r="E2291" t="s">
        <v>16</v>
      </c>
      <c r="F2291">
        <v>1</v>
      </c>
    </row>
    <row r="2292" spans="1:6" x14ac:dyDescent="0.2">
      <c r="A2292" t="s">
        <v>10934</v>
      </c>
      <c r="B2292" t="s">
        <v>10932</v>
      </c>
      <c r="C2292" t="s">
        <v>10933</v>
      </c>
      <c r="D2292" t="s">
        <v>10</v>
      </c>
      <c r="E2292" t="s">
        <v>16</v>
      </c>
      <c r="F2292">
        <v>1</v>
      </c>
    </row>
    <row r="2293" spans="1:6" x14ac:dyDescent="0.2">
      <c r="A2293" t="s">
        <v>6816</v>
      </c>
      <c r="B2293" t="s">
        <v>6812</v>
      </c>
      <c r="C2293" t="s">
        <v>6815</v>
      </c>
      <c r="D2293" t="s">
        <v>10</v>
      </c>
      <c r="E2293" t="s">
        <v>16</v>
      </c>
      <c r="F2293">
        <v>1</v>
      </c>
    </row>
    <row r="2294" spans="1:6" x14ac:dyDescent="0.2">
      <c r="A2294" t="s">
        <v>10870</v>
      </c>
      <c r="B2294" t="s">
        <v>10868</v>
      </c>
      <c r="C2294" t="s">
        <v>10869</v>
      </c>
      <c r="D2294" t="s">
        <v>10</v>
      </c>
      <c r="E2294" t="s">
        <v>16</v>
      </c>
      <c r="F2294">
        <v>1</v>
      </c>
    </row>
    <row r="2295" spans="1:6" x14ac:dyDescent="0.2">
      <c r="A2295" t="s">
        <v>9717</v>
      </c>
      <c r="B2295" t="s">
        <v>9707</v>
      </c>
      <c r="C2295" t="s">
        <v>9716</v>
      </c>
      <c r="D2295" t="s">
        <v>10</v>
      </c>
      <c r="E2295" t="s">
        <v>16</v>
      </c>
      <c r="F2295">
        <v>1</v>
      </c>
    </row>
    <row r="2296" spans="1:6" x14ac:dyDescent="0.2">
      <c r="A2296" t="s">
        <v>7796</v>
      </c>
      <c r="B2296" t="s">
        <v>7794</v>
      </c>
      <c r="C2296" t="s">
        <v>7795</v>
      </c>
      <c r="D2296" t="s">
        <v>10</v>
      </c>
      <c r="E2296" t="s">
        <v>16</v>
      </c>
      <c r="F2296">
        <v>1</v>
      </c>
    </row>
    <row r="2297" spans="1:6" x14ac:dyDescent="0.2">
      <c r="A2297" t="s">
        <v>1251</v>
      </c>
      <c r="B2297" t="s">
        <v>1249</v>
      </c>
      <c r="C2297" t="s">
        <v>1250</v>
      </c>
      <c r="D2297" t="s">
        <v>64</v>
      </c>
      <c r="E2297" t="s">
        <v>16</v>
      </c>
      <c r="F2297">
        <v>1</v>
      </c>
    </row>
    <row r="2298" spans="1:6" x14ac:dyDescent="0.2">
      <c r="A2298" t="s">
        <v>1531</v>
      </c>
      <c r="B2298" t="s">
        <v>1529</v>
      </c>
      <c r="C2298" t="s">
        <v>1530</v>
      </c>
      <c r="D2298" t="s">
        <v>64</v>
      </c>
      <c r="E2298" t="s">
        <v>16</v>
      </c>
      <c r="F2298">
        <v>1</v>
      </c>
    </row>
    <row r="2299" spans="1:6" x14ac:dyDescent="0.2">
      <c r="A2299" t="s">
        <v>9606</v>
      </c>
      <c r="B2299" t="s">
        <v>9604</v>
      </c>
      <c r="C2299" t="s">
        <v>8766</v>
      </c>
      <c r="D2299" t="s">
        <v>10</v>
      </c>
      <c r="E2299" t="s">
        <v>16</v>
      </c>
      <c r="F2299">
        <v>1</v>
      </c>
    </row>
    <row r="2300" spans="1:6" x14ac:dyDescent="0.2">
      <c r="A2300" t="s">
        <v>11135</v>
      </c>
      <c r="B2300" t="s">
        <v>11133</v>
      </c>
      <c r="C2300" t="s">
        <v>6959</v>
      </c>
      <c r="D2300" t="s">
        <v>10</v>
      </c>
      <c r="E2300" t="s">
        <v>16</v>
      </c>
      <c r="F2300">
        <v>1</v>
      </c>
    </row>
    <row r="2301" spans="1:6" x14ac:dyDescent="0.2">
      <c r="A2301" t="s">
        <v>1482</v>
      </c>
      <c r="B2301" t="s">
        <v>1475</v>
      </c>
      <c r="C2301" t="s">
        <v>1481</v>
      </c>
      <c r="D2301" t="s">
        <v>10</v>
      </c>
      <c r="E2301" t="s">
        <v>16</v>
      </c>
      <c r="F2301">
        <v>1</v>
      </c>
    </row>
    <row r="2302" spans="1:6" x14ac:dyDescent="0.2">
      <c r="A2302" t="s">
        <v>3378</v>
      </c>
      <c r="B2302" t="s">
        <v>3374</v>
      </c>
      <c r="C2302" t="s">
        <v>3377</v>
      </c>
      <c r="D2302" t="s">
        <v>10</v>
      </c>
      <c r="E2302" t="s">
        <v>16</v>
      </c>
      <c r="F2302">
        <v>1</v>
      </c>
    </row>
    <row r="2303" spans="1:6" x14ac:dyDescent="0.2">
      <c r="A2303" t="s">
        <v>9431</v>
      </c>
      <c r="B2303" t="s">
        <v>9429</v>
      </c>
      <c r="C2303" t="s">
        <v>9430</v>
      </c>
      <c r="D2303" t="s">
        <v>10</v>
      </c>
      <c r="E2303" t="s">
        <v>16</v>
      </c>
      <c r="F2303">
        <v>1</v>
      </c>
    </row>
    <row r="2304" spans="1:6" x14ac:dyDescent="0.2">
      <c r="A2304" t="s">
        <v>6285</v>
      </c>
      <c r="B2304" t="s">
        <v>6283</v>
      </c>
      <c r="C2304" t="s">
        <v>6284</v>
      </c>
      <c r="D2304" t="s">
        <v>10</v>
      </c>
      <c r="E2304" t="s">
        <v>16</v>
      </c>
      <c r="F2304">
        <v>1</v>
      </c>
    </row>
    <row r="2305" spans="1:6" x14ac:dyDescent="0.2">
      <c r="A2305" t="s">
        <v>6285</v>
      </c>
      <c r="B2305" t="s">
        <v>9707</v>
      </c>
      <c r="C2305" t="s">
        <v>6611</v>
      </c>
      <c r="D2305" t="s">
        <v>10</v>
      </c>
      <c r="E2305" t="s">
        <v>16</v>
      </c>
      <c r="F2305">
        <v>1</v>
      </c>
    </row>
    <row r="2306" spans="1:6" x14ac:dyDescent="0.2">
      <c r="A2306" t="s">
        <v>1298</v>
      </c>
      <c r="B2306" t="s">
        <v>10848</v>
      </c>
      <c r="C2306" t="s">
        <v>2160</v>
      </c>
      <c r="D2306" t="s">
        <v>10</v>
      </c>
      <c r="E2306" t="s">
        <v>16</v>
      </c>
      <c r="F2306">
        <v>1</v>
      </c>
    </row>
    <row r="2307" spans="1:6" x14ac:dyDescent="0.2">
      <c r="A2307" t="s">
        <v>5948</v>
      </c>
      <c r="B2307" t="s">
        <v>5946</v>
      </c>
      <c r="C2307" t="s">
        <v>5947</v>
      </c>
      <c r="D2307" t="s">
        <v>10</v>
      </c>
      <c r="E2307" t="s">
        <v>16</v>
      </c>
      <c r="F2307">
        <v>1</v>
      </c>
    </row>
    <row r="2308" spans="1:6" x14ac:dyDescent="0.2">
      <c r="A2308" t="s">
        <v>6888</v>
      </c>
      <c r="B2308" t="s">
        <v>10686</v>
      </c>
      <c r="C2308" t="s">
        <v>6887</v>
      </c>
      <c r="D2308" t="s">
        <v>10</v>
      </c>
      <c r="E2308" t="s">
        <v>16</v>
      </c>
      <c r="F2308">
        <v>2</v>
      </c>
    </row>
    <row r="2309" spans="1:6" x14ac:dyDescent="0.2">
      <c r="A2309" t="s">
        <v>5280</v>
      </c>
      <c r="B2309" t="s">
        <v>5278</v>
      </c>
      <c r="C2309" t="s">
        <v>5279</v>
      </c>
      <c r="D2309" t="s">
        <v>10</v>
      </c>
      <c r="E2309" t="s">
        <v>16</v>
      </c>
      <c r="F2309">
        <v>1</v>
      </c>
    </row>
    <row r="2310" spans="1:6" x14ac:dyDescent="0.2">
      <c r="A2310" t="s">
        <v>4016</v>
      </c>
      <c r="B2310" t="s">
        <v>4014</v>
      </c>
      <c r="C2310" t="s">
        <v>4015</v>
      </c>
      <c r="D2310" t="s">
        <v>10</v>
      </c>
      <c r="E2310" t="s">
        <v>16</v>
      </c>
      <c r="F2310">
        <v>1</v>
      </c>
    </row>
    <row r="2311" spans="1:6" x14ac:dyDescent="0.2">
      <c r="A2311" t="s">
        <v>4019</v>
      </c>
      <c r="B2311" t="s">
        <v>4014</v>
      </c>
      <c r="C2311" t="s">
        <v>4018</v>
      </c>
      <c r="D2311" t="s">
        <v>10</v>
      </c>
      <c r="E2311" t="s">
        <v>16</v>
      </c>
      <c r="F2311">
        <v>1</v>
      </c>
    </row>
    <row r="2312" spans="1:6" x14ac:dyDescent="0.2">
      <c r="A2312" t="s">
        <v>10894</v>
      </c>
      <c r="B2312" t="s">
        <v>10892</v>
      </c>
      <c r="C2312" t="s">
        <v>10893</v>
      </c>
      <c r="D2312" t="s">
        <v>10</v>
      </c>
      <c r="E2312" t="s">
        <v>16</v>
      </c>
      <c r="F2312">
        <v>1</v>
      </c>
    </row>
    <row r="2313" spans="1:6" x14ac:dyDescent="0.2">
      <c r="A2313" t="s">
        <v>5991</v>
      </c>
      <c r="B2313" t="s">
        <v>5989</v>
      </c>
      <c r="C2313" t="s">
        <v>5990</v>
      </c>
      <c r="D2313" t="s">
        <v>10</v>
      </c>
      <c r="E2313" t="s">
        <v>16</v>
      </c>
      <c r="F2313">
        <v>1</v>
      </c>
    </row>
    <row r="2314" spans="1:6" x14ac:dyDescent="0.2">
      <c r="A2314" t="s">
        <v>4345</v>
      </c>
      <c r="B2314" t="s">
        <v>4341</v>
      </c>
      <c r="C2314" t="s">
        <v>4344</v>
      </c>
      <c r="D2314" t="s">
        <v>10</v>
      </c>
      <c r="E2314" t="s">
        <v>16</v>
      </c>
      <c r="F2314">
        <v>1</v>
      </c>
    </row>
    <row r="2315" spans="1:6" x14ac:dyDescent="0.2">
      <c r="A2315" t="s">
        <v>4725</v>
      </c>
      <c r="B2315" t="s">
        <v>4723</v>
      </c>
      <c r="C2315" t="s">
        <v>4724</v>
      </c>
      <c r="D2315" t="s">
        <v>29</v>
      </c>
      <c r="E2315" t="s">
        <v>16</v>
      </c>
      <c r="F2315">
        <v>1</v>
      </c>
    </row>
    <row r="2316" spans="1:6" x14ac:dyDescent="0.2">
      <c r="A2316" t="s">
        <v>9457</v>
      </c>
      <c r="B2316" t="s">
        <v>9455</v>
      </c>
      <c r="C2316" t="s">
        <v>9456</v>
      </c>
      <c r="D2316" t="s">
        <v>29</v>
      </c>
      <c r="E2316" t="s">
        <v>16</v>
      </c>
      <c r="F2316">
        <v>1</v>
      </c>
    </row>
    <row r="2317" spans="1:6" x14ac:dyDescent="0.2">
      <c r="A2317" t="s">
        <v>10029</v>
      </c>
      <c r="B2317" t="s">
        <v>10146</v>
      </c>
      <c r="C2317" t="s">
        <v>10028</v>
      </c>
      <c r="D2317" t="s">
        <v>10</v>
      </c>
      <c r="E2317" t="s">
        <v>6357</v>
      </c>
      <c r="F2317">
        <v>1</v>
      </c>
    </row>
    <row r="2318" spans="1:6" x14ac:dyDescent="0.2">
      <c r="A2318" t="s">
        <v>269</v>
      </c>
      <c r="B2318" t="s">
        <v>2060</v>
      </c>
      <c r="C2318" t="s">
        <v>2078</v>
      </c>
      <c r="D2318" t="s">
        <v>10</v>
      </c>
      <c r="E2318" t="s">
        <v>16</v>
      </c>
      <c r="F2318">
        <v>1</v>
      </c>
    </row>
    <row r="2319" spans="1:6" x14ac:dyDescent="0.2">
      <c r="A2319" t="s">
        <v>2064</v>
      </c>
      <c r="B2319" t="s">
        <v>2060</v>
      </c>
      <c r="C2319" t="s">
        <v>2079</v>
      </c>
      <c r="D2319" t="s">
        <v>10</v>
      </c>
      <c r="E2319" t="s">
        <v>52</v>
      </c>
      <c r="F2319">
        <v>1</v>
      </c>
    </row>
    <row r="2320" spans="1:6" x14ac:dyDescent="0.2">
      <c r="A2320" t="s">
        <v>8683</v>
      </c>
      <c r="B2320" t="s">
        <v>8663</v>
      </c>
      <c r="C2320" t="s">
        <v>8682</v>
      </c>
      <c r="D2320" t="s">
        <v>10</v>
      </c>
      <c r="E2320" t="s">
        <v>11</v>
      </c>
      <c r="F2320">
        <v>1</v>
      </c>
    </row>
    <row r="2321" spans="1:6" x14ac:dyDescent="0.2">
      <c r="A2321" t="s">
        <v>3209</v>
      </c>
      <c r="B2321" t="s">
        <v>3205</v>
      </c>
      <c r="C2321" t="s">
        <v>3208</v>
      </c>
      <c r="D2321" t="s">
        <v>64</v>
      </c>
      <c r="E2321" t="s">
        <v>16</v>
      </c>
      <c r="F2321">
        <v>1</v>
      </c>
    </row>
    <row r="2322" spans="1:6" x14ac:dyDescent="0.2">
      <c r="A2322" t="s">
        <v>10354</v>
      </c>
      <c r="B2322" t="s">
        <v>10351</v>
      </c>
      <c r="C2322" t="s">
        <v>10353</v>
      </c>
      <c r="D2322" t="s">
        <v>29</v>
      </c>
      <c r="E2322" t="s">
        <v>16</v>
      </c>
      <c r="F2322">
        <v>1</v>
      </c>
    </row>
    <row r="2323" spans="1:6" x14ac:dyDescent="0.2">
      <c r="A2323" t="s">
        <v>9027</v>
      </c>
      <c r="B2323" t="s">
        <v>9025</v>
      </c>
      <c r="C2323" t="s">
        <v>9028</v>
      </c>
      <c r="D2323" t="s">
        <v>10</v>
      </c>
      <c r="E2323" t="s">
        <v>16</v>
      </c>
      <c r="F2323">
        <v>2</v>
      </c>
    </row>
    <row r="2324" spans="1:6" x14ac:dyDescent="0.2">
      <c r="A2324" t="s">
        <v>10723</v>
      </c>
      <c r="B2324" t="s">
        <v>10721</v>
      </c>
      <c r="C2324" t="s">
        <v>10755</v>
      </c>
      <c r="D2324" t="s">
        <v>10</v>
      </c>
      <c r="E2324" t="s">
        <v>16</v>
      </c>
      <c r="F2324">
        <v>1</v>
      </c>
    </row>
    <row r="2325" spans="1:6" x14ac:dyDescent="0.2">
      <c r="A2325" t="s">
        <v>10950</v>
      </c>
      <c r="B2325" t="s">
        <v>10948</v>
      </c>
      <c r="C2325" t="s">
        <v>10949</v>
      </c>
      <c r="D2325" t="s">
        <v>10</v>
      </c>
      <c r="E2325" t="s">
        <v>16</v>
      </c>
      <c r="F2325">
        <v>1</v>
      </c>
    </row>
    <row r="2326" spans="1:6" x14ac:dyDescent="0.2">
      <c r="A2326" t="s">
        <v>8904</v>
      </c>
      <c r="B2326" t="s">
        <v>10945</v>
      </c>
      <c r="C2326" t="s">
        <v>10465</v>
      </c>
      <c r="D2326" t="s">
        <v>10</v>
      </c>
      <c r="E2326" t="s">
        <v>16</v>
      </c>
      <c r="F2326">
        <v>1</v>
      </c>
    </row>
    <row r="2327" spans="1:6" x14ac:dyDescent="0.2">
      <c r="A2327" t="s">
        <v>10952</v>
      </c>
      <c r="B2327" t="s">
        <v>10948</v>
      </c>
      <c r="C2327" t="s">
        <v>10951</v>
      </c>
      <c r="D2327" t="s">
        <v>10</v>
      </c>
      <c r="E2327" t="s">
        <v>16</v>
      </c>
      <c r="F2327">
        <v>1</v>
      </c>
    </row>
    <row r="2328" spans="1:6" x14ac:dyDescent="0.2">
      <c r="A2328" t="s">
        <v>10958</v>
      </c>
      <c r="B2328" t="s">
        <v>10948</v>
      </c>
      <c r="C2328" t="s">
        <v>10957</v>
      </c>
      <c r="D2328" t="s">
        <v>10</v>
      </c>
      <c r="E2328" t="s">
        <v>16</v>
      </c>
      <c r="F2328">
        <v>1</v>
      </c>
    </row>
    <row r="2329" spans="1:6" x14ac:dyDescent="0.2">
      <c r="A2329" t="s">
        <v>10947</v>
      </c>
      <c r="B2329" t="s">
        <v>10945</v>
      </c>
      <c r="C2329" t="s">
        <v>10946</v>
      </c>
      <c r="D2329" t="s">
        <v>10</v>
      </c>
      <c r="E2329" t="s">
        <v>16</v>
      </c>
      <c r="F2329">
        <v>1</v>
      </c>
    </row>
    <row r="2330" spans="1:6" x14ac:dyDescent="0.2">
      <c r="A2330" t="s">
        <v>2675</v>
      </c>
      <c r="B2330" t="s">
        <v>10948</v>
      </c>
      <c r="C2330" t="s">
        <v>2674</v>
      </c>
      <c r="D2330" t="s">
        <v>10</v>
      </c>
      <c r="E2330" t="s">
        <v>16</v>
      </c>
      <c r="F2330">
        <v>1</v>
      </c>
    </row>
    <row r="2331" spans="1:6" x14ac:dyDescent="0.2">
      <c r="A2331" t="s">
        <v>10981</v>
      </c>
      <c r="B2331" t="s">
        <v>10979</v>
      </c>
      <c r="C2331" t="s">
        <v>10982</v>
      </c>
      <c r="D2331" t="s">
        <v>10</v>
      </c>
      <c r="E2331" t="s">
        <v>16</v>
      </c>
      <c r="F2331">
        <v>1</v>
      </c>
    </row>
    <row r="2332" spans="1:6" x14ac:dyDescent="0.2">
      <c r="A2332" t="s">
        <v>1253</v>
      </c>
      <c r="B2332" t="s">
        <v>1249</v>
      </c>
      <c r="C2332" t="s">
        <v>1252</v>
      </c>
      <c r="D2332" t="s">
        <v>10</v>
      </c>
      <c r="E2332" t="s">
        <v>16</v>
      </c>
      <c r="F2332">
        <v>1</v>
      </c>
    </row>
    <row r="2333" spans="1:6" x14ac:dyDescent="0.2">
      <c r="A2333" t="s">
        <v>2260</v>
      </c>
      <c r="B2333" t="s">
        <v>9692</v>
      </c>
      <c r="C2333" t="s">
        <v>2259</v>
      </c>
      <c r="D2333" t="s">
        <v>10</v>
      </c>
      <c r="E2333" t="s">
        <v>52</v>
      </c>
      <c r="F2333">
        <v>2</v>
      </c>
    </row>
    <row r="2334" spans="1:6" x14ac:dyDescent="0.2">
      <c r="A2334" t="s">
        <v>1256</v>
      </c>
      <c r="B2334" t="s">
        <v>1249</v>
      </c>
      <c r="C2334" t="s">
        <v>1255</v>
      </c>
      <c r="D2334" t="s">
        <v>10</v>
      </c>
      <c r="E2334" t="s">
        <v>52</v>
      </c>
      <c r="F2334">
        <v>1</v>
      </c>
    </row>
    <row r="2335" spans="1:6" x14ac:dyDescent="0.2">
      <c r="A2335" t="s">
        <v>5599</v>
      </c>
      <c r="B2335" t="s">
        <v>5598</v>
      </c>
      <c r="C2335" t="s">
        <v>5516</v>
      </c>
      <c r="D2335" t="s">
        <v>10</v>
      </c>
      <c r="E2335" t="s">
        <v>16</v>
      </c>
      <c r="F2335">
        <v>1</v>
      </c>
    </row>
    <row r="2336" spans="1:6" x14ac:dyDescent="0.2">
      <c r="A2336" t="s">
        <v>10941</v>
      </c>
      <c r="B2336" t="s">
        <v>10940</v>
      </c>
      <c r="C2336" t="s">
        <v>5435</v>
      </c>
      <c r="D2336" t="s">
        <v>10</v>
      </c>
      <c r="E2336" t="s">
        <v>16</v>
      </c>
      <c r="F2336">
        <v>1</v>
      </c>
    </row>
    <row r="2337" spans="1:6" x14ac:dyDescent="0.2">
      <c r="A2337" t="s">
        <v>11336</v>
      </c>
      <c r="B2337" t="s">
        <v>11333</v>
      </c>
      <c r="C2337" t="s">
        <v>11337</v>
      </c>
      <c r="D2337" t="s">
        <v>10</v>
      </c>
      <c r="E2337" t="s">
        <v>16</v>
      </c>
      <c r="F2337">
        <v>1</v>
      </c>
    </row>
    <row r="2338" spans="1:6" x14ac:dyDescent="0.2">
      <c r="A2338" t="s">
        <v>6464</v>
      </c>
      <c r="B2338" t="s">
        <v>6462</v>
      </c>
      <c r="C2338" t="s">
        <v>6463</v>
      </c>
      <c r="D2338" t="s">
        <v>10</v>
      </c>
      <c r="E2338" t="s">
        <v>52</v>
      </c>
      <c r="F2338">
        <v>1</v>
      </c>
    </row>
    <row r="2339" spans="1:6" x14ac:dyDescent="0.2">
      <c r="A2339" t="s">
        <v>10676</v>
      </c>
      <c r="B2339" t="s">
        <v>11056</v>
      </c>
      <c r="C2339" t="s">
        <v>10675</v>
      </c>
      <c r="D2339" t="s">
        <v>10</v>
      </c>
      <c r="E2339" t="s">
        <v>16</v>
      </c>
      <c r="F2339">
        <v>1</v>
      </c>
    </row>
    <row r="2340" spans="1:6" x14ac:dyDescent="0.2">
      <c r="A2340" t="s">
        <v>11073</v>
      </c>
      <c r="B2340" t="s">
        <v>11072</v>
      </c>
      <c r="C2340" t="s">
        <v>10719</v>
      </c>
      <c r="D2340" t="s">
        <v>10</v>
      </c>
      <c r="E2340" t="s">
        <v>16</v>
      </c>
      <c r="F2340">
        <v>1</v>
      </c>
    </row>
    <row r="2341" spans="1:6" x14ac:dyDescent="0.2">
      <c r="A2341" t="s">
        <v>11071</v>
      </c>
      <c r="B2341" t="s">
        <v>11069</v>
      </c>
      <c r="C2341" t="s">
        <v>2615</v>
      </c>
      <c r="D2341" t="s">
        <v>10</v>
      </c>
      <c r="E2341" t="s">
        <v>16</v>
      </c>
      <c r="F2341">
        <v>1</v>
      </c>
    </row>
    <row r="2342" spans="1:6" x14ac:dyDescent="0.2">
      <c r="A2342" t="s">
        <v>11407</v>
      </c>
      <c r="B2342" t="s">
        <v>11400</v>
      </c>
      <c r="C2342" t="s">
        <v>11406</v>
      </c>
      <c r="D2342" t="s">
        <v>10</v>
      </c>
      <c r="E2342" t="s">
        <v>16</v>
      </c>
      <c r="F2342">
        <v>1</v>
      </c>
    </row>
    <row r="2343" spans="1:6" x14ac:dyDescent="0.2">
      <c r="A2343" t="s">
        <v>10854</v>
      </c>
      <c r="B2343" t="s">
        <v>10848</v>
      </c>
      <c r="C2343" t="s">
        <v>10853</v>
      </c>
      <c r="D2343" t="s">
        <v>10</v>
      </c>
      <c r="E2343" t="s">
        <v>16</v>
      </c>
      <c r="F2343">
        <v>1</v>
      </c>
    </row>
    <row r="2344" spans="1:6" x14ac:dyDescent="0.2">
      <c r="A2344" t="s">
        <v>2101</v>
      </c>
      <c r="B2344" t="s">
        <v>3094</v>
      </c>
      <c r="C2344" t="s">
        <v>3129</v>
      </c>
      <c r="D2344" t="s">
        <v>10</v>
      </c>
      <c r="E2344" t="s">
        <v>11</v>
      </c>
      <c r="F2344">
        <v>1</v>
      </c>
    </row>
    <row r="2345" spans="1:6" x14ac:dyDescent="0.2">
      <c r="A2345" t="s">
        <v>10356</v>
      </c>
      <c r="B2345" t="s">
        <v>10351</v>
      </c>
      <c r="C2345" t="s">
        <v>10355</v>
      </c>
      <c r="D2345" t="s">
        <v>10</v>
      </c>
      <c r="E2345" t="s">
        <v>16</v>
      </c>
      <c r="F2345">
        <v>1</v>
      </c>
    </row>
    <row r="2346" spans="1:6" x14ac:dyDescent="0.2">
      <c r="A2346" t="s">
        <v>3851</v>
      </c>
      <c r="B2346" t="s">
        <v>3849</v>
      </c>
      <c r="C2346" t="s">
        <v>3850</v>
      </c>
      <c r="D2346" t="s">
        <v>10</v>
      </c>
      <c r="E2346" t="s">
        <v>16</v>
      </c>
      <c r="F2346">
        <v>1</v>
      </c>
    </row>
    <row r="2347" spans="1:6" x14ac:dyDescent="0.2">
      <c r="A2347" t="s">
        <v>11095</v>
      </c>
      <c r="B2347" t="s">
        <v>11087</v>
      </c>
      <c r="C2347" t="s">
        <v>11094</v>
      </c>
      <c r="D2347" t="s">
        <v>10</v>
      </c>
      <c r="E2347" t="s">
        <v>11</v>
      </c>
      <c r="F2347">
        <v>1</v>
      </c>
    </row>
    <row r="2348" spans="1:6" x14ac:dyDescent="0.2">
      <c r="A2348" t="s">
        <v>11099</v>
      </c>
      <c r="B2348" t="s">
        <v>11087</v>
      </c>
      <c r="C2348" t="s">
        <v>11098</v>
      </c>
      <c r="D2348" t="s">
        <v>10</v>
      </c>
      <c r="E2348" t="s">
        <v>11</v>
      </c>
      <c r="F2348">
        <v>2</v>
      </c>
    </row>
    <row r="2349" spans="1:6" x14ac:dyDescent="0.2">
      <c r="A2349" t="s">
        <v>11091</v>
      </c>
      <c r="B2349" t="s">
        <v>11087</v>
      </c>
      <c r="C2349" t="s">
        <v>11100</v>
      </c>
      <c r="D2349" t="s">
        <v>10</v>
      </c>
      <c r="E2349" t="s">
        <v>11</v>
      </c>
      <c r="F2349">
        <v>2</v>
      </c>
    </row>
    <row r="2350" spans="1:6" x14ac:dyDescent="0.2">
      <c r="A2350" t="s">
        <v>11103</v>
      </c>
      <c r="B2350" t="s">
        <v>11087</v>
      </c>
      <c r="C2350" t="s">
        <v>11102</v>
      </c>
      <c r="D2350" t="s">
        <v>10</v>
      </c>
      <c r="E2350" t="s">
        <v>16</v>
      </c>
      <c r="F2350">
        <v>1</v>
      </c>
    </row>
    <row r="2351" spans="1:6" x14ac:dyDescent="0.2">
      <c r="A2351" t="s">
        <v>6577</v>
      </c>
      <c r="B2351" t="s">
        <v>11087</v>
      </c>
      <c r="C2351" t="s">
        <v>11104</v>
      </c>
      <c r="D2351" t="s">
        <v>10</v>
      </c>
      <c r="E2351" t="s">
        <v>11</v>
      </c>
      <c r="F2351">
        <v>2</v>
      </c>
    </row>
    <row r="2352" spans="1:6" x14ac:dyDescent="0.2">
      <c r="A2352" t="s">
        <v>11107</v>
      </c>
      <c r="B2352" t="s">
        <v>11087</v>
      </c>
      <c r="C2352" t="s">
        <v>11106</v>
      </c>
      <c r="D2352" t="s">
        <v>10</v>
      </c>
      <c r="E2352" t="s">
        <v>16</v>
      </c>
      <c r="F2352">
        <v>1</v>
      </c>
    </row>
    <row r="2353" spans="1:6" x14ac:dyDescent="0.2">
      <c r="A2353" t="s">
        <v>11109</v>
      </c>
      <c r="B2353" t="s">
        <v>11087</v>
      </c>
      <c r="C2353" t="s">
        <v>11108</v>
      </c>
      <c r="D2353" t="s">
        <v>10</v>
      </c>
      <c r="E2353" t="s">
        <v>16</v>
      </c>
      <c r="F2353">
        <v>1</v>
      </c>
    </row>
    <row r="2354" spans="1:6" x14ac:dyDescent="0.2">
      <c r="A2354" t="s">
        <v>11116</v>
      </c>
      <c r="B2354" t="s">
        <v>11087</v>
      </c>
      <c r="C2354" t="s">
        <v>11115</v>
      </c>
      <c r="D2354" t="s">
        <v>10</v>
      </c>
      <c r="E2354" t="s">
        <v>16</v>
      </c>
      <c r="F2354">
        <v>1</v>
      </c>
    </row>
    <row r="2355" spans="1:6" x14ac:dyDescent="0.2">
      <c r="A2355" t="s">
        <v>11124</v>
      </c>
      <c r="B2355" t="s">
        <v>11087</v>
      </c>
      <c r="C2355" t="s">
        <v>11125</v>
      </c>
      <c r="D2355" t="s">
        <v>10</v>
      </c>
      <c r="E2355" t="s">
        <v>11</v>
      </c>
      <c r="F2355">
        <v>2</v>
      </c>
    </row>
    <row r="2356" spans="1:6" x14ac:dyDescent="0.2">
      <c r="A2356" t="s">
        <v>11093</v>
      </c>
      <c r="B2356" t="s">
        <v>11087</v>
      </c>
      <c r="C2356" t="s">
        <v>11092</v>
      </c>
      <c r="D2356" t="s">
        <v>10</v>
      </c>
      <c r="E2356" t="s">
        <v>11</v>
      </c>
      <c r="F2356">
        <v>1</v>
      </c>
    </row>
    <row r="2357" spans="1:6" x14ac:dyDescent="0.2">
      <c r="A2357" t="s">
        <v>11120</v>
      </c>
      <c r="B2357" t="s">
        <v>11087</v>
      </c>
      <c r="C2357" t="s">
        <v>11119</v>
      </c>
      <c r="D2357" t="s">
        <v>10</v>
      </c>
      <c r="E2357" t="s">
        <v>52</v>
      </c>
      <c r="F2357">
        <v>2</v>
      </c>
    </row>
    <row r="2358" spans="1:6" x14ac:dyDescent="0.2">
      <c r="A2358" t="s">
        <v>11122</v>
      </c>
      <c r="B2358" t="s">
        <v>11087</v>
      </c>
      <c r="C2358" t="s">
        <v>11121</v>
      </c>
      <c r="D2358" t="s">
        <v>10</v>
      </c>
      <c r="E2358" t="s">
        <v>11</v>
      </c>
      <c r="F2358">
        <v>2</v>
      </c>
    </row>
    <row r="2359" spans="1:6" x14ac:dyDescent="0.2">
      <c r="A2359" t="s">
        <v>5759</v>
      </c>
      <c r="B2359" t="s">
        <v>5757</v>
      </c>
      <c r="C2359" t="s">
        <v>5761</v>
      </c>
      <c r="D2359" t="s">
        <v>10</v>
      </c>
      <c r="E2359" t="s">
        <v>16</v>
      </c>
      <c r="F2359">
        <v>1</v>
      </c>
    </row>
    <row r="2360" spans="1:6" x14ac:dyDescent="0.2">
      <c r="A2360" t="s">
        <v>2426</v>
      </c>
      <c r="B2360" t="s">
        <v>2412</v>
      </c>
      <c r="C2360" t="s">
        <v>2451</v>
      </c>
      <c r="D2360" t="s">
        <v>56</v>
      </c>
      <c r="E2360" t="s">
        <v>52</v>
      </c>
      <c r="F2360">
        <v>2</v>
      </c>
    </row>
    <row r="2361" spans="1:6" x14ac:dyDescent="0.2">
      <c r="A2361" t="s">
        <v>11610</v>
      </c>
      <c r="B2361" t="s">
        <v>11608</v>
      </c>
      <c r="C2361" t="s">
        <v>11609</v>
      </c>
      <c r="D2361" t="s">
        <v>10</v>
      </c>
      <c r="E2361" t="s">
        <v>16</v>
      </c>
      <c r="F2361">
        <v>1</v>
      </c>
    </row>
    <row r="2362" spans="1:6" x14ac:dyDescent="0.2">
      <c r="A2362" t="s">
        <v>5696</v>
      </c>
      <c r="B2362" t="s">
        <v>5665</v>
      </c>
      <c r="C2362" t="s">
        <v>5695</v>
      </c>
      <c r="D2362" t="s">
        <v>10</v>
      </c>
      <c r="E2362" t="s">
        <v>16</v>
      </c>
      <c r="F2362">
        <v>1</v>
      </c>
    </row>
    <row r="2363" spans="1:6" x14ac:dyDescent="0.2">
      <c r="A2363" t="s">
        <v>7357</v>
      </c>
      <c r="B2363" t="s">
        <v>7345</v>
      </c>
      <c r="C2363" t="s">
        <v>7356</v>
      </c>
      <c r="D2363" t="s">
        <v>56</v>
      </c>
      <c r="E2363" t="s">
        <v>52</v>
      </c>
      <c r="F2363">
        <v>2</v>
      </c>
    </row>
    <row r="2364" spans="1:6" x14ac:dyDescent="0.2">
      <c r="A2364" t="s">
        <v>6939</v>
      </c>
      <c r="B2364" t="s">
        <v>6937</v>
      </c>
      <c r="C2364" t="s">
        <v>6938</v>
      </c>
      <c r="D2364" t="s">
        <v>10</v>
      </c>
      <c r="E2364" t="s">
        <v>16</v>
      </c>
      <c r="F2364">
        <v>1</v>
      </c>
    </row>
    <row r="2365" spans="1:6" x14ac:dyDescent="0.2">
      <c r="A2365" t="s">
        <v>11667</v>
      </c>
      <c r="B2365" t="s">
        <v>11663</v>
      </c>
      <c r="C2365" t="s">
        <v>11666</v>
      </c>
      <c r="D2365" t="s">
        <v>10</v>
      </c>
      <c r="E2365" t="s">
        <v>16</v>
      </c>
      <c r="F2365">
        <v>1</v>
      </c>
    </row>
    <row r="2366" spans="1:6" x14ac:dyDescent="0.2">
      <c r="A2366" t="s">
        <v>894</v>
      </c>
      <c r="B2366" t="s">
        <v>10919</v>
      </c>
      <c r="C2366" t="s">
        <v>893</v>
      </c>
      <c r="D2366" t="s">
        <v>10</v>
      </c>
      <c r="E2366" t="s">
        <v>16</v>
      </c>
      <c r="F2366">
        <v>1</v>
      </c>
    </row>
    <row r="2367" spans="1:6" x14ac:dyDescent="0.2">
      <c r="A2367" t="s">
        <v>730</v>
      </c>
      <c r="B2367" t="s">
        <v>6799</v>
      </c>
      <c r="C2367" t="s">
        <v>729</v>
      </c>
      <c r="D2367" t="s">
        <v>10</v>
      </c>
      <c r="E2367" t="s">
        <v>16</v>
      </c>
      <c r="F2367">
        <v>1</v>
      </c>
    </row>
    <row r="2368" spans="1:6" x14ac:dyDescent="0.2">
      <c r="A2368" t="s">
        <v>10672</v>
      </c>
      <c r="B2368" t="s">
        <v>10670</v>
      </c>
      <c r="C2368" t="s">
        <v>10671</v>
      </c>
      <c r="D2368" t="s">
        <v>10</v>
      </c>
      <c r="E2368" t="s">
        <v>16</v>
      </c>
      <c r="F2368">
        <v>1</v>
      </c>
    </row>
    <row r="2369" spans="1:6" x14ac:dyDescent="0.2">
      <c r="A2369" t="s">
        <v>11145</v>
      </c>
      <c r="B2369" t="s">
        <v>11141</v>
      </c>
      <c r="C2369" t="s">
        <v>11144</v>
      </c>
      <c r="D2369" t="s">
        <v>10</v>
      </c>
      <c r="E2369" t="s">
        <v>52</v>
      </c>
      <c r="F2369">
        <v>2</v>
      </c>
    </row>
    <row r="2370" spans="1:6" x14ac:dyDescent="0.2">
      <c r="A2370" t="s">
        <v>5370</v>
      </c>
      <c r="B2370" t="s">
        <v>11141</v>
      </c>
      <c r="C2370" t="s">
        <v>5379</v>
      </c>
      <c r="D2370" t="s">
        <v>10</v>
      </c>
      <c r="E2370" t="s">
        <v>52</v>
      </c>
      <c r="F2370">
        <v>2</v>
      </c>
    </row>
    <row r="2371" spans="1:6" x14ac:dyDescent="0.2">
      <c r="A2371" t="s">
        <v>5354</v>
      </c>
      <c r="B2371" t="s">
        <v>11141</v>
      </c>
      <c r="C2371" t="s">
        <v>5380</v>
      </c>
      <c r="D2371" t="s">
        <v>10</v>
      </c>
      <c r="E2371" t="s">
        <v>52</v>
      </c>
      <c r="F2371">
        <v>2</v>
      </c>
    </row>
    <row r="2372" spans="1:6" x14ac:dyDescent="0.2">
      <c r="A2372" t="s">
        <v>1603</v>
      </c>
      <c r="B2372" t="s">
        <v>1601</v>
      </c>
      <c r="C2372" t="s">
        <v>1602</v>
      </c>
      <c r="D2372" t="s">
        <v>10</v>
      </c>
      <c r="E2372" t="s">
        <v>16</v>
      </c>
      <c r="F2372">
        <v>1</v>
      </c>
    </row>
    <row r="2373" spans="1:6" x14ac:dyDescent="0.2">
      <c r="A2373" t="s">
        <v>2621</v>
      </c>
      <c r="B2373" t="s">
        <v>2619</v>
      </c>
      <c r="C2373" t="s">
        <v>2620</v>
      </c>
      <c r="D2373" t="s">
        <v>10</v>
      </c>
      <c r="E2373" t="s">
        <v>16</v>
      </c>
      <c r="F2373">
        <v>1</v>
      </c>
    </row>
    <row r="2374" spans="1:6" x14ac:dyDescent="0.2">
      <c r="A2374" t="s">
        <v>11136</v>
      </c>
      <c r="B2374" t="s">
        <v>11133</v>
      </c>
      <c r="C2374" t="s">
        <v>1977</v>
      </c>
      <c r="D2374" t="s">
        <v>10</v>
      </c>
      <c r="E2374" t="s">
        <v>11</v>
      </c>
      <c r="F2374">
        <v>1</v>
      </c>
    </row>
    <row r="2375" spans="1:6" x14ac:dyDescent="0.2">
      <c r="A2375" t="s">
        <v>10045</v>
      </c>
      <c r="B2375" t="s">
        <v>10043</v>
      </c>
      <c r="C2375" t="s">
        <v>10044</v>
      </c>
      <c r="D2375" t="s">
        <v>10</v>
      </c>
      <c r="E2375" t="s">
        <v>16</v>
      </c>
      <c r="F2375">
        <v>1</v>
      </c>
    </row>
    <row r="2376" spans="1:6" x14ac:dyDescent="0.2">
      <c r="A2376" t="s">
        <v>2649</v>
      </c>
      <c r="B2376" t="s">
        <v>5434</v>
      </c>
      <c r="C2376" t="s">
        <v>2648</v>
      </c>
      <c r="D2376" t="s">
        <v>10</v>
      </c>
      <c r="E2376" t="s">
        <v>16</v>
      </c>
      <c r="F2376">
        <v>1</v>
      </c>
    </row>
    <row r="2377" spans="1:6" x14ac:dyDescent="0.2">
      <c r="A2377" t="s">
        <v>11150</v>
      </c>
      <c r="B2377" t="s">
        <v>11141</v>
      </c>
      <c r="C2377" t="s">
        <v>11149</v>
      </c>
      <c r="D2377" t="s">
        <v>10</v>
      </c>
      <c r="E2377" t="s">
        <v>16</v>
      </c>
      <c r="F2377">
        <v>1</v>
      </c>
    </row>
    <row r="2378" spans="1:6" x14ac:dyDescent="0.2">
      <c r="A2378" t="s">
        <v>3085</v>
      </c>
      <c r="B2378" t="s">
        <v>3080</v>
      </c>
      <c r="C2378" t="s">
        <v>3084</v>
      </c>
      <c r="D2378" t="s">
        <v>56</v>
      </c>
      <c r="E2378" t="s">
        <v>16</v>
      </c>
      <c r="F2378">
        <v>1</v>
      </c>
    </row>
    <row r="2379" spans="1:6" x14ac:dyDescent="0.2">
      <c r="A2379" t="s">
        <v>8829</v>
      </c>
      <c r="B2379" t="s">
        <v>11155</v>
      </c>
      <c r="C2379" t="s">
        <v>11156</v>
      </c>
      <c r="D2379" t="s">
        <v>10</v>
      </c>
      <c r="E2379" t="s">
        <v>16</v>
      </c>
      <c r="F2379">
        <v>1</v>
      </c>
    </row>
    <row r="2380" spans="1:6" x14ac:dyDescent="0.2">
      <c r="A2380" t="s">
        <v>5605</v>
      </c>
      <c r="B2380" t="s">
        <v>5598</v>
      </c>
      <c r="C2380" t="s">
        <v>5604</v>
      </c>
      <c r="D2380" t="s">
        <v>10</v>
      </c>
      <c r="E2380" t="s">
        <v>16</v>
      </c>
      <c r="F2380">
        <v>1</v>
      </c>
    </row>
    <row r="2381" spans="1:6" x14ac:dyDescent="0.2">
      <c r="A2381" t="s">
        <v>11160</v>
      </c>
      <c r="B2381" t="s">
        <v>11158</v>
      </c>
      <c r="C2381" t="s">
        <v>11159</v>
      </c>
      <c r="D2381" t="s">
        <v>10</v>
      </c>
      <c r="E2381" t="s">
        <v>16</v>
      </c>
      <c r="F2381">
        <v>1</v>
      </c>
    </row>
    <row r="2382" spans="1:6" x14ac:dyDescent="0.2">
      <c r="A2382" t="s">
        <v>5771</v>
      </c>
      <c r="B2382" t="s">
        <v>5757</v>
      </c>
      <c r="C2382" t="s">
        <v>5770</v>
      </c>
      <c r="D2382" t="s">
        <v>10</v>
      </c>
      <c r="E2382" t="s">
        <v>11</v>
      </c>
      <c r="F2382">
        <v>1</v>
      </c>
    </row>
    <row r="2383" spans="1:6" x14ac:dyDescent="0.2">
      <c r="A2383" t="s">
        <v>11420</v>
      </c>
      <c r="B2383" t="s">
        <v>11418</v>
      </c>
      <c r="C2383" t="s">
        <v>11421</v>
      </c>
      <c r="D2383" t="s">
        <v>10</v>
      </c>
      <c r="E2383" t="s">
        <v>16</v>
      </c>
      <c r="F2383">
        <v>1</v>
      </c>
    </row>
    <row r="2384" spans="1:6" x14ac:dyDescent="0.2">
      <c r="A2384" t="s">
        <v>565</v>
      </c>
      <c r="B2384" t="s">
        <v>561</v>
      </c>
      <c r="C2384" t="s">
        <v>566</v>
      </c>
      <c r="D2384" t="s">
        <v>10</v>
      </c>
      <c r="E2384" t="s">
        <v>52</v>
      </c>
      <c r="F2384">
        <v>1</v>
      </c>
    </row>
    <row r="2385" spans="1:6" x14ac:dyDescent="0.2">
      <c r="A2385" t="s">
        <v>11465</v>
      </c>
      <c r="B2385" t="s">
        <v>11454</v>
      </c>
      <c r="C2385" t="s">
        <v>11464</v>
      </c>
      <c r="D2385" t="s">
        <v>10</v>
      </c>
      <c r="E2385" t="s">
        <v>11</v>
      </c>
      <c r="F2385">
        <v>2</v>
      </c>
    </row>
    <row r="2386" spans="1:6" x14ac:dyDescent="0.2">
      <c r="A2386" t="s">
        <v>11468</v>
      </c>
      <c r="B2386" t="s">
        <v>11454</v>
      </c>
      <c r="C2386" t="s">
        <v>11467</v>
      </c>
      <c r="D2386" t="s">
        <v>10</v>
      </c>
      <c r="E2386" t="s">
        <v>11</v>
      </c>
      <c r="F2386">
        <v>3</v>
      </c>
    </row>
    <row r="2387" spans="1:6" x14ac:dyDescent="0.2">
      <c r="A2387" t="s">
        <v>11470</v>
      </c>
      <c r="B2387" t="s">
        <v>11454</v>
      </c>
      <c r="C2387" t="s">
        <v>11469</v>
      </c>
      <c r="D2387" t="s">
        <v>10</v>
      </c>
      <c r="E2387" t="s">
        <v>11</v>
      </c>
      <c r="F2387">
        <v>4</v>
      </c>
    </row>
    <row r="2388" spans="1:6" x14ac:dyDescent="0.2">
      <c r="A2388" t="s">
        <v>4048</v>
      </c>
      <c r="B2388" t="s">
        <v>11366</v>
      </c>
      <c r="C2388" t="s">
        <v>11367</v>
      </c>
      <c r="D2388" t="s">
        <v>10</v>
      </c>
      <c r="E2388" t="s">
        <v>16</v>
      </c>
      <c r="F2388">
        <v>1</v>
      </c>
    </row>
    <row r="2389" spans="1:6" x14ac:dyDescent="0.2">
      <c r="A2389" t="s">
        <v>11362</v>
      </c>
      <c r="B2389" t="s">
        <v>11360</v>
      </c>
      <c r="C2389" t="s">
        <v>11361</v>
      </c>
      <c r="D2389" t="s">
        <v>10</v>
      </c>
      <c r="E2389" t="s">
        <v>16</v>
      </c>
      <c r="F2389">
        <v>1</v>
      </c>
    </row>
    <row r="2390" spans="1:6" x14ac:dyDescent="0.2">
      <c r="A2390" t="s">
        <v>8676</v>
      </c>
      <c r="B2390" t="s">
        <v>8663</v>
      </c>
      <c r="C2390" t="s">
        <v>8704</v>
      </c>
      <c r="D2390" t="s">
        <v>10</v>
      </c>
      <c r="E2390" t="s">
        <v>11</v>
      </c>
      <c r="F2390">
        <v>2</v>
      </c>
    </row>
    <row r="2391" spans="1:6" x14ac:dyDescent="0.2">
      <c r="A2391" t="s">
        <v>11472</v>
      </c>
      <c r="B2391" t="s">
        <v>11454</v>
      </c>
      <c r="C2391" t="s">
        <v>11471</v>
      </c>
      <c r="D2391" t="s">
        <v>10</v>
      </c>
      <c r="E2391" t="s">
        <v>11</v>
      </c>
      <c r="F2391">
        <v>2</v>
      </c>
    </row>
    <row r="2392" spans="1:6" x14ac:dyDescent="0.2">
      <c r="A2392" t="s">
        <v>3710</v>
      </c>
      <c r="B2392" t="s">
        <v>3509</v>
      </c>
      <c r="C2392" t="s">
        <v>3721</v>
      </c>
      <c r="D2392" t="s">
        <v>10</v>
      </c>
      <c r="E2392" t="s">
        <v>16</v>
      </c>
      <c r="F2392">
        <v>1</v>
      </c>
    </row>
    <row r="2393" spans="1:6" x14ac:dyDescent="0.2">
      <c r="A2393" t="s">
        <v>3716</v>
      </c>
      <c r="B2393" t="s">
        <v>3509</v>
      </c>
      <c r="C2393" t="s">
        <v>3715</v>
      </c>
      <c r="D2393" t="s">
        <v>10</v>
      </c>
      <c r="E2393" t="s">
        <v>16</v>
      </c>
      <c r="F2393">
        <v>1</v>
      </c>
    </row>
    <row r="2394" spans="1:6" x14ac:dyDescent="0.2">
      <c r="A2394" t="s">
        <v>97</v>
      </c>
      <c r="B2394" t="s">
        <v>11366</v>
      </c>
      <c r="C2394" t="s">
        <v>96</v>
      </c>
      <c r="D2394" t="s">
        <v>10</v>
      </c>
      <c r="E2394" t="s">
        <v>16</v>
      </c>
      <c r="F2394">
        <v>1</v>
      </c>
    </row>
    <row r="2395" spans="1:6" x14ac:dyDescent="0.2">
      <c r="A2395" t="s">
        <v>11462</v>
      </c>
      <c r="B2395" t="s">
        <v>11454</v>
      </c>
      <c r="C2395" t="s">
        <v>11461</v>
      </c>
      <c r="D2395" t="s">
        <v>10</v>
      </c>
      <c r="E2395" t="s">
        <v>11</v>
      </c>
      <c r="F2395">
        <v>2</v>
      </c>
    </row>
    <row r="2396" spans="1:6" x14ac:dyDescent="0.2">
      <c r="A2396" t="s">
        <v>1591</v>
      </c>
      <c r="B2396" t="s">
        <v>2545</v>
      </c>
      <c r="C2396" t="s">
        <v>1592</v>
      </c>
      <c r="D2396" t="s">
        <v>10</v>
      </c>
      <c r="E2396" t="s">
        <v>16</v>
      </c>
      <c r="F2396">
        <v>1</v>
      </c>
    </row>
    <row r="2397" spans="1:6" x14ac:dyDescent="0.2">
      <c r="A2397" t="s">
        <v>6304</v>
      </c>
      <c r="B2397" t="s">
        <v>8663</v>
      </c>
      <c r="C2397" t="s">
        <v>8706</v>
      </c>
      <c r="D2397" t="s">
        <v>10</v>
      </c>
      <c r="E2397" t="s">
        <v>16</v>
      </c>
      <c r="F2397">
        <v>1</v>
      </c>
    </row>
    <row r="2398" spans="1:6" x14ac:dyDescent="0.2">
      <c r="A2398" t="s">
        <v>11334</v>
      </c>
      <c r="B2398" t="s">
        <v>11333</v>
      </c>
      <c r="C2398" t="s">
        <v>11338</v>
      </c>
      <c r="D2398" t="s">
        <v>10</v>
      </c>
      <c r="E2398" t="s">
        <v>16</v>
      </c>
      <c r="F2398">
        <v>1</v>
      </c>
    </row>
    <row r="2399" spans="1:6" x14ac:dyDescent="0.2">
      <c r="A2399" t="s">
        <v>3298</v>
      </c>
      <c r="B2399" t="s">
        <v>7597</v>
      </c>
      <c r="C2399" t="s">
        <v>7731</v>
      </c>
      <c r="D2399" t="s">
        <v>10</v>
      </c>
      <c r="E2399" t="s">
        <v>11</v>
      </c>
      <c r="F2399">
        <v>1</v>
      </c>
    </row>
    <row r="2400" spans="1:6" x14ac:dyDescent="0.2">
      <c r="A2400" t="s">
        <v>11477</v>
      </c>
      <c r="B2400" t="s">
        <v>11454</v>
      </c>
      <c r="C2400" t="s">
        <v>11476</v>
      </c>
      <c r="D2400" t="s">
        <v>10</v>
      </c>
      <c r="E2400" t="s">
        <v>11</v>
      </c>
      <c r="F2400">
        <v>2</v>
      </c>
    </row>
    <row r="2401" spans="1:6" x14ac:dyDescent="0.2">
      <c r="A2401" t="s">
        <v>2204</v>
      </c>
      <c r="B2401" t="s">
        <v>2181</v>
      </c>
      <c r="C2401" t="s">
        <v>2326</v>
      </c>
      <c r="D2401" t="s">
        <v>10</v>
      </c>
      <c r="E2401" t="s">
        <v>16</v>
      </c>
      <c r="F2401">
        <v>1</v>
      </c>
    </row>
    <row r="2402" spans="1:6" x14ac:dyDescent="0.2">
      <c r="A2402" t="s">
        <v>2329</v>
      </c>
      <c r="B2402" t="s">
        <v>2181</v>
      </c>
      <c r="C2402" t="s">
        <v>2328</v>
      </c>
      <c r="D2402" t="s">
        <v>10</v>
      </c>
      <c r="E2402" t="s">
        <v>52</v>
      </c>
      <c r="F2402">
        <v>1</v>
      </c>
    </row>
    <row r="2403" spans="1:6" x14ac:dyDescent="0.2">
      <c r="A2403" t="s">
        <v>11323</v>
      </c>
      <c r="B2403" t="s">
        <v>11321</v>
      </c>
      <c r="C2403" t="s">
        <v>11325</v>
      </c>
      <c r="D2403" t="s">
        <v>10</v>
      </c>
      <c r="E2403" t="s">
        <v>16</v>
      </c>
      <c r="F2403">
        <v>1</v>
      </c>
    </row>
    <row r="2404" spans="1:6" x14ac:dyDescent="0.2">
      <c r="A2404" t="s">
        <v>3552</v>
      </c>
      <c r="B2404" t="s">
        <v>3509</v>
      </c>
      <c r="C2404" t="s">
        <v>3703</v>
      </c>
      <c r="D2404" t="s">
        <v>10</v>
      </c>
      <c r="E2404" t="s">
        <v>11</v>
      </c>
      <c r="F2404">
        <v>2</v>
      </c>
    </row>
    <row r="2405" spans="1:6" x14ac:dyDescent="0.2">
      <c r="A2405" t="s">
        <v>8750</v>
      </c>
      <c r="B2405" t="s">
        <v>8748</v>
      </c>
      <c r="C2405" t="s">
        <v>8767</v>
      </c>
      <c r="D2405" t="s">
        <v>10</v>
      </c>
      <c r="E2405" t="s">
        <v>11</v>
      </c>
      <c r="F2405">
        <v>2</v>
      </c>
    </row>
    <row r="2406" spans="1:6" x14ac:dyDescent="0.2">
      <c r="A2406" t="s">
        <v>7253</v>
      </c>
      <c r="B2406" t="s">
        <v>7239</v>
      </c>
      <c r="C2406" t="s">
        <v>7252</v>
      </c>
      <c r="D2406" t="s">
        <v>10</v>
      </c>
      <c r="E2406" t="s">
        <v>11</v>
      </c>
      <c r="F2406">
        <v>2</v>
      </c>
    </row>
    <row r="2407" spans="1:6" x14ac:dyDescent="0.2">
      <c r="A2407" t="s">
        <v>11485</v>
      </c>
      <c r="B2407" t="s">
        <v>11483</v>
      </c>
      <c r="C2407" t="s">
        <v>11484</v>
      </c>
      <c r="D2407" t="s">
        <v>10</v>
      </c>
      <c r="E2407" t="s">
        <v>16</v>
      </c>
      <c r="F2407">
        <v>1</v>
      </c>
    </row>
    <row r="2408" spans="1:6" x14ac:dyDescent="0.2">
      <c r="A2408" t="s">
        <v>563</v>
      </c>
      <c r="B2408" t="s">
        <v>7289</v>
      </c>
      <c r="C2408" t="s">
        <v>7293</v>
      </c>
      <c r="D2408" t="s">
        <v>10</v>
      </c>
      <c r="E2408" t="s">
        <v>16</v>
      </c>
      <c r="F2408">
        <v>1</v>
      </c>
    </row>
    <row r="2409" spans="1:6" x14ac:dyDescent="0.2">
      <c r="A2409" t="s">
        <v>7292</v>
      </c>
      <c r="B2409" t="s">
        <v>7289</v>
      </c>
      <c r="C2409" t="s">
        <v>7295</v>
      </c>
      <c r="D2409" t="s">
        <v>10</v>
      </c>
      <c r="E2409" t="s">
        <v>16</v>
      </c>
      <c r="F2409">
        <v>1</v>
      </c>
    </row>
    <row r="2410" spans="1:6" x14ac:dyDescent="0.2">
      <c r="A2410" t="s">
        <v>7298</v>
      </c>
      <c r="B2410" t="s">
        <v>7289</v>
      </c>
      <c r="C2410" t="s">
        <v>7297</v>
      </c>
      <c r="D2410" t="s">
        <v>10</v>
      </c>
      <c r="E2410" t="s">
        <v>16</v>
      </c>
      <c r="F2410">
        <v>1</v>
      </c>
    </row>
    <row r="2411" spans="1:6" x14ac:dyDescent="0.2">
      <c r="A2411" t="s">
        <v>5768</v>
      </c>
      <c r="B2411" t="s">
        <v>5757</v>
      </c>
      <c r="C2411" t="s">
        <v>5775</v>
      </c>
      <c r="D2411" t="s">
        <v>10</v>
      </c>
      <c r="E2411" t="s">
        <v>52</v>
      </c>
      <c r="F2411">
        <v>1</v>
      </c>
    </row>
    <row r="2412" spans="1:6" x14ac:dyDescent="0.2">
      <c r="A2412" t="s">
        <v>3643</v>
      </c>
      <c r="B2412" t="s">
        <v>3509</v>
      </c>
      <c r="C2412" t="s">
        <v>3705</v>
      </c>
      <c r="D2412" t="s">
        <v>10</v>
      </c>
      <c r="E2412" t="s">
        <v>16</v>
      </c>
      <c r="F2412">
        <v>2</v>
      </c>
    </row>
    <row r="2413" spans="1:6" x14ac:dyDescent="0.2">
      <c r="A2413" t="s">
        <v>11396</v>
      </c>
      <c r="B2413" t="s">
        <v>11395</v>
      </c>
      <c r="C2413" t="s">
        <v>11397</v>
      </c>
      <c r="D2413" t="s">
        <v>10</v>
      </c>
      <c r="E2413" t="s">
        <v>16</v>
      </c>
      <c r="F2413">
        <v>1</v>
      </c>
    </row>
    <row r="2414" spans="1:6" x14ac:dyDescent="0.2">
      <c r="A2414" t="s">
        <v>3449</v>
      </c>
      <c r="B2414" t="s">
        <v>8663</v>
      </c>
      <c r="C2414" t="s">
        <v>8665</v>
      </c>
      <c r="D2414" t="s">
        <v>10</v>
      </c>
      <c r="E2414" t="s">
        <v>16</v>
      </c>
      <c r="F2414">
        <v>1</v>
      </c>
    </row>
    <row r="2415" spans="1:6" x14ac:dyDescent="0.2">
      <c r="A2415" t="s">
        <v>5777</v>
      </c>
      <c r="B2415" t="s">
        <v>5757</v>
      </c>
      <c r="C2415" t="s">
        <v>5776</v>
      </c>
      <c r="D2415" t="s">
        <v>10</v>
      </c>
      <c r="E2415" t="s">
        <v>52</v>
      </c>
      <c r="F2415">
        <v>1</v>
      </c>
    </row>
    <row r="2416" spans="1:6" x14ac:dyDescent="0.2">
      <c r="A2416" t="s">
        <v>11214</v>
      </c>
      <c r="B2416" t="s">
        <v>11212</v>
      </c>
      <c r="C2416" t="s">
        <v>11215</v>
      </c>
      <c r="D2416" t="s">
        <v>10</v>
      </c>
      <c r="E2416" t="s">
        <v>16</v>
      </c>
      <c r="F2416">
        <v>1</v>
      </c>
    </row>
    <row r="2417" spans="1:6" x14ac:dyDescent="0.2">
      <c r="A2417" t="s">
        <v>11387</v>
      </c>
      <c r="B2417" t="s">
        <v>11386</v>
      </c>
      <c r="C2417" t="s">
        <v>11388</v>
      </c>
      <c r="D2417" t="s">
        <v>29</v>
      </c>
      <c r="E2417" t="s">
        <v>16</v>
      </c>
      <c r="F2417">
        <v>1</v>
      </c>
    </row>
    <row r="2418" spans="1:6" x14ac:dyDescent="0.2">
      <c r="A2418" t="s">
        <v>11219</v>
      </c>
      <c r="B2418" t="s">
        <v>11212</v>
      </c>
      <c r="C2418" t="s">
        <v>11218</v>
      </c>
      <c r="D2418" t="s">
        <v>10</v>
      </c>
      <c r="E2418" t="s">
        <v>16</v>
      </c>
      <c r="F2418">
        <v>1</v>
      </c>
    </row>
    <row r="2419" spans="1:6" x14ac:dyDescent="0.2">
      <c r="A2419" t="s">
        <v>10151</v>
      </c>
      <c r="B2419" t="s">
        <v>11425</v>
      </c>
      <c r="C2419" t="s">
        <v>10150</v>
      </c>
      <c r="D2419" t="s">
        <v>10</v>
      </c>
      <c r="E2419" t="s">
        <v>16</v>
      </c>
      <c r="F2419">
        <v>1</v>
      </c>
    </row>
    <row r="2420" spans="1:6" x14ac:dyDescent="0.2">
      <c r="A2420" t="s">
        <v>11271</v>
      </c>
      <c r="B2420" t="s">
        <v>11267</v>
      </c>
      <c r="C2420" t="s">
        <v>11270</v>
      </c>
      <c r="D2420" t="s">
        <v>10</v>
      </c>
      <c r="E2420" t="s">
        <v>16</v>
      </c>
      <c r="F2420">
        <v>1</v>
      </c>
    </row>
    <row r="2421" spans="1:6" x14ac:dyDescent="0.2">
      <c r="A2421" t="s">
        <v>1277</v>
      </c>
      <c r="B2421" t="s">
        <v>11877</v>
      </c>
      <c r="C2421" t="s">
        <v>1346</v>
      </c>
      <c r="D2421" t="s">
        <v>10</v>
      </c>
      <c r="E2421" t="s">
        <v>16</v>
      </c>
      <c r="F2421">
        <v>1</v>
      </c>
    </row>
    <row r="2422" spans="1:6" x14ac:dyDescent="0.2">
      <c r="A2422" t="s">
        <v>10759</v>
      </c>
      <c r="B2422" t="s">
        <v>10721</v>
      </c>
      <c r="C2422" t="s">
        <v>10761</v>
      </c>
      <c r="D2422" t="s">
        <v>10</v>
      </c>
      <c r="E2422" t="s">
        <v>16</v>
      </c>
      <c r="F2422">
        <v>1</v>
      </c>
    </row>
    <row r="2423" spans="1:6" x14ac:dyDescent="0.2">
      <c r="A2423" t="s">
        <v>1584</v>
      </c>
      <c r="B2423" t="s">
        <v>1582</v>
      </c>
      <c r="C2423" t="s">
        <v>1583</v>
      </c>
      <c r="D2423" t="s">
        <v>10</v>
      </c>
      <c r="E2423" t="s">
        <v>16</v>
      </c>
      <c r="F2423">
        <v>1</v>
      </c>
    </row>
    <row r="2424" spans="1:6" x14ac:dyDescent="0.2">
      <c r="A2424" t="s">
        <v>8982</v>
      </c>
      <c r="B2424" t="s">
        <v>8980</v>
      </c>
      <c r="C2424" t="s">
        <v>8981</v>
      </c>
      <c r="D2424" t="s">
        <v>10</v>
      </c>
      <c r="E2424" t="s">
        <v>16</v>
      </c>
      <c r="F2424">
        <v>1</v>
      </c>
    </row>
    <row r="2425" spans="1:6" x14ac:dyDescent="0.2">
      <c r="A2425" t="s">
        <v>11208</v>
      </c>
      <c r="B2425" t="s">
        <v>11212</v>
      </c>
      <c r="C2425" t="s">
        <v>11207</v>
      </c>
      <c r="D2425" t="s">
        <v>10</v>
      </c>
      <c r="E2425" t="s">
        <v>16</v>
      </c>
      <c r="F2425">
        <v>1</v>
      </c>
    </row>
    <row r="2426" spans="1:6" x14ac:dyDescent="0.2">
      <c r="A2426" t="s">
        <v>11153</v>
      </c>
      <c r="B2426" t="s">
        <v>11212</v>
      </c>
      <c r="C2426" t="s">
        <v>11209</v>
      </c>
      <c r="D2426" t="s">
        <v>10</v>
      </c>
      <c r="E2426" t="s">
        <v>16</v>
      </c>
      <c r="F2426">
        <v>1</v>
      </c>
    </row>
    <row r="2427" spans="1:6" x14ac:dyDescent="0.2">
      <c r="A2427" t="s">
        <v>11231</v>
      </c>
      <c r="B2427" t="s">
        <v>11212</v>
      </c>
      <c r="C2427" t="s">
        <v>11230</v>
      </c>
      <c r="D2427" t="s">
        <v>10</v>
      </c>
      <c r="E2427" t="s">
        <v>16</v>
      </c>
      <c r="F2427">
        <v>1</v>
      </c>
    </row>
    <row r="2428" spans="1:6" x14ac:dyDescent="0.2">
      <c r="A2428" t="s">
        <v>1491</v>
      </c>
      <c r="B2428" t="s">
        <v>1489</v>
      </c>
      <c r="C2428" t="s">
        <v>1490</v>
      </c>
      <c r="D2428" t="s">
        <v>10</v>
      </c>
      <c r="E2428" t="s">
        <v>16</v>
      </c>
      <c r="F2428">
        <v>1</v>
      </c>
    </row>
    <row r="2429" spans="1:6" x14ac:dyDescent="0.2">
      <c r="A2429" t="s">
        <v>10411</v>
      </c>
      <c r="B2429" t="s">
        <v>10721</v>
      </c>
      <c r="C2429" t="s">
        <v>10764</v>
      </c>
      <c r="D2429" t="s">
        <v>10</v>
      </c>
      <c r="E2429" t="s">
        <v>16</v>
      </c>
      <c r="F2429">
        <v>1</v>
      </c>
    </row>
    <row r="2430" spans="1:6" x14ac:dyDescent="0.2">
      <c r="A2430" t="s">
        <v>10776</v>
      </c>
      <c r="B2430" t="s">
        <v>10721</v>
      </c>
      <c r="C2430" t="s">
        <v>10775</v>
      </c>
      <c r="D2430" t="s">
        <v>10</v>
      </c>
      <c r="E2430" t="s">
        <v>16</v>
      </c>
      <c r="F2430">
        <v>1</v>
      </c>
    </row>
    <row r="2431" spans="1:6" x14ac:dyDescent="0.2">
      <c r="A2431" t="s">
        <v>639</v>
      </c>
      <c r="B2431" t="s">
        <v>10721</v>
      </c>
      <c r="C2431" t="s">
        <v>675</v>
      </c>
      <c r="D2431" t="s">
        <v>10</v>
      </c>
      <c r="E2431" t="s">
        <v>16</v>
      </c>
      <c r="F2431">
        <v>1</v>
      </c>
    </row>
    <row r="2432" spans="1:6" x14ac:dyDescent="0.2">
      <c r="A2432" t="s">
        <v>10746</v>
      </c>
      <c r="B2432" t="s">
        <v>10721</v>
      </c>
      <c r="C2432" t="s">
        <v>10766</v>
      </c>
      <c r="D2432" t="s">
        <v>10</v>
      </c>
      <c r="E2432" t="s">
        <v>52</v>
      </c>
      <c r="F2432">
        <v>1</v>
      </c>
    </row>
    <row r="2433" spans="1:6" x14ac:dyDescent="0.2">
      <c r="A2433" t="s">
        <v>11526</v>
      </c>
      <c r="B2433" t="s">
        <v>11524</v>
      </c>
      <c r="C2433" t="s">
        <v>11527</v>
      </c>
      <c r="D2433" t="s">
        <v>29</v>
      </c>
      <c r="E2433" t="s">
        <v>16</v>
      </c>
      <c r="F2433">
        <v>2</v>
      </c>
    </row>
    <row r="2434" spans="1:6" x14ac:dyDescent="0.2">
      <c r="A2434" t="s">
        <v>5908</v>
      </c>
      <c r="B2434" t="s">
        <v>6073</v>
      </c>
      <c r="C2434" t="s">
        <v>5907</v>
      </c>
      <c r="D2434" t="s">
        <v>10</v>
      </c>
      <c r="E2434" t="s">
        <v>16</v>
      </c>
      <c r="F2434">
        <v>1</v>
      </c>
    </row>
    <row r="2435" spans="1:6" x14ac:dyDescent="0.2">
      <c r="A2435" t="s">
        <v>10779</v>
      </c>
      <c r="B2435" t="s">
        <v>10721</v>
      </c>
      <c r="C2435" t="s">
        <v>10778</v>
      </c>
      <c r="D2435" t="s">
        <v>10</v>
      </c>
      <c r="E2435" t="s">
        <v>52</v>
      </c>
      <c r="F2435">
        <v>1</v>
      </c>
    </row>
    <row r="2436" spans="1:6" x14ac:dyDescent="0.2">
      <c r="A2436" t="s">
        <v>10770</v>
      </c>
      <c r="B2436" t="s">
        <v>10721</v>
      </c>
      <c r="C2436" t="s">
        <v>10769</v>
      </c>
      <c r="D2436" t="s">
        <v>10</v>
      </c>
      <c r="E2436" t="s">
        <v>52</v>
      </c>
      <c r="F2436">
        <v>1</v>
      </c>
    </row>
    <row r="2437" spans="1:6" x14ac:dyDescent="0.2">
      <c r="A2437" t="s">
        <v>4360</v>
      </c>
      <c r="B2437" t="s">
        <v>10721</v>
      </c>
      <c r="C2437" t="s">
        <v>10774</v>
      </c>
      <c r="D2437" t="s">
        <v>10</v>
      </c>
      <c r="E2437" t="s">
        <v>52</v>
      </c>
      <c r="F2437">
        <v>1</v>
      </c>
    </row>
    <row r="2438" spans="1:6" x14ac:dyDescent="0.2">
      <c r="A2438" t="s">
        <v>4360</v>
      </c>
      <c r="B2438" t="s">
        <v>10721</v>
      </c>
      <c r="C2438" t="s">
        <v>10783</v>
      </c>
      <c r="D2438" t="s">
        <v>10</v>
      </c>
      <c r="E2438" t="s">
        <v>52</v>
      </c>
      <c r="F2438">
        <v>1</v>
      </c>
    </row>
    <row r="2439" spans="1:6" x14ac:dyDescent="0.2">
      <c r="A2439" t="s">
        <v>5979</v>
      </c>
      <c r="B2439" t="s">
        <v>5977</v>
      </c>
      <c r="C2439" t="s">
        <v>5978</v>
      </c>
      <c r="D2439" t="s">
        <v>10</v>
      </c>
      <c r="E2439" t="s">
        <v>16</v>
      </c>
      <c r="F2439">
        <v>1</v>
      </c>
    </row>
    <row r="2440" spans="1:6" x14ac:dyDescent="0.2">
      <c r="A2440" t="s">
        <v>5979</v>
      </c>
      <c r="B2440" t="s">
        <v>5977</v>
      </c>
      <c r="C2440" t="s">
        <v>5980</v>
      </c>
      <c r="D2440" t="s">
        <v>10</v>
      </c>
      <c r="E2440" t="s">
        <v>16</v>
      </c>
      <c r="F2440">
        <v>1</v>
      </c>
    </row>
    <row r="2441" spans="1:6" x14ac:dyDescent="0.2">
      <c r="A2441" t="s">
        <v>303</v>
      </c>
      <c r="B2441" t="s">
        <v>301</v>
      </c>
      <c r="C2441" t="s">
        <v>302</v>
      </c>
      <c r="D2441" t="s">
        <v>10</v>
      </c>
      <c r="E2441" t="s">
        <v>16</v>
      </c>
      <c r="F2441">
        <v>1</v>
      </c>
    </row>
    <row r="2442" spans="1:6" x14ac:dyDescent="0.2">
      <c r="A2442" t="s">
        <v>6100</v>
      </c>
      <c r="B2442" t="s">
        <v>6073</v>
      </c>
      <c r="C2442" t="s">
        <v>6099</v>
      </c>
      <c r="D2442" t="s">
        <v>10</v>
      </c>
      <c r="E2442" t="s">
        <v>16</v>
      </c>
      <c r="F2442">
        <v>2</v>
      </c>
    </row>
    <row r="2443" spans="1:6" x14ac:dyDescent="0.2">
      <c r="A2443" t="s">
        <v>6475</v>
      </c>
      <c r="B2443" t="s">
        <v>6462</v>
      </c>
      <c r="C2443" t="s">
        <v>6474</v>
      </c>
      <c r="D2443" t="s">
        <v>10</v>
      </c>
      <c r="E2443" t="s">
        <v>16</v>
      </c>
      <c r="F2443">
        <v>2</v>
      </c>
    </row>
    <row r="2444" spans="1:6" x14ac:dyDescent="0.2">
      <c r="A2444" t="s">
        <v>11178</v>
      </c>
      <c r="B2444" t="s">
        <v>11176</v>
      </c>
      <c r="C2444" t="s">
        <v>11177</v>
      </c>
      <c r="D2444" t="s">
        <v>10</v>
      </c>
      <c r="E2444" t="s">
        <v>16</v>
      </c>
      <c r="F2444">
        <v>1</v>
      </c>
    </row>
    <row r="2445" spans="1:6" x14ac:dyDescent="0.2">
      <c r="A2445" t="s">
        <v>11481</v>
      </c>
      <c r="B2445" t="s">
        <v>11479</v>
      </c>
      <c r="C2445" t="s">
        <v>11480</v>
      </c>
      <c r="D2445" t="s">
        <v>10</v>
      </c>
      <c r="E2445" t="s">
        <v>52</v>
      </c>
      <c r="F2445">
        <v>1</v>
      </c>
    </row>
    <row r="2446" spans="1:6" x14ac:dyDescent="0.2">
      <c r="A2446" t="s">
        <v>11180</v>
      </c>
      <c r="B2446" t="s">
        <v>11176</v>
      </c>
      <c r="C2446" t="s">
        <v>11179</v>
      </c>
      <c r="D2446" t="s">
        <v>10</v>
      </c>
      <c r="E2446" t="s">
        <v>16</v>
      </c>
      <c r="F2446">
        <v>1</v>
      </c>
    </row>
    <row r="2447" spans="1:6" x14ac:dyDescent="0.2">
      <c r="A2447" t="s">
        <v>11180</v>
      </c>
      <c r="B2447" t="s">
        <v>11176</v>
      </c>
      <c r="C2447" t="s">
        <v>11181</v>
      </c>
      <c r="D2447" t="s">
        <v>10</v>
      </c>
      <c r="E2447" t="s">
        <v>16</v>
      </c>
      <c r="F2447">
        <v>1</v>
      </c>
    </row>
    <row r="2448" spans="1:6" x14ac:dyDescent="0.2">
      <c r="A2448" t="s">
        <v>10303</v>
      </c>
      <c r="B2448" t="s">
        <v>11386</v>
      </c>
      <c r="C2448" t="s">
        <v>10305</v>
      </c>
      <c r="D2448" t="s">
        <v>29</v>
      </c>
      <c r="E2448" t="s">
        <v>16</v>
      </c>
      <c r="F2448">
        <v>1</v>
      </c>
    </row>
    <row r="2449" spans="1:6" x14ac:dyDescent="0.2">
      <c r="A2449" t="s">
        <v>10705</v>
      </c>
      <c r="B2449" t="s">
        <v>10703</v>
      </c>
      <c r="C2449" t="s">
        <v>10704</v>
      </c>
      <c r="D2449" t="s">
        <v>10</v>
      </c>
      <c r="E2449" t="s">
        <v>16</v>
      </c>
      <c r="F2449">
        <v>1</v>
      </c>
    </row>
    <row r="2450" spans="1:6" x14ac:dyDescent="0.2">
      <c r="A2450" t="s">
        <v>5732</v>
      </c>
      <c r="B2450" t="s">
        <v>5731</v>
      </c>
      <c r="C2450" t="s">
        <v>2161</v>
      </c>
      <c r="D2450" t="s">
        <v>10</v>
      </c>
      <c r="E2450" t="s">
        <v>16</v>
      </c>
      <c r="F2450">
        <v>1</v>
      </c>
    </row>
    <row r="2451" spans="1:6" x14ac:dyDescent="0.2">
      <c r="A2451" t="s">
        <v>2396</v>
      </c>
      <c r="B2451" t="s">
        <v>2382</v>
      </c>
      <c r="C2451" t="s">
        <v>2395</v>
      </c>
      <c r="D2451" t="s">
        <v>10</v>
      </c>
      <c r="E2451" t="s">
        <v>52</v>
      </c>
      <c r="F2451">
        <v>1</v>
      </c>
    </row>
    <row r="2452" spans="1:6" x14ac:dyDescent="0.2">
      <c r="A2452" t="s">
        <v>5601</v>
      </c>
      <c r="B2452" t="s">
        <v>5598</v>
      </c>
      <c r="C2452" t="s">
        <v>5600</v>
      </c>
      <c r="D2452" t="s">
        <v>10</v>
      </c>
      <c r="E2452" t="s">
        <v>16</v>
      </c>
      <c r="F2452">
        <v>1</v>
      </c>
    </row>
    <row r="2453" spans="1:6" x14ac:dyDescent="0.2">
      <c r="A2453" t="s">
        <v>11217</v>
      </c>
      <c r="B2453" t="s">
        <v>11212</v>
      </c>
      <c r="C2453" t="s">
        <v>11235</v>
      </c>
      <c r="D2453" t="s">
        <v>10</v>
      </c>
      <c r="E2453" t="s">
        <v>16</v>
      </c>
      <c r="F2453">
        <v>1</v>
      </c>
    </row>
    <row r="2454" spans="1:6" x14ac:dyDescent="0.2">
      <c r="A2454" t="s">
        <v>11205</v>
      </c>
      <c r="B2454" t="s">
        <v>11212</v>
      </c>
      <c r="C2454" t="s">
        <v>11236</v>
      </c>
      <c r="D2454" t="s">
        <v>10</v>
      </c>
      <c r="E2454" t="s">
        <v>16</v>
      </c>
      <c r="F2454">
        <v>1</v>
      </c>
    </row>
    <row r="2455" spans="1:6" x14ac:dyDescent="0.2">
      <c r="A2455" t="s">
        <v>11229</v>
      </c>
      <c r="B2455" t="s">
        <v>11212</v>
      </c>
      <c r="C2455" t="s">
        <v>11240</v>
      </c>
      <c r="D2455" t="s">
        <v>10</v>
      </c>
      <c r="E2455" t="s">
        <v>16</v>
      </c>
      <c r="F2455">
        <v>1</v>
      </c>
    </row>
    <row r="2456" spans="1:6" x14ac:dyDescent="0.2">
      <c r="A2456" t="s">
        <v>1581</v>
      </c>
      <c r="B2456" t="s">
        <v>11292</v>
      </c>
      <c r="C2456" t="s">
        <v>11293</v>
      </c>
      <c r="D2456" t="s">
        <v>10</v>
      </c>
      <c r="E2456" t="s">
        <v>16</v>
      </c>
      <c r="F2456">
        <v>1</v>
      </c>
    </row>
    <row r="2457" spans="1:6" x14ac:dyDescent="0.2">
      <c r="A2457" t="s">
        <v>11383</v>
      </c>
      <c r="B2457" t="s">
        <v>11379</v>
      </c>
      <c r="C2457" t="s">
        <v>11382</v>
      </c>
      <c r="D2457" t="s">
        <v>10</v>
      </c>
      <c r="E2457" t="s">
        <v>16</v>
      </c>
      <c r="F2457">
        <v>1</v>
      </c>
    </row>
    <row r="2458" spans="1:6" x14ac:dyDescent="0.2">
      <c r="A2458" t="s">
        <v>11490</v>
      </c>
      <c r="B2458" t="s">
        <v>11546</v>
      </c>
      <c r="C2458" t="s">
        <v>8119</v>
      </c>
      <c r="D2458" t="s">
        <v>10</v>
      </c>
      <c r="E2458" t="s">
        <v>16</v>
      </c>
      <c r="F2458">
        <v>1</v>
      </c>
    </row>
    <row r="2459" spans="1:6" x14ac:dyDescent="0.2">
      <c r="A2459" t="s">
        <v>7452</v>
      </c>
      <c r="B2459" t="s">
        <v>7434</v>
      </c>
      <c r="C2459" t="s">
        <v>7451</v>
      </c>
      <c r="D2459" t="s">
        <v>10</v>
      </c>
      <c r="E2459" t="s">
        <v>16</v>
      </c>
      <c r="F2459">
        <v>1</v>
      </c>
    </row>
    <row r="2460" spans="1:6" x14ac:dyDescent="0.2">
      <c r="A2460" t="s">
        <v>11453</v>
      </c>
      <c r="B2460" t="s">
        <v>11452</v>
      </c>
      <c r="C2460" t="s">
        <v>8099</v>
      </c>
      <c r="D2460" t="s">
        <v>10</v>
      </c>
      <c r="E2460" t="s">
        <v>16</v>
      </c>
      <c r="F2460">
        <v>1</v>
      </c>
    </row>
    <row r="2461" spans="1:6" x14ac:dyDescent="0.2">
      <c r="A2461" t="s">
        <v>1196</v>
      </c>
      <c r="B2461" t="s">
        <v>5250</v>
      </c>
      <c r="C2461" t="s">
        <v>1195</v>
      </c>
      <c r="D2461" t="s">
        <v>56</v>
      </c>
      <c r="E2461" t="s">
        <v>52</v>
      </c>
      <c r="F2461">
        <v>2</v>
      </c>
    </row>
    <row r="2462" spans="1:6" x14ac:dyDescent="0.2">
      <c r="A2462" t="s">
        <v>2023</v>
      </c>
      <c r="B2462" t="s">
        <v>11393</v>
      </c>
      <c r="C2462" t="s">
        <v>2574</v>
      </c>
      <c r="D2462" t="s">
        <v>10</v>
      </c>
      <c r="E2462" t="s">
        <v>16</v>
      </c>
      <c r="F2462">
        <v>1</v>
      </c>
    </row>
    <row r="2463" spans="1:6" x14ac:dyDescent="0.2">
      <c r="A2463" t="s">
        <v>2019</v>
      </c>
      <c r="B2463" t="s">
        <v>11393</v>
      </c>
      <c r="C2463" t="s">
        <v>5782</v>
      </c>
      <c r="D2463" t="s">
        <v>10</v>
      </c>
      <c r="E2463" t="s">
        <v>16</v>
      </c>
      <c r="F2463">
        <v>1</v>
      </c>
    </row>
    <row r="2464" spans="1:6" x14ac:dyDescent="0.2">
      <c r="A2464" t="s">
        <v>8025</v>
      </c>
      <c r="B2464" t="s">
        <v>8023</v>
      </c>
      <c r="C2464" t="s">
        <v>8027</v>
      </c>
      <c r="D2464" t="s">
        <v>10</v>
      </c>
      <c r="E2464" t="s">
        <v>11</v>
      </c>
      <c r="F2464">
        <v>2</v>
      </c>
    </row>
    <row r="2465" spans="1:6" x14ac:dyDescent="0.2">
      <c r="A2465" t="s">
        <v>11402</v>
      </c>
      <c r="B2465" t="s">
        <v>11400</v>
      </c>
      <c r="C2465" t="s">
        <v>11404</v>
      </c>
      <c r="D2465" t="s">
        <v>10</v>
      </c>
      <c r="E2465" t="s">
        <v>16</v>
      </c>
      <c r="F2465">
        <v>1</v>
      </c>
    </row>
    <row r="2466" spans="1:6" x14ac:dyDescent="0.2">
      <c r="A2466" t="s">
        <v>11409</v>
      </c>
      <c r="B2466" t="s">
        <v>11400</v>
      </c>
      <c r="C2466" t="s">
        <v>11408</v>
      </c>
      <c r="D2466" t="s">
        <v>10</v>
      </c>
      <c r="E2466" t="s">
        <v>16</v>
      </c>
      <c r="F2466">
        <v>1</v>
      </c>
    </row>
    <row r="2467" spans="1:6" x14ac:dyDescent="0.2">
      <c r="A2467" t="s">
        <v>7513</v>
      </c>
      <c r="B2467" t="s">
        <v>9015</v>
      </c>
      <c r="C2467" t="s">
        <v>7512</v>
      </c>
      <c r="D2467" t="s">
        <v>10</v>
      </c>
      <c r="E2467" t="s">
        <v>52</v>
      </c>
      <c r="F2467">
        <v>1</v>
      </c>
    </row>
    <row r="2468" spans="1:6" x14ac:dyDescent="0.2">
      <c r="A2468" t="s">
        <v>11417</v>
      </c>
      <c r="B2468" t="s">
        <v>11415</v>
      </c>
      <c r="C2468" t="s">
        <v>11416</v>
      </c>
      <c r="D2468" t="s">
        <v>10</v>
      </c>
      <c r="E2468" t="s">
        <v>16</v>
      </c>
      <c r="F2468">
        <v>1</v>
      </c>
    </row>
    <row r="2469" spans="1:6" x14ac:dyDescent="0.2">
      <c r="A2469" t="s">
        <v>5534</v>
      </c>
      <c r="B2469" t="s">
        <v>5526</v>
      </c>
      <c r="C2469" t="s">
        <v>5533</v>
      </c>
      <c r="D2469" t="s">
        <v>10</v>
      </c>
      <c r="E2469" t="s">
        <v>16</v>
      </c>
      <c r="F2469">
        <v>1</v>
      </c>
    </row>
    <row r="2470" spans="1:6" x14ac:dyDescent="0.2">
      <c r="A2470" t="s">
        <v>8907</v>
      </c>
      <c r="B2470" t="s">
        <v>8905</v>
      </c>
      <c r="C2470" t="s">
        <v>8906</v>
      </c>
      <c r="D2470" t="s">
        <v>10</v>
      </c>
      <c r="E2470" t="s">
        <v>16</v>
      </c>
      <c r="F2470">
        <v>1</v>
      </c>
    </row>
    <row r="2471" spans="1:6" x14ac:dyDescent="0.2">
      <c r="A2471" t="s">
        <v>3261</v>
      </c>
      <c r="B2471" t="s">
        <v>3259</v>
      </c>
      <c r="C2471" t="s">
        <v>3260</v>
      </c>
      <c r="D2471" t="s">
        <v>10</v>
      </c>
      <c r="E2471" t="s">
        <v>16</v>
      </c>
      <c r="F2471">
        <v>2</v>
      </c>
    </row>
    <row r="2472" spans="1:6" x14ac:dyDescent="0.2">
      <c r="A2472" t="s">
        <v>4873</v>
      </c>
      <c r="B2472" t="s">
        <v>4871</v>
      </c>
      <c r="C2472" t="s">
        <v>4872</v>
      </c>
      <c r="D2472" t="s">
        <v>10</v>
      </c>
      <c r="E2472" t="s">
        <v>16</v>
      </c>
      <c r="F2472">
        <v>1</v>
      </c>
    </row>
    <row r="2473" spans="1:6" x14ac:dyDescent="0.2">
      <c r="A2473" t="s">
        <v>10763</v>
      </c>
      <c r="B2473" t="s">
        <v>10721</v>
      </c>
      <c r="C2473" t="s">
        <v>10762</v>
      </c>
      <c r="D2473" t="s">
        <v>10</v>
      </c>
      <c r="E2473" t="s">
        <v>16</v>
      </c>
      <c r="F2473">
        <v>1</v>
      </c>
    </row>
    <row r="2474" spans="1:6" x14ac:dyDescent="0.2">
      <c r="A2474" t="s">
        <v>8130</v>
      </c>
      <c r="B2474" t="s">
        <v>8128</v>
      </c>
      <c r="C2474" t="s">
        <v>8129</v>
      </c>
      <c r="D2474" t="s">
        <v>10</v>
      </c>
      <c r="E2474" t="s">
        <v>16</v>
      </c>
      <c r="F2474">
        <v>1</v>
      </c>
    </row>
    <row r="2475" spans="1:6" x14ac:dyDescent="0.2">
      <c r="A2475" t="s">
        <v>146</v>
      </c>
      <c r="B2475" t="s">
        <v>8899</v>
      </c>
      <c r="C2475" t="s">
        <v>145</v>
      </c>
      <c r="D2475" t="s">
        <v>10</v>
      </c>
      <c r="E2475" t="s">
        <v>11</v>
      </c>
      <c r="F2475">
        <v>2</v>
      </c>
    </row>
    <row r="2476" spans="1:6" x14ac:dyDescent="0.2">
      <c r="A2476" t="s">
        <v>763</v>
      </c>
      <c r="B2476" t="s">
        <v>761</v>
      </c>
      <c r="C2476" t="s">
        <v>762</v>
      </c>
      <c r="D2476" t="s">
        <v>10</v>
      </c>
      <c r="E2476" t="s">
        <v>16</v>
      </c>
      <c r="F2476">
        <v>1</v>
      </c>
    </row>
    <row r="2477" spans="1:6" x14ac:dyDescent="0.2">
      <c r="A2477" t="s">
        <v>3237</v>
      </c>
      <c r="B2477" t="s">
        <v>3235</v>
      </c>
      <c r="C2477" t="s">
        <v>3236</v>
      </c>
      <c r="D2477" t="s">
        <v>10</v>
      </c>
      <c r="E2477" t="s">
        <v>16</v>
      </c>
      <c r="F2477">
        <v>1</v>
      </c>
    </row>
    <row r="2478" spans="1:6" x14ac:dyDescent="0.2">
      <c r="A2478" t="s">
        <v>11381</v>
      </c>
      <c r="B2478" t="s">
        <v>11379</v>
      </c>
      <c r="C2478" t="s">
        <v>11380</v>
      </c>
      <c r="D2478" t="s">
        <v>10</v>
      </c>
      <c r="E2478" t="s">
        <v>16</v>
      </c>
      <c r="F2478">
        <v>1</v>
      </c>
    </row>
    <row r="2479" spans="1:6" x14ac:dyDescent="0.2">
      <c r="A2479" t="s">
        <v>5194</v>
      </c>
      <c r="B2479" t="s">
        <v>5191</v>
      </c>
      <c r="C2479" t="s">
        <v>5204</v>
      </c>
      <c r="D2479" t="s">
        <v>10</v>
      </c>
      <c r="E2479" t="s">
        <v>52</v>
      </c>
      <c r="F2479">
        <v>1</v>
      </c>
    </row>
    <row r="2480" spans="1:6" x14ac:dyDescent="0.2">
      <c r="A2480" t="s">
        <v>10317</v>
      </c>
      <c r="B2480" t="s">
        <v>10313</v>
      </c>
      <c r="C2480" t="s">
        <v>10316</v>
      </c>
      <c r="D2480" t="s">
        <v>10</v>
      </c>
      <c r="E2480" t="s">
        <v>16</v>
      </c>
      <c r="F2480">
        <v>2</v>
      </c>
    </row>
    <row r="2481" spans="1:6" x14ac:dyDescent="0.2">
      <c r="A2481" t="s">
        <v>11450</v>
      </c>
      <c r="B2481" t="s">
        <v>11448</v>
      </c>
      <c r="C2481" t="s">
        <v>11449</v>
      </c>
      <c r="D2481" t="s">
        <v>29</v>
      </c>
      <c r="E2481" t="s">
        <v>16</v>
      </c>
      <c r="F2481">
        <v>1</v>
      </c>
    </row>
    <row r="2482" spans="1:6" x14ac:dyDescent="0.2">
      <c r="A2482" t="s">
        <v>5490</v>
      </c>
      <c r="B2482" t="s">
        <v>5486</v>
      </c>
      <c r="C2482" t="s">
        <v>5489</v>
      </c>
      <c r="D2482" t="s">
        <v>10</v>
      </c>
      <c r="E2482" t="s">
        <v>16</v>
      </c>
      <c r="F2482">
        <v>1</v>
      </c>
    </row>
    <row r="2483" spans="1:6" x14ac:dyDescent="0.2">
      <c r="A2483" t="s">
        <v>5488</v>
      </c>
      <c r="B2483" t="s">
        <v>5486</v>
      </c>
      <c r="C2483" t="s">
        <v>5491</v>
      </c>
      <c r="D2483" t="s">
        <v>10</v>
      </c>
      <c r="E2483" t="s">
        <v>16</v>
      </c>
      <c r="F2483">
        <v>1</v>
      </c>
    </row>
    <row r="2484" spans="1:6" x14ac:dyDescent="0.2">
      <c r="A2484" t="s">
        <v>20</v>
      </c>
      <c r="B2484" t="s">
        <v>13</v>
      </c>
      <c r="C2484" t="s">
        <v>19</v>
      </c>
      <c r="D2484" t="s">
        <v>10</v>
      </c>
      <c r="E2484" t="s">
        <v>16</v>
      </c>
      <c r="F2484">
        <v>1</v>
      </c>
    </row>
    <row r="2485" spans="1:6" x14ac:dyDescent="0.2">
      <c r="A2485" t="s">
        <v>6062</v>
      </c>
      <c r="B2485" t="s">
        <v>6060</v>
      </c>
      <c r="C2485" t="s">
        <v>6061</v>
      </c>
      <c r="D2485" t="s">
        <v>10</v>
      </c>
      <c r="E2485" t="s">
        <v>16</v>
      </c>
      <c r="F2485">
        <v>1</v>
      </c>
    </row>
    <row r="2486" spans="1:6" x14ac:dyDescent="0.2">
      <c r="A2486" t="s">
        <v>3369</v>
      </c>
      <c r="B2486" t="s">
        <v>3365</v>
      </c>
      <c r="C2486" t="s">
        <v>3368</v>
      </c>
      <c r="D2486" t="s">
        <v>10</v>
      </c>
      <c r="E2486" t="s">
        <v>16</v>
      </c>
      <c r="F2486">
        <v>1</v>
      </c>
    </row>
    <row r="2487" spans="1:6" x14ac:dyDescent="0.2">
      <c r="A2487" t="s">
        <v>9360</v>
      </c>
      <c r="B2487" t="s">
        <v>9358</v>
      </c>
      <c r="C2487" t="s">
        <v>9359</v>
      </c>
      <c r="D2487" t="s">
        <v>10</v>
      </c>
      <c r="E2487" t="s">
        <v>16</v>
      </c>
      <c r="F2487">
        <v>1</v>
      </c>
    </row>
    <row r="2488" spans="1:6" x14ac:dyDescent="0.2">
      <c r="A2488" t="s">
        <v>11399</v>
      </c>
      <c r="B2488" t="s">
        <v>11395</v>
      </c>
      <c r="C2488" t="s">
        <v>11398</v>
      </c>
      <c r="D2488" t="s">
        <v>10</v>
      </c>
      <c r="E2488" t="s">
        <v>16</v>
      </c>
      <c r="F2488">
        <v>1</v>
      </c>
    </row>
    <row r="2489" spans="1:6" x14ac:dyDescent="0.2">
      <c r="A2489" t="s">
        <v>11266</v>
      </c>
      <c r="B2489" t="s">
        <v>11265</v>
      </c>
      <c r="C2489" t="s">
        <v>8240</v>
      </c>
      <c r="D2489" t="s">
        <v>10</v>
      </c>
      <c r="E2489" t="s">
        <v>16</v>
      </c>
      <c r="F2489">
        <v>1</v>
      </c>
    </row>
    <row r="2490" spans="1:6" x14ac:dyDescent="0.2">
      <c r="A2490" t="s">
        <v>5706</v>
      </c>
      <c r="B2490" t="s">
        <v>5704</v>
      </c>
      <c r="C2490" t="s">
        <v>5708</v>
      </c>
      <c r="D2490" t="s">
        <v>10</v>
      </c>
      <c r="E2490" t="s">
        <v>16</v>
      </c>
      <c r="F2490">
        <v>3</v>
      </c>
    </row>
    <row r="2491" spans="1:6" x14ac:dyDescent="0.2">
      <c r="A2491" t="s">
        <v>1607</v>
      </c>
      <c r="B2491" t="s">
        <v>3130</v>
      </c>
      <c r="C2491" t="s">
        <v>1606</v>
      </c>
      <c r="D2491" t="s">
        <v>10</v>
      </c>
      <c r="E2491" t="s">
        <v>16</v>
      </c>
      <c r="F2491">
        <v>3</v>
      </c>
    </row>
    <row r="2492" spans="1:6" x14ac:dyDescent="0.2">
      <c r="A2492" t="s">
        <v>11002</v>
      </c>
      <c r="B2492" t="s">
        <v>10998</v>
      </c>
      <c r="C2492" t="s">
        <v>11001</v>
      </c>
      <c r="D2492" t="s">
        <v>10</v>
      </c>
      <c r="E2492" t="s">
        <v>16</v>
      </c>
      <c r="F2492">
        <v>3</v>
      </c>
    </row>
    <row r="2493" spans="1:6" x14ac:dyDescent="0.2">
      <c r="A2493" t="s">
        <v>8889</v>
      </c>
      <c r="B2493" t="s">
        <v>8887</v>
      </c>
      <c r="C2493" t="s">
        <v>8888</v>
      </c>
      <c r="D2493" t="s">
        <v>10</v>
      </c>
      <c r="E2493" t="s">
        <v>16</v>
      </c>
      <c r="F2493">
        <v>2</v>
      </c>
    </row>
    <row r="2494" spans="1:6" x14ac:dyDescent="0.2">
      <c r="A2494" t="s">
        <v>9493</v>
      </c>
      <c r="B2494" t="s">
        <v>9476</v>
      </c>
      <c r="C2494" t="s">
        <v>9514</v>
      </c>
      <c r="D2494" t="s">
        <v>10</v>
      </c>
      <c r="E2494" t="s">
        <v>11</v>
      </c>
      <c r="F2494">
        <v>1</v>
      </c>
    </row>
    <row r="2495" spans="1:6" x14ac:dyDescent="0.2">
      <c r="A2495" t="s">
        <v>11341</v>
      </c>
      <c r="B2495" t="s">
        <v>11339</v>
      </c>
      <c r="C2495" t="s">
        <v>11340</v>
      </c>
      <c r="D2495" t="s">
        <v>10</v>
      </c>
      <c r="E2495" t="s">
        <v>16</v>
      </c>
      <c r="F2495">
        <v>1</v>
      </c>
    </row>
    <row r="2496" spans="1:6" x14ac:dyDescent="0.2">
      <c r="A2496" t="s">
        <v>7079</v>
      </c>
      <c r="B2496" t="s">
        <v>7077</v>
      </c>
      <c r="C2496" t="s">
        <v>7078</v>
      </c>
      <c r="D2496" t="s">
        <v>10</v>
      </c>
      <c r="E2496" t="s">
        <v>11</v>
      </c>
      <c r="F2496">
        <v>1</v>
      </c>
    </row>
    <row r="2497" spans="1:6" x14ac:dyDescent="0.2">
      <c r="A2497" t="s">
        <v>9485</v>
      </c>
      <c r="B2497" t="s">
        <v>9476</v>
      </c>
      <c r="C2497" t="s">
        <v>9513</v>
      </c>
      <c r="D2497" t="s">
        <v>10</v>
      </c>
      <c r="E2497" t="s">
        <v>16</v>
      </c>
      <c r="F2497">
        <v>1</v>
      </c>
    </row>
    <row r="2498" spans="1:6" x14ac:dyDescent="0.2">
      <c r="A2498" t="s">
        <v>11385</v>
      </c>
      <c r="B2498" t="s">
        <v>11379</v>
      </c>
      <c r="C2498" t="s">
        <v>11384</v>
      </c>
      <c r="D2498" t="s">
        <v>10</v>
      </c>
      <c r="E2498" t="s">
        <v>16</v>
      </c>
      <c r="F2498">
        <v>1</v>
      </c>
    </row>
    <row r="2499" spans="1:6" x14ac:dyDescent="0.2">
      <c r="A2499" t="s">
        <v>11332</v>
      </c>
      <c r="B2499" t="s">
        <v>11330</v>
      </c>
      <c r="C2499" t="s">
        <v>11331</v>
      </c>
      <c r="D2499" t="s">
        <v>10</v>
      </c>
      <c r="E2499" t="s">
        <v>16</v>
      </c>
      <c r="F2499">
        <v>1</v>
      </c>
    </row>
    <row r="2500" spans="1:6" x14ac:dyDescent="0.2">
      <c r="A2500" t="s">
        <v>1025</v>
      </c>
      <c r="B2500" t="s">
        <v>5482</v>
      </c>
      <c r="C2500" t="s">
        <v>1024</v>
      </c>
      <c r="D2500" t="s">
        <v>64</v>
      </c>
      <c r="E2500" t="s">
        <v>16</v>
      </c>
      <c r="F2500">
        <v>1</v>
      </c>
    </row>
    <row r="2501" spans="1:6" x14ac:dyDescent="0.2">
      <c r="A2501" t="s">
        <v>6689</v>
      </c>
      <c r="B2501" t="s">
        <v>6687</v>
      </c>
      <c r="C2501" t="s">
        <v>6688</v>
      </c>
      <c r="D2501" t="s">
        <v>10</v>
      </c>
      <c r="E2501" t="s">
        <v>16</v>
      </c>
      <c r="F2501">
        <v>1</v>
      </c>
    </row>
    <row r="2502" spans="1:6" x14ac:dyDescent="0.2">
      <c r="A2502" t="s">
        <v>8921</v>
      </c>
      <c r="B2502" t="s">
        <v>8919</v>
      </c>
      <c r="C2502" t="s">
        <v>8920</v>
      </c>
      <c r="D2502" t="s">
        <v>10</v>
      </c>
      <c r="E2502" t="s">
        <v>16</v>
      </c>
      <c r="F2502">
        <v>1</v>
      </c>
    </row>
    <row r="2503" spans="1:6" x14ac:dyDescent="0.2">
      <c r="A2503" t="s">
        <v>11456</v>
      </c>
      <c r="B2503" t="s">
        <v>11454</v>
      </c>
      <c r="C2503" t="s">
        <v>11455</v>
      </c>
      <c r="D2503" t="s">
        <v>10</v>
      </c>
      <c r="E2503" t="s">
        <v>11</v>
      </c>
      <c r="F2503">
        <v>2</v>
      </c>
    </row>
    <row r="2504" spans="1:6" x14ac:dyDescent="0.2">
      <c r="A2504" t="s">
        <v>11460</v>
      </c>
      <c r="B2504" t="s">
        <v>11454</v>
      </c>
      <c r="C2504" t="s">
        <v>11459</v>
      </c>
      <c r="D2504" t="s">
        <v>10</v>
      </c>
      <c r="E2504" t="s">
        <v>11</v>
      </c>
      <c r="F2504">
        <v>2</v>
      </c>
    </row>
    <row r="2505" spans="1:6" x14ac:dyDescent="0.2">
      <c r="A2505" t="s">
        <v>11458</v>
      </c>
      <c r="B2505" t="s">
        <v>11454</v>
      </c>
      <c r="C2505" t="s">
        <v>11463</v>
      </c>
      <c r="D2505" t="s">
        <v>10</v>
      </c>
      <c r="E2505" t="s">
        <v>52</v>
      </c>
      <c r="F2505">
        <v>4</v>
      </c>
    </row>
    <row r="2506" spans="1:6" x14ac:dyDescent="0.2">
      <c r="A2506" t="s">
        <v>1665</v>
      </c>
      <c r="B2506" t="s">
        <v>5035</v>
      </c>
      <c r="C2506" t="s">
        <v>1664</v>
      </c>
      <c r="D2506" t="s">
        <v>10</v>
      </c>
      <c r="E2506" t="s">
        <v>52</v>
      </c>
      <c r="F2506">
        <v>1</v>
      </c>
    </row>
    <row r="2507" spans="1:6" x14ac:dyDescent="0.2">
      <c r="A2507" t="s">
        <v>9366</v>
      </c>
      <c r="B2507" t="s">
        <v>9358</v>
      </c>
      <c r="C2507" t="s">
        <v>9365</v>
      </c>
      <c r="D2507" t="s">
        <v>10</v>
      </c>
      <c r="E2507" t="s">
        <v>16</v>
      </c>
      <c r="F2507">
        <v>1</v>
      </c>
    </row>
    <row r="2508" spans="1:6" x14ac:dyDescent="0.2">
      <c r="A2508" t="s">
        <v>2045</v>
      </c>
      <c r="B2508" t="s">
        <v>2038</v>
      </c>
      <c r="C2508" t="s">
        <v>2044</v>
      </c>
      <c r="D2508" t="s">
        <v>10</v>
      </c>
      <c r="E2508" t="s">
        <v>16</v>
      </c>
      <c r="F2508">
        <v>1</v>
      </c>
    </row>
    <row r="2509" spans="1:6" x14ac:dyDescent="0.2">
      <c r="A2509" t="s">
        <v>2045</v>
      </c>
      <c r="B2509" t="s">
        <v>2038</v>
      </c>
      <c r="C2509" t="s">
        <v>2057</v>
      </c>
      <c r="D2509" t="s">
        <v>10</v>
      </c>
      <c r="E2509" t="s">
        <v>16</v>
      </c>
      <c r="F2509">
        <v>1</v>
      </c>
    </row>
    <row r="2510" spans="1:6" x14ac:dyDescent="0.2">
      <c r="A2510" t="s">
        <v>11438</v>
      </c>
      <c r="B2510" t="s">
        <v>11437</v>
      </c>
      <c r="C2510" t="s">
        <v>12117</v>
      </c>
      <c r="D2510" t="s">
        <v>10</v>
      </c>
      <c r="E2510" t="s">
        <v>16</v>
      </c>
      <c r="F2510">
        <v>1</v>
      </c>
    </row>
    <row r="2511" spans="1:6" x14ac:dyDescent="0.2">
      <c r="A2511" t="s">
        <v>2411</v>
      </c>
      <c r="B2511" t="s">
        <v>11437</v>
      </c>
      <c r="C2511" t="s">
        <v>12102</v>
      </c>
      <c r="D2511" t="s">
        <v>10</v>
      </c>
      <c r="E2511" t="s">
        <v>16</v>
      </c>
      <c r="F2511">
        <v>1</v>
      </c>
    </row>
    <row r="2512" spans="1:6" x14ac:dyDescent="0.2">
      <c r="A2512" t="s">
        <v>11310</v>
      </c>
      <c r="B2512" t="s">
        <v>11294</v>
      </c>
      <c r="C2512" t="s">
        <v>11309</v>
      </c>
      <c r="D2512" t="s">
        <v>10</v>
      </c>
      <c r="E2512" t="s">
        <v>16</v>
      </c>
      <c r="F2512">
        <v>1</v>
      </c>
    </row>
    <row r="2513" spans="1:6" x14ac:dyDescent="0.2">
      <c r="A2513" t="s">
        <v>4918</v>
      </c>
      <c r="B2513" t="s">
        <v>4903</v>
      </c>
      <c r="C2513" t="s">
        <v>4917</v>
      </c>
      <c r="D2513" t="s">
        <v>10</v>
      </c>
      <c r="E2513" t="s">
        <v>16</v>
      </c>
      <c r="F2513">
        <v>2</v>
      </c>
    </row>
    <row r="2514" spans="1:6" x14ac:dyDescent="0.2">
      <c r="A2514" t="s">
        <v>11392</v>
      </c>
      <c r="B2514" t="s">
        <v>11391</v>
      </c>
      <c r="C2514" t="s">
        <v>6959</v>
      </c>
      <c r="D2514" t="s">
        <v>10</v>
      </c>
      <c r="E2514" t="s">
        <v>16</v>
      </c>
      <c r="F2514">
        <v>1</v>
      </c>
    </row>
    <row r="2515" spans="1:6" x14ac:dyDescent="0.2">
      <c r="A2515" t="s">
        <v>10611</v>
      </c>
      <c r="B2515" t="s">
        <v>10609</v>
      </c>
      <c r="C2515" t="s">
        <v>10610</v>
      </c>
      <c r="D2515" t="s">
        <v>10</v>
      </c>
      <c r="E2515" t="s">
        <v>16</v>
      </c>
      <c r="F2515">
        <v>1</v>
      </c>
    </row>
    <row r="2516" spans="1:6" x14ac:dyDescent="0.2">
      <c r="A2516" t="s">
        <v>6946</v>
      </c>
      <c r="B2516" t="s">
        <v>6944</v>
      </c>
      <c r="C2516" t="s">
        <v>6945</v>
      </c>
      <c r="D2516" t="s">
        <v>10</v>
      </c>
      <c r="E2516" t="s">
        <v>11</v>
      </c>
      <c r="F2516">
        <v>1</v>
      </c>
    </row>
    <row r="2517" spans="1:6" x14ac:dyDescent="0.2">
      <c r="A2517" t="s">
        <v>9035</v>
      </c>
      <c r="B2517" t="s">
        <v>9033</v>
      </c>
      <c r="C2517" t="s">
        <v>9034</v>
      </c>
      <c r="D2517" t="s">
        <v>10</v>
      </c>
      <c r="E2517" t="s">
        <v>16</v>
      </c>
      <c r="F2517">
        <v>1</v>
      </c>
    </row>
    <row r="2518" spans="1:6" x14ac:dyDescent="0.2">
      <c r="A2518" t="s">
        <v>6079</v>
      </c>
      <c r="B2518" t="s">
        <v>6073</v>
      </c>
      <c r="C2518" t="s">
        <v>6143</v>
      </c>
      <c r="D2518" t="s">
        <v>29</v>
      </c>
      <c r="E2518" t="s">
        <v>16</v>
      </c>
      <c r="F2518">
        <v>2</v>
      </c>
    </row>
    <row r="2519" spans="1:6" x14ac:dyDescent="0.2">
      <c r="A2519" t="s">
        <v>7641</v>
      </c>
      <c r="B2519" t="s">
        <v>7597</v>
      </c>
      <c r="C2519" t="s">
        <v>7739</v>
      </c>
      <c r="D2519" t="s">
        <v>10</v>
      </c>
      <c r="E2519" t="s">
        <v>11</v>
      </c>
      <c r="F2519">
        <v>1</v>
      </c>
    </row>
    <row r="2520" spans="1:6" x14ac:dyDescent="0.2">
      <c r="A2520" t="s">
        <v>2229</v>
      </c>
      <c r="B2520" t="s">
        <v>2181</v>
      </c>
      <c r="C2520" t="s">
        <v>2347</v>
      </c>
      <c r="D2520" t="s">
        <v>10</v>
      </c>
      <c r="E2520" t="s">
        <v>52</v>
      </c>
      <c r="F2520">
        <v>2</v>
      </c>
    </row>
    <row r="2521" spans="1:6" x14ac:dyDescent="0.2">
      <c r="A2521" t="s">
        <v>2229</v>
      </c>
      <c r="B2521" t="s">
        <v>2181</v>
      </c>
      <c r="C2521" t="s">
        <v>2349</v>
      </c>
      <c r="D2521" t="s">
        <v>10</v>
      </c>
      <c r="E2521" t="s">
        <v>52</v>
      </c>
      <c r="F2521">
        <v>2</v>
      </c>
    </row>
    <row r="2522" spans="1:6" x14ac:dyDescent="0.2">
      <c r="A2522" t="s">
        <v>2229</v>
      </c>
      <c r="B2522" t="s">
        <v>2181</v>
      </c>
      <c r="C2522" t="s">
        <v>2353</v>
      </c>
      <c r="D2522" t="s">
        <v>10</v>
      </c>
      <c r="E2522" t="s">
        <v>52</v>
      </c>
      <c r="F2522">
        <v>2</v>
      </c>
    </row>
    <row r="2523" spans="1:6" x14ac:dyDescent="0.2">
      <c r="A2523" t="s">
        <v>2256</v>
      </c>
      <c r="B2523" t="s">
        <v>2181</v>
      </c>
      <c r="C2523" t="s">
        <v>2305</v>
      </c>
      <c r="D2523" t="s">
        <v>10</v>
      </c>
      <c r="E2523" t="s">
        <v>16</v>
      </c>
      <c r="F2523">
        <v>1</v>
      </c>
    </row>
    <row r="2524" spans="1:6" x14ac:dyDescent="0.2">
      <c r="A2524" t="s">
        <v>1859</v>
      </c>
      <c r="B2524" t="s">
        <v>1857</v>
      </c>
      <c r="C2524" t="s">
        <v>1858</v>
      </c>
      <c r="D2524" t="s">
        <v>10</v>
      </c>
      <c r="E2524" t="s">
        <v>16</v>
      </c>
      <c r="F2524">
        <v>1</v>
      </c>
    </row>
    <row r="2525" spans="1:6" x14ac:dyDescent="0.2">
      <c r="A2525" t="s">
        <v>1318</v>
      </c>
      <c r="B2525" t="s">
        <v>11531</v>
      </c>
      <c r="C2525" t="s">
        <v>4707</v>
      </c>
      <c r="D2525" t="s">
        <v>10</v>
      </c>
      <c r="E2525" t="s">
        <v>16</v>
      </c>
      <c r="F2525">
        <v>1</v>
      </c>
    </row>
    <row r="2526" spans="1:6" x14ac:dyDescent="0.2">
      <c r="A2526" t="s">
        <v>4710</v>
      </c>
      <c r="B2526" t="s">
        <v>11531</v>
      </c>
      <c r="C2526" t="s">
        <v>4709</v>
      </c>
      <c r="D2526" t="s">
        <v>10</v>
      </c>
      <c r="E2526" t="s">
        <v>16</v>
      </c>
      <c r="F2526">
        <v>1</v>
      </c>
    </row>
    <row r="2527" spans="1:6" x14ac:dyDescent="0.2">
      <c r="A2527" t="s">
        <v>11503</v>
      </c>
      <c r="B2527" t="s">
        <v>11501</v>
      </c>
      <c r="C2527" t="s">
        <v>11502</v>
      </c>
      <c r="D2527" t="s">
        <v>64</v>
      </c>
      <c r="E2527" t="s">
        <v>16</v>
      </c>
      <c r="F2527">
        <v>1</v>
      </c>
    </row>
    <row r="2528" spans="1:6" x14ac:dyDescent="0.2">
      <c r="A2528" t="s">
        <v>794</v>
      </c>
      <c r="B2528" t="s">
        <v>2412</v>
      </c>
      <c r="C2528" t="s">
        <v>2506</v>
      </c>
      <c r="D2528" t="s">
        <v>56</v>
      </c>
      <c r="E2528" t="s">
        <v>52</v>
      </c>
      <c r="F2528">
        <v>1</v>
      </c>
    </row>
    <row r="2529" spans="1:6" x14ac:dyDescent="0.2">
      <c r="A2529" t="s">
        <v>5423</v>
      </c>
      <c r="B2529" t="s">
        <v>6522</v>
      </c>
      <c r="C2529" t="s">
        <v>6525</v>
      </c>
      <c r="D2529" t="s">
        <v>56</v>
      </c>
      <c r="E2529" t="s">
        <v>16</v>
      </c>
      <c r="F2529">
        <v>1</v>
      </c>
    </row>
    <row r="2530" spans="1:6" x14ac:dyDescent="0.2">
      <c r="A2530" t="s">
        <v>2518</v>
      </c>
      <c r="B2530" t="s">
        <v>2412</v>
      </c>
      <c r="C2530" t="s">
        <v>2517</v>
      </c>
      <c r="D2530" t="s">
        <v>56</v>
      </c>
      <c r="E2530" t="s">
        <v>52</v>
      </c>
      <c r="F2530">
        <v>2</v>
      </c>
    </row>
    <row r="2531" spans="1:6" x14ac:dyDescent="0.2">
      <c r="A2531" t="s">
        <v>11062</v>
      </c>
      <c r="B2531" t="s">
        <v>11507</v>
      </c>
      <c r="C2531" t="s">
        <v>11508</v>
      </c>
      <c r="D2531" t="s">
        <v>10</v>
      </c>
      <c r="E2531" t="s">
        <v>16</v>
      </c>
      <c r="F2531">
        <v>1</v>
      </c>
    </row>
    <row r="2532" spans="1:6" x14ac:dyDescent="0.2">
      <c r="A2532" t="s">
        <v>11065</v>
      </c>
      <c r="B2532" t="s">
        <v>11507</v>
      </c>
      <c r="C2532" t="s">
        <v>12118</v>
      </c>
      <c r="D2532" t="s">
        <v>10</v>
      </c>
      <c r="E2532" t="s">
        <v>16</v>
      </c>
      <c r="F2532">
        <v>1</v>
      </c>
    </row>
    <row r="2533" spans="1:6" x14ac:dyDescent="0.2">
      <c r="A2533" t="s">
        <v>575</v>
      </c>
      <c r="B2533" t="s">
        <v>574</v>
      </c>
      <c r="C2533" t="s">
        <v>576</v>
      </c>
      <c r="D2533" t="s">
        <v>10</v>
      </c>
      <c r="E2533" t="s">
        <v>16</v>
      </c>
      <c r="F2533">
        <v>1</v>
      </c>
    </row>
    <row r="2534" spans="1:6" x14ac:dyDescent="0.2">
      <c r="A2534" t="s">
        <v>15</v>
      </c>
      <c r="B2534" t="s">
        <v>13</v>
      </c>
      <c r="C2534" t="s">
        <v>14</v>
      </c>
      <c r="D2534" t="s">
        <v>10</v>
      </c>
      <c r="E2534" t="s">
        <v>16</v>
      </c>
      <c r="F2534">
        <v>1</v>
      </c>
    </row>
    <row r="2535" spans="1:6" x14ac:dyDescent="0.2">
      <c r="A2535" t="s">
        <v>11506</v>
      </c>
      <c r="B2535" t="s">
        <v>11505</v>
      </c>
      <c r="C2535" t="s">
        <v>652</v>
      </c>
      <c r="D2535" t="s">
        <v>10</v>
      </c>
      <c r="E2535" t="s">
        <v>16</v>
      </c>
      <c r="F2535">
        <v>1</v>
      </c>
    </row>
    <row r="2536" spans="1:6" x14ac:dyDescent="0.2">
      <c r="A2536" t="s">
        <v>1573</v>
      </c>
      <c r="B2536" t="s">
        <v>1571</v>
      </c>
      <c r="C2536" t="s">
        <v>1572</v>
      </c>
      <c r="D2536" t="s">
        <v>56</v>
      </c>
      <c r="E2536" t="s">
        <v>16</v>
      </c>
      <c r="F2536">
        <v>1</v>
      </c>
    </row>
    <row r="2537" spans="1:6" x14ac:dyDescent="0.2">
      <c r="A2537" t="s">
        <v>1023</v>
      </c>
      <c r="B2537" t="s">
        <v>11512</v>
      </c>
      <c r="C2537" t="s">
        <v>12119</v>
      </c>
      <c r="D2537" t="s">
        <v>64</v>
      </c>
      <c r="E2537" t="s">
        <v>16</v>
      </c>
      <c r="F2537">
        <v>1</v>
      </c>
    </row>
    <row r="2538" spans="1:6" x14ac:dyDescent="0.2">
      <c r="A2538" t="s">
        <v>8575</v>
      </c>
      <c r="B2538" t="s">
        <v>8563</v>
      </c>
      <c r="C2538" t="s">
        <v>8574</v>
      </c>
      <c r="D2538" t="s">
        <v>10</v>
      </c>
      <c r="E2538" t="s">
        <v>16</v>
      </c>
      <c r="F2538">
        <v>1</v>
      </c>
    </row>
    <row r="2539" spans="1:6" x14ac:dyDescent="0.2">
      <c r="A2539" t="s">
        <v>6773</v>
      </c>
      <c r="B2539" t="s">
        <v>6769</v>
      </c>
      <c r="C2539" t="s">
        <v>6772</v>
      </c>
      <c r="D2539" t="s">
        <v>10</v>
      </c>
      <c r="E2539" t="s">
        <v>16</v>
      </c>
      <c r="F2539">
        <v>1</v>
      </c>
    </row>
    <row r="2540" spans="1:6" x14ac:dyDescent="0.2">
      <c r="A2540" t="s">
        <v>10417</v>
      </c>
      <c r="B2540" t="s">
        <v>10415</v>
      </c>
      <c r="C2540" t="s">
        <v>10416</v>
      </c>
      <c r="D2540" t="s">
        <v>29</v>
      </c>
      <c r="E2540" t="s">
        <v>52</v>
      </c>
      <c r="F2540">
        <v>4</v>
      </c>
    </row>
    <row r="2541" spans="1:6" x14ac:dyDescent="0.2">
      <c r="A2541" t="s">
        <v>11537</v>
      </c>
      <c r="B2541" t="s">
        <v>11536</v>
      </c>
      <c r="C2541" t="s">
        <v>12083</v>
      </c>
      <c r="D2541" t="s">
        <v>10</v>
      </c>
      <c r="E2541" t="s">
        <v>16</v>
      </c>
      <c r="F2541">
        <v>1</v>
      </c>
    </row>
    <row r="2542" spans="1:6" x14ac:dyDescent="0.2">
      <c r="A2542" t="s">
        <v>11539</v>
      </c>
      <c r="B2542" t="s">
        <v>11536</v>
      </c>
      <c r="C2542" t="s">
        <v>11538</v>
      </c>
      <c r="D2542" t="s">
        <v>10</v>
      </c>
      <c r="E2542" t="s">
        <v>16</v>
      </c>
      <c r="F2542">
        <v>1</v>
      </c>
    </row>
    <row r="2543" spans="1:6" x14ac:dyDescent="0.2">
      <c r="A2543" t="s">
        <v>11540</v>
      </c>
      <c r="B2543" t="s">
        <v>11536</v>
      </c>
      <c r="C2543" t="s">
        <v>12120</v>
      </c>
      <c r="D2543" t="s">
        <v>10</v>
      </c>
      <c r="E2543" t="s">
        <v>16</v>
      </c>
      <c r="F2543">
        <v>1</v>
      </c>
    </row>
    <row r="2544" spans="1:6" x14ac:dyDescent="0.2">
      <c r="A2544" t="s">
        <v>10097</v>
      </c>
      <c r="B2544" t="s">
        <v>11536</v>
      </c>
      <c r="C2544" t="s">
        <v>12100</v>
      </c>
      <c r="D2544" t="s">
        <v>10</v>
      </c>
      <c r="E2544" t="s">
        <v>16</v>
      </c>
      <c r="F2544">
        <v>1</v>
      </c>
    </row>
    <row r="2545" spans="1:6" x14ac:dyDescent="0.2">
      <c r="A2545" t="s">
        <v>11493</v>
      </c>
      <c r="B2545" t="s">
        <v>11491</v>
      </c>
      <c r="C2545" t="s">
        <v>11494</v>
      </c>
      <c r="D2545" t="s">
        <v>10</v>
      </c>
      <c r="E2545" t="s">
        <v>16</v>
      </c>
      <c r="F2545">
        <v>1</v>
      </c>
    </row>
    <row r="2546" spans="1:6" x14ac:dyDescent="0.2">
      <c r="A2546" t="s">
        <v>6081</v>
      </c>
      <c r="B2546" t="s">
        <v>6073</v>
      </c>
      <c r="C2546" t="s">
        <v>6149</v>
      </c>
      <c r="D2546" t="s">
        <v>10</v>
      </c>
      <c r="E2546" t="s">
        <v>52</v>
      </c>
      <c r="F2546">
        <v>2</v>
      </c>
    </row>
    <row r="2547" spans="1:6" x14ac:dyDescent="0.2">
      <c r="A2547" t="s">
        <v>8671</v>
      </c>
      <c r="B2547" t="s">
        <v>8713</v>
      </c>
      <c r="C2547" t="s">
        <v>8695</v>
      </c>
      <c r="D2547" t="s">
        <v>10</v>
      </c>
      <c r="E2547" t="s">
        <v>52</v>
      </c>
      <c r="F2547">
        <v>2</v>
      </c>
    </row>
    <row r="2548" spans="1:6" x14ac:dyDescent="0.2">
      <c r="A2548" t="s">
        <v>2540</v>
      </c>
      <c r="B2548" t="s">
        <v>2538</v>
      </c>
      <c r="C2548" t="s">
        <v>2544</v>
      </c>
      <c r="D2548" t="s">
        <v>873</v>
      </c>
      <c r="E2548" t="s">
        <v>52</v>
      </c>
      <c r="F2548">
        <v>2</v>
      </c>
    </row>
    <row r="2549" spans="1:6" x14ac:dyDescent="0.2">
      <c r="A2549" t="s">
        <v>8456</v>
      </c>
      <c r="B2549" t="s">
        <v>8446</v>
      </c>
      <c r="C2549" t="s">
        <v>8455</v>
      </c>
      <c r="D2549" t="s">
        <v>10</v>
      </c>
      <c r="E2549" t="s">
        <v>16</v>
      </c>
      <c r="F2549">
        <v>1</v>
      </c>
    </row>
    <row r="2550" spans="1:6" x14ac:dyDescent="0.2">
      <c r="A2550" t="s">
        <v>8452</v>
      </c>
      <c r="B2550" t="s">
        <v>8446</v>
      </c>
      <c r="C2550" t="s">
        <v>8451</v>
      </c>
      <c r="D2550" t="s">
        <v>10</v>
      </c>
      <c r="E2550" t="s">
        <v>16</v>
      </c>
      <c r="F2550">
        <v>1</v>
      </c>
    </row>
    <row r="2551" spans="1:6" x14ac:dyDescent="0.2">
      <c r="A2551" t="s">
        <v>2534</v>
      </c>
      <c r="B2551" t="s">
        <v>2412</v>
      </c>
      <c r="C2551" t="s">
        <v>2533</v>
      </c>
      <c r="D2551" t="s">
        <v>873</v>
      </c>
      <c r="E2551" t="s">
        <v>52</v>
      </c>
      <c r="F2551">
        <v>2</v>
      </c>
    </row>
    <row r="2552" spans="1:6" x14ac:dyDescent="0.2">
      <c r="A2552" t="s">
        <v>8448</v>
      </c>
      <c r="B2552" t="s">
        <v>8446</v>
      </c>
      <c r="C2552" t="s">
        <v>8447</v>
      </c>
      <c r="D2552" t="s">
        <v>10</v>
      </c>
      <c r="E2552" t="s">
        <v>16</v>
      </c>
      <c r="F2552">
        <v>1</v>
      </c>
    </row>
    <row r="2553" spans="1:6" x14ac:dyDescent="0.2">
      <c r="A2553" t="s">
        <v>8450</v>
      </c>
      <c r="B2553" t="s">
        <v>8446</v>
      </c>
      <c r="C2553" t="s">
        <v>8449</v>
      </c>
      <c r="D2553" t="s">
        <v>10</v>
      </c>
      <c r="E2553" t="s">
        <v>16</v>
      </c>
      <c r="F2553">
        <v>1</v>
      </c>
    </row>
    <row r="2554" spans="1:6" x14ac:dyDescent="0.2">
      <c r="A2554" t="s">
        <v>8454</v>
      </c>
      <c r="B2554" t="s">
        <v>8446</v>
      </c>
      <c r="C2554" t="s">
        <v>8453</v>
      </c>
      <c r="D2554" t="s">
        <v>10</v>
      </c>
      <c r="E2554" t="s">
        <v>52</v>
      </c>
      <c r="F2554">
        <v>1</v>
      </c>
    </row>
    <row r="2555" spans="1:6" x14ac:dyDescent="0.2">
      <c r="A2555" t="s">
        <v>9791</v>
      </c>
      <c r="B2555" t="s">
        <v>9789</v>
      </c>
      <c r="C2555" t="s">
        <v>9790</v>
      </c>
      <c r="D2555" t="s">
        <v>56</v>
      </c>
      <c r="E2555" t="s">
        <v>16</v>
      </c>
      <c r="F2555">
        <v>1</v>
      </c>
    </row>
    <row r="2556" spans="1:6" x14ac:dyDescent="0.2">
      <c r="A2556" t="s">
        <v>2143</v>
      </c>
      <c r="B2556" t="s">
        <v>2142</v>
      </c>
      <c r="C2556" t="s">
        <v>2144</v>
      </c>
      <c r="D2556" t="s">
        <v>10</v>
      </c>
      <c r="E2556" t="s">
        <v>16</v>
      </c>
      <c r="F2556">
        <v>1</v>
      </c>
    </row>
    <row r="2557" spans="1:6" x14ac:dyDescent="0.2">
      <c r="A2557" t="s">
        <v>4180</v>
      </c>
      <c r="B2557" t="s">
        <v>11684</v>
      </c>
      <c r="C2557" t="s">
        <v>4179</v>
      </c>
      <c r="D2557" t="s">
        <v>10</v>
      </c>
      <c r="E2557" t="s">
        <v>16</v>
      </c>
      <c r="F2557">
        <v>1</v>
      </c>
    </row>
    <row r="2558" spans="1:6" x14ac:dyDescent="0.2">
      <c r="A2558" t="s">
        <v>4482</v>
      </c>
      <c r="B2558" t="s">
        <v>4451</v>
      </c>
      <c r="C2558" t="s">
        <v>4481</v>
      </c>
      <c r="D2558" t="s">
        <v>10</v>
      </c>
      <c r="E2558" t="s">
        <v>11</v>
      </c>
      <c r="F2558">
        <v>1</v>
      </c>
    </row>
    <row r="2559" spans="1:6" x14ac:dyDescent="0.2">
      <c r="A2559" t="s">
        <v>11632</v>
      </c>
      <c r="B2559" t="s">
        <v>11630</v>
      </c>
      <c r="C2559" t="s">
        <v>11631</v>
      </c>
      <c r="D2559" t="s">
        <v>10</v>
      </c>
      <c r="E2559" t="s">
        <v>11</v>
      </c>
      <c r="F2559">
        <v>1</v>
      </c>
    </row>
    <row r="2560" spans="1:6" x14ac:dyDescent="0.2">
      <c r="A2560" t="s">
        <v>11081</v>
      </c>
      <c r="B2560" t="s">
        <v>11074</v>
      </c>
      <c r="C2560" t="s">
        <v>11080</v>
      </c>
      <c r="D2560" t="s">
        <v>10</v>
      </c>
      <c r="E2560" t="s">
        <v>11</v>
      </c>
      <c r="F2560">
        <v>2</v>
      </c>
    </row>
    <row r="2561" spans="1:6" x14ac:dyDescent="0.2">
      <c r="A2561" t="s">
        <v>11593</v>
      </c>
      <c r="B2561" t="s">
        <v>11589</v>
      </c>
      <c r="C2561" t="s">
        <v>11595</v>
      </c>
      <c r="D2561" t="s">
        <v>10</v>
      </c>
      <c r="E2561" t="s">
        <v>16</v>
      </c>
      <c r="F2561">
        <v>1</v>
      </c>
    </row>
    <row r="2562" spans="1:6" x14ac:dyDescent="0.2">
      <c r="A2562" t="s">
        <v>11599</v>
      </c>
      <c r="B2562" t="s">
        <v>11589</v>
      </c>
      <c r="C2562" t="s">
        <v>11598</v>
      </c>
      <c r="D2562" t="s">
        <v>10</v>
      </c>
      <c r="E2562" t="s">
        <v>16</v>
      </c>
      <c r="F2562">
        <v>2</v>
      </c>
    </row>
    <row r="2563" spans="1:6" x14ac:dyDescent="0.2">
      <c r="A2563" t="s">
        <v>10209</v>
      </c>
      <c r="B2563" t="s">
        <v>10193</v>
      </c>
      <c r="C2563" t="s">
        <v>10217</v>
      </c>
      <c r="D2563" t="s">
        <v>10</v>
      </c>
      <c r="E2563" t="s">
        <v>16</v>
      </c>
      <c r="F2563">
        <v>1</v>
      </c>
    </row>
    <row r="2564" spans="1:6" x14ac:dyDescent="0.2">
      <c r="A2564" t="s">
        <v>10001</v>
      </c>
      <c r="B2564" t="s">
        <v>9999</v>
      </c>
      <c r="C2564" t="s">
        <v>10000</v>
      </c>
      <c r="D2564" t="s">
        <v>10</v>
      </c>
      <c r="E2564" t="s">
        <v>16</v>
      </c>
      <c r="F2564">
        <v>1</v>
      </c>
    </row>
    <row r="2565" spans="1:6" x14ac:dyDescent="0.2">
      <c r="A2565" t="s">
        <v>5755</v>
      </c>
      <c r="B2565" t="s">
        <v>5753</v>
      </c>
      <c r="C2565" t="s">
        <v>5756</v>
      </c>
      <c r="D2565" t="s">
        <v>10</v>
      </c>
      <c r="E2565" t="s">
        <v>16</v>
      </c>
      <c r="F2565">
        <v>1</v>
      </c>
    </row>
    <row r="2566" spans="1:6" x14ac:dyDescent="0.2">
      <c r="A2566" t="s">
        <v>7778</v>
      </c>
      <c r="B2566" t="s">
        <v>7759</v>
      </c>
      <c r="C2566" t="s">
        <v>7777</v>
      </c>
      <c r="D2566" t="s">
        <v>10</v>
      </c>
      <c r="E2566" t="s">
        <v>11</v>
      </c>
      <c r="F2566">
        <v>1</v>
      </c>
    </row>
    <row r="2567" spans="1:6" x14ac:dyDescent="0.2">
      <c r="A2567" t="s">
        <v>11675</v>
      </c>
      <c r="B2567" t="s">
        <v>11673</v>
      </c>
      <c r="C2567" t="s">
        <v>11676</v>
      </c>
      <c r="D2567" t="s">
        <v>10</v>
      </c>
      <c r="E2567" t="s">
        <v>52</v>
      </c>
      <c r="F2567">
        <v>1</v>
      </c>
    </row>
    <row r="2568" spans="1:6" x14ac:dyDescent="0.2">
      <c r="A2568" t="s">
        <v>1908</v>
      </c>
      <c r="B2568" t="s">
        <v>1906</v>
      </c>
      <c r="C2568" t="s">
        <v>1907</v>
      </c>
      <c r="D2568" t="s">
        <v>10</v>
      </c>
      <c r="E2568" t="s">
        <v>16</v>
      </c>
      <c r="F2568">
        <v>1</v>
      </c>
    </row>
    <row r="2569" spans="1:6" x14ac:dyDescent="0.2">
      <c r="A2569" t="s">
        <v>8995</v>
      </c>
      <c r="B2569" t="s">
        <v>8993</v>
      </c>
      <c r="C2569" t="s">
        <v>8994</v>
      </c>
      <c r="D2569" t="s">
        <v>10</v>
      </c>
      <c r="E2569" t="s">
        <v>16</v>
      </c>
      <c r="F2569">
        <v>1</v>
      </c>
    </row>
    <row r="2570" spans="1:6" x14ac:dyDescent="0.2">
      <c r="A2570" t="s">
        <v>11557</v>
      </c>
      <c r="B2570" t="s">
        <v>11555</v>
      </c>
      <c r="C2570" t="s">
        <v>11556</v>
      </c>
      <c r="D2570" t="s">
        <v>10</v>
      </c>
      <c r="E2570" t="s">
        <v>16</v>
      </c>
      <c r="F2570">
        <v>1</v>
      </c>
    </row>
    <row r="2571" spans="1:6" x14ac:dyDescent="0.2">
      <c r="A2571" t="s">
        <v>11629</v>
      </c>
      <c r="B2571" t="s">
        <v>11627</v>
      </c>
      <c r="C2571" t="s">
        <v>11628</v>
      </c>
      <c r="D2571" t="s">
        <v>10</v>
      </c>
      <c r="E2571" t="s">
        <v>11</v>
      </c>
      <c r="F2571">
        <v>1</v>
      </c>
    </row>
    <row r="2572" spans="1:6" x14ac:dyDescent="0.2">
      <c r="A2572" t="s">
        <v>8960</v>
      </c>
      <c r="B2572" t="s">
        <v>8959</v>
      </c>
      <c r="C2572" t="s">
        <v>6921</v>
      </c>
      <c r="D2572" t="s">
        <v>10</v>
      </c>
      <c r="E2572" t="s">
        <v>16</v>
      </c>
      <c r="F2572">
        <v>1</v>
      </c>
    </row>
    <row r="2573" spans="1:6" x14ac:dyDescent="0.2">
      <c r="A2573" t="s">
        <v>9446</v>
      </c>
      <c r="B2573" t="s">
        <v>9443</v>
      </c>
      <c r="C2573" t="s">
        <v>548</v>
      </c>
      <c r="D2573" t="s">
        <v>10</v>
      </c>
      <c r="E2573" t="s">
        <v>16</v>
      </c>
      <c r="F2573">
        <v>1</v>
      </c>
    </row>
    <row r="2574" spans="1:6" x14ac:dyDescent="0.2">
      <c r="A2574" t="s">
        <v>4157</v>
      </c>
      <c r="B2574" t="s">
        <v>4155</v>
      </c>
      <c r="C2574" t="s">
        <v>4156</v>
      </c>
      <c r="D2574" t="s">
        <v>10</v>
      </c>
      <c r="E2574" t="s">
        <v>16</v>
      </c>
      <c r="F2574">
        <v>1</v>
      </c>
    </row>
    <row r="2575" spans="1:6" x14ac:dyDescent="0.2">
      <c r="A2575" t="s">
        <v>10668</v>
      </c>
      <c r="B2575" t="s">
        <v>10666</v>
      </c>
      <c r="C2575" t="s">
        <v>10667</v>
      </c>
      <c r="D2575" t="s">
        <v>10</v>
      </c>
      <c r="E2575" t="s">
        <v>16</v>
      </c>
      <c r="F2575">
        <v>1</v>
      </c>
    </row>
    <row r="2576" spans="1:6" x14ac:dyDescent="0.2">
      <c r="A2576" t="s">
        <v>1484</v>
      </c>
      <c r="B2576" t="s">
        <v>1475</v>
      </c>
      <c r="C2576" t="s">
        <v>1483</v>
      </c>
      <c r="D2576" t="s">
        <v>10</v>
      </c>
      <c r="E2576" t="s">
        <v>16</v>
      </c>
      <c r="F2576">
        <v>1</v>
      </c>
    </row>
    <row r="2577" spans="1:6" x14ac:dyDescent="0.2">
      <c r="A2577" t="s">
        <v>11649</v>
      </c>
      <c r="B2577" t="s">
        <v>11648</v>
      </c>
      <c r="C2577" t="s">
        <v>11650</v>
      </c>
      <c r="D2577" t="s">
        <v>29</v>
      </c>
      <c r="E2577" t="s">
        <v>16</v>
      </c>
      <c r="F2577">
        <v>1</v>
      </c>
    </row>
    <row r="2578" spans="1:6" x14ac:dyDescent="0.2">
      <c r="A2578" t="s">
        <v>4029</v>
      </c>
      <c r="B2578" t="s">
        <v>4014</v>
      </c>
      <c r="C2578" t="s">
        <v>4028</v>
      </c>
      <c r="D2578" t="s">
        <v>10</v>
      </c>
      <c r="E2578" t="s">
        <v>16</v>
      </c>
      <c r="F2578">
        <v>1</v>
      </c>
    </row>
    <row r="2579" spans="1:6" x14ac:dyDescent="0.2">
      <c r="A2579" t="s">
        <v>4032</v>
      </c>
      <c r="B2579" t="s">
        <v>4014</v>
      </c>
      <c r="C2579" t="s">
        <v>4031</v>
      </c>
      <c r="D2579" t="s">
        <v>10</v>
      </c>
      <c r="E2579" t="s">
        <v>52</v>
      </c>
      <c r="F2579">
        <v>1</v>
      </c>
    </row>
    <row r="2580" spans="1:6" x14ac:dyDescent="0.2">
      <c r="A2580" t="s">
        <v>1880</v>
      </c>
      <c r="B2580" t="s">
        <v>7043</v>
      </c>
      <c r="C2580" t="s">
        <v>7044</v>
      </c>
      <c r="D2580" t="s">
        <v>10</v>
      </c>
      <c r="E2580" t="s">
        <v>16</v>
      </c>
      <c r="F2580">
        <v>1</v>
      </c>
    </row>
    <row r="2581" spans="1:6" x14ac:dyDescent="0.2">
      <c r="A2581" t="s">
        <v>11639</v>
      </c>
      <c r="B2581" t="s">
        <v>11637</v>
      </c>
      <c r="C2581" t="s">
        <v>11640</v>
      </c>
      <c r="D2581" t="s">
        <v>10</v>
      </c>
      <c r="E2581" t="s">
        <v>16</v>
      </c>
      <c r="F2581">
        <v>1</v>
      </c>
    </row>
    <row r="2582" spans="1:6" x14ac:dyDescent="0.2">
      <c r="A2582" t="s">
        <v>4485</v>
      </c>
      <c r="B2582" t="s">
        <v>4451</v>
      </c>
      <c r="C2582" t="s">
        <v>4484</v>
      </c>
      <c r="D2582" t="s">
        <v>10</v>
      </c>
      <c r="E2582" t="s">
        <v>11</v>
      </c>
      <c r="F2582">
        <v>1</v>
      </c>
    </row>
    <row r="2583" spans="1:6" x14ac:dyDescent="0.2">
      <c r="A2583" t="s">
        <v>10219</v>
      </c>
      <c r="B2583" t="s">
        <v>10193</v>
      </c>
      <c r="C2583" t="s">
        <v>10218</v>
      </c>
      <c r="D2583" t="s">
        <v>10</v>
      </c>
      <c r="E2583" t="s">
        <v>1080</v>
      </c>
      <c r="F2583">
        <v>1</v>
      </c>
    </row>
    <row r="2584" spans="1:6" x14ac:dyDescent="0.2">
      <c r="A2584" t="s">
        <v>6800</v>
      </c>
      <c r="B2584" t="s">
        <v>6799</v>
      </c>
      <c r="C2584" t="s">
        <v>3373</v>
      </c>
      <c r="D2584" t="s">
        <v>10</v>
      </c>
      <c r="E2584" t="s">
        <v>16</v>
      </c>
      <c r="F2584">
        <v>1</v>
      </c>
    </row>
    <row r="2585" spans="1:6" x14ac:dyDescent="0.2">
      <c r="A2585" t="s">
        <v>250</v>
      </c>
      <c r="B2585" t="s">
        <v>248</v>
      </c>
      <c r="C2585" t="s">
        <v>271</v>
      </c>
      <c r="D2585" t="s">
        <v>10</v>
      </c>
      <c r="E2585" t="s">
        <v>16</v>
      </c>
      <c r="F2585">
        <v>1</v>
      </c>
    </row>
    <row r="2586" spans="1:6" x14ac:dyDescent="0.2">
      <c r="A2586" t="s">
        <v>11647</v>
      </c>
      <c r="B2586" t="s">
        <v>11645</v>
      </c>
      <c r="C2586" t="s">
        <v>11646</v>
      </c>
      <c r="D2586" t="s">
        <v>10</v>
      </c>
      <c r="E2586" t="s">
        <v>16</v>
      </c>
      <c r="F2586">
        <v>1</v>
      </c>
    </row>
    <row r="2587" spans="1:6" x14ac:dyDescent="0.2">
      <c r="A2587" t="s">
        <v>5299</v>
      </c>
      <c r="B2587" t="s">
        <v>5297</v>
      </c>
      <c r="C2587" t="s">
        <v>5300</v>
      </c>
      <c r="D2587" t="s">
        <v>10</v>
      </c>
      <c r="E2587" t="s">
        <v>16</v>
      </c>
      <c r="F2587">
        <v>1</v>
      </c>
    </row>
    <row r="2588" spans="1:6" x14ac:dyDescent="0.2">
      <c r="A2588" t="s">
        <v>4966</v>
      </c>
      <c r="B2588" t="s">
        <v>4964</v>
      </c>
      <c r="C2588" t="s">
        <v>4965</v>
      </c>
      <c r="D2588" t="s">
        <v>10</v>
      </c>
      <c r="E2588" t="s">
        <v>16</v>
      </c>
      <c r="F2588">
        <v>1</v>
      </c>
    </row>
    <row r="2589" spans="1:6" x14ac:dyDescent="0.2">
      <c r="A2589" t="s">
        <v>11586</v>
      </c>
      <c r="B2589" t="s">
        <v>11584</v>
      </c>
      <c r="C2589" t="s">
        <v>11585</v>
      </c>
      <c r="D2589" t="s">
        <v>10</v>
      </c>
      <c r="E2589" t="s">
        <v>16</v>
      </c>
      <c r="F2589">
        <v>1</v>
      </c>
    </row>
    <row r="2590" spans="1:6" x14ac:dyDescent="0.2">
      <c r="A2590" t="s">
        <v>1525</v>
      </c>
      <c r="B2590" t="s">
        <v>1524</v>
      </c>
      <c r="C2590" t="s">
        <v>548</v>
      </c>
      <c r="D2590" t="s">
        <v>10</v>
      </c>
      <c r="E2590" t="s">
        <v>16</v>
      </c>
      <c r="F2590">
        <v>1</v>
      </c>
    </row>
    <row r="2591" spans="1:6" x14ac:dyDescent="0.2">
      <c r="A2591" t="s">
        <v>8934</v>
      </c>
      <c r="B2591" t="s">
        <v>11673</v>
      </c>
      <c r="C2591" t="s">
        <v>8933</v>
      </c>
      <c r="D2591" t="s">
        <v>10</v>
      </c>
      <c r="E2591" t="s">
        <v>52</v>
      </c>
      <c r="F2591">
        <v>2</v>
      </c>
    </row>
    <row r="2592" spans="1:6" x14ac:dyDescent="0.2">
      <c r="A2592" t="s">
        <v>9680</v>
      </c>
      <c r="B2592" t="s">
        <v>9659</v>
      </c>
      <c r="C2592" t="s">
        <v>9679</v>
      </c>
      <c r="D2592" t="s">
        <v>10</v>
      </c>
      <c r="E2592" t="s">
        <v>16</v>
      </c>
      <c r="F2592">
        <v>1</v>
      </c>
    </row>
    <row r="2593" spans="1:6" x14ac:dyDescent="0.2">
      <c r="A2593" t="s">
        <v>8803</v>
      </c>
      <c r="B2593" t="s">
        <v>9604</v>
      </c>
      <c r="C2593" t="s">
        <v>9605</v>
      </c>
      <c r="D2593" t="s">
        <v>10</v>
      </c>
      <c r="E2593" t="s">
        <v>16</v>
      </c>
      <c r="F2593">
        <v>1</v>
      </c>
    </row>
    <row r="2594" spans="1:6" x14ac:dyDescent="0.2">
      <c r="A2594" t="s">
        <v>5304</v>
      </c>
      <c r="B2594" t="s">
        <v>5301</v>
      </c>
      <c r="C2594" t="s">
        <v>5305</v>
      </c>
      <c r="D2594" t="s">
        <v>10</v>
      </c>
      <c r="E2594" t="s">
        <v>16</v>
      </c>
      <c r="F2594">
        <v>1</v>
      </c>
    </row>
    <row r="2595" spans="1:6" x14ac:dyDescent="0.2">
      <c r="A2595" t="s">
        <v>10019</v>
      </c>
      <c r="B2595" t="s">
        <v>9999</v>
      </c>
      <c r="C2595" t="s">
        <v>10020</v>
      </c>
      <c r="D2595" t="s">
        <v>10</v>
      </c>
      <c r="E2595" t="s">
        <v>16</v>
      </c>
      <c r="F2595">
        <v>1</v>
      </c>
    </row>
    <row r="2596" spans="1:6" x14ac:dyDescent="0.2">
      <c r="A2596" t="s">
        <v>1247</v>
      </c>
      <c r="B2596" t="s">
        <v>1245</v>
      </c>
      <c r="C2596" t="s">
        <v>1248</v>
      </c>
      <c r="D2596" t="s">
        <v>10</v>
      </c>
      <c r="E2596" t="s">
        <v>16</v>
      </c>
      <c r="F2596">
        <v>1</v>
      </c>
    </row>
    <row r="2597" spans="1:6" x14ac:dyDescent="0.2">
      <c r="A2597" t="s">
        <v>1279</v>
      </c>
      <c r="B2597" t="s">
        <v>1265</v>
      </c>
      <c r="C2597" t="s">
        <v>1278</v>
      </c>
      <c r="D2597" t="s">
        <v>10</v>
      </c>
      <c r="E2597" t="s">
        <v>16</v>
      </c>
      <c r="F2597">
        <v>1</v>
      </c>
    </row>
    <row r="2598" spans="1:6" x14ac:dyDescent="0.2">
      <c r="A2598" t="s">
        <v>11883</v>
      </c>
      <c r="B2598" t="s">
        <v>11881</v>
      </c>
      <c r="C2598" t="s">
        <v>11884</v>
      </c>
      <c r="D2598" t="s">
        <v>10</v>
      </c>
      <c r="E2598" t="s">
        <v>16</v>
      </c>
      <c r="F2598">
        <v>1</v>
      </c>
    </row>
    <row r="2599" spans="1:6" x14ac:dyDescent="0.2">
      <c r="A2599" t="s">
        <v>11823</v>
      </c>
      <c r="B2599" t="s">
        <v>11822</v>
      </c>
      <c r="C2599" t="s">
        <v>12121</v>
      </c>
      <c r="D2599" t="s">
        <v>10</v>
      </c>
      <c r="E2599" t="s">
        <v>16</v>
      </c>
      <c r="F2599">
        <v>1</v>
      </c>
    </row>
    <row r="2600" spans="1:6" x14ac:dyDescent="0.2">
      <c r="A2600" t="s">
        <v>9570</v>
      </c>
      <c r="B2600" t="s">
        <v>9568</v>
      </c>
      <c r="C2600" t="s">
        <v>9586</v>
      </c>
      <c r="D2600" t="s">
        <v>56</v>
      </c>
      <c r="E2600" t="s">
        <v>52</v>
      </c>
      <c r="F2600">
        <v>2</v>
      </c>
    </row>
    <row r="2601" spans="1:6" x14ac:dyDescent="0.2">
      <c r="A2601" t="s">
        <v>7833</v>
      </c>
      <c r="B2601" t="s">
        <v>11877</v>
      </c>
      <c r="C2601" t="s">
        <v>11879</v>
      </c>
      <c r="D2601" t="s">
        <v>10</v>
      </c>
      <c r="E2601" t="s">
        <v>16</v>
      </c>
      <c r="F2601">
        <v>1</v>
      </c>
    </row>
    <row r="2602" spans="1:6" x14ac:dyDescent="0.2">
      <c r="A2602" t="s">
        <v>11826</v>
      </c>
      <c r="B2602" t="s">
        <v>11822</v>
      </c>
      <c r="C2602" t="s">
        <v>11827</v>
      </c>
      <c r="D2602" t="s">
        <v>10</v>
      </c>
      <c r="E2602" t="s">
        <v>52</v>
      </c>
      <c r="F2602">
        <v>1</v>
      </c>
    </row>
    <row r="2603" spans="1:6" x14ac:dyDescent="0.2">
      <c r="A2603" t="s">
        <v>11809</v>
      </c>
      <c r="B2603" t="s">
        <v>11798</v>
      </c>
      <c r="C2603" t="s">
        <v>11810</v>
      </c>
      <c r="D2603" t="s">
        <v>10</v>
      </c>
      <c r="E2603" t="s">
        <v>16</v>
      </c>
      <c r="F2603">
        <v>1</v>
      </c>
    </row>
    <row r="2604" spans="1:6" x14ac:dyDescent="0.2">
      <c r="A2604" t="s">
        <v>11801</v>
      </c>
      <c r="B2604" t="s">
        <v>11798</v>
      </c>
      <c r="C2604" t="s">
        <v>11811</v>
      </c>
      <c r="D2604" t="s">
        <v>10</v>
      </c>
      <c r="E2604" t="s">
        <v>16</v>
      </c>
      <c r="F2604">
        <v>1</v>
      </c>
    </row>
    <row r="2605" spans="1:6" x14ac:dyDescent="0.2">
      <c r="A2605" t="s">
        <v>11807</v>
      </c>
      <c r="B2605" t="s">
        <v>11798</v>
      </c>
      <c r="C2605" t="s">
        <v>11817</v>
      </c>
      <c r="D2605" t="s">
        <v>10</v>
      </c>
      <c r="E2605" t="s">
        <v>16</v>
      </c>
      <c r="F2605">
        <v>1</v>
      </c>
    </row>
    <row r="2606" spans="1:6" x14ac:dyDescent="0.2">
      <c r="A2606" t="s">
        <v>11799</v>
      </c>
      <c r="B2606" t="s">
        <v>11798</v>
      </c>
      <c r="C2606" t="s">
        <v>11812</v>
      </c>
      <c r="D2606" t="s">
        <v>10</v>
      </c>
      <c r="E2606" t="s">
        <v>16</v>
      </c>
      <c r="F2606">
        <v>1</v>
      </c>
    </row>
    <row r="2607" spans="1:6" x14ac:dyDescent="0.2">
      <c r="A2607" t="s">
        <v>11805</v>
      </c>
      <c r="B2607" t="s">
        <v>11798</v>
      </c>
      <c r="C2607" t="s">
        <v>11815</v>
      </c>
      <c r="D2607" t="s">
        <v>10</v>
      </c>
      <c r="E2607" t="s">
        <v>16</v>
      </c>
      <c r="F2607">
        <v>1</v>
      </c>
    </row>
    <row r="2608" spans="1:6" x14ac:dyDescent="0.2">
      <c r="A2608" t="s">
        <v>11689</v>
      </c>
      <c r="B2608" t="s">
        <v>11688</v>
      </c>
      <c r="C2608" t="s">
        <v>12122</v>
      </c>
      <c r="D2608" t="s">
        <v>10</v>
      </c>
      <c r="E2608" t="s">
        <v>16</v>
      </c>
      <c r="F2608">
        <v>1</v>
      </c>
    </row>
    <row r="2609" spans="1:6" x14ac:dyDescent="0.2">
      <c r="A2609" t="s">
        <v>11721</v>
      </c>
      <c r="B2609" t="s">
        <v>11688</v>
      </c>
      <c r="C2609" t="s">
        <v>11728</v>
      </c>
      <c r="D2609" t="s">
        <v>10</v>
      </c>
      <c r="E2609" t="s">
        <v>16</v>
      </c>
      <c r="F2609">
        <v>1</v>
      </c>
    </row>
    <row r="2610" spans="1:6" x14ac:dyDescent="0.2">
      <c r="A2610" t="s">
        <v>11691</v>
      </c>
      <c r="B2610" t="s">
        <v>11688</v>
      </c>
      <c r="C2610" t="s">
        <v>5438</v>
      </c>
      <c r="D2610" t="s">
        <v>10</v>
      </c>
      <c r="E2610" t="s">
        <v>16</v>
      </c>
      <c r="F2610">
        <v>1</v>
      </c>
    </row>
    <row r="2611" spans="1:6" x14ac:dyDescent="0.2">
      <c r="A2611" t="s">
        <v>11708</v>
      </c>
      <c r="B2611" t="s">
        <v>11688</v>
      </c>
      <c r="C2611" t="s">
        <v>5521</v>
      </c>
      <c r="D2611" t="s">
        <v>10</v>
      </c>
      <c r="E2611" t="s">
        <v>16</v>
      </c>
      <c r="F2611">
        <v>1</v>
      </c>
    </row>
    <row r="2612" spans="1:6" x14ac:dyDescent="0.2">
      <c r="A2612" t="s">
        <v>11694</v>
      </c>
      <c r="B2612" t="s">
        <v>11688</v>
      </c>
      <c r="C2612" t="s">
        <v>11712</v>
      </c>
      <c r="D2612" t="s">
        <v>10</v>
      </c>
      <c r="E2612" t="s">
        <v>16</v>
      </c>
      <c r="F2612">
        <v>1</v>
      </c>
    </row>
    <row r="2613" spans="1:6" x14ac:dyDescent="0.2">
      <c r="A2613" t="s">
        <v>4045</v>
      </c>
      <c r="B2613" t="s">
        <v>11688</v>
      </c>
      <c r="C2613" t="s">
        <v>11717</v>
      </c>
      <c r="D2613" t="s">
        <v>10</v>
      </c>
      <c r="E2613" t="s">
        <v>16</v>
      </c>
      <c r="F2613">
        <v>1</v>
      </c>
    </row>
    <row r="2614" spans="1:6" x14ac:dyDescent="0.2">
      <c r="A2614" t="s">
        <v>11704</v>
      </c>
      <c r="B2614" t="s">
        <v>11688</v>
      </c>
      <c r="C2614" t="s">
        <v>4386</v>
      </c>
      <c r="D2614" t="s">
        <v>10</v>
      </c>
      <c r="E2614" t="s">
        <v>16</v>
      </c>
      <c r="F2614">
        <v>1</v>
      </c>
    </row>
    <row r="2615" spans="1:6" x14ac:dyDescent="0.2">
      <c r="A2615" t="s">
        <v>11724</v>
      </c>
      <c r="B2615" t="s">
        <v>11688</v>
      </c>
      <c r="C2615" t="s">
        <v>11723</v>
      </c>
      <c r="D2615" t="s">
        <v>10</v>
      </c>
      <c r="E2615" t="s">
        <v>16</v>
      </c>
      <c r="F2615">
        <v>1</v>
      </c>
    </row>
    <row r="2616" spans="1:6" x14ac:dyDescent="0.2">
      <c r="A2616" t="s">
        <v>11699</v>
      </c>
      <c r="B2616" t="s">
        <v>11688</v>
      </c>
      <c r="C2616" t="s">
        <v>11698</v>
      </c>
      <c r="D2616" t="s">
        <v>10</v>
      </c>
      <c r="E2616" t="s">
        <v>16</v>
      </c>
      <c r="F2616">
        <v>1</v>
      </c>
    </row>
    <row r="2617" spans="1:6" x14ac:dyDescent="0.2">
      <c r="A2617" t="s">
        <v>11688</v>
      </c>
      <c r="B2617" t="s">
        <v>11688</v>
      </c>
      <c r="C2617" t="s">
        <v>11727</v>
      </c>
      <c r="D2617" t="s">
        <v>10</v>
      </c>
      <c r="E2617" t="s">
        <v>16</v>
      </c>
      <c r="F2617">
        <v>1</v>
      </c>
    </row>
    <row r="2618" spans="1:6" x14ac:dyDescent="0.2">
      <c r="A2618" t="s">
        <v>11739</v>
      </c>
      <c r="B2618" t="s">
        <v>11688</v>
      </c>
      <c r="C2618" t="s">
        <v>11738</v>
      </c>
      <c r="D2618" t="s">
        <v>10</v>
      </c>
      <c r="E2618" t="s">
        <v>16</v>
      </c>
      <c r="F2618">
        <v>1</v>
      </c>
    </row>
    <row r="2619" spans="1:6" x14ac:dyDescent="0.2">
      <c r="A2619" t="s">
        <v>10840</v>
      </c>
      <c r="B2619" t="s">
        <v>10836</v>
      </c>
      <c r="C2619" t="s">
        <v>10839</v>
      </c>
      <c r="D2619" t="s">
        <v>10</v>
      </c>
      <c r="E2619" t="s">
        <v>16</v>
      </c>
      <c r="F2619">
        <v>1</v>
      </c>
    </row>
    <row r="2620" spans="1:6" x14ac:dyDescent="0.2">
      <c r="A2620" t="s">
        <v>11841</v>
      </c>
      <c r="B2620" t="s">
        <v>11835</v>
      </c>
      <c r="C2620" t="s">
        <v>41</v>
      </c>
      <c r="D2620" t="s">
        <v>56</v>
      </c>
      <c r="E2620" t="s">
        <v>52</v>
      </c>
      <c r="F2620">
        <v>1</v>
      </c>
    </row>
    <row r="2621" spans="1:6" x14ac:dyDescent="0.2">
      <c r="A2621" t="s">
        <v>7952</v>
      </c>
      <c r="B2621" t="s">
        <v>7947</v>
      </c>
      <c r="C2621" t="s">
        <v>7958</v>
      </c>
      <c r="D2621" t="s">
        <v>10</v>
      </c>
      <c r="E2621" t="s">
        <v>11</v>
      </c>
      <c r="F2621">
        <v>2</v>
      </c>
    </row>
    <row r="2622" spans="1:6" x14ac:dyDescent="0.2">
      <c r="A2622" t="s">
        <v>4579</v>
      </c>
      <c r="B2622" t="s">
        <v>4577</v>
      </c>
      <c r="C2622" t="s">
        <v>4580</v>
      </c>
      <c r="D2622" t="s">
        <v>10</v>
      </c>
      <c r="E2622" t="s">
        <v>16</v>
      </c>
      <c r="F2622">
        <v>1</v>
      </c>
    </row>
    <row r="2623" spans="1:6" x14ac:dyDescent="0.2">
      <c r="A2623" t="s">
        <v>5910</v>
      </c>
      <c r="B2623" t="s">
        <v>6073</v>
      </c>
      <c r="C2623" t="s">
        <v>6096</v>
      </c>
      <c r="D2623" t="s">
        <v>10</v>
      </c>
      <c r="E2623" t="s">
        <v>16</v>
      </c>
      <c r="F2623">
        <v>1</v>
      </c>
    </row>
    <row r="2624" spans="1:6" x14ac:dyDescent="0.2">
      <c r="A2624" t="s">
        <v>9622</v>
      </c>
      <c r="B2624" t="s">
        <v>9620</v>
      </c>
      <c r="C2624" t="s">
        <v>9621</v>
      </c>
      <c r="D2624" t="s">
        <v>10</v>
      </c>
      <c r="E2624" t="s">
        <v>16</v>
      </c>
      <c r="F2624">
        <v>1</v>
      </c>
    </row>
    <row r="2625" spans="1:6" x14ac:dyDescent="0.2">
      <c r="A2625" t="s">
        <v>11843</v>
      </c>
      <c r="B2625" t="s">
        <v>11835</v>
      </c>
      <c r="C2625" t="s">
        <v>11849</v>
      </c>
      <c r="D2625" t="s">
        <v>56</v>
      </c>
      <c r="E2625" t="s">
        <v>52</v>
      </c>
      <c r="F2625">
        <v>2</v>
      </c>
    </row>
    <row r="2626" spans="1:6" x14ac:dyDescent="0.2">
      <c r="A2626" t="s">
        <v>11791</v>
      </c>
      <c r="B2626" t="s">
        <v>11779</v>
      </c>
      <c r="C2626" t="s">
        <v>11790</v>
      </c>
      <c r="D2626" t="s">
        <v>10</v>
      </c>
      <c r="E2626" t="s">
        <v>16</v>
      </c>
      <c r="F2626">
        <v>1</v>
      </c>
    </row>
    <row r="2627" spans="1:6" x14ac:dyDescent="0.2">
      <c r="A2627" t="s">
        <v>11783</v>
      </c>
      <c r="B2627" t="s">
        <v>11779</v>
      </c>
      <c r="C2627" t="s">
        <v>11782</v>
      </c>
      <c r="D2627" t="s">
        <v>10</v>
      </c>
      <c r="E2627" t="s">
        <v>16</v>
      </c>
      <c r="F2627">
        <v>1</v>
      </c>
    </row>
    <row r="2628" spans="1:6" x14ac:dyDescent="0.2">
      <c r="A2628" t="s">
        <v>11785</v>
      </c>
      <c r="B2628" t="s">
        <v>11779</v>
      </c>
      <c r="C2628" t="s">
        <v>11784</v>
      </c>
      <c r="D2628" t="s">
        <v>10</v>
      </c>
      <c r="E2628" t="s">
        <v>16</v>
      </c>
      <c r="F2628">
        <v>1</v>
      </c>
    </row>
    <row r="2629" spans="1:6" x14ac:dyDescent="0.2">
      <c r="A2629" t="s">
        <v>11836</v>
      </c>
      <c r="B2629" t="s">
        <v>11835</v>
      </c>
      <c r="C2629" t="s">
        <v>11846</v>
      </c>
      <c r="D2629" t="s">
        <v>56</v>
      </c>
      <c r="E2629" t="s">
        <v>52</v>
      </c>
      <c r="F2629">
        <v>2</v>
      </c>
    </row>
    <row r="2630" spans="1:6" x14ac:dyDescent="0.2">
      <c r="A2630" t="s">
        <v>11829</v>
      </c>
      <c r="B2630" t="s">
        <v>11828</v>
      </c>
      <c r="C2630" t="s">
        <v>11830</v>
      </c>
      <c r="D2630" t="s">
        <v>10</v>
      </c>
      <c r="E2630" t="s">
        <v>16</v>
      </c>
      <c r="F2630">
        <v>1</v>
      </c>
    </row>
    <row r="2631" spans="1:6" x14ac:dyDescent="0.2">
      <c r="A2631" t="s">
        <v>2136</v>
      </c>
      <c r="B2631" t="s">
        <v>6291</v>
      </c>
      <c r="C2631" t="s">
        <v>6292</v>
      </c>
      <c r="D2631" t="s">
        <v>10</v>
      </c>
      <c r="E2631" t="s">
        <v>52</v>
      </c>
      <c r="F2631">
        <v>1</v>
      </c>
    </row>
    <row r="2632" spans="1:6" x14ac:dyDescent="0.2">
      <c r="A2632" t="s">
        <v>11856</v>
      </c>
      <c r="B2632" t="s">
        <v>11855</v>
      </c>
      <c r="C2632" t="s">
        <v>1931</v>
      </c>
      <c r="D2632" t="s">
        <v>10</v>
      </c>
      <c r="E2632" t="s">
        <v>16</v>
      </c>
      <c r="F2632">
        <v>1</v>
      </c>
    </row>
    <row r="2633" spans="1:6" x14ac:dyDescent="0.2">
      <c r="A2633" t="s">
        <v>9737</v>
      </c>
      <c r="B2633" t="s">
        <v>11864</v>
      </c>
      <c r="C2633" t="s">
        <v>9738</v>
      </c>
      <c r="D2633" t="s">
        <v>10</v>
      </c>
      <c r="E2633" t="s">
        <v>16</v>
      </c>
      <c r="F2633">
        <v>1</v>
      </c>
    </row>
    <row r="2634" spans="1:6" x14ac:dyDescent="0.2">
      <c r="A2634" t="s">
        <v>6070</v>
      </c>
      <c r="B2634" t="s">
        <v>6068</v>
      </c>
      <c r="C2634" t="s">
        <v>6069</v>
      </c>
      <c r="D2634" t="s">
        <v>10</v>
      </c>
      <c r="E2634" t="s">
        <v>16</v>
      </c>
      <c r="F2634">
        <v>1</v>
      </c>
    </row>
    <row r="2635" spans="1:6" x14ac:dyDescent="0.2">
      <c r="A2635" t="s">
        <v>8205</v>
      </c>
      <c r="B2635" t="s">
        <v>8193</v>
      </c>
      <c r="C2635" t="s">
        <v>8204</v>
      </c>
      <c r="D2635" t="s">
        <v>10</v>
      </c>
      <c r="E2635" t="s">
        <v>16</v>
      </c>
      <c r="F2635">
        <v>1</v>
      </c>
    </row>
    <row r="2636" spans="1:6" x14ac:dyDescent="0.2">
      <c r="A2636" t="s">
        <v>10023</v>
      </c>
      <c r="B2636" t="s">
        <v>10146</v>
      </c>
      <c r="C2636" t="s">
        <v>10022</v>
      </c>
      <c r="D2636" t="s">
        <v>10</v>
      </c>
      <c r="E2636" t="s">
        <v>11</v>
      </c>
      <c r="F2636">
        <v>4</v>
      </c>
    </row>
    <row r="2637" spans="1:6" x14ac:dyDescent="0.2">
      <c r="A2637" t="s">
        <v>7016</v>
      </c>
      <c r="B2637" t="s">
        <v>7014</v>
      </c>
      <c r="C2637" t="s">
        <v>7015</v>
      </c>
      <c r="D2637" t="s">
        <v>10</v>
      </c>
      <c r="E2637" t="s">
        <v>16</v>
      </c>
      <c r="F2637">
        <v>1</v>
      </c>
    </row>
    <row r="2638" spans="1:6" x14ac:dyDescent="0.2">
      <c r="A2638" t="s">
        <v>706</v>
      </c>
      <c r="B2638" t="s">
        <v>11510</v>
      </c>
      <c r="C2638" t="s">
        <v>707</v>
      </c>
      <c r="D2638" t="s">
        <v>10</v>
      </c>
      <c r="E2638" t="s">
        <v>16</v>
      </c>
      <c r="F2638">
        <v>1</v>
      </c>
    </row>
    <row r="2639" spans="1:6" x14ac:dyDescent="0.2">
      <c r="A2639" t="s">
        <v>11820</v>
      </c>
      <c r="B2639" t="s">
        <v>11818</v>
      </c>
      <c r="C2639" t="s">
        <v>11819</v>
      </c>
      <c r="D2639" t="s">
        <v>10</v>
      </c>
      <c r="E2639" t="s">
        <v>16</v>
      </c>
      <c r="F2639">
        <v>1</v>
      </c>
    </row>
    <row r="2640" spans="1:6" x14ac:dyDescent="0.2">
      <c r="A2640" t="s">
        <v>11868</v>
      </c>
      <c r="B2640" t="s">
        <v>11867</v>
      </c>
      <c r="C2640" t="s">
        <v>1925</v>
      </c>
      <c r="D2640" t="s">
        <v>10</v>
      </c>
      <c r="E2640" t="s">
        <v>16</v>
      </c>
      <c r="F2640">
        <v>1</v>
      </c>
    </row>
    <row r="2641" spans="1:6" x14ac:dyDescent="0.2">
      <c r="A2641" t="s">
        <v>4128</v>
      </c>
      <c r="B2641" t="s">
        <v>4122</v>
      </c>
      <c r="C2641" t="s">
        <v>4127</v>
      </c>
      <c r="D2641" t="s">
        <v>10</v>
      </c>
      <c r="E2641" t="s">
        <v>16</v>
      </c>
      <c r="F2641">
        <v>1</v>
      </c>
    </row>
    <row r="2642" spans="1:6" x14ac:dyDescent="0.2">
      <c r="A2642" t="s">
        <v>11859</v>
      </c>
      <c r="B2642" t="s">
        <v>11858</v>
      </c>
      <c r="C2642" t="s">
        <v>6071</v>
      </c>
      <c r="D2642" t="s">
        <v>10</v>
      </c>
      <c r="E2642" t="s">
        <v>16</v>
      </c>
      <c r="F2642">
        <v>1</v>
      </c>
    </row>
    <row r="2643" spans="1:6" x14ac:dyDescent="0.2">
      <c r="A2643" t="s">
        <v>5603</v>
      </c>
      <c r="B2643" t="s">
        <v>5598</v>
      </c>
      <c r="C2643" t="s">
        <v>5602</v>
      </c>
      <c r="D2643" t="s">
        <v>10</v>
      </c>
      <c r="E2643" t="s">
        <v>16</v>
      </c>
      <c r="F2643">
        <v>1</v>
      </c>
    </row>
    <row r="2644" spans="1:6" x14ac:dyDescent="0.2">
      <c r="A2644" t="s">
        <v>8222</v>
      </c>
      <c r="B2644" t="s">
        <v>8220</v>
      </c>
      <c r="C2644" t="s">
        <v>8221</v>
      </c>
      <c r="D2644" t="s">
        <v>10</v>
      </c>
      <c r="E2644" t="s">
        <v>16</v>
      </c>
      <c r="F2644">
        <v>1</v>
      </c>
    </row>
    <row r="2645" spans="1:6" x14ac:dyDescent="0.2">
      <c r="A2645" t="s">
        <v>689</v>
      </c>
      <c r="B2645" t="s">
        <v>682</v>
      </c>
      <c r="C2645" t="s">
        <v>688</v>
      </c>
      <c r="D2645" t="s">
        <v>10</v>
      </c>
      <c r="E2645" t="s">
        <v>16</v>
      </c>
      <c r="F2645">
        <v>1</v>
      </c>
    </row>
    <row r="2646" spans="1:6" x14ac:dyDescent="0.2">
      <c r="A2646" t="s">
        <v>11781</v>
      </c>
      <c r="B2646" t="s">
        <v>11779</v>
      </c>
      <c r="C2646" t="s">
        <v>11780</v>
      </c>
      <c r="D2646" t="s">
        <v>10</v>
      </c>
      <c r="E2646" t="s">
        <v>16</v>
      </c>
      <c r="F2646">
        <v>1</v>
      </c>
    </row>
    <row r="2647" spans="1:6" x14ac:dyDescent="0.2">
      <c r="A2647" t="s">
        <v>11789</v>
      </c>
      <c r="B2647" t="s">
        <v>11779</v>
      </c>
      <c r="C2647" t="s">
        <v>11788</v>
      </c>
      <c r="D2647" t="s">
        <v>10</v>
      </c>
      <c r="E2647" t="s">
        <v>16</v>
      </c>
      <c r="F2647">
        <v>1</v>
      </c>
    </row>
    <row r="2648" spans="1:6" x14ac:dyDescent="0.2">
      <c r="A2648" t="s">
        <v>10906</v>
      </c>
      <c r="B2648" t="s">
        <v>10905</v>
      </c>
      <c r="C2648" t="s">
        <v>10907</v>
      </c>
      <c r="D2648" t="s">
        <v>10</v>
      </c>
      <c r="E2648" t="s">
        <v>16</v>
      </c>
      <c r="F2648">
        <v>1</v>
      </c>
    </row>
    <row r="2649" spans="1:6" x14ac:dyDescent="0.2">
      <c r="A2649" t="s">
        <v>42</v>
      </c>
      <c r="B2649" t="s">
        <v>36</v>
      </c>
      <c r="C2649" t="s">
        <v>41</v>
      </c>
      <c r="D2649" t="s">
        <v>10</v>
      </c>
      <c r="E2649" t="s">
        <v>16</v>
      </c>
      <c r="F2649">
        <v>1</v>
      </c>
    </row>
    <row r="2650" spans="1:6" x14ac:dyDescent="0.2">
      <c r="A2650" t="s">
        <v>680</v>
      </c>
      <c r="B2650" t="s">
        <v>678</v>
      </c>
      <c r="C2650" t="s">
        <v>681</v>
      </c>
      <c r="D2650" t="s">
        <v>10</v>
      </c>
      <c r="E2650" t="s">
        <v>16</v>
      </c>
      <c r="F2650">
        <v>1</v>
      </c>
    </row>
    <row r="2651" spans="1:6" x14ac:dyDescent="0.2">
      <c r="A2651" t="s">
        <v>11897</v>
      </c>
      <c r="B2651" t="s">
        <v>11896</v>
      </c>
      <c r="C2651" t="s">
        <v>5216</v>
      </c>
      <c r="D2651" t="s">
        <v>29</v>
      </c>
      <c r="E2651" t="s">
        <v>16</v>
      </c>
      <c r="F2651">
        <v>1</v>
      </c>
    </row>
    <row r="2652" spans="1:6" x14ac:dyDescent="0.2">
      <c r="A2652" t="s">
        <v>11862</v>
      </c>
      <c r="B2652" t="s">
        <v>11860</v>
      </c>
      <c r="C2652" t="s">
        <v>11863</v>
      </c>
      <c r="D2652" t="s">
        <v>10</v>
      </c>
      <c r="E2652" t="s">
        <v>16</v>
      </c>
      <c r="F2652">
        <v>1</v>
      </c>
    </row>
    <row r="2653" spans="1:6" x14ac:dyDescent="0.2">
      <c r="A2653" t="s">
        <v>6725</v>
      </c>
      <c r="B2653" t="s">
        <v>6716</v>
      </c>
      <c r="C2653" t="s">
        <v>6724</v>
      </c>
      <c r="D2653" t="s">
        <v>10</v>
      </c>
      <c r="E2653" t="s">
        <v>11</v>
      </c>
      <c r="F2653">
        <v>2</v>
      </c>
    </row>
    <row r="2654" spans="1:6" x14ac:dyDescent="0.2">
      <c r="A2654" t="s">
        <v>6727</v>
      </c>
      <c r="B2654" t="s">
        <v>6716</v>
      </c>
      <c r="C2654" t="s">
        <v>6730</v>
      </c>
      <c r="D2654" t="s">
        <v>10</v>
      </c>
      <c r="E2654" t="s">
        <v>11</v>
      </c>
      <c r="F2654">
        <v>2</v>
      </c>
    </row>
    <row r="2655" spans="1:6" x14ac:dyDescent="0.2">
      <c r="A2655" t="s">
        <v>3893</v>
      </c>
      <c r="B2655" t="s">
        <v>3889</v>
      </c>
      <c r="C2655" t="s">
        <v>3892</v>
      </c>
      <c r="D2655" t="s">
        <v>56</v>
      </c>
      <c r="E2655" t="s">
        <v>52</v>
      </c>
      <c r="F2655">
        <v>2</v>
      </c>
    </row>
    <row r="2656" spans="1:6" x14ac:dyDescent="0.2">
      <c r="A2656" t="s">
        <v>11787</v>
      </c>
      <c r="B2656" t="s">
        <v>11779</v>
      </c>
      <c r="C2656" t="s">
        <v>11786</v>
      </c>
      <c r="D2656" t="s">
        <v>10</v>
      </c>
      <c r="E2656" t="s">
        <v>16</v>
      </c>
      <c r="F2656">
        <v>1</v>
      </c>
    </row>
    <row r="2657" spans="1:6" x14ac:dyDescent="0.2">
      <c r="A2657" t="s">
        <v>10515</v>
      </c>
      <c r="B2657" t="s">
        <v>10464</v>
      </c>
      <c r="C2657" t="s">
        <v>10514</v>
      </c>
      <c r="D2657" t="s">
        <v>56</v>
      </c>
      <c r="E2657" t="s">
        <v>52</v>
      </c>
      <c r="F2657">
        <v>1</v>
      </c>
    </row>
    <row r="2658" spans="1:6" x14ac:dyDescent="0.2">
      <c r="A2658" t="s">
        <v>5270</v>
      </c>
      <c r="B2658" t="s">
        <v>5250</v>
      </c>
      <c r="C2658" t="s">
        <v>5269</v>
      </c>
      <c r="D2658" t="s">
        <v>56</v>
      </c>
      <c r="E2658" t="s">
        <v>52</v>
      </c>
      <c r="F2658">
        <v>2</v>
      </c>
    </row>
    <row r="2659" spans="1:6" x14ac:dyDescent="0.2">
      <c r="A2659" t="s">
        <v>9894</v>
      </c>
      <c r="B2659" t="s">
        <v>9826</v>
      </c>
      <c r="C2659" t="s">
        <v>9893</v>
      </c>
      <c r="D2659" t="s">
        <v>10</v>
      </c>
      <c r="E2659" t="s">
        <v>16</v>
      </c>
      <c r="F2659">
        <v>1</v>
      </c>
    </row>
    <row r="2660" spans="1:6" x14ac:dyDescent="0.2">
      <c r="A2660" t="s">
        <v>8786</v>
      </c>
      <c r="B2660" t="s">
        <v>8772</v>
      </c>
      <c r="C2660" t="s">
        <v>8785</v>
      </c>
      <c r="D2660" t="s">
        <v>10</v>
      </c>
      <c r="E2660" t="s">
        <v>11</v>
      </c>
      <c r="F2660">
        <v>1</v>
      </c>
    </row>
    <row r="2661" spans="1:6" x14ac:dyDescent="0.2">
      <c r="A2661" t="s">
        <v>9066</v>
      </c>
      <c r="B2661" t="s">
        <v>9064</v>
      </c>
      <c r="C2661" t="s">
        <v>9065</v>
      </c>
      <c r="D2661" t="s">
        <v>56</v>
      </c>
      <c r="E2661" t="s">
        <v>52</v>
      </c>
      <c r="F2661">
        <v>2</v>
      </c>
    </row>
    <row r="2662" spans="1:6" x14ac:dyDescent="0.2">
      <c r="A2662" t="s">
        <v>11919</v>
      </c>
      <c r="B2662" t="s">
        <v>11916</v>
      </c>
      <c r="C2662" t="s">
        <v>11921</v>
      </c>
      <c r="D2662" t="s">
        <v>10</v>
      </c>
      <c r="E2662" t="s">
        <v>16</v>
      </c>
      <c r="F2662">
        <v>1</v>
      </c>
    </row>
    <row r="2663" spans="1:6" x14ac:dyDescent="0.2">
      <c r="A2663" t="s">
        <v>9769</v>
      </c>
      <c r="B2663" t="s">
        <v>11916</v>
      </c>
      <c r="C2663" t="s">
        <v>11922</v>
      </c>
      <c r="D2663" t="s">
        <v>10</v>
      </c>
      <c r="E2663" t="s">
        <v>16</v>
      </c>
      <c r="F2663">
        <v>1</v>
      </c>
    </row>
    <row r="2664" spans="1:6" x14ac:dyDescent="0.2">
      <c r="A2664" t="s">
        <v>9646</v>
      </c>
      <c r="B2664" t="s">
        <v>9644</v>
      </c>
      <c r="C2664" t="s">
        <v>9652</v>
      </c>
      <c r="D2664" t="s">
        <v>10</v>
      </c>
      <c r="E2664" t="s">
        <v>16</v>
      </c>
      <c r="F2664">
        <v>1</v>
      </c>
    </row>
    <row r="2665" spans="1:6" x14ac:dyDescent="0.2">
      <c r="A2665" t="s">
        <v>9649</v>
      </c>
      <c r="B2665" t="s">
        <v>9644</v>
      </c>
      <c r="C2665" t="s">
        <v>9651</v>
      </c>
      <c r="D2665" t="s">
        <v>10</v>
      </c>
      <c r="E2665" t="s">
        <v>16</v>
      </c>
      <c r="F2665">
        <v>1</v>
      </c>
    </row>
    <row r="2666" spans="1:6" x14ac:dyDescent="0.2">
      <c r="A2666" t="s">
        <v>3028</v>
      </c>
      <c r="B2666" t="s">
        <v>3026</v>
      </c>
      <c r="C2666" t="s">
        <v>3027</v>
      </c>
      <c r="D2666" t="s">
        <v>10</v>
      </c>
      <c r="E2666" t="s">
        <v>11</v>
      </c>
      <c r="F2666">
        <v>3</v>
      </c>
    </row>
    <row r="2667" spans="1:6" x14ac:dyDescent="0.2">
      <c r="A2667" t="s">
        <v>4705</v>
      </c>
      <c r="B2667" t="s">
        <v>7557</v>
      </c>
      <c r="C2667" t="s">
        <v>4704</v>
      </c>
      <c r="D2667" t="s">
        <v>10</v>
      </c>
      <c r="E2667" t="s">
        <v>16</v>
      </c>
      <c r="F2667">
        <v>1</v>
      </c>
    </row>
    <row r="2668" spans="1:6" x14ac:dyDescent="0.2">
      <c r="A2668" t="s">
        <v>63</v>
      </c>
      <c r="B2668" t="s">
        <v>61</v>
      </c>
      <c r="C2668" t="s">
        <v>62</v>
      </c>
      <c r="D2668" t="s">
        <v>64</v>
      </c>
      <c r="E2668" t="s">
        <v>16</v>
      </c>
      <c r="F2668">
        <v>1</v>
      </c>
    </row>
    <row r="2669" spans="1:6" x14ac:dyDescent="0.2">
      <c r="A2669" t="s">
        <v>10842</v>
      </c>
      <c r="B2669" t="s">
        <v>10836</v>
      </c>
      <c r="C2669" t="s">
        <v>10841</v>
      </c>
      <c r="D2669" t="s">
        <v>10</v>
      </c>
      <c r="E2669" t="s">
        <v>16</v>
      </c>
      <c r="F2669">
        <v>1</v>
      </c>
    </row>
    <row r="2670" spans="1:6" x14ac:dyDescent="0.2">
      <c r="A2670" t="s">
        <v>2436</v>
      </c>
      <c r="B2670" t="s">
        <v>2412</v>
      </c>
      <c r="C2670" t="s">
        <v>2525</v>
      </c>
      <c r="D2670" t="s">
        <v>873</v>
      </c>
      <c r="E2670" t="s">
        <v>52</v>
      </c>
      <c r="F2670">
        <v>2</v>
      </c>
    </row>
    <row r="2671" spans="1:6" x14ac:dyDescent="0.2">
      <c r="A2671" t="s">
        <v>6339</v>
      </c>
      <c r="B2671" t="s">
        <v>6321</v>
      </c>
      <c r="C2671" t="s">
        <v>6338</v>
      </c>
      <c r="D2671" t="s">
        <v>10</v>
      </c>
      <c r="E2671" t="s">
        <v>16</v>
      </c>
      <c r="F2671">
        <v>2</v>
      </c>
    </row>
    <row r="2672" spans="1:6" x14ac:dyDescent="0.2">
      <c r="A2672" t="s">
        <v>11957</v>
      </c>
      <c r="B2672" t="s">
        <v>11926</v>
      </c>
      <c r="C2672" t="s">
        <v>11956</v>
      </c>
      <c r="D2672" t="s">
        <v>10</v>
      </c>
      <c r="E2672" t="s">
        <v>16</v>
      </c>
      <c r="F2672">
        <v>1</v>
      </c>
    </row>
    <row r="2673" spans="1:6" x14ac:dyDescent="0.2">
      <c r="A2673" t="s">
        <v>6328</v>
      </c>
      <c r="B2673" t="s">
        <v>6321</v>
      </c>
      <c r="C2673" t="s">
        <v>6327</v>
      </c>
      <c r="D2673" t="s">
        <v>10</v>
      </c>
      <c r="E2673" t="s">
        <v>52</v>
      </c>
      <c r="F2673">
        <v>2</v>
      </c>
    </row>
    <row r="2674" spans="1:6" x14ac:dyDescent="0.2">
      <c r="A2674" t="s">
        <v>6328</v>
      </c>
      <c r="B2674" t="s">
        <v>6321</v>
      </c>
      <c r="C2674" t="s">
        <v>6350</v>
      </c>
      <c r="D2674" t="s">
        <v>10</v>
      </c>
      <c r="E2674" t="s">
        <v>52</v>
      </c>
      <c r="F2674">
        <v>2</v>
      </c>
    </row>
    <row r="2675" spans="1:6" x14ac:dyDescent="0.2">
      <c r="A2675" t="s">
        <v>6348</v>
      </c>
      <c r="B2675" t="s">
        <v>6321</v>
      </c>
      <c r="C2675" t="s">
        <v>6351</v>
      </c>
      <c r="D2675" t="s">
        <v>10</v>
      </c>
      <c r="E2675" t="s">
        <v>52</v>
      </c>
      <c r="F2675">
        <v>2</v>
      </c>
    </row>
    <row r="2676" spans="1:6" x14ac:dyDescent="0.2">
      <c r="A2676" t="s">
        <v>11959</v>
      </c>
      <c r="B2676" t="s">
        <v>11926</v>
      </c>
      <c r="C2676" t="s">
        <v>11958</v>
      </c>
      <c r="D2676" t="s">
        <v>10</v>
      </c>
      <c r="E2676" t="s">
        <v>11</v>
      </c>
      <c r="F2676">
        <v>2</v>
      </c>
    </row>
    <row r="2677" spans="1:6" x14ac:dyDescent="0.2">
      <c r="A2677" t="s">
        <v>11281</v>
      </c>
      <c r="B2677" t="s">
        <v>11926</v>
      </c>
      <c r="C2677" t="s">
        <v>11937</v>
      </c>
      <c r="D2677" t="s">
        <v>10</v>
      </c>
      <c r="E2677" t="s">
        <v>16</v>
      </c>
      <c r="F2677">
        <v>1</v>
      </c>
    </row>
    <row r="2678" spans="1:6" x14ac:dyDescent="0.2">
      <c r="A2678" t="s">
        <v>11914</v>
      </c>
      <c r="B2678" t="s">
        <v>11899</v>
      </c>
      <c r="C2678" t="s">
        <v>11913</v>
      </c>
      <c r="D2678" t="s">
        <v>10</v>
      </c>
      <c r="E2678" t="s">
        <v>11</v>
      </c>
      <c r="F2678">
        <v>4</v>
      </c>
    </row>
    <row r="2679" spans="1:6" x14ac:dyDescent="0.2">
      <c r="A2679" t="s">
        <v>11973</v>
      </c>
      <c r="B2679" t="s">
        <v>11971</v>
      </c>
      <c r="C2679" t="s">
        <v>11972</v>
      </c>
      <c r="D2679" t="s">
        <v>10</v>
      </c>
      <c r="E2679" t="s">
        <v>16</v>
      </c>
      <c r="F2679">
        <v>1</v>
      </c>
    </row>
    <row r="2680" spans="1:6" x14ac:dyDescent="0.2">
      <c r="A2680" t="s">
        <v>11928</v>
      </c>
      <c r="B2680" t="s">
        <v>11926</v>
      </c>
      <c r="C2680" t="s">
        <v>11927</v>
      </c>
      <c r="D2680" t="s">
        <v>10</v>
      </c>
      <c r="E2680" t="s">
        <v>16</v>
      </c>
      <c r="F2680">
        <v>1</v>
      </c>
    </row>
    <row r="2681" spans="1:6" x14ac:dyDescent="0.2">
      <c r="A2681" t="s">
        <v>11930</v>
      </c>
      <c r="B2681" t="s">
        <v>11926</v>
      </c>
      <c r="C2681" t="s">
        <v>11929</v>
      </c>
      <c r="D2681" t="s">
        <v>10</v>
      </c>
      <c r="E2681" t="s">
        <v>16</v>
      </c>
      <c r="F2681">
        <v>1</v>
      </c>
    </row>
    <row r="2682" spans="1:6" x14ac:dyDescent="0.2">
      <c r="A2682" t="s">
        <v>8673</v>
      </c>
      <c r="B2682" t="s">
        <v>8663</v>
      </c>
      <c r="C2682" t="s">
        <v>8672</v>
      </c>
      <c r="D2682" t="s">
        <v>10</v>
      </c>
      <c r="E2682" t="s">
        <v>16</v>
      </c>
      <c r="F2682">
        <v>1</v>
      </c>
    </row>
    <row r="2683" spans="1:6" x14ac:dyDescent="0.2">
      <c r="A2683" t="s">
        <v>1713</v>
      </c>
      <c r="B2683" t="s">
        <v>1711</v>
      </c>
      <c r="C2683" t="s">
        <v>1712</v>
      </c>
      <c r="D2683" t="s">
        <v>10</v>
      </c>
      <c r="E2683" t="s">
        <v>16</v>
      </c>
      <c r="F2683">
        <v>1</v>
      </c>
    </row>
    <row r="2684" spans="1:6" x14ac:dyDescent="0.2">
      <c r="A2684" t="s">
        <v>10364</v>
      </c>
      <c r="B2684" t="s">
        <v>10357</v>
      </c>
      <c r="C2684" t="s">
        <v>10363</v>
      </c>
      <c r="D2684" t="s">
        <v>10</v>
      </c>
      <c r="E2684" t="s">
        <v>16</v>
      </c>
      <c r="F2684">
        <v>1</v>
      </c>
    </row>
    <row r="2685" spans="1:6" x14ac:dyDescent="0.2">
      <c r="A2685" t="s">
        <v>3896</v>
      </c>
      <c r="B2685" t="s">
        <v>3894</v>
      </c>
      <c r="C2685" t="s">
        <v>3897</v>
      </c>
      <c r="D2685" t="s">
        <v>10</v>
      </c>
      <c r="E2685" t="s">
        <v>16</v>
      </c>
      <c r="F2685">
        <v>1</v>
      </c>
    </row>
    <row r="2686" spans="1:6" x14ac:dyDescent="0.2">
      <c r="A2686" t="s">
        <v>7530</v>
      </c>
      <c r="B2686" t="s">
        <v>7525</v>
      </c>
      <c r="C2686" t="s">
        <v>7529</v>
      </c>
      <c r="D2686" t="s">
        <v>10</v>
      </c>
      <c r="E2686" t="s">
        <v>16</v>
      </c>
      <c r="F2686">
        <v>1</v>
      </c>
    </row>
    <row r="2687" spans="1:6" x14ac:dyDescent="0.2">
      <c r="A2687" t="s">
        <v>7530</v>
      </c>
      <c r="B2687" t="s">
        <v>11926</v>
      </c>
      <c r="C2687" t="s">
        <v>11931</v>
      </c>
      <c r="D2687" t="s">
        <v>10</v>
      </c>
      <c r="E2687" t="s">
        <v>16</v>
      </c>
      <c r="F2687">
        <v>1</v>
      </c>
    </row>
    <row r="2688" spans="1:6" x14ac:dyDescent="0.2">
      <c r="A2688" t="s">
        <v>9555</v>
      </c>
      <c r="B2688" t="s">
        <v>11926</v>
      </c>
      <c r="C2688" t="s">
        <v>9554</v>
      </c>
      <c r="D2688" t="s">
        <v>10</v>
      </c>
      <c r="E2688" t="s">
        <v>16</v>
      </c>
      <c r="F2688">
        <v>1</v>
      </c>
    </row>
    <row r="2689" spans="1:6" x14ac:dyDescent="0.2">
      <c r="A2689" t="s">
        <v>8534</v>
      </c>
      <c r="B2689" t="s">
        <v>11926</v>
      </c>
      <c r="C2689" t="s">
        <v>11932</v>
      </c>
      <c r="D2689" t="s">
        <v>10</v>
      </c>
      <c r="E2689" t="s">
        <v>16</v>
      </c>
      <c r="F2689">
        <v>1</v>
      </c>
    </row>
    <row r="2690" spans="1:6" x14ac:dyDescent="0.2">
      <c r="A2690" t="s">
        <v>11940</v>
      </c>
      <c r="B2690" t="s">
        <v>11926</v>
      </c>
      <c r="C2690" t="s">
        <v>11939</v>
      </c>
      <c r="D2690" t="s">
        <v>10</v>
      </c>
      <c r="E2690" t="s">
        <v>11</v>
      </c>
      <c r="F2690">
        <v>2</v>
      </c>
    </row>
    <row r="2691" spans="1:6" x14ac:dyDescent="0.2">
      <c r="A2691" t="s">
        <v>11962</v>
      </c>
      <c r="B2691" t="s">
        <v>11926</v>
      </c>
      <c r="C2691" t="s">
        <v>11961</v>
      </c>
      <c r="D2691" t="s">
        <v>10</v>
      </c>
      <c r="E2691" t="s">
        <v>11</v>
      </c>
      <c r="F2691">
        <v>1</v>
      </c>
    </row>
    <row r="2692" spans="1:6" x14ac:dyDescent="0.2">
      <c r="A2692" t="s">
        <v>11942</v>
      </c>
      <c r="B2692" t="s">
        <v>11926</v>
      </c>
      <c r="C2692" t="s">
        <v>11941</v>
      </c>
      <c r="D2692" t="s">
        <v>10</v>
      </c>
      <c r="E2692" t="s">
        <v>11</v>
      </c>
      <c r="F2692">
        <v>3</v>
      </c>
    </row>
    <row r="2693" spans="1:6" x14ac:dyDescent="0.2">
      <c r="A2693" t="s">
        <v>11944</v>
      </c>
      <c r="B2693" t="s">
        <v>11926</v>
      </c>
      <c r="C2693" t="s">
        <v>11943</v>
      </c>
      <c r="D2693" t="s">
        <v>10</v>
      </c>
      <c r="E2693" t="s">
        <v>11</v>
      </c>
      <c r="F2693">
        <v>3</v>
      </c>
    </row>
    <row r="2694" spans="1:6" x14ac:dyDescent="0.2">
      <c r="A2694" t="s">
        <v>11946</v>
      </c>
      <c r="B2694" t="s">
        <v>11926</v>
      </c>
      <c r="C2694" t="s">
        <v>11945</v>
      </c>
      <c r="D2694" t="s">
        <v>10</v>
      </c>
      <c r="E2694" t="s">
        <v>11</v>
      </c>
      <c r="F2694">
        <v>3</v>
      </c>
    </row>
    <row r="2695" spans="1:6" x14ac:dyDescent="0.2">
      <c r="A2695" t="s">
        <v>11948</v>
      </c>
      <c r="B2695" t="s">
        <v>11926</v>
      </c>
      <c r="C2695" t="s">
        <v>11947</v>
      </c>
      <c r="D2695" t="s">
        <v>10</v>
      </c>
      <c r="E2695" t="s">
        <v>16</v>
      </c>
      <c r="F2695">
        <v>1</v>
      </c>
    </row>
    <row r="2696" spans="1:6" x14ac:dyDescent="0.2">
      <c r="A2696" t="s">
        <v>701</v>
      </c>
      <c r="B2696" t="s">
        <v>11926</v>
      </c>
      <c r="C2696" t="s">
        <v>709</v>
      </c>
      <c r="D2696" t="s">
        <v>10</v>
      </c>
      <c r="E2696" t="s">
        <v>16</v>
      </c>
      <c r="F2696">
        <v>1</v>
      </c>
    </row>
    <row r="2697" spans="1:6" x14ac:dyDescent="0.2">
      <c r="A2697" t="s">
        <v>11950</v>
      </c>
      <c r="B2697" t="s">
        <v>11926</v>
      </c>
      <c r="C2697" t="s">
        <v>11949</v>
      </c>
      <c r="D2697" t="s">
        <v>10</v>
      </c>
      <c r="E2697" t="s">
        <v>16</v>
      </c>
      <c r="F2697">
        <v>1</v>
      </c>
    </row>
    <row r="2698" spans="1:6" x14ac:dyDescent="0.2">
      <c r="A2698" t="s">
        <v>11951</v>
      </c>
      <c r="B2698" t="s">
        <v>11926</v>
      </c>
      <c r="C2698" t="s">
        <v>710</v>
      </c>
      <c r="D2698" t="s">
        <v>10</v>
      </c>
      <c r="E2698" t="s">
        <v>16</v>
      </c>
      <c r="F2698">
        <v>1</v>
      </c>
    </row>
    <row r="2699" spans="1:6" x14ac:dyDescent="0.2">
      <c r="A2699" t="s">
        <v>11953</v>
      </c>
      <c r="B2699" t="s">
        <v>11926</v>
      </c>
      <c r="C2699" t="s">
        <v>11952</v>
      </c>
      <c r="D2699" t="s">
        <v>10</v>
      </c>
      <c r="E2699" t="s">
        <v>16</v>
      </c>
      <c r="F2699">
        <v>1</v>
      </c>
    </row>
    <row r="2700" spans="1:6" x14ac:dyDescent="0.2">
      <c r="A2700" t="s">
        <v>11955</v>
      </c>
      <c r="B2700" t="s">
        <v>11926</v>
      </c>
      <c r="C2700" t="s">
        <v>11954</v>
      </c>
      <c r="D2700" t="s">
        <v>10</v>
      </c>
      <c r="E2700" t="s">
        <v>16</v>
      </c>
      <c r="F2700">
        <v>1</v>
      </c>
    </row>
    <row r="2701" spans="1:6" x14ac:dyDescent="0.2">
      <c r="A2701" t="s">
        <v>2923</v>
      </c>
      <c r="B2701" t="s">
        <v>2673</v>
      </c>
      <c r="C2701" t="s">
        <v>2924</v>
      </c>
      <c r="D2701" t="s">
        <v>10</v>
      </c>
      <c r="E2701" t="s">
        <v>16</v>
      </c>
      <c r="F2701">
        <v>1</v>
      </c>
    </row>
    <row r="2702" spans="1:6" x14ac:dyDescent="0.2">
      <c r="A2702" t="s">
        <v>1904</v>
      </c>
      <c r="B2702" t="s">
        <v>1902</v>
      </c>
      <c r="C2702" t="s">
        <v>1903</v>
      </c>
      <c r="D2702" t="s">
        <v>56</v>
      </c>
      <c r="E2702" t="s">
        <v>16</v>
      </c>
      <c r="F2702">
        <v>2</v>
      </c>
    </row>
    <row r="2703" spans="1:6" x14ac:dyDescent="0.2">
      <c r="A2703" t="s">
        <v>8264</v>
      </c>
      <c r="B2703" t="s">
        <v>8531</v>
      </c>
      <c r="C2703" t="s">
        <v>8263</v>
      </c>
      <c r="D2703" t="s">
        <v>10</v>
      </c>
      <c r="E2703" t="s">
        <v>52</v>
      </c>
      <c r="F2703">
        <v>2</v>
      </c>
    </row>
    <row r="2704" spans="1:6" x14ac:dyDescent="0.2">
      <c r="A2704" t="s">
        <v>8479</v>
      </c>
      <c r="B2704" t="s">
        <v>8462</v>
      </c>
      <c r="C2704" t="s">
        <v>8478</v>
      </c>
      <c r="D2704" t="s">
        <v>10</v>
      </c>
      <c r="E2704" t="s">
        <v>16</v>
      </c>
      <c r="F2704">
        <v>1</v>
      </c>
    </row>
    <row r="2705" spans="1:6" x14ac:dyDescent="0.2">
      <c r="A2705" t="s">
        <v>10439</v>
      </c>
      <c r="B2705" t="s">
        <v>10437</v>
      </c>
      <c r="C2705" t="s">
        <v>10438</v>
      </c>
      <c r="D2705" t="s">
        <v>10</v>
      </c>
      <c r="E2705" t="s">
        <v>16</v>
      </c>
      <c r="F2705">
        <v>1</v>
      </c>
    </row>
    <row r="2706" spans="1:6" x14ac:dyDescent="0.2">
      <c r="A2706" t="s">
        <v>10816</v>
      </c>
      <c r="B2706" t="s">
        <v>10814</v>
      </c>
      <c r="C2706" t="s">
        <v>10817</v>
      </c>
      <c r="D2706" t="s">
        <v>10</v>
      </c>
      <c r="E2706" t="s">
        <v>11</v>
      </c>
      <c r="F2706">
        <v>2</v>
      </c>
    </row>
    <row r="2707" spans="1:6" x14ac:dyDescent="0.2">
      <c r="A2707" t="s">
        <v>8406</v>
      </c>
      <c r="B2707" t="s">
        <v>12022</v>
      </c>
      <c r="C2707" t="s">
        <v>12028</v>
      </c>
      <c r="D2707" t="s">
        <v>10</v>
      </c>
      <c r="E2707" t="s">
        <v>16</v>
      </c>
      <c r="F2707">
        <v>1</v>
      </c>
    </row>
    <row r="2708" spans="1:6" x14ac:dyDescent="0.2">
      <c r="A2708" t="s">
        <v>8390</v>
      </c>
      <c r="B2708" t="s">
        <v>12022</v>
      </c>
      <c r="C2708" t="s">
        <v>12029</v>
      </c>
      <c r="D2708" t="s">
        <v>10</v>
      </c>
      <c r="E2708" t="s">
        <v>16</v>
      </c>
      <c r="F2708">
        <v>1</v>
      </c>
    </row>
    <row r="2709" spans="1:6" x14ac:dyDescent="0.2">
      <c r="A2709" t="s">
        <v>7532</v>
      </c>
      <c r="B2709" t="s">
        <v>7525</v>
      </c>
      <c r="C2709" t="s">
        <v>7542</v>
      </c>
      <c r="D2709" t="s">
        <v>10</v>
      </c>
      <c r="E2709" t="s">
        <v>16</v>
      </c>
      <c r="F2709">
        <v>1</v>
      </c>
    </row>
    <row r="2710" spans="1:6" x14ac:dyDescent="0.2">
      <c r="A2710" t="s">
        <v>8388</v>
      </c>
      <c r="B2710" t="s">
        <v>8386</v>
      </c>
      <c r="C2710" t="s">
        <v>8402</v>
      </c>
      <c r="D2710" t="s">
        <v>10</v>
      </c>
      <c r="E2710" t="s">
        <v>52</v>
      </c>
      <c r="F2710">
        <v>1</v>
      </c>
    </row>
    <row r="2711" spans="1:6" x14ac:dyDescent="0.2">
      <c r="A2711" t="s">
        <v>8393</v>
      </c>
      <c r="B2711" t="s">
        <v>12022</v>
      </c>
      <c r="C2711" t="s">
        <v>12030</v>
      </c>
      <c r="D2711" t="s">
        <v>10</v>
      </c>
      <c r="E2711" t="s">
        <v>16</v>
      </c>
      <c r="F2711">
        <v>1</v>
      </c>
    </row>
    <row r="2712" spans="1:6" x14ac:dyDescent="0.2">
      <c r="A2712" t="s">
        <v>8396</v>
      </c>
      <c r="B2712" t="s">
        <v>12022</v>
      </c>
      <c r="C2712" t="s">
        <v>12031</v>
      </c>
      <c r="D2712" t="s">
        <v>10</v>
      </c>
      <c r="E2712" t="s">
        <v>16</v>
      </c>
      <c r="F2712">
        <v>1</v>
      </c>
    </row>
    <row r="2713" spans="1:6" x14ac:dyDescent="0.2">
      <c r="A2713" t="s">
        <v>8396</v>
      </c>
      <c r="B2713" t="s">
        <v>12022</v>
      </c>
      <c r="C2713" t="s">
        <v>12035</v>
      </c>
      <c r="D2713" t="s">
        <v>10</v>
      </c>
      <c r="E2713" t="s">
        <v>16</v>
      </c>
      <c r="F2713">
        <v>1</v>
      </c>
    </row>
    <row r="2714" spans="1:6" x14ac:dyDescent="0.2">
      <c r="A2714" t="s">
        <v>8411</v>
      </c>
      <c r="B2714" t="s">
        <v>12022</v>
      </c>
      <c r="C2714" t="s">
        <v>12032</v>
      </c>
      <c r="D2714" t="s">
        <v>10</v>
      </c>
      <c r="E2714" t="s">
        <v>16</v>
      </c>
      <c r="F2714">
        <v>1</v>
      </c>
    </row>
    <row r="2715" spans="1:6" x14ac:dyDescent="0.2">
      <c r="A2715" t="s">
        <v>425</v>
      </c>
      <c r="B2715" t="s">
        <v>423</v>
      </c>
      <c r="C2715" t="s">
        <v>426</v>
      </c>
      <c r="D2715" t="s">
        <v>56</v>
      </c>
      <c r="E2715" t="s">
        <v>16</v>
      </c>
      <c r="F2715">
        <v>1</v>
      </c>
    </row>
    <row r="2716" spans="1:6" x14ac:dyDescent="0.2">
      <c r="A2716" t="s">
        <v>238</v>
      </c>
      <c r="B2716" t="s">
        <v>1703</v>
      </c>
      <c r="C2716" t="s">
        <v>1706</v>
      </c>
      <c r="D2716" t="s">
        <v>10</v>
      </c>
      <c r="E2716" t="s">
        <v>16</v>
      </c>
      <c r="F2716">
        <v>1</v>
      </c>
    </row>
    <row r="2717" spans="1:6" x14ac:dyDescent="0.2">
      <c r="A2717" t="s">
        <v>1741</v>
      </c>
      <c r="B2717" t="s">
        <v>1739</v>
      </c>
      <c r="C2717" t="s">
        <v>1740</v>
      </c>
      <c r="D2717" t="s">
        <v>10</v>
      </c>
      <c r="E2717" t="s">
        <v>16</v>
      </c>
      <c r="F2717">
        <v>1</v>
      </c>
    </row>
    <row r="2718" spans="1:6" x14ac:dyDescent="0.2">
      <c r="A2718" t="s">
        <v>8237</v>
      </c>
      <c r="B2718" t="s">
        <v>8235</v>
      </c>
      <c r="C2718" t="s">
        <v>8236</v>
      </c>
      <c r="D2718" t="s">
        <v>10</v>
      </c>
      <c r="E2718" t="s">
        <v>16</v>
      </c>
      <c r="F2718">
        <v>1</v>
      </c>
    </row>
    <row r="2719" spans="1:6" x14ac:dyDescent="0.2">
      <c r="A2719" t="s">
        <v>1669</v>
      </c>
      <c r="B2719" t="s">
        <v>1667</v>
      </c>
      <c r="C2719" t="s">
        <v>1668</v>
      </c>
      <c r="D2719" t="s">
        <v>10</v>
      </c>
      <c r="E2719" t="s">
        <v>16</v>
      </c>
      <c r="F2719">
        <v>1</v>
      </c>
    </row>
    <row r="2720" spans="1:6" x14ac:dyDescent="0.2">
      <c r="A2720" t="s">
        <v>11167</v>
      </c>
      <c r="B2720" t="s">
        <v>11166</v>
      </c>
      <c r="C2720" t="s">
        <v>11167</v>
      </c>
      <c r="D2720" t="s">
        <v>10</v>
      </c>
      <c r="E2720" t="s">
        <v>16</v>
      </c>
      <c r="F2720">
        <v>1</v>
      </c>
    </row>
    <row r="2721" spans="1:6" x14ac:dyDescent="0.2">
      <c r="A2721" t="s">
        <v>3197</v>
      </c>
      <c r="B2721" t="s">
        <v>3195</v>
      </c>
      <c r="C2721" t="s">
        <v>3196</v>
      </c>
      <c r="D2721" t="s">
        <v>10</v>
      </c>
      <c r="E2721" t="s">
        <v>16</v>
      </c>
      <c r="F2721">
        <v>1</v>
      </c>
    </row>
    <row r="2722" spans="1:6" x14ac:dyDescent="0.2">
      <c r="A2722" s="10" t="s">
        <v>12124</v>
      </c>
      <c r="B2722" t="s">
        <v>12133</v>
      </c>
      <c r="C2722" s="13" t="s">
        <v>12134</v>
      </c>
    </row>
    <row r="2723" spans="1:6" x14ac:dyDescent="0.2">
      <c r="A2723" s="12" t="s">
        <v>12142</v>
      </c>
      <c r="B2723" t="s">
        <v>12133</v>
      </c>
      <c r="C2723" s="13" t="s">
        <v>12143</v>
      </c>
    </row>
    <row r="2724" spans="1:6" x14ac:dyDescent="0.2">
      <c r="A2724" s="10" t="s">
        <v>12125</v>
      </c>
      <c r="B2724" t="s">
        <v>12133</v>
      </c>
      <c r="C2724" s="13" t="s">
        <v>12135</v>
      </c>
    </row>
    <row r="2725" spans="1:6" x14ac:dyDescent="0.2">
      <c r="A2725" s="10" t="s">
        <v>12126</v>
      </c>
      <c r="B2725" t="s">
        <v>12133</v>
      </c>
      <c r="C2725" s="13" t="s">
        <v>64</v>
      </c>
    </row>
    <row r="2726" spans="1:6" x14ac:dyDescent="0.2">
      <c r="A2726" s="10" t="s">
        <v>12127</v>
      </c>
      <c r="B2726" t="s">
        <v>12133</v>
      </c>
      <c r="C2726" s="13" t="s">
        <v>12136</v>
      </c>
    </row>
    <row r="2727" spans="1:6" x14ac:dyDescent="0.2">
      <c r="A2727" s="10" t="s">
        <v>12128</v>
      </c>
      <c r="B2727" t="s">
        <v>12133</v>
      </c>
      <c r="C2727" s="13" t="s">
        <v>12137</v>
      </c>
    </row>
    <row r="2728" spans="1:6" x14ac:dyDescent="0.2">
      <c r="A2728" s="10" t="s">
        <v>12129</v>
      </c>
      <c r="B2728" t="s">
        <v>12133</v>
      </c>
      <c r="C2728" s="13" t="s">
        <v>12138</v>
      </c>
    </row>
    <row r="2729" spans="1:6" x14ac:dyDescent="0.2">
      <c r="A2729" s="10" t="s">
        <v>12130</v>
      </c>
      <c r="B2729" t="s">
        <v>12133</v>
      </c>
      <c r="C2729" s="13" t="s">
        <v>12139</v>
      </c>
    </row>
    <row r="2730" spans="1:6" x14ac:dyDescent="0.2">
      <c r="A2730" s="10" t="s">
        <v>12131</v>
      </c>
      <c r="B2730" t="s">
        <v>12133</v>
      </c>
      <c r="C2730" s="13" t="s">
        <v>12140</v>
      </c>
    </row>
    <row r="2731" spans="1:6" x14ac:dyDescent="0.2">
      <c r="A2731" s="10" t="s">
        <v>12132</v>
      </c>
      <c r="B2731" t="s">
        <v>12133</v>
      </c>
      <c r="C2731" t="s">
        <v>12141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8845-F317-40B9-A9BE-5514DD7B1F88}">
  <dimension ref="A1:D3069"/>
  <sheetViews>
    <sheetView tabSelected="1" workbookViewId="0">
      <selection activeCell="A2731" sqref="A1:D2731"/>
    </sheetView>
  </sheetViews>
  <sheetFormatPr defaultRowHeight="12.75" x14ac:dyDescent="0.2"/>
  <cols>
    <col min="3" max="3" width="20" customWidth="1"/>
  </cols>
  <sheetData>
    <row r="1" spans="1:4" x14ac:dyDescent="0.2">
      <c r="A1" s="10" t="s">
        <v>12053</v>
      </c>
      <c r="B1" s="10" t="s">
        <v>12054</v>
      </c>
      <c r="C1" s="12" t="s">
        <v>12123</v>
      </c>
      <c r="D1" s="10" t="s">
        <v>12055</v>
      </c>
    </row>
    <row r="2" spans="1:4" x14ac:dyDescent="0.2">
      <c r="A2" t="str">
        <f>Sheet2!A2</f>
        <v>A002</v>
      </c>
      <c r="B2" t="str">
        <f ca="1">'Query Example'!D2</f>
        <v>Gyrocopter</v>
      </c>
      <c r="C2" s="11" t="str">
        <f>CONCATENATE(Sheet2!F2,"/",Sheet2!E2)</f>
        <v>1/Piston</v>
      </c>
      <c r="D2" t="str">
        <f>CONCATENATE(Sheet2!B2,", ",Sheet2!C2)</f>
        <v>IRKUT, A-002</v>
      </c>
    </row>
    <row r="3" spans="1:4" x14ac:dyDescent="0.2">
      <c r="A3" t="str">
        <f>Sheet2!A3</f>
        <v>A1</v>
      </c>
      <c r="B3" t="str">
        <f ca="1">'Query Example'!D3</f>
        <v>LandPlane</v>
      </c>
      <c r="C3" s="11" t="str">
        <f>CONCATENATE(Sheet2!F3,"/",Sheet2!E3)</f>
        <v>1/Piston</v>
      </c>
      <c r="D3" t="str">
        <f>CONCATENATE(Sheet2!B3,", ",Sheet2!C3)</f>
        <v>DOUGLAS, A-1 Skyraider</v>
      </c>
    </row>
    <row r="4" spans="1:4" x14ac:dyDescent="0.2">
      <c r="A4" t="str">
        <f>Sheet2!A4</f>
        <v>A10</v>
      </c>
      <c r="B4" t="str">
        <f ca="1">'Query Example'!D4</f>
        <v>LandPlane</v>
      </c>
      <c r="C4" s="11" t="str">
        <f>CONCATENATE(Sheet2!F4,"/",Sheet2!E4)</f>
        <v>2/Jet</v>
      </c>
      <c r="D4" t="str">
        <f>CONCATENATE(Sheet2!B4,", ",Sheet2!C4)</f>
        <v>FAIRCHILD (1), A-10 Thunderbolt 2</v>
      </c>
    </row>
    <row r="5" spans="1:4" x14ac:dyDescent="0.2">
      <c r="A5" t="str">
        <f>Sheet2!A5</f>
        <v>A109</v>
      </c>
      <c r="B5" t="str">
        <f ca="1">'Query Example'!D5</f>
        <v>Helicopter</v>
      </c>
      <c r="C5" s="11" t="str">
        <f>CONCATENATE(Sheet2!F5,"/",Sheet2!E5)</f>
        <v>2/Turboprop/Turboshaft</v>
      </c>
      <c r="D5" t="str">
        <f>CONCATENATE(Sheet2!B5,", ",Sheet2!C5)</f>
        <v>AGUSTAWESTLAND, AW-109 Grand</v>
      </c>
    </row>
    <row r="6" spans="1:4" x14ac:dyDescent="0.2">
      <c r="A6" t="str">
        <f>Sheet2!A6</f>
        <v>A119</v>
      </c>
      <c r="B6" t="str">
        <f ca="1">'Query Example'!D6</f>
        <v>Helicopter</v>
      </c>
      <c r="C6" s="11" t="str">
        <f>CONCATENATE(Sheet2!F6,"/",Sheet2!E6)</f>
        <v>1/Turboprop/Turboshaft</v>
      </c>
      <c r="D6" t="str">
        <f>CONCATENATE(Sheet2!B6,", ",Sheet2!C6)</f>
        <v>AGUSTAWESTLAND, AW-119 Koala</v>
      </c>
    </row>
    <row r="7" spans="1:4" x14ac:dyDescent="0.2">
      <c r="A7" t="str">
        <f>Sheet2!A7</f>
        <v>A122</v>
      </c>
      <c r="B7" t="str">
        <f ca="1">'Query Example'!D7</f>
        <v>LandPlane</v>
      </c>
      <c r="C7" s="11" t="str">
        <f>CONCATENATE(Sheet2!F7,"/",Sheet2!E7)</f>
        <v>1/Piston</v>
      </c>
      <c r="D7" t="str">
        <f>CONCATENATE(Sheet2!B7,", ",Sheet2!C7)</f>
        <v>AEROTEC (1), A-122 Uirapuru</v>
      </c>
    </row>
    <row r="8" spans="1:4" x14ac:dyDescent="0.2">
      <c r="A8" t="str">
        <f>Sheet2!A8</f>
        <v>A124</v>
      </c>
      <c r="B8" t="str">
        <f ca="1">'Query Example'!D8</f>
        <v>LandPlane</v>
      </c>
      <c r="C8" s="11" t="str">
        <f>CONCATENATE(Sheet2!F8,"/",Sheet2!E8)</f>
        <v>4/Jet</v>
      </c>
      <c r="D8" t="str">
        <f>CONCATENATE(Sheet2!B8,", ",Sheet2!C8)</f>
        <v>ANTONOV, An-124 Ruslan</v>
      </c>
    </row>
    <row r="9" spans="1:4" x14ac:dyDescent="0.2">
      <c r="A9" t="str">
        <f>Sheet2!A9</f>
        <v>A129</v>
      </c>
      <c r="B9" t="str">
        <f ca="1">'Query Example'!D9</f>
        <v>Helicopter</v>
      </c>
      <c r="C9" s="11" t="str">
        <f>CONCATENATE(Sheet2!F9,"/",Sheet2!E9)</f>
        <v>2/Turboprop/Turboshaft</v>
      </c>
      <c r="D9" t="str">
        <f>CONCATENATE(Sheet2!B9,", ",Sheet2!C9)</f>
        <v>AGUSTAWESTLAND, AW-129</v>
      </c>
    </row>
    <row r="10" spans="1:4" x14ac:dyDescent="0.2">
      <c r="A10" t="str">
        <f>Sheet2!A10</f>
        <v>A139</v>
      </c>
      <c r="B10" t="str">
        <f ca="1">'Query Example'!D10</f>
        <v>Helicopter</v>
      </c>
      <c r="C10" s="11" t="str">
        <f>CONCATENATE(Sheet2!F10,"/",Sheet2!E10)</f>
        <v>2/Turboprop/Turboshaft</v>
      </c>
      <c r="D10" t="str">
        <f>CONCATENATE(Sheet2!B10,", ",Sheet2!C10)</f>
        <v>AGUSTAWESTLAND, AW-139</v>
      </c>
    </row>
    <row r="11" spans="1:4" x14ac:dyDescent="0.2">
      <c r="A11" t="str">
        <f>Sheet2!A11</f>
        <v>A140</v>
      </c>
      <c r="B11" t="str">
        <f ca="1">'Query Example'!D11</f>
        <v>LandPlane</v>
      </c>
      <c r="C11" s="11" t="str">
        <f>CONCATENATE(Sheet2!F11,"/",Sheet2!E11)</f>
        <v>2/Turboprop/Turboshaft</v>
      </c>
      <c r="D11" t="str">
        <f>CONCATENATE(Sheet2!B11,", ",Sheet2!C11)</f>
        <v>ANTONOV, An-140</v>
      </c>
    </row>
    <row r="12" spans="1:4" x14ac:dyDescent="0.2">
      <c r="A12" t="str">
        <f>Sheet2!A12</f>
        <v>A148</v>
      </c>
      <c r="B12" t="str">
        <f ca="1">'Query Example'!D12</f>
        <v>LandPlane</v>
      </c>
      <c r="C12" s="11" t="str">
        <f>CONCATENATE(Sheet2!F12,"/",Sheet2!E12)</f>
        <v>2/Jet</v>
      </c>
      <c r="D12" t="str">
        <f>CONCATENATE(Sheet2!B12,", ",Sheet2!C12)</f>
        <v>ANTONOV, An-148</v>
      </c>
    </row>
    <row r="13" spans="1:4" x14ac:dyDescent="0.2">
      <c r="A13" t="str">
        <f>Sheet2!A13</f>
        <v>A149</v>
      </c>
      <c r="B13" t="str">
        <f ca="1">'Query Example'!D13</f>
        <v>Helicopter</v>
      </c>
      <c r="C13" s="11" t="str">
        <f>CONCATENATE(Sheet2!F13,"/",Sheet2!E13)</f>
        <v>2/Turboprop/Turboshaft</v>
      </c>
      <c r="D13" t="str">
        <f>CONCATENATE(Sheet2!B13,", ",Sheet2!C13)</f>
        <v>AGUSTAWESTLAND, AW-149</v>
      </c>
    </row>
    <row r="14" spans="1:4" x14ac:dyDescent="0.2">
      <c r="A14" t="str">
        <f>Sheet2!A14</f>
        <v>A158</v>
      </c>
      <c r="B14" t="str">
        <f ca="1">'Query Example'!D14</f>
        <v>LandPlane</v>
      </c>
      <c r="C14" s="11" t="str">
        <f>CONCATENATE(Sheet2!F14,"/",Sheet2!E14)</f>
        <v>2/Jet</v>
      </c>
      <c r="D14" t="str">
        <f>CONCATENATE(Sheet2!B14,", ",Sheet2!C14)</f>
        <v>ANTONOV, An-158</v>
      </c>
    </row>
    <row r="15" spans="1:4" x14ac:dyDescent="0.2">
      <c r="A15" t="str">
        <f>Sheet2!A15</f>
        <v>A16</v>
      </c>
      <c r="B15" t="str">
        <f ca="1">'Query Example'!D15</f>
        <v>LandPlane</v>
      </c>
      <c r="C15" s="11" t="str">
        <f>CONCATENATE(Sheet2!F15,"/",Sheet2!E15)</f>
        <v>1/Piston</v>
      </c>
      <c r="D15" t="str">
        <f>CONCATENATE(Sheet2!B15,", ",Sheet2!C15)</f>
        <v>AVIADESIGN, A-16 Sport Falcon</v>
      </c>
    </row>
    <row r="16" spans="1:4" x14ac:dyDescent="0.2">
      <c r="A16" t="str">
        <f>Sheet2!A16</f>
        <v>A169</v>
      </c>
      <c r="B16" t="str">
        <f ca="1">'Query Example'!D16</f>
        <v>Helicopter</v>
      </c>
      <c r="C16" s="11" t="str">
        <f>CONCATENATE(Sheet2!F16,"/",Sheet2!E16)</f>
        <v>2/Turboprop/Turboshaft</v>
      </c>
      <c r="D16" t="str">
        <f>CONCATENATE(Sheet2!B16,", ",Sheet2!C16)</f>
        <v>AGUSTAWESTLAND, AW-169</v>
      </c>
    </row>
    <row r="17" spans="1:4" x14ac:dyDescent="0.2">
      <c r="A17" t="str">
        <f>Sheet2!A17</f>
        <v>A178</v>
      </c>
      <c r="B17" t="str">
        <f ca="1">'Query Example'!D17</f>
        <v>LandPlane</v>
      </c>
      <c r="C17" s="11" t="str">
        <f>CONCATENATE(Sheet2!F17,"/",Sheet2!E17)</f>
        <v>2/Jet</v>
      </c>
      <c r="D17" t="str">
        <f>CONCATENATE(Sheet2!B17,", ",Sheet2!C17)</f>
        <v>ANTONOV, An-178</v>
      </c>
    </row>
    <row r="18" spans="1:4" x14ac:dyDescent="0.2">
      <c r="A18" t="str">
        <f>Sheet2!A18</f>
        <v>A189</v>
      </c>
      <c r="B18" t="str">
        <f ca="1">'Query Example'!D18</f>
        <v>Helicopter</v>
      </c>
      <c r="C18" s="11" t="str">
        <f>CONCATENATE(Sheet2!F18,"/",Sheet2!E18)</f>
        <v>2/Turboprop/Turboshaft</v>
      </c>
      <c r="D18" t="str">
        <f>CONCATENATE(Sheet2!B18,", ",Sheet2!C18)</f>
        <v>AGUSTAWESTLAND, AW-189</v>
      </c>
    </row>
    <row r="19" spans="1:4" x14ac:dyDescent="0.2">
      <c r="A19" t="str">
        <f>Sheet2!A19</f>
        <v>A19</v>
      </c>
      <c r="B19" t="str">
        <f ca="1">'Query Example'!D19</f>
        <v>LandPlane</v>
      </c>
      <c r="C19" s="11" t="str">
        <f>CONCATENATE(Sheet2!F19,"/",Sheet2!E19)</f>
        <v>1/Piston</v>
      </c>
      <c r="D19" t="str">
        <f>CONCATENATE(Sheet2!B19,", ",Sheet2!C19)</f>
        <v>AEROPRACT, A-19</v>
      </c>
    </row>
    <row r="20" spans="1:4" x14ac:dyDescent="0.2">
      <c r="A20" t="str">
        <f>Sheet2!A20</f>
        <v>A19N</v>
      </c>
      <c r="B20" t="str">
        <f ca="1">'Query Example'!D20</f>
        <v>LandPlane</v>
      </c>
      <c r="C20" s="11" t="str">
        <f>CONCATENATE(Sheet2!F20,"/",Sheet2!E20)</f>
        <v>2/Jet</v>
      </c>
      <c r="D20" t="str">
        <f>CONCATENATE(Sheet2!B20,", ",Sheet2!C20)</f>
        <v>AIRBUS, A-319neo</v>
      </c>
    </row>
    <row r="21" spans="1:4" x14ac:dyDescent="0.2">
      <c r="A21" t="str">
        <f>Sheet2!A21</f>
        <v>A20</v>
      </c>
      <c r="B21" t="str">
        <f ca="1">'Query Example'!D21</f>
        <v>LandPlane</v>
      </c>
      <c r="C21" s="11" t="str">
        <f>CONCATENATE(Sheet2!F21,"/",Sheet2!E21)</f>
        <v>2/Piston</v>
      </c>
      <c r="D21" t="str">
        <f>CONCATENATE(Sheet2!B21,", ",Sheet2!C21)</f>
        <v>DOUGLAS, A-20 Havoc</v>
      </c>
    </row>
    <row r="22" spans="1:4" x14ac:dyDescent="0.2">
      <c r="A22" t="str">
        <f>Sheet2!A22</f>
        <v>A205</v>
      </c>
      <c r="B22" t="str">
        <f ca="1">'Query Example'!D22</f>
        <v>Gyrocopter</v>
      </c>
      <c r="C22" s="11" t="str">
        <f>CONCATENATE(Sheet2!F22,"/",Sheet2!E22)</f>
        <v>1/Piston</v>
      </c>
      <c r="D22" t="str">
        <f>CONCATENATE(Sheet2!B22,", ",Sheet2!C22)</f>
        <v>OSKBES-MAI, MAI-205</v>
      </c>
    </row>
    <row r="23" spans="1:4" x14ac:dyDescent="0.2">
      <c r="A23" t="str">
        <f>Sheet2!A23</f>
        <v>A20J</v>
      </c>
      <c r="B23" t="str">
        <f ca="1">'Query Example'!D23</f>
        <v>LandPlane</v>
      </c>
      <c r="C23" s="11" t="str">
        <f>CONCATENATE(Sheet2!F23,"/",Sheet2!E23)</f>
        <v>1/Jet</v>
      </c>
      <c r="D23" t="str">
        <f>CONCATENATE(Sheet2!B23,", ",Sheet2!C23)</f>
        <v>SCHLEICHER, ASW-20J</v>
      </c>
    </row>
    <row r="24" spans="1:4" x14ac:dyDescent="0.2">
      <c r="A24" t="str">
        <f>Sheet2!A24</f>
        <v>A20N</v>
      </c>
      <c r="B24" t="str">
        <f ca="1">'Query Example'!D24</f>
        <v>LandPlane</v>
      </c>
      <c r="C24" s="11" t="str">
        <f>CONCATENATE(Sheet2!F24,"/",Sheet2!E24)</f>
        <v>2/Jet</v>
      </c>
      <c r="D24" t="str">
        <f>CONCATENATE(Sheet2!B24,", ",Sheet2!C24)</f>
        <v>AIRBUS, A-320neo</v>
      </c>
    </row>
    <row r="25" spans="1:4" x14ac:dyDescent="0.2">
      <c r="A25" t="str">
        <f>Sheet2!A25</f>
        <v>A21</v>
      </c>
      <c r="B25" t="str">
        <f ca="1">'Query Example'!D25</f>
        <v>LandPlane</v>
      </c>
      <c r="C25" s="11" t="str">
        <f>CONCATENATE(Sheet2!F25,"/",Sheet2!E25)</f>
        <v>1/Piston</v>
      </c>
      <c r="D25" t="str">
        <f>CONCATENATE(Sheet2!B25,", ",Sheet2!C25)</f>
        <v>AEROPRACT, A-21 Solo</v>
      </c>
    </row>
    <row r="26" spans="1:4" x14ac:dyDescent="0.2">
      <c r="A26" t="str">
        <f>Sheet2!A26</f>
        <v>A210</v>
      </c>
      <c r="B26" t="str">
        <f ca="1">'Query Example'!D26</f>
        <v>LandPlane</v>
      </c>
      <c r="C26" s="11" t="str">
        <f>CONCATENATE(Sheet2!F26,"/",Sheet2!E26)</f>
        <v>1/Piston</v>
      </c>
      <c r="D26" t="str">
        <f>CONCATENATE(Sheet2!B26,", ",Sheet2!C26)</f>
        <v>AQUILA, A-210</v>
      </c>
    </row>
    <row r="27" spans="1:4" x14ac:dyDescent="0.2">
      <c r="A27" t="str">
        <f>Sheet2!A27</f>
        <v>A21N</v>
      </c>
      <c r="B27" t="str">
        <f ca="1">'Query Example'!D27</f>
        <v>LandPlane</v>
      </c>
      <c r="C27" s="11" t="str">
        <f>CONCATENATE(Sheet2!F27,"/",Sheet2!E27)</f>
        <v>2/Jet</v>
      </c>
      <c r="D27" t="str">
        <f>CONCATENATE(Sheet2!B27,", ",Sheet2!C27)</f>
        <v>AIRBUS, A-321neo</v>
      </c>
    </row>
    <row r="28" spans="1:4" x14ac:dyDescent="0.2">
      <c r="A28" t="str">
        <f>Sheet2!A28</f>
        <v>A22</v>
      </c>
      <c r="B28" t="str">
        <f ca="1">'Query Example'!D28</f>
        <v>LandPlane</v>
      </c>
      <c r="C28" s="11" t="str">
        <f>CONCATENATE(Sheet2!F28,"/",Sheet2!E28)</f>
        <v>1/Piston</v>
      </c>
      <c r="D28" t="str">
        <f>CONCATENATE(Sheet2!B28,", ",Sheet2!C28)</f>
        <v>SADLER, A-22 Piranha</v>
      </c>
    </row>
    <row r="29" spans="1:4" x14ac:dyDescent="0.2">
      <c r="A29" t="str">
        <f>Sheet2!A29</f>
        <v>A223</v>
      </c>
      <c r="B29" t="str">
        <f ca="1">'Query Example'!D29</f>
        <v>LandPlane</v>
      </c>
      <c r="C29" s="11" t="str">
        <f>CONCATENATE(Sheet2!F29,"/",Sheet2!E29)</f>
        <v>1/Piston</v>
      </c>
      <c r="D29" t="str">
        <f>CONCATENATE(Sheet2!B29,", ",Sheet2!C29)</f>
        <v>OSKBES-MAI, MAI-223 Kityonok</v>
      </c>
    </row>
    <row r="30" spans="1:4" x14ac:dyDescent="0.2">
      <c r="A30" t="str">
        <f>Sheet2!A30</f>
        <v>A225</v>
      </c>
      <c r="B30" t="str">
        <f ca="1">'Query Example'!D30</f>
        <v>LandPlane</v>
      </c>
      <c r="C30" s="11" t="str">
        <f>CONCATENATE(Sheet2!F30,"/",Sheet2!E30)</f>
        <v>6/Jet</v>
      </c>
      <c r="D30" t="str">
        <f>CONCATENATE(Sheet2!B30,", ",Sheet2!C30)</f>
        <v>ANTONOV, An-225 Mriya</v>
      </c>
    </row>
    <row r="31" spans="1:4" x14ac:dyDescent="0.2">
      <c r="A31" t="str">
        <f>Sheet2!A31</f>
        <v>A23</v>
      </c>
      <c r="B31" t="str">
        <f ca="1">'Query Example'!D31</f>
        <v>LandPlane</v>
      </c>
      <c r="C31" s="11" t="str">
        <f>CONCATENATE(Sheet2!F31,"/",Sheet2!E31)</f>
        <v>1/Piston</v>
      </c>
      <c r="D31" t="str">
        <f>CONCATENATE(Sheet2!B31,", ",Sheet2!C31)</f>
        <v>AEROPRACT, A-23 Dragon</v>
      </c>
    </row>
    <row r="32" spans="1:4" x14ac:dyDescent="0.2">
      <c r="A32" t="str">
        <f>Sheet2!A32</f>
        <v>A25</v>
      </c>
      <c r="B32" t="str">
        <f ca="1">'Query Example'!D32</f>
        <v>Amphibian</v>
      </c>
      <c r="C32" s="11" t="str">
        <f>CONCATENATE(Sheet2!F32,"/",Sheet2!E32)</f>
        <v>1/Piston</v>
      </c>
      <c r="D32" t="str">
        <f>CONCATENATE(Sheet2!B32,", ",Sheet2!C32)</f>
        <v>AEROPRACT, A-25 Breeze</v>
      </c>
    </row>
    <row r="33" spans="1:4" x14ac:dyDescent="0.2">
      <c r="A33" t="str">
        <f>Sheet2!A33</f>
        <v>A251</v>
      </c>
      <c r="B33" t="str">
        <f ca="1">'Query Example'!D33</f>
        <v>Amphibian</v>
      </c>
      <c r="C33" s="11" t="str">
        <f>CONCATENATE(Sheet2!F33,"/",Sheet2!E33)</f>
        <v>2/Piston</v>
      </c>
      <c r="D33" t="str">
        <f>CONCATENATE(Sheet2!B33,", ",Sheet2!C33)</f>
        <v>AVIATIK-ALYANS, Aleks-251</v>
      </c>
    </row>
    <row r="34" spans="1:4" x14ac:dyDescent="0.2">
      <c r="A34" t="str">
        <f>Sheet2!A34</f>
        <v>A27</v>
      </c>
      <c r="B34" t="str">
        <f ca="1">'Query Example'!D34</f>
        <v>LandPlane</v>
      </c>
      <c r="C34" s="11" t="str">
        <f>CONCATENATE(Sheet2!F34,"/",Sheet2!E34)</f>
        <v>1/Piston</v>
      </c>
      <c r="D34" t="str">
        <f>CONCATENATE(Sheet2!B34,", ",Sheet2!C34)</f>
        <v>AEROPRACT, A-27</v>
      </c>
    </row>
    <row r="35" spans="1:4" x14ac:dyDescent="0.2">
      <c r="A35" t="str">
        <f>Sheet2!A35</f>
        <v>A270</v>
      </c>
      <c r="B35" t="str">
        <f ca="1">'Query Example'!D35</f>
        <v>LandPlane</v>
      </c>
      <c r="C35" s="11" t="str">
        <f>CONCATENATE(Sheet2!F35,"/",Sheet2!E35)</f>
        <v>1/Turboprop/Turboshaft</v>
      </c>
      <c r="D35" t="str">
        <f>CONCATENATE(Sheet2!B35,", ",Sheet2!C35)</f>
        <v>AERO (2), Ae-270 Propjet</v>
      </c>
    </row>
    <row r="36" spans="1:4" x14ac:dyDescent="0.2">
      <c r="A36" t="str">
        <f>Sheet2!A36</f>
        <v>A29</v>
      </c>
      <c r="B36" t="str">
        <f ca="1">'Query Example'!D36</f>
        <v>LandPlane</v>
      </c>
      <c r="C36" s="11" t="str">
        <f>CONCATENATE(Sheet2!F36,"/",Sheet2!E36)</f>
        <v>1/Piston</v>
      </c>
      <c r="D36" t="str">
        <f>CONCATENATE(Sheet2!B36,", ",Sheet2!C36)</f>
        <v>AVANTAGE, A-29</v>
      </c>
    </row>
    <row r="37" spans="1:4" x14ac:dyDescent="0.2">
      <c r="A37" t="str">
        <f>Sheet2!A37</f>
        <v>A2RT</v>
      </c>
      <c r="B37" t="str">
        <f ca="1">'Query Example'!D37</f>
        <v>Helicopter</v>
      </c>
      <c r="C37" s="11" t="str">
        <f>CONCATENATE(Sheet2!F37,"/",Sheet2!E37)</f>
        <v>2/Turboprop/Turboshaft</v>
      </c>
      <c r="D37" t="str">
        <f>CONCATENATE(Sheet2!B37,", ",Sheet2!C37)</f>
        <v>KAZAN, Ansat 2RT</v>
      </c>
    </row>
    <row r="38" spans="1:4" x14ac:dyDescent="0.2">
      <c r="A38" t="str">
        <f>Sheet2!A38</f>
        <v>A3</v>
      </c>
      <c r="B38" t="str">
        <f ca="1">'Query Example'!D38</f>
        <v>LandPlane</v>
      </c>
      <c r="C38" s="11" t="str">
        <f>CONCATENATE(Sheet2!F38,"/",Sheet2!E38)</f>
        <v>2/Jet</v>
      </c>
      <c r="D38" t="str">
        <f>CONCATENATE(Sheet2!B38,", ",Sheet2!C38)</f>
        <v>DOUGLAS, A-3 Skywarrior</v>
      </c>
    </row>
    <row r="39" spans="1:4" x14ac:dyDescent="0.2">
      <c r="A39" t="str">
        <f>Sheet2!A39</f>
        <v>A306</v>
      </c>
      <c r="B39" t="str">
        <f ca="1">'Query Example'!D39</f>
        <v>LandPlane</v>
      </c>
      <c r="C39" s="11" t="str">
        <f>CONCATENATE(Sheet2!F39,"/",Sheet2!E39)</f>
        <v>2/Jet</v>
      </c>
      <c r="D39" t="str">
        <f>CONCATENATE(Sheet2!B39,", ",Sheet2!C39)</f>
        <v>AIRBUS, A-300B4-600</v>
      </c>
    </row>
    <row r="40" spans="1:4" x14ac:dyDescent="0.2">
      <c r="A40" t="str">
        <f>Sheet2!A40</f>
        <v>A30B</v>
      </c>
      <c r="B40" t="str">
        <f ca="1">'Query Example'!D40</f>
        <v>LandPlane</v>
      </c>
      <c r="C40" s="11" t="str">
        <f>CONCATENATE(Sheet2!F40,"/",Sheet2!E40)</f>
        <v>2/Jet</v>
      </c>
      <c r="D40" t="str">
        <f>CONCATENATE(Sheet2!B40,", ",Sheet2!C40)</f>
        <v>AIRBUS, A-300B4-200</v>
      </c>
    </row>
    <row r="41" spans="1:4" x14ac:dyDescent="0.2">
      <c r="A41" t="str">
        <f>Sheet2!A41</f>
        <v>A31</v>
      </c>
      <c r="B41" t="str">
        <f ca="1">'Query Example'!D41</f>
        <v>LandPlane</v>
      </c>
      <c r="C41" s="11" t="str">
        <f>CONCATENATE(Sheet2!F41,"/",Sheet2!E41)</f>
        <v>1/Piston</v>
      </c>
      <c r="D41" t="str">
        <f>CONCATENATE(Sheet2!B41,", ",Sheet2!C41)</f>
        <v>AVANTAGE, A-31 Spectrum</v>
      </c>
    </row>
    <row r="42" spans="1:4" x14ac:dyDescent="0.2">
      <c r="A42" t="str">
        <f>Sheet2!A42</f>
        <v>A310</v>
      </c>
      <c r="B42" t="str">
        <f ca="1">'Query Example'!D42</f>
        <v>LandPlane</v>
      </c>
      <c r="C42" s="11" t="str">
        <f>CONCATENATE(Sheet2!F42,"/",Sheet2!E42)</f>
        <v>2/Jet</v>
      </c>
      <c r="D42" t="str">
        <f>CONCATENATE(Sheet2!B42,", ",Sheet2!C42)</f>
        <v>AIRBUS, A-310</v>
      </c>
    </row>
    <row r="43" spans="1:4" x14ac:dyDescent="0.2">
      <c r="A43" t="str">
        <f>Sheet2!A43</f>
        <v>A318</v>
      </c>
      <c r="B43" t="str">
        <f ca="1">'Query Example'!D43</f>
        <v>LandPlane</v>
      </c>
      <c r="C43" s="11" t="str">
        <f>CONCATENATE(Sheet2!F43,"/",Sheet2!E43)</f>
        <v>2/Jet</v>
      </c>
      <c r="D43" t="str">
        <f>CONCATENATE(Sheet2!B43,", ",Sheet2!C43)</f>
        <v>AIRBUS, A-318</v>
      </c>
    </row>
    <row r="44" spans="1:4" x14ac:dyDescent="0.2">
      <c r="A44" t="str">
        <f>Sheet2!A44</f>
        <v>A319</v>
      </c>
      <c r="B44" t="str">
        <f ca="1">'Query Example'!D44</f>
        <v>LandPlane</v>
      </c>
      <c r="C44" s="11" t="str">
        <f>CONCATENATE(Sheet2!F44,"/",Sheet2!E44)</f>
        <v>2/Jet</v>
      </c>
      <c r="D44" t="str">
        <f>CONCATENATE(Sheet2!B44,", ",Sheet2!C44)</f>
        <v>AIRBUS, A-319</v>
      </c>
    </row>
    <row r="45" spans="1:4" x14ac:dyDescent="0.2">
      <c r="A45" t="str">
        <f>Sheet2!A45</f>
        <v>A320</v>
      </c>
      <c r="B45" t="str">
        <f ca="1">'Query Example'!D45</f>
        <v>LandPlane</v>
      </c>
      <c r="C45" s="11" t="str">
        <f>CONCATENATE(Sheet2!F45,"/",Sheet2!E45)</f>
        <v>2/Jet</v>
      </c>
      <c r="D45" t="str">
        <f>CONCATENATE(Sheet2!B45,", ",Sheet2!C45)</f>
        <v>AIRBUS, A-320</v>
      </c>
    </row>
    <row r="46" spans="1:4" x14ac:dyDescent="0.2">
      <c r="A46" t="str">
        <f>Sheet2!A46</f>
        <v>A321</v>
      </c>
      <c r="B46" t="str">
        <f ca="1">'Query Example'!D46</f>
        <v>LandPlane</v>
      </c>
      <c r="C46" s="11" t="str">
        <f>CONCATENATE(Sheet2!F46,"/",Sheet2!E46)</f>
        <v>2/Jet</v>
      </c>
      <c r="D46" t="str">
        <f>CONCATENATE(Sheet2!B46,", ",Sheet2!C46)</f>
        <v>AIRBUS, A-321</v>
      </c>
    </row>
    <row r="47" spans="1:4" x14ac:dyDescent="0.2">
      <c r="A47" t="str">
        <f>Sheet2!A47</f>
        <v>A32E</v>
      </c>
      <c r="B47" t="str">
        <f ca="1">'Query Example'!D47</f>
        <v>LandPlane</v>
      </c>
      <c r="C47" s="11" t="str">
        <f>CONCATENATE(Sheet2!F47,"/",Sheet2!E47)</f>
        <v>1/Electric</v>
      </c>
      <c r="D47" t="str">
        <f>CONCATENATE(Sheet2!B47,", ",Sheet2!C47)</f>
        <v>SCHLEICHER, ASG-32EL</v>
      </c>
    </row>
    <row r="48" spans="1:4" x14ac:dyDescent="0.2">
      <c r="A48" t="str">
        <f>Sheet2!A48</f>
        <v>A32P</v>
      </c>
      <c r="B48" t="str">
        <f ca="1">'Query Example'!D48</f>
        <v>LandPlane</v>
      </c>
      <c r="C48" s="11" t="str">
        <f>CONCATENATE(Sheet2!F48,"/",Sheet2!E48)</f>
        <v>1/Piston</v>
      </c>
      <c r="D48" t="str">
        <f>CONCATENATE(Sheet2!B48,", ",Sheet2!C48)</f>
        <v>SCHLEICHER, ASG-32Mi</v>
      </c>
    </row>
    <row r="49" spans="1:4" x14ac:dyDescent="0.2">
      <c r="A49" t="str">
        <f>Sheet2!A49</f>
        <v>A33</v>
      </c>
      <c r="B49" t="str">
        <f ca="1">'Query Example'!D49</f>
        <v>LandPlane</v>
      </c>
      <c r="C49" s="11" t="str">
        <f>CONCATENATE(Sheet2!F49,"/",Sheet2!E49)</f>
        <v>1/Piston</v>
      </c>
      <c r="D49" t="str">
        <f>CONCATENATE(Sheet2!B49,", ",Sheet2!C49)</f>
        <v>AEROPRACT, A-33</v>
      </c>
    </row>
    <row r="50" spans="1:4" x14ac:dyDescent="0.2">
      <c r="A50" t="str">
        <f>Sheet2!A50</f>
        <v>A332</v>
      </c>
      <c r="B50" t="str">
        <f ca="1">'Query Example'!D50</f>
        <v>LandPlane</v>
      </c>
      <c r="C50" s="11" t="str">
        <f>CONCATENATE(Sheet2!F50,"/",Sheet2!E50)</f>
        <v>2/Jet</v>
      </c>
      <c r="D50" t="str">
        <f>CONCATENATE(Sheet2!B50,", ",Sheet2!C50)</f>
        <v>AIRBUS, A-330-200</v>
      </c>
    </row>
    <row r="51" spans="1:4" x14ac:dyDescent="0.2">
      <c r="A51" t="str">
        <f>Sheet2!A51</f>
        <v>A333</v>
      </c>
      <c r="B51" t="str">
        <f ca="1">'Query Example'!D51</f>
        <v>LandPlane</v>
      </c>
      <c r="C51" s="11" t="str">
        <f>CONCATENATE(Sheet2!F51,"/",Sheet2!E51)</f>
        <v>2/Jet</v>
      </c>
      <c r="D51" t="str">
        <f>CONCATENATE(Sheet2!B51,", ",Sheet2!C51)</f>
        <v>AIRBUS, A-330-300</v>
      </c>
    </row>
    <row r="52" spans="1:4" x14ac:dyDescent="0.2">
      <c r="A52" t="str">
        <f>Sheet2!A52</f>
        <v>A337</v>
      </c>
      <c r="B52" t="str">
        <f ca="1">'Query Example'!D52</f>
        <v>LandPlane</v>
      </c>
      <c r="C52" s="11" t="str">
        <f>CONCATENATE(Sheet2!F52,"/",Sheet2!E52)</f>
        <v>2/Jet</v>
      </c>
      <c r="D52" t="str">
        <f>CONCATENATE(Sheet2!B52,", ",Sheet2!C52)</f>
        <v>AIRBUS, A-330-700 Beluga XL</v>
      </c>
    </row>
    <row r="53" spans="1:4" x14ac:dyDescent="0.2">
      <c r="A53" t="str">
        <f>Sheet2!A53</f>
        <v>A337</v>
      </c>
      <c r="B53" t="str">
        <f ca="1">'Query Example'!D53</f>
        <v>LandPlane</v>
      </c>
      <c r="C53" s="11" t="str">
        <f>CONCATENATE(Sheet2!F53,"/",Sheet2!E53)</f>
        <v>2/Jet</v>
      </c>
      <c r="D53" t="str">
        <f>CONCATENATE(Sheet2!B53,", ",Sheet2!C53)</f>
        <v>AIRBUS, Beluga XL</v>
      </c>
    </row>
    <row r="54" spans="1:4" x14ac:dyDescent="0.2">
      <c r="A54" t="str">
        <f>Sheet2!A54</f>
        <v>A338</v>
      </c>
      <c r="B54" t="str">
        <f ca="1">'Query Example'!D54</f>
        <v>LandPlane</v>
      </c>
      <c r="C54" s="11" t="str">
        <f>CONCATENATE(Sheet2!F54,"/",Sheet2!E54)</f>
        <v>2/Jet</v>
      </c>
      <c r="D54" t="str">
        <f>CONCATENATE(Sheet2!B54,", ",Sheet2!C54)</f>
        <v>AIRBUS, A-330-800</v>
      </c>
    </row>
    <row r="55" spans="1:4" x14ac:dyDescent="0.2">
      <c r="A55" t="str">
        <f>Sheet2!A55</f>
        <v>A339</v>
      </c>
      <c r="B55" t="str">
        <f ca="1">'Query Example'!D55</f>
        <v>LandPlane</v>
      </c>
      <c r="C55" s="11" t="str">
        <f>CONCATENATE(Sheet2!F55,"/",Sheet2!E55)</f>
        <v>2/Jet</v>
      </c>
      <c r="D55" t="str">
        <f>CONCATENATE(Sheet2!B55,", ",Sheet2!C55)</f>
        <v>AIRBUS, A-330-900</v>
      </c>
    </row>
    <row r="56" spans="1:4" x14ac:dyDescent="0.2">
      <c r="A56" t="str">
        <f>Sheet2!A56</f>
        <v>A33E</v>
      </c>
      <c r="B56" t="str">
        <f ca="1">'Query Example'!D56</f>
        <v>LandPlane</v>
      </c>
      <c r="C56" s="11" t="str">
        <f>CONCATENATE(Sheet2!F56,"/",Sheet2!E56)</f>
        <v>1/Electric</v>
      </c>
      <c r="D56" t="str">
        <f>CONCATENATE(Sheet2!B56,", ",Sheet2!C56)</f>
        <v>SCHLEICHER, AS-33Me</v>
      </c>
    </row>
    <row r="57" spans="1:4" x14ac:dyDescent="0.2">
      <c r="A57" t="str">
        <f>Sheet2!A57</f>
        <v>A33P</v>
      </c>
      <c r="B57" t="str">
        <f ca="1">'Query Example'!D57</f>
        <v>LandPlane</v>
      </c>
      <c r="C57" s="11" t="str">
        <f>CONCATENATE(Sheet2!F57,"/",Sheet2!E57)</f>
        <v>1/Piston</v>
      </c>
      <c r="D57" t="str">
        <f>CONCATENATE(Sheet2!B57,", ",Sheet2!C57)</f>
        <v>SCHLEICHER, AS-33Es</v>
      </c>
    </row>
    <row r="58" spans="1:4" x14ac:dyDescent="0.2">
      <c r="A58" t="str">
        <f>Sheet2!A58</f>
        <v>A342</v>
      </c>
      <c r="B58" t="str">
        <f ca="1">'Query Example'!D58</f>
        <v>LandPlane</v>
      </c>
      <c r="C58" s="11" t="str">
        <f>CONCATENATE(Sheet2!F58,"/",Sheet2!E58)</f>
        <v>4/Jet</v>
      </c>
      <c r="D58" t="str">
        <f>CONCATENATE(Sheet2!B58,", ",Sheet2!C58)</f>
        <v>AIRBUS, A-340-200</v>
      </c>
    </row>
    <row r="59" spans="1:4" x14ac:dyDescent="0.2">
      <c r="A59" t="str">
        <f>Sheet2!A59</f>
        <v>A343</v>
      </c>
      <c r="B59" t="str">
        <f ca="1">'Query Example'!D59</f>
        <v>LandPlane</v>
      </c>
      <c r="C59" s="11" t="str">
        <f>CONCATENATE(Sheet2!F59,"/",Sheet2!E59)</f>
        <v>4/Jet</v>
      </c>
      <c r="D59" t="str">
        <f>CONCATENATE(Sheet2!B59,", ",Sheet2!C59)</f>
        <v>AIRBUS, A-340-300</v>
      </c>
    </row>
    <row r="60" spans="1:4" x14ac:dyDescent="0.2">
      <c r="A60" t="str">
        <f>Sheet2!A60</f>
        <v>A345</v>
      </c>
      <c r="B60" t="str">
        <f ca="1">'Query Example'!D60</f>
        <v>LandPlane</v>
      </c>
      <c r="C60" s="11" t="str">
        <f>CONCATENATE(Sheet2!F60,"/",Sheet2!E60)</f>
        <v>4/Jet</v>
      </c>
      <c r="D60" t="str">
        <f>CONCATENATE(Sheet2!B60,", ",Sheet2!C60)</f>
        <v>AIRBUS, A-340-500</v>
      </c>
    </row>
    <row r="61" spans="1:4" x14ac:dyDescent="0.2">
      <c r="A61" t="str">
        <f>Sheet2!A61</f>
        <v>A346</v>
      </c>
      <c r="B61" t="str">
        <f ca="1">'Query Example'!D61</f>
        <v>LandPlane</v>
      </c>
      <c r="C61" s="11" t="str">
        <f>CONCATENATE(Sheet2!F61,"/",Sheet2!E61)</f>
        <v>4/Jet</v>
      </c>
      <c r="D61" t="str">
        <f>CONCATENATE(Sheet2!B61,", ",Sheet2!C61)</f>
        <v>AIRBUS, A-340-600</v>
      </c>
    </row>
    <row r="62" spans="1:4" x14ac:dyDescent="0.2">
      <c r="A62" t="str">
        <f>Sheet2!A62</f>
        <v>A34E</v>
      </c>
      <c r="B62" t="str">
        <f ca="1">'Query Example'!D62</f>
        <v>LandPlane</v>
      </c>
      <c r="C62" s="11" t="str">
        <f>CONCATENATE(Sheet2!F62,"/",Sheet2!E62)</f>
        <v>1/Electric</v>
      </c>
      <c r="D62" t="str">
        <f>CONCATENATE(Sheet2!B62,", ",Sheet2!C62)</f>
        <v>SCHLEICHER, AS-34Me</v>
      </c>
    </row>
    <row r="63" spans="1:4" x14ac:dyDescent="0.2">
      <c r="A63" t="str">
        <f>Sheet2!A63</f>
        <v>A35</v>
      </c>
      <c r="B63" t="str">
        <f ca="1">'Query Example'!D63</f>
        <v>LandPlane</v>
      </c>
      <c r="C63" s="11" t="str">
        <f>CONCATENATE(Sheet2!F63,"/",Sheet2!E63)</f>
        <v>1/Piston</v>
      </c>
      <c r="D63" t="str">
        <f>CONCATENATE(Sheet2!B63,", ",Sheet2!C63)</f>
        <v>AVANTAGE, A-35 Scanner</v>
      </c>
    </row>
    <row r="64" spans="1:4" x14ac:dyDescent="0.2">
      <c r="A64" t="str">
        <f>Sheet2!A64</f>
        <v>A35</v>
      </c>
      <c r="B64" t="str">
        <f ca="1">'Query Example'!D64</f>
        <v>LandPlane</v>
      </c>
      <c r="C64" s="11" t="str">
        <f>CONCATENATE(Sheet2!F64,"/",Sheet2!E64)</f>
        <v>1/Piston</v>
      </c>
      <c r="D64" t="str">
        <f>CONCATENATE(Sheet2!B64,", ",Sheet2!C64)</f>
        <v>AVANTAGE, Scanner</v>
      </c>
    </row>
    <row r="65" spans="1:4" x14ac:dyDescent="0.2">
      <c r="A65" t="str">
        <f>Sheet2!A65</f>
        <v>A359</v>
      </c>
      <c r="B65" t="str">
        <f ca="1">'Query Example'!D65</f>
        <v>LandPlane</v>
      </c>
      <c r="C65" s="11" t="str">
        <f>CONCATENATE(Sheet2!F65,"/",Sheet2!E65)</f>
        <v>2/Jet</v>
      </c>
      <c r="D65" t="str">
        <f>CONCATENATE(Sheet2!B65,", ",Sheet2!C65)</f>
        <v>AIRBUS, A-350-900 XWB</v>
      </c>
    </row>
    <row r="66" spans="1:4" x14ac:dyDescent="0.2">
      <c r="A66" t="str">
        <f>Sheet2!A66</f>
        <v>A35K</v>
      </c>
      <c r="B66" t="str">
        <f ca="1">'Query Example'!D66</f>
        <v>LandPlane</v>
      </c>
      <c r="C66" s="11" t="str">
        <f>CONCATENATE(Sheet2!F66,"/",Sheet2!E66)</f>
        <v>2/Jet</v>
      </c>
      <c r="D66" t="str">
        <f>CONCATENATE(Sheet2!B66,", ",Sheet2!C66)</f>
        <v>AIRBUS, A-350-1000 XWB</v>
      </c>
    </row>
    <row r="67" spans="1:4" x14ac:dyDescent="0.2">
      <c r="A67" t="str">
        <f>Sheet2!A67</f>
        <v>A37</v>
      </c>
      <c r="B67" t="str">
        <f ca="1">'Query Example'!D67</f>
        <v>LandPlane</v>
      </c>
      <c r="C67" s="11" t="str">
        <f>CONCATENATE(Sheet2!F67,"/",Sheet2!E67)</f>
        <v>2/Jet</v>
      </c>
      <c r="D67" t="str">
        <f>CONCATENATE(Sheet2!B67,", ",Sheet2!C67)</f>
        <v>CESSNA, A-37 Dragonfly</v>
      </c>
    </row>
    <row r="68" spans="1:4" x14ac:dyDescent="0.2">
      <c r="A68" t="str">
        <f>Sheet2!A68</f>
        <v>A388</v>
      </c>
      <c r="B68" t="str">
        <f ca="1">'Query Example'!D68</f>
        <v>LandPlane</v>
      </c>
      <c r="C68" s="11" t="str">
        <f>CONCATENATE(Sheet2!F68,"/",Sheet2!E68)</f>
        <v>4/Jet</v>
      </c>
      <c r="D68" t="str">
        <f>CONCATENATE(Sheet2!B68,", ",Sheet2!C68)</f>
        <v>AIRBUS, A-380-800</v>
      </c>
    </row>
    <row r="69" spans="1:4" x14ac:dyDescent="0.2">
      <c r="A69" t="str">
        <f>Sheet2!A69</f>
        <v>A3ST</v>
      </c>
      <c r="B69" t="str">
        <f ca="1">'Query Example'!D69</f>
        <v>LandPlane</v>
      </c>
      <c r="C69" s="11" t="str">
        <f>CONCATENATE(Sheet2!F69,"/",Sheet2!E69)</f>
        <v>2/Jet</v>
      </c>
      <c r="D69" t="str">
        <f>CONCATENATE(Sheet2!B69,", ",Sheet2!C69)</f>
        <v>AIRBUS, A-300ST Beluga</v>
      </c>
    </row>
    <row r="70" spans="1:4" x14ac:dyDescent="0.2">
      <c r="A70" t="str">
        <f>Sheet2!A70</f>
        <v>A4</v>
      </c>
      <c r="B70" t="str">
        <f ca="1">'Query Example'!D70</f>
        <v>LandPlane</v>
      </c>
      <c r="C70" s="11" t="str">
        <f>CONCATENATE(Sheet2!F70,"/",Sheet2!E70)</f>
        <v>1/Jet</v>
      </c>
      <c r="D70" t="str">
        <f>CONCATENATE(Sheet2!B70,", ",Sheet2!C70)</f>
        <v>MCDONNELL DOUGLAS, A-4 Skyhawk</v>
      </c>
    </row>
    <row r="71" spans="1:4" x14ac:dyDescent="0.2">
      <c r="A71" t="str">
        <f>Sheet2!A71</f>
        <v>A400</v>
      </c>
      <c r="B71" t="str">
        <f ca="1">'Query Example'!D71</f>
        <v>LandPlane</v>
      </c>
      <c r="C71" s="11" t="str">
        <f>CONCATENATE(Sheet2!F71,"/",Sheet2!E71)</f>
        <v>4/Turboprop/Turboshaft</v>
      </c>
      <c r="D71" t="str">
        <f>CONCATENATE(Sheet2!B71,", ",Sheet2!C71)</f>
        <v>AIRBUS, A-400M Atlas</v>
      </c>
    </row>
    <row r="72" spans="1:4" x14ac:dyDescent="0.2">
      <c r="A72" t="str">
        <f>Sheet2!A72</f>
        <v>A411</v>
      </c>
      <c r="B72" t="str">
        <f ca="1">'Query Example'!D72</f>
        <v>LandPlane</v>
      </c>
      <c r="C72" s="11" t="str">
        <f>CONCATENATE(Sheet2!F72,"/",Sheet2!E72)</f>
        <v>2/Piston</v>
      </c>
      <c r="D72" t="str">
        <f>CONCATENATE(Sheet2!B72,", ",Sheet2!C72)</f>
        <v>OSKBES-MAI, MAI-411</v>
      </c>
    </row>
    <row r="73" spans="1:4" x14ac:dyDescent="0.2">
      <c r="A73" t="str">
        <f>Sheet2!A73</f>
        <v>A5</v>
      </c>
      <c r="B73" t="str">
        <f ca="1">'Query Example'!D73</f>
        <v>Amphibian</v>
      </c>
      <c r="C73" s="11" t="str">
        <f>CONCATENATE(Sheet2!F73,"/",Sheet2!E73)</f>
        <v>1/Piston</v>
      </c>
      <c r="D73" t="str">
        <f>CONCATENATE(Sheet2!B73,", ",Sheet2!C73)</f>
        <v>ICON, A-5</v>
      </c>
    </row>
    <row r="74" spans="1:4" x14ac:dyDescent="0.2">
      <c r="A74" t="str">
        <f>Sheet2!A74</f>
        <v>A50</v>
      </c>
      <c r="B74" t="str">
        <f ca="1">'Query Example'!D74</f>
        <v>LandPlane</v>
      </c>
      <c r="C74" s="11" t="str">
        <f>CONCATENATE(Sheet2!F74,"/",Sheet2!E74)</f>
        <v>4/Jet</v>
      </c>
      <c r="D74" t="str">
        <f>CONCATENATE(Sheet2!B74,", ",Sheet2!C74)</f>
        <v>BERIEV, A-50</v>
      </c>
    </row>
    <row r="75" spans="1:4" x14ac:dyDescent="0.2">
      <c r="A75" t="str">
        <f>Sheet2!A75</f>
        <v>A500</v>
      </c>
      <c r="B75" t="str">
        <f ca="1">'Query Example'!D75</f>
        <v>LandPlane</v>
      </c>
      <c r="C75" s="11" t="str">
        <f>CONCATENATE(Sheet2!F75,"/",Sheet2!E75)</f>
        <v>2/Piston</v>
      </c>
      <c r="D75" t="str">
        <f>CONCATENATE(Sheet2!B75,", ",Sheet2!C75)</f>
        <v>ADAM (2), A-500 CarbonAero</v>
      </c>
    </row>
    <row r="76" spans="1:4" x14ac:dyDescent="0.2">
      <c r="A76" t="str">
        <f>Sheet2!A76</f>
        <v>A504</v>
      </c>
      <c r="B76" t="str">
        <f ca="1">'Query Example'!D76</f>
        <v>LandPlane</v>
      </c>
      <c r="C76" s="11" t="str">
        <f>CONCATENATE(Sheet2!F76,"/",Sheet2!E76)</f>
        <v>1/Piston</v>
      </c>
      <c r="D76" t="str">
        <f>CONCATENATE(Sheet2!B76,", ",Sheet2!C76)</f>
        <v>AVRO, 504 Replica</v>
      </c>
    </row>
    <row r="77" spans="1:4" x14ac:dyDescent="0.2">
      <c r="A77" t="str">
        <f>Sheet2!A77</f>
        <v>A6</v>
      </c>
      <c r="B77" t="str">
        <f ca="1">'Query Example'!D77</f>
        <v>LandPlane</v>
      </c>
      <c r="C77" s="11" t="str">
        <f>CONCATENATE(Sheet2!F77,"/",Sheet2!E77)</f>
        <v>2/Jet</v>
      </c>
      <c r="D77" t="str">
        <f>CONCATENATE(Sheet2!B77,", ",Sheet2!C77)</f>
        <v>GRUMMAN, A-6 Intruder</v>
      </c>
    </row>
    <row r="78" spans="1:4" x14ac:dyDescent="0.2">
      <c r="A78" t="str">
        <f>Sheet2!A78</f>
        <v>A600</v>
      </c>
      <c r="B78" t="str">
        <f ca="1">'Query Example'!D78</f>
        <v>Helicopter</v>
      </c>
      <c r="C78" s="11" t="str">
        <f>CONCATENATE(Sheet2!F78,"/",Sheet2!E78)</f>
        <v>1/Piston</v>
      </c>
      <c r="D78" t="str">
        <f>CONCATENATE(Sheet2!B78,", ",Sheet2!C78)</f>
        <v>ROTORWAY, A-600 Talon</v>
      </c>
    </row>
    <row r="79" spans="1:4" x14ac:dyDescent="0.2">
      <c r="A79" t="str">
        <f>Sheet2!A79</f>
        <v>A660</v>
      </c>
      <c r="B79" t="str">
        <f ca="1">'Query Example'!D79</f>
        <v>LandPlane</v>
      </c>
      <c r="C79" s="11" t="str">
        <f>CONCATENATE(Sheet2!F79,"/",Sheet2!E79)</f>
        <v>1/Turboprop/Turboshaft</v>
      </c>
      <c r="D79" t="str">
        <f>CONCATENATE(Sheet2!B79,", ",Sheet2!C79)</f>
        <v>AYRES, S-2R-T660 Turbo Thrush</v>
      </c>
    </row>
    <row r="80" spans="1:4" x14ac:dyDescent="0.2">
      <c r="A80" t="str">
        <f>Sheet2!A80</f>
        <v>A700</v>
      </c>
      <c r="B80" t="str">
        <f ca="1">'Query Example'!D80</f>
        <v>LandPlane</v>
      </c>
      <c r="C80" s="11" t="str">
        <f>CONCATENATE(Sheet2!F80,"/",Sheet2!E80)</f>
        <v>2/Jet</v>
      </c>
      <c r="D80" t="str">
        <f>CONCATENATE(Sheet2!B80,", ",Sheet2!C80)</f>
        <v>ADAM (2), A-700 AdamJet</v>
      </c>
    </row>
    <row r="81" spans="1:4" x14ac:dyDescent="0.2">
      <c r="A81" t="str">
        <f>Sheet2!A81</f>
        <v>A743</v>
      </c>
      <c r="B81" t="str">
        <f ca="1">'Query Example'!D81</f>
        <v>LandPlane</v>
      </c>
      <c r="C81" s="11" t="str">
        <f>CONCATENATE(Sheet2!F81,"/",Sheet2!E81)</f>
        <v>2/Jet</v>
      </c>
      <c r="D81" t="str">
        <f>CONCATENATE(Sheet2!B81,", ",Sheet2!C81)</f>
        <v>ANTONOV, An-74-300</v>
      </c>
    </row>
    <row r="82" spans="1:4" x14ac:dyDescent="0.2">
      <c r="A82" t="str">
        <f>Sheet2!A82</f>
        <v>A748</v>
      </c>
      <c r="B82" t="str">
        <f ca="1">'Query Example'!D82</f>
        <v>LandPlane</v>
      </c>
      <c r="C82" s="11" t="str">
        <f>CONCATENATE(Sheet2!F82,"/",Sheet2!E82)</f>
        <v>2/Turboprop/Turboshaft</v>
      </c>
      <c r="D82" t="str">
        <f>CONCATENATE(Sheet2!B82,", ",Sheet2!C82)</f>
        <v>HAWKER SIDDELEY, HS-748 Andover</v>
      </c>
    </row>
    <row r="83" spans="1:4" x14ac:dyDescent="0.2">
      <c r="A83" t="str">
        <f>Sheet2!A83</f>
        <v>A890</v>
      </c>
      <c r="B83" t="str">
        <f ca="1">'Query Example'!D83</f>
        <v>LandPlane</v>
      </c>
      <c r="C83" s="11" t="str">
        <f>CONCATENATE(Sheet2!F83,"/",Sheet2!E83)</f>
        <v>1/Piston</v>
      </c>
      <c r="D83" t="str">
        <f>CONCATENATE(Sheet2!B83,", ",Sheet2!C83)</f>
        <v>OSKBES-MAI, MAI-890</v>
      </c>
    </row>
    <row r="84" spans="1:4" x14ac:dyDescent="0.2">
      <c r="A84" t="str">
        <f>Sheet2!A84</f>
        <v>A9</v>
      </c>
      <c r="B84" t="str">
        <f ca="1">'Query Example'!D84</f>
        <v>LandPlane</v>
      </c>
      <c r="C84" s="11" t="str">
        <f>CONCATENATE(Sheet2!F84,"/",Sheet2!E84)</f>
        <v>1/Piston</v>
      </c>
      <c r="D84" t="str">
        <f>CONCATENATE(Sheet2!B84,", ",Sheet2!C84)</f>
        <v>AAMSA, A-9 Quail</v>
      </c>
    </row>
    <row r="85" spans="1:4" x14ac:dyDescent="0.2">
      <c r="A85" t="str">
        <f>Sheet2!A85</f>
        <v>A900</v>
      </c>
      <c r="B85" t="str">
        <f ca="1">'Query Example'!D85</f>
        <v>LandPlane</v>
      </c>
      <c r="C85" s="11" t="str">
        <f>CONCATENATE(Sheet2!F85,"/",Sheet2!E85)</f>
        <v>1/Piston</v>
      </c>
      <c r="D85" t="str">
        <f>CONCATENATE(Sheet2!B85,", ",Sheet2!C85)</f>
        <v>OSKBES-MAI, MAI-900 Acrobat</v>
      </c>
    </row>
    <row r="86" spans="1:4" x14ac:dyDescent="0.2">
      <c r="A86" t="str">
        <f>Sheet2!A86</f>
        <v>A910</v>
      </c>
      <c r="B86" t="str">
        <f ca="1">'Query Example'!D86</f>
        <v>LandPlane</v>
      </c>
      <c r="C86" s="11" t="str">
        <f>CONCATENATE(Sheet2!F86,"/",Sheet2!E86)</f>
        <v>1/Piston</v>
      </c>
      <c r="D86" t="str">
        <f>CONCATENATE(Sheet2!B86,", ",Sheet2!C86)</f>
        <v>OSKBES-MAI, MAI-910 Interfly</v>
      </c>
    </row>
    <row r="87" spans="1:4" x14ac:dyDescent="0.2">
      <c r="A87" t="str">
        <f>Sheet2!A87</f>
        <v>AA1</v>
      </c>
      <c r="B87" t="str">
        <f ca="1">'Query Example'!D87</f>
        <v>LandPlane</v>
      </c>
      <c r="C87" s="11" t="str">
        <f>CONCATENATE(Sheet2!F87,"/",Sheet2!E87)</f>
        <v>1/Piston</v>
      </c>
      <c r="D87" t="str">
        <f>CONCATENATE(Sheet2!B87,", ",Sheet2!C87)</f>
        <v>GRUMMAN AMERICAN, AA-1 Lynx</v>
      </c>
    </row>
    <row r="88" spans="1:4" x14ac:dyDescent="0.2">
      <c r="A88" t="str">
        <f>Sheet2!A88</f>
        <v>AA37</v>
      </c>
      <c r="B88" t="str">
        <f ca="1">'Query Example'!D88</f>
        <v>LandPlane</v>
      </c>
      <c r="C88" s="11" t="str">
        <f>CONCATENATE(Sheet2!F88,"/",Sheet2!E88)</f>
        <v>2/Piston</v>
      </c>
      <c r="D88" t="str">
        <f>CONCATENATE(Sheet2!B88,", ",Sheet2!C88)</f>
        <v>AEROPRACT, A-37</v>
      </c>
    </row>
    <row r="89" spans="1:4" x14ac:dyDescent="0.2">
      <c r="A89" t="str">
        <f>Sheet2!A89</f>
        <v>AA5</v>
      </c>
      <c r="B89" t="str">
        <f ca="1">'Query Example'!D89</f>
        <v>LandPlane</v>
      </c>
      <c r="C89" s="11" t="str">
        <f>CONCATENATE(Sheet2!F89,"/",Sheet2!E89)</f>
        <v>1/Piston</v>
      </c>
      <c r="D89" t="str">
        <f>CONCATENATE(Sheet2!B89,", ",Sheet2!C89)</f>
        <v>GRUMMAN AMERICAN, AA-5 Traveler</v>
      </c>
    </row>
    <row r="90" spans="1:4" x14ac:dyDescent="0.2">
      <c r="A90" t="str">
        <f>Sheet2!A90</f>
        <v>AAT3</v>
      </c>
      <c r="B90" t="str">
        <f ca="1">'Query Example'!D90</f>
        <v>LandPlane</v>
      </c>
      <c r="C90" s="11" t="str">
        <f>CONCATENATE(Sheet2!F90,"/",Sheet2!E90)</f>
        <v>1/Piston</v>
      </c>
      <c r="D90" t="str">
        <f>CONCATENATE(Sheet2!B90,", ",Sheet2!C90)</f>
        <v>AERO (3), AT-3</v>
      </c>
    </row>
    <row r="91" spans="1:4" x14ac:dyDescent="0.2">
      <c r="A91" t="str">
        <f>Sheet2!A91</f>
        <v>AAT4</v>
      </c>
      <c r="B91" t="str">
        <f ca="1">'Query Example'!D91</f>
        <v>LandPlane</v>
      </c>
      <c r="C91" s="11" t="str">
        <f>CONCATENATE(Sheet2!F91,"/",Sheet2!E91)</f>
        <v>1/Piston</v>
      </c>
      <c r="D91" t="str">
        <f>CONCATENATE(Sheet2!B91,", ",Sheet2!C91)</f>
        <v>AERO (3), AT-4</v>
      </c>
    </row>
    <row r="92" spans="1:4" x14ac:dyDescent="0.2">
      <c r="A92" t="str">
        <f>Sheet2!A92</f>
        <v>AB11</v>
      </c>
      <c r="B92" t="str">
        <f ca="1">'Query Example'!D92</f>
        <v>LandPlane</v>
      </c>
      <c r="C92" s="11" t="str">
        <f>CONCATENATE(Sheet2!F92,"/",Sheet2!E92)</f>
        <v>1/Piston</v>
      </c>
      <c r="D92" t="str">
        <f>CONCATENATE(Sheet2!B92,", ",Sheet2!C92)</f>
        <v>AERO BOERO, AB-115</v>
      </c>
    </row>
    <row r="93" spans="1:4" x14ac:dyDescent="0.2">
      <c r="A93" t="str">
        <f>Sheet2!A93</f>
        <v>AB15</v>
      </c>
      <c r="B93" t="str">
        <f ca="1">'Query Example'!D93</f>
        <v>LandPlane</v>
      </c>
      <c r="C93" s="11" t="str">
        <f>CONCATENATE(Sheet2!F93,"/",Sheet2!E93)</f>
        <v>1/Piston</v>
      </c>
      <c r="D93" t="str">
        <f>CONCATENATE(Sheet2!B93,", ",Sheet2!C93)</f>
        <v>AERO BOERO, AB-150</v>
      </c>
    </row>
    <row r="94" spans="1:4" x14ac:dyDescent="0.2">
      <c r="A94" t="str">
        <f>Sheet2!A94</f>
        <v>AB18</v>
      </c>
      <c r="B94" t="str">
        <f ca="1">'Query Example'!D94</f>
        <v>LandPlane</v>
      </c>
      <c r="C94" s="11" t="str">
        <f>CONCATENATE(Sheet2!F94,"/",Sheet2!E94)</f>
        <v>1/Piston</v>
      </c>
      <c r="D94" t="str">
        <f>CONCATENATE(Sheet2!B94,", ",Sheet2!C94)</f>
        <v>AERO BOERO, AB-180</v>
      </c>
    </row>
    <row r="95" spans="1:4" x14ac:dyDescent="0.2">
      <c r="A95" t="str">
        <f>Sheet2!A95</f>
        <v>AB95</v>
      </c>
      <c r="B95" t="str">
        <f ca="1">'Query Example'!D95</f>
        <v>LandPlane</v>
      </c>
      <c r="C95" s="11" t="str">
        <f>CONCATENATE(Sheet2!F95,"/",Sheet2!E95)</f>
        <v>1/Piston</v>
      </c>
      <c r="D95" t="str">
        <f>CONCATENATE(Sheet2!B95,", ",Sheet2!C95)</f>
        <v>AERO BOERO, AB-95</v>
      </c>
    </row>
    <row r="96" spans="1:4" x14ac:dyDescent="0.2">
      <c r="A96" t="str">
        <f>Sheet2!A96</f>
        <v>AC10</v>
      </c>
      <c r="B96" t="str">
        <f ca="1">'Query Example'!D96</f>
        <v>Gyrocopter</v>
      </c>
      <c r="C96" s="11" t="str">
        <f>CONCATENATE(Sheet2!F96,"/",Sheet2!E96)</f>
        <v>1/Piston</v>
      </c>
      <c r="D96" t="str">
        <f>CONCATENATE(Sheet2!B96,", ",Sheet2!C96)</f>
        <v>FD-COMPOSITES, ArrowCopter</v>
      </c>
    </row>
    <row r="97" spans="1:4" x14ac:dyDescent="0.2">
      <c r="A97" t="str">
        <f>Sheet2!A97</f>
        <v>AC11</v>
      </c>
      <c r="B97" t="str">
        <f ca="1">'Query Example'!D97</f>
        <v>LandPlane</v>
      </c>
      <c r="C97" s="11" t="str">
        <f>CONCATENATE(Sheet2!F97,"/",Sheet2!E97)</f>
        <v>1/Piston</v>
      </c>
      <c r="D97" t="str">
        <f>CONCATENATE(Sheet2!B97,", ",Sheet2!C97)</f>
        <v>NORTH AMERICAN ROCKWELL, Commander 112</v>
      </c>
    </row>
    <row r="98" spans="1:4" x14ac:dyDescent="0.2">
      <c r="A98" t="str">
        <f>Sheet2!A98</f>
        <v>AC31</v>
      </c>
      <c r="B98" t="str">
        <f ca="1">'Query Example'!D98</f>
        <v>Helicopter</v>
      </c>
      <c r="C98" s="11" t="str">
        <f>CONCATENATE(Sheet2!F98,"/",Sheet2!E98)</f>
        <v>1/Turboprop/Turboshaft</v>
      </c>
      <c r="D98" t="str">
        <f>CONCATENATE(Sheet2!B98,", ",Sheet2!C98)</f>
        <v>AVICOPTER, AC-311</v>
      </c>
    </row>
    <row r="99" spans="1:4" x14ac:dyDescent="0.2">
      <c r="A99" t="str">
        <f>Sheet2!A99</f>
        <v>AC33</v>
      </c>
      <c r="B99" t="str">
        <f ca="1">'Query Example'!D99</f>
        <v>Helicopter</v>
      </c>
      <c r="C99" s="11" t="str">
        <f>CONCATENATE(Sheet2!F99,"/",Sheet2!E99)</f>
        <v>3/Turboprop/Turboshaft</v>
      </c>
      <c r="D99" t="str">
        <f>CONCATENATE(Sheet2!B99,", ",Sheet2!C99)</f>
        <v>AVICOPTER, AC-313</v>
      </c>
    </row>
    <row r="100" spans="1:4" x14ac:dyDescent="0.2">
      <c r="A100" t="str">
        <f>Sheet2!A100</f>
        <v>AC4</v>
      </c>
      <c r="B100" t="str">
        <f ca="1">'Query Example'!D100</f>
        <v>LandPlane</v>
      </c>
      <c r="C100" s="11" t="str">
        <f>CONCATENATE(Sheet2!F100,"/",Sheet2!E100)</f>
        <v>1/Piston</v>
      </c>
      <c r="D100" t="str">
        <f>CONCATENATE(Sheet2!B100,", ",Sheet2!C100)</f>
        <v>LIGHT WING, AC-4</v>
      </c>
    </row>
    <row r="101" spans="1:4" x14ac:dyDescent="0.2">
      <c r="A101" t="str">
        <f>Sheet2!A101</f>
        <v>AC50</v>
      </c>
      <c r="B101" t="str">
        <f ca="1">'Query Example'!D101</f>
        <v>LandPlane</v>
      </c>
      <c r="C101" s="11" t="str">
        <f>CONCATENATE(Sheet2!F101,"/",Sheet2!E101)</f>
        <v>2/Piston</v>
      </c>
      <c r="D101" t="str">
        <f>CONCATENATE(Sheet2!B101,", ",Sheet2!C101)</f>
        <v>AERO (1), Commander 500</v>
      </c>
    </row>
    <row r="102" spans="1:4" x14ac:dyDescent="0.2">
      <c r="A102" t="str">
        <f>Sheet2!A102</f>
        <v>AC52</v>
      </c>
      <c r="B102" t="str">
        <f ca="1">'Query Example'!D102</f>
        <v>LandPlane</v>
      </c>
      <c r="C102" s="11" t="str">
        <f>CONCATENATE(Sheet2!F102,"/",Sheet2!E102)</f>
        <v>2/Piston</v>
      </c>
      <c r="D102" t="str">
        <f>CONCATENATE(Sheet2!B102,", ",Sheet2!C102)</f>
        <v>AERO (1), Commander 520</v>
      </c>
    </row>
    <row r="103" spans="1:4" x14ac:dyDescent="0.2">
      <c r="A103" t="str">
        <f>Sheet2!A103</f>
        <v>AC56</v>
      </c>
      <c r="B103" t="str">
        <f ca="1">'Query Example'!D103</f>
        <v>LandPlane</v>
      </c>
      <c r="C103" s="11" t="str">
        <f>CONCATENATE(Sheet2!F103,"/",Sheet2!E103)</f>
        <v>2/Piston</v>
      </c>
      <c r="D103" t="str">
        <f>CONCATENATE(Sheet2!B103,", ",Sheet2!C103)</f>
        <v>AERO (1), Commander 560</v>
      </c>
    </row>
    <row r="104" spans="1:4" x14ac:dyDescent="0.2">
      <c r="A104" t="str">
        <f>Sheet2!A104</f>
        <v>AC5A</v>
      </c>
      <c r="B104" t="str">
        <f ca="1">'Query Example'!D104</f>
        <v>LandPlane</v>
      </c>
      <c r="C104" s="11" t="str">
        <f>CONCATENATE(Sheet2!F104,"/",Sheet2!E104)</f>
        <v>1/Piston</v>
      </c>
      <c r="D104" t="str">
        <f>CONCATENATE(Sheet2!B104,", ",Sheet2!C104)</f>
        <v>NANJING, AC-500 Aircar</v>
      </c>
    </row>
    <row r="105" spans="1:4" x14ac:dyDescent="0.2">
      <c r="A105" t="str">
        <f>Sheet2!A105</f>
        <v>AC5M</v>
      </c>
      <c r="B105" t="str">
        <f ca="1">'Query Example'!D105</f>
        <v>LandPlane</v>
      </c>
      <c r="C105" s="11" t="str">
        <f>CONCATENATE(Sheet2!F105,"/",Sheet2!E105)</f>
        <v>1/Piston</v>
      </c>
      <c r="D105" t="str">
        <f>CONCATENATE(Sheet2!B105,", ",Sheet2!C105)</f>
        <v>AVIASTROITEL, AC-5M</v>
      </c>
    </row>
    <row r="106" spans="1:4" x14ac:dyDescent="0.2">
      <c r="A106" t="str">
        <f>Sheet2!A106</f>
        <v>AC68</v>
      </c>
      <c r="B106" t="str">
        <f ca="1">'Query Example'!D106</f>
        <v>LandPlane</v>
      </c>
      <c r="C106" s="11" t="str">
        <f>CONCATENATE(Sheet2!F106,"/",Sheet2!E106)</f>
        <v>2/Piston</v>
      </c>
      <c r="D106" t="str">
        <f>CONCATENATE(Sheet2!B106,", ",Sheet2!C106)</f>
        <v>AERO (1), Commander 680 Super</v>
      </c>
    </row>
    <row r="107" spans="1:4" x14ac:dyDescent="0.2">
      <c r="A107" t="str">
        <f>Sheet2!A107</f>
        <v>AC6L</v>
      </c>
      <c r="B107" t="str">
        <f ca="1">'Query Example'!D107</f>
        <v>LandPlane</v>
      </c>
      <c r="C107" s="11" t="str">
        <f>CONCATENATE(Sheet2!F107,"/",Sheet2!E107)</f>
        <v>2/Piston</v>
      </c>
      <c r="D107" t="str">
        <f>CONCATENATE(Sheet2!B107,", ",Sheet2!C107)</f>
        <v>NORTH AMERICAN ROCKWELL, Commander 685</v>
      </c>
    </row>
    <row r="108" spans="1:4" x14ac:dyDescent="0.2">
      <c r="A108" t="str">
        <f>Sheet2!A108</f>
        <v>AC72</v>
      </c>
      <c r="B108" t="str">
        <f ca="1">'Query Example'!D108</f>
        <v>LandPlane</v>
      </c>
      <c r="C108" s="11" t="str">
        <f>CONCATENATE(Sheet2!F108,"/",Sheet2!E108)</f>
        <v>2/Piston</v>
      </c>
      <c r="D108" t="str">
        <f>CONCATENATE(Sheet2!B108,", ",Sheet2!C108)</f>
        <v>AERO (1), Commander 720 Alti Cruiser</v>
      </c>
    </row>
    <row r="109" spans="1:4" x14ac:dyDescent="0.2">
      <c r="A109" t="str">
        <f>Sheet2!A109</f>
        <v>AC80</v>
      </c>
      <c r="B109" t="str">
        <f ca="1">'Query Example'!D109</f>
        <v>LandPlane</v>
      </c>
      <c r="C109" s="11" t="str">
        <f>CONCATENATE(Sheet2!F109,"/",Sheet2!E109)</f>
        <v>2/Turboprop/Turboshaft</v>
      </c>
      <c r="D109" t="str">
        <f>CONCATENATE(Sheet2!B109,", ",Sheet2!C109)</f>
        <v>AERO COMMANDER, 680T Turbo Commander</v>
      </c>
    </row>
    <row r="110" spans="1:4" x14ac:dyDescent="0.2">
      <c r="A110" t="str">
        <f>Sheet2!A110</f>
        <v>AC90</v>
      </c>
      <c r="B110" t="str">
        <f ca="1">'Query Example'!D110</f>
        <v>LandPlane</v>
      </c>
      <c r="C110" s="11" t="str">
        <f>CONCATENATE(Sheet2!F110,"/",Sheet2!E110)</f>
        <v>2/Turboprop/Turboshaft</v>
      </c>
      <c r="D110" t="str">
        <f>CONCATENATE(Sheet2!B110,", ",Sheet2!C110)</f>
        <v>NORTH AMERICAN ROCKWELL, Turbo Commander 690</v>
      </c>
    </row>
    <row r="111" spans="1:4" x14ac:dyDescent="0.2">
      <c r="A111" t="str">
        <f>Sheet2!A111</f>
        <v>AC95</v>
      </c>
      <c r="B111" t="str">
        <f ca="1">'Query Example'!D111</f>
        <v>LandPlane</v>
      </c>
      <c r="C111" s="11" t="str">
        <f>CONCATENATE(Sheet2!F111,"/",Sheet2!E111)</f>
        <v>2/Turboprop/Turboshaft</v>
      </c>
      <c r="D111" t="str">
        <f>CONCATENATE(Sheet2!B111,", ",Sheet2!C111)</f>
        <v>ROCKWELL, Jetprop Commander 1000</v>
      </c>
    </row>
    <row r="112" spans="1:4" x14ac:dyDescent="0.2">
      <c r="A112" t="str">
        <f>Sheet2!A112</f>
        <v>ACAM</v>
      </c>
      <c r="B112" t="str">
        <f ca="1">'Query Example'!D112</f>
        <v>LandPlane</v>
      </c>
      <c r="C112" s="11" t="str">
        <f>CONCATENATE(Sheet2!F112,"/",Sheet2!E112)</f>
        <v>2/Piston</v>
      </c>
      <c r="D112" t="str">
        <f>CONCATENATE(Sheet2!B112,", ",Sheet2!C112)</f>
        <v>LOCKWOOD, Air Cam</v>
      </c>
    </row>
    <row r="113" spans="1:4" x14ac:dyDescent="0.2">
      <c r="A113" t="str">
        <f>Sheet2!A113</f>
        <v>ACAR</v>
      </c>
      <c r="B113" t="str">
        <f ca="1">'Query Example'!D113</f>
        <v>LandPlane</v>
      </c>
      <c r="C113" s="11" t="str">
        <f>CONCATENATE(Sheet2!F113,"/",Sheet2!E113)</f>
        <v>1/Piston</v>
      </c>
      <c r="D113" t="str">
        <f>CONCATENATE(Sheet2!B113,", ",Sheet2!C113)</f>
        <v>AUSTER, J-5 Autocar</v>
      </c>
    </row>
    <row r="114" spans="1:4" x14ac:dyDescent="0.2">
      <c r="A114" t="str">
        <f>Sheet2!A114</f>
        <v>ACED</v>
      </c>
      <c r="B114" t="str">
        <f ca="1">'Query Example'!D114</f>
        <v>LandPlane</v>
      </c>
      <c r="C114" s="11" t="str">
        <f>CONCATENATE(Sheet2!F114,"/",Sheet2!E114)</f>
        <v>1/Piston</v>
      </c>
      <c r="D114" t="str">
        <f>CONCATENATE(Sheet2!B114,", ",Sheet2!C114)</f>
        <v>POWELL, P-70 Acey Deucy</v>
      </c>
    </row>
    <row r="115" spans="1:4" x14ac:dyDescent="0.2">
      <c r="A115" t="str">
        <f>Sheet2!A115</f>
        <v>ACJR</v>
      </c>
      <c r="B115" t="str">
        <f ca="1">'Query Example'!D115</f>
        <v>Amphibian</v>
      </c>
      <c r="C115" s="11" t="str">
        <f>CONCATENATE(Sheet2!F115,"/",Sheet2!E115)</f>
        <v>1/Piston</v>
      </c>
      <c r="D115" t="str">
        <f>CONCATENATE(Sheet2!B115,", ",Sheet2!C115)</f>
        <v>SPENCER, Air Car Junior</v>
      </c>
    </row>
    <row r="116" spans="1:4" x14ac:dyDescent="0.2">
      <c r="A116" t="str">
        <f>Sheet2!A116</f>
        <v>ACPL</v>
      </c>
      <c r="B116" t="str">
        <f ca="1">'Query Example'!D116</f>
        <v>LandPlane</v>
      </c>
      <c r="C116" s="11" t="str">
        <f>CONCATENATE(Sheet2!F116,"/",Sheet2!E116)</f>
        <v>1/Piston</v>
      </c>
      <c r="D116" t="str">
        <f>CONCATENATE(Sheet2!B116,", ",Sheet2!C116)</f>
        <v>OPTION AIR, Acapella</v>
      </c>
    </row>
    <row r="117" spans="1:4" x14ac:dyDescent="0.2">
      <c r="A117" t="str">
        <f>Sheet2!A117</f>
        <v>ACR2</v>
      </c>
      <c r="B117" t="str">
        <f ca="1">'Query Example'!D117</f>
        <v>LandPlane</v>
      </c>
      <c r="C117" s="11" t="str">
        <f>CONCATENATE(Sheet2!F117,"/",Sheet2!E117)</f>
        <v>1/Piston</v>
      </c>
      <c r="D117" t="str">
        <f>CONCATENATE(Sheet2!B117,", ",Sheet2!C117)</f>
        <v>ACRO SPORT, Acro-Sport 2</v>
      </c>
    </row>
    <row r="118" spans="1:4" x14ac:dyDescent="0.2">
      <c r="A118" t="str">
        <f>Sheet2!A118</f>
        <v>ACR2</v>
      </c>
      <c r="B118" t="str">
        <f ca="1">'Query Example'!D118</f>
        <v>LandPlane</v>
      </c>
      <c r="C118" s="11" t="str">
        <f>CONCATENATE(Sheet2!F118,"/",Sheet2!E118)</f>
        <v>1/Piston</v>
      </c>
      <c r="D118" t="str">
        <f>CONCATENATE(Sheet2!B118,", ",Sheet2!C118)</f>
        <v>EAA, Acro-Sport 2</v>
      </c>
    </row>
    <row r="119" spans="1:4" x14ac:dyDescent="0.2">
      <c r="A119" t="str">
        <f>Sheet2!A119</f>
        <v>ACRD</v>
      </c>
      <c r="B119" t="str">
        <f ca="1">'Query Example'!D119</f>
        <v>LandPlane</v>
      </c>
      <c r="C119" s="11" t="str">
        <f>CONCATENATE(Sheet2!F119,"/",Sheet2!E119)</f>
        <v>2/Piston</v>
      </c>
      <c r="D119" t="str">
        <f>CONCATENATE(Sheet2!B119,", ",Sheet2!C119)</f>
        <v>AVIA (3), Accord</v>
      </c>
    </row>
    <row r="120" spans="1:4" x14ac:dyDescent="0.2">
      <c r="A120" t="str">
        <f>Sheet2!A120</f>
        <v>ACRO</v>
      </c>
      <c r="B120" t="str">
        <f ca="1">'Query Example'!D120</f>
        <v>LandPlane</v>
      </c>
      <c r="C120" s="11" t="str">
        <f>CONCATENATE(Sheet2!F120,"/",Sheet2!E120)</f>
        <v>1/Piston</v>
      </c>
      <c r="D120" t="str">
        <f>CONCATENATE(Sheet2!B120,", ",Sheet2!C120)</f>
        <v>ACRO SPORT, Acro-Sport 1</v>
      </c>
    </row>
    <row r="121" spans="1:4" x14ac:dyDescent="0.2">
      <c r="A121" t="str">
        <f>Sheet2!A121</f>
        <v>ACSR</v>
      </c>
      <c r="B121" t="str">
        <f ca="1">'Query Example'!D121</f>
        <v>LandPlane</v>
      </c>
      <c r="C121" s="11" t="str">
        <f>CONCATENATE(Sheet2!F121,"/",Sheet2!E121)</f>
        <v>1/Piston</v>
      </c>
      <c r="D121" t="str">
        <f>CONCATENATE(Sheet2!B121,", ",Sheet2!C121)</f>
        <v>VICTA, Aircruiser</v>
      </c>
    </row>
    <row r="122" spans="1:4" x14ac:dyDescent="0.2">
      <c r="A122" t="str">
        <f>Sheet2!A122</f>
        <v>AD20</v>
      </c>
      <c r="B122" t="str">
        <f ca="1">'Query Example'!D122</f>
        <v>LandPlane</v>
      </c>
      <c r="C122" s="11" t="str">
        <f>CONCATENATE(Sheet2!F122,"/",Sheet2!E122)</f>
        <v>1/Piston</v>
      </c>
      <c r="D122" t="str">
        <f>CONCATENATE(Sheet2!B122,", ",Sheet2!C122)</f>
        <v>BEIJING KEYUAN, AD-200</v>
      </c>
    </row>
    <row r="123" spans="1:4" x14ac:dyDescent="0.2">
      <c r="A123" t="str">
        <f>Sheet2!A123</f>
        <v>ADEL</v>
      </c>
      <c r="B123" t="str">
        <f ca="1">'Query Example'!D123</f>
        <v>Gyrocopter</v>
      </c>
      <c r="C123" s="11" t="str">
        <f>CONCATENATE(Sheet2!F123,"/",Sheet2!E123)</f>
        <v>1/Piston</v>
      </c>
      <c r="D123" t="str">
        <f>CONCATENATE(Sheet2!B123,", ",Sheet2!C123)</f>
        <v>USTINOV, Adel</v>
      </c>
    </row>
    <row r="124" spans="1:4" x14ac:dyDescent="0.2">
      <c r="A124" t="str">
        <f>Sheet2!A124</f>
        <v>ADVE</v>
      </c>
      <c r="B124" t="str">
        <f ca="1">'Query Example'!D124</f>
        <v>LandPlane</v>
      </c>
      <c r="C124" s="11" t="str">
        <f>CONCATENATE(Sheet2!F124,"/",Sheet2!E124)</f>
        <v>1/Piston</v>
      </c>
      <c r="D124" t="str">
        <f>CONCATENATE(Sheet2!B124,", ",Sheet2!C124)</f>
        <v>AUSTER, J-5 Adventurer</v>
      </c>
    </row>
    <row r="125" spans="1:4" x14ac:dyDescent="0.2">
      <c r="A125" t="str">
        <f>Sheet2!A125</f>
        <v>ADVN</v>
      </c>
      <c r="B125" t="str">
        <f ca="1">'Query Example'!D125</f>
        <v>Amphibian</v>
      </c>
      <c r="C125" s="11" t="str">
        <f>CONCATENATE(Sheet2!F125,"/",Sheet2!E125)</f>
        <v>1/Piston</v>
      </c>
      <c r="D125" t="str">
        <f>CONCATENATE(Sheet2!B125,", ",Sheet2!C125)</f>
        <v>ADVENTURE AIR, Adventurer</v>
      </c>
    </row>
    <row r="126" spans="1:4" x14ac:dyDescent="0.2">
      <c r="A126" t="str">
        <f>Sheet2!A126</f>
        <v>AE45</v>
      </c>
      <c r="B126" t="str">
        <f ca="1">'Query Example'!D126</f>
        <v>LandPlane</v>
      </c>
      <c r="C126" s="11" t="str">
        <f>CONCATENATE(Sheet2!F126,"/",Sheet2!E126)</f>
        <v>2/Piston</v>
      </c>
      <c r="D126" t="str">
        <f>CONCATENATE(Sheet2!B126,", ",Sheet2!C126)</f>
        <v>LET, Aero 45</v>
      </c>
    </row>
    <row r="127" spans="1:4" x14ac:dyDescent="0.2">
      <c r="A127" t="str">
        <f>Sheet2!A127</f>
        <v>AEA1</v>
      </c>
      <c r="B127" t="str">
        <f ca="1">'Query Example'!D127</f>
        <v>LandPlane</v>
      </c>
      <c r="C127" s="11" t="str">
        <f>CONCATENATE(Sheet2!F127,"/",Sheet2!E127)</f>
        <v>1/Piston</v>
      </c>
      <c r="D127" t="str">
        <f>CONCATENATE(Sheet2!B127,", ",Sheet2!C127)</f>
        <v>AMERICAN EAGLE, A-1</v>
      </c>
    </row>
    <row r="128" spans="1:4" x14ac:dyDescent="0.2">
      <c r="A128" t="str">
        <f>Sheet2!A128</f>
        <v>AERK</v>
      </c>
      <c r="B128" t="str">
        <f ca="1">'Query Example'!D128</f>
        <v>LandPlane</v>
      </c>
      <c r="C128" s="11" t="str">
        <f>CONCATENATE(Sheet2!F128,"/",Sheet2!E128)</f>
        <v>1/Piston</v>
      </c>
      <c r="D128" t="str">
        <f>CONCATENATE(Sheet2!B128,", ",Sheet2!C128)</f>
        <v>AERONCA, K Scout</v>
      </c>
    </row>
    <row r="129" spans="1:4" x14ac:dyDescent="0.2">
      <c r="A129" t="str">
        <f>Sheet2!A129</f>
        <v>AEST</v>
      </c>
      <c r="B129" t="str">
        <f ca="1">'Query Example'!D129</f>
        <v>LandPlane</v>
      </c>
      <c r="C129" s="11" t="str">
        <f>CONCATENATE(Sheet2!F129,"/",Sheet2!E129)</f>
        <v>2/Piston</v>
      </c>
      <c r="D129" t="str">
        <f>CONCATENATE(Sheet2!B129,", ",Sheet2!C129)</f>
        <v>AEROSTAR (1), 600</v>
      </c>
    </row>
    <row r="130" spans="1:4" x14ac:dyDescent="0.2">
      <c r="A130" t="str">
        <f>Sheet2!A130</f>
        <v>AFOX</v>
      </c>
      <c r="B130" t="str">
        <f ca="1">'Query Example'!D130</f>
        <v>LandPlane</v>
      </c>
      <c r="C130" s="11" t="str">
        <f>CONCATENATE(Sheet2!F130,"/",Sheet2!E130)</f>
        <v>1/Piston</v>
      </c>
      <c r="D130" t="str">
        <f>CONCATENATE(Sheet2!B130,", ",Sheet2!C130)</f>
        <v>HALLEY, Apollo Fox</v>
      </c>
    </row>
    <row r="131" spans="1:4" x14ac:dyDescent="0.2">
      <c r="A131" t="str">
        <f>Sheet2!A131</f>
        <v>AG02</v>
      </c>
      <c r="B131" t="str">
        <f ca="1">'Query Example'!D131</f>
        <v>LandPlane</v>
      </c>
      <c r="C131" s="11" t="str">
        <f>CONCATENATE(Sheet2!F131,"/",Sheet2!E131)</f>
        <v>1/Piston</v>
      </c>
      <c r="D131" t="str">
        <f>CONCATENATE(Sheet2!B131,", ",Sheet2!C131)</f>
        <v>GATARD, AG-02 Poussin</v>
      </c>
    </row>
    <row r="132" spans="1:4" x14ac:dyDescent="0.2">
      <c r="A132" t="str">
        <f>Sheet2!A132</f>
        <v>AG10</v>
      </c>
      <c r="B132" t="str">
        <f ca="1">'Query Example'!D132</f>
        <v>LandPlane</v>
      </c>
      <c r="C132" s="11" t="str">
        <f>CONCATENATE(Sheet2!F132,"/",Sheet2!E132)</f>
        <v>1/Piston</v>
      </c>
      <c r="D132" t="str">
        <f>CONCATENATE(Sheet2!B132,", ",Sheet2!C132)</f>
        <v>CAIGA, AG-100</v>
      </c>
    </row>
    <row r="133" spans="1:4" x14ac:dyDescent="0.2">
      <c r="A133" t="str">
        <f>Sheet2!A133</f>
        <v>AG60</v>
      </c>
      <c r="B133" t="str">
        <f ca="1">'Query Example'!D133</f>
        <v>Amphibian</v>
      </c>
      <c r="C133" s="11" t="str">
        <f>CONCATENATE(Sheet2!F133,"/",Sheet2!E133)</f>
        <v>4/Turboprop/Turboshaft</v>
      </c>
      <c r="D133" t="str">
        <f>CONCATENATE(Sheet2!B133,", ",Sheet2!C133)</f>
        <v>CAIGA, AG-600 Kunlong</v>
      </c>
    </row>
    <row r="134" spans="1:4" x14ac:dyDescent="0.2">
      <c r="A134" t="str">
        <f>Sheet2!A134</f>
        <v>AGSH</v>
      </c>
      <c r="B134" t="str">
        <f ca="1">'Query Example'!D134</f>
        <v>Amphibian</v>
      </c>
      <c r="C134" s="11" t="str">
        <f>CONCATENATE(Sheet2!F134,"/",Sheet2!E134)</f>
        <v>1/Piston</v>
      </c>
      <c r="D134" t="str">
        <f>CONCATENATE(Sheet2!B134,", ",Sheet2!C134)</f>
        <v>AERO GARE, Sea Hawker</v>
      </c>
    </row>
    <row r="135" spans="1:4" x14ac:dyDescent="0.2">
      <c r="A135" t="str">
        <f>Sheet2!A135</f>
        <v>AI10</v>
      </c>
      <c r="B135" t="str">
        <f ca="1">'Query Example'!D135</f>
        <v>LandPlane</v>
      </c>
      <c r="C135" s="11" t="str">
        <f>CONCATENATE(Sheet2!F135,"/",Sheet2!E135)</f>
        <v>1/Piston</v>
      </c>
      <c r="D135" t="str">
        <f>CONCATENATE(Sheet2!B135,", ",Sheet2!C135)</f>
        <v>IKAR, Ai-10 Ikar</v>
      </c>
    </row>
    <row r="136" spans="1:4" x14ac:dyDescent="0.2">
      <c r="A136" t="str">
        <f>Sheet2!A136</f>
        <v>AIGT</v>
      </c>
      <c r="B136" t="str">
        <f ca="1">'Query Example'!D136</f>
        <v>LandPlane</v>
      </c>
      <c r="C136" s="11" t="str">
        <f>CONCATENATE(Sheet2!F136,"/",Sheet2!E136)</f>
        <v>1/Piston</v>
      </c>
      <c r="D136" t="str">
        <f>CONCATENATE(Sheet2!B136,", ",Sheet2!C136)</f>
        <v>AUSTER, J-5F Aiglet Trainer</v>
      </c>
    </row>
    <row r="137" spans="1:4" x14ac:dyDescent="0.2">
      <c r="A137" t="str">
        <f>Sheet2!A137</f>
        <v>AIRD</v>
      </c>
      <c r="B137" t="str">
        <f ca="1">'Query Example'!D137</f>
        <v>LandPlane</v>
      </c>
      <c r="C137" s="11" t="str">
        <f>CONCATENATE(Sheet2!F137,"/",Sheet2!E137)</f>
        <v>1/Piston</v>
      </c>
      <c r="D137" t="str">
        <f>CONCATENATE(Sheet2!B137,", ",Sheet2!C137)</f>
        <v>BEAGLE-AUSTER, A-109 Airedale</v>
      </c>
    </row>
    <row r="138" spans="1:4" x14ac:dyDescent="0.2">
      <c r="A138" t="str">
        <f>Sheet2!A138</f>
        <v>AIRL</v>
      </c>
      <c r="B138" t="str">
        <f ca="1">'Query Example'!D138</f>
        <v>LandPlane</v>
      </c>
      <c r="C138" s="11" t="str">
        <f>CONCATENATE(Sheet2!F138,"/",Sheet2!E138)</f>
        <v>2/Piston</v>
      </c>
      <c r="D138" t="str">
        <f>CONCATENATE(Sheet2!B138,", ",Sheet2!C138)</f>
        <v>AERONIX, Airelle</v>
      </c>
    </row>
    <row r="139" spans="1:4" x14ac:dyDescent="0.2">
      <c r="A139" t="str">
        <f>Sheet2!A139</f>
        <v>AJ27</v>
      </c>
      <c r="B139" t="str">
        <f ca="1">'Query Example'!D139</f>
        <v>LandPlane</v>
      </c>
      <c r="C139" s="11" t="str">
        <f>CONCATENATE(Sheet2!F139,"/",Sheet2!E139)</f>
        <v>2/Jet</v>
      </c>
      <c r="D139" t="str">
        <f>CONCATENATE(Sheet2!B139,", ",Sheet2!C139)</f>
        <v>COMAC, ARJ-21-700</v>
      </c>
    </row>
    <row r="140" spans="1:4" x14ac:dyDescent="0.2">
      <c r="A140" t="str">
        <f>Sheet2!A140</f>
        <v>AJET</v>
      </c>
      <c r="B140" t="str">
        <f ca="1">'Query Example'!D140</f>
        <v>LandPlane</v>
      </c>
      <c r="C140" s="11" t="str">
        <f>CONCATENATE(Sheet2!F140,"/",Sheet2!E140)</f>
        <v>2/Jet</v>
      </c>
      <c r="D140" t="str">
        <f>CONCATENATE(Sheet2!B140,", ",Sheet2!C140)</f>
        <v>DASSAULT-DORNIER, Alpha Jet</v>
      </c>
    </row>
    <row r="141" spans="1:4" x14ac:dyDescent="0.2">
      <c r="A141" t="str">
        <f>Sheet2!A141</f>
        <v>AK1</v>
      </c>
      <c r="B141" t="str">
        <f ca="1">'Query Example'!D141</f>
        <v>LandPlane</v>
      </c>
      <c r="C141" s="11" t="str">
        <f>CONCATENATE(Sheet2!F141,"/",Sheet2!E141)</f>
        <v>1/Piston</v>
      </c>
      <c r="D141" t="str">
        <f>CONCATENATE(Sheet2!B141,", ",Sheet2!C141)</f>
        <v>AKAFLIEG KARLSRUHE, AK-1</v>
      </c>
    </row>
    <row r="142" spans="1:4" x14ac:dyDescent="0.2">
      <c r="A142" t="str">
        <f>Sheet2!A142</f>
        <v>AKOY</v>
      </c>
      <c r="B142" t="str">
        <f ca="1">'Query Example'!D142</f>
        <v>Amphibian</v>
      </c>
      <c r="C142" s="11" t="str">
        <f>CONCATENATE(Sheet2!F142,"/",Sheet2!E142)</f>
        <v>1/Piston</v>
      </c>
      <c r="D142" t="str">
        <f>CONCATENATE(Sheet2!B142,", ",Sheet2!C142)</f>
        <v>LISA, Akoya</v>
      </c>
    </row>
    <row r="143" spans="1:4" x14ac:dyDescent="0.2">
      <c r="A143" t="str">
        <f>Sheet2!A143</f>
        <v>AKRO</v>
      </c>
      <c r="B143" t="str">
        <f ca="1">'Query Example'!D143</f>
        <v>LandPlane</v>
      </c>
      <c r="C143" s="11" t="str">
        <f>CONCATENATE(Sheet2!F143,"/",Sheet2!E143)</f>
        <v>1/Piston</v>
      </c>
      <c r="D143" t="str">
        <f>CONCATENATE(Sheet2!B143,", ",Sheet2!C143)</f>
        <v>STEPHENS, Akro</v>
      </c>
    </row>
    <row r="144" spans="1:4" x14ac:dyDescent="0.2">
      <c r="A144" t="str">
        <f>Sheet2!A144</f>
        <v>ALBU</v>
      </c>
      <c r="B144" t="str">
        <f ca="1">'Query Example'!D144</f>
        <v>LandPlane</v>
      </c>
      <c r="C144" s="11" t="str">
        <f>CONCATENATE(Sheet2!F144,"/",Sheet2!E144)</f>
        <v>1/Piston</v>
      </c>
      <c r="D144" t="str">
        <f>CONCATENATE(Sheet2!B144,", ",Sheet2!C144)</f>
        <v>AVIATION DEVELOPMENT, Alaskan Bushmaster</v>
      </c>
    </row>
    <row r="145" spans="1:4" x14ac:dyDescent="0.2">
      <c r="A145" t="str">
        <f>Sheet2!A145</f>
        <v>ALC1</v>
      </c>
      <c r="B145" t="str">
        <f ca="1">'Query Example'!D145</f>
        <v>LandPlane</v>
      </c>
      <c r="C145" s="11" t="str">
        <f>CONCATENATE(Sheet2!F145,"/",Sheet2!E145)</f>
        <v>1/Piston</v>
      </c>
      <c r="D145" t="str">
        <f>CONCATENATE(Sheet2!B145,", ",Sheet2!C145)</f>
        <v>ALTAIR COELHO, AC-11</v>
      </c>
    </row>
    <row r="146" spans="1:4" x14ac:dyDescent="0.2">
      <c r="A146" t="str">
        <f>Sheet2!A146</f>
        <v>ALGR</v>
      </c>
      <c r="B146" t="str">
        <f ca="1">'Query Example'!D146</f>
        <v>LandPlane</v>
      </c>
      <c r="C146" s="11" t="str">
        <f>CONCATENATE(Sheet2!F146,"/",Sheet2!E146)</f>
        <v>1/Piston</v>
      </c>
      <c r="D146" t="str">
        <f>CONCATENATE(Sheet2!B146,", ",Sheet2!C146)</f>
        <v>FANTASY AIR, Allegro</v>
      </c>
    </row>
    <row r="147" spans="1:4" x14ac:dyDescent="0.2">
      <c r="A147" t="str">
        <f>Sheet2!A147</f>
        <v>ALH</v>
      </c>
      <c r="B147" t="str">
        <f ca="1">'Query Example'!D147</f>
        <v>Helicopter</v>
      </c>
      <c r="C147" s="11" t="str">
        <f>CONCATENATE(Sheet2!F147,"/",Sheet2!E147)</f>
        <v>2/Turboprop/Turboshaft</v>
      </c>
      <c r="D147" t="str">
        <f>CONCATENATE(Sheet2!B147,", ",Sheet2!C147)</f>
        <v>HINDUSTAN, ALH Dhruv</v>
      </c>
    </row>
    <row r="148" spans="1:4" x14ac:dyDescent="0.2">
      <c r="A148" t="str">
        <f>Sheet2!A148</f>
        <v>ALIG</v>
      </c>
      <c r="B148" t="str">
        <f ca="1">'Query Example'!D148</f>
        <v>LandPlane</v>
      </c>
      <c r="C148" s="11" t="str">
        <f>CONCATENATE(Sheet2!F148,"/",Sheet2!E148)</f>
        <v>1/Piston</v>
      </c>
      <c r="D148" t="str">
        <f>CONCATENATE(Sheet2!B148,", ",Sheet2!C148)</f>
        <v>ARION, LS-1 Lightning</v>
      </c>
    </row>
    <row r="149" spans="1:4" x14ac:dyDescent="0.2">
      <c r="A149" t="str">
        <f>Sheet2!A149</f>
        <v>ALIZ</v>
      </c>
      <c r="B149" t="str">
        <f ca="1">'Query Example'!D149</f>
        <v>LandPlane</v>
      </c>
      <c r="C149" s="11" t="str">
        <f>CONCATENATE(Sheet2!F149,"/",Sheet2!E149)</f>
        <v>1/Turboprop/Turboshaft</v>
      </c>
      <c r="D149" t="str">
        <f>CONCATENATE(Sheet2!B149,", ",Sheet2!C149)</f>
        <v>BREGUET, 1050 Alizé</v>
      </c>
    </row>
    <row r="150" spans="1:4" x14ac:dyDescent="0.2">
      <c r="A150" t="str">
        <f>Sheet2!A150</f>
        <v>ALO2</v>
      </c>
      <c r="B150" t="str">
        <f ca="1">'Query Example'!D150</f>
        <v>Helicopter</v>
      </c>
      <c r="C150" s="11" t="str">
        <f>CONCATENATE(Sheet2!F150,"/",Sheet2!E150)</f>
        <v>1/Turboprop/Turboshaft</v>
      </c>
      <c r="D150" t="str">
        <f>CONCATENATE(Sheet2!B150,", ",Sheet2!C150)</f>
        <v>AEROSPATIALE, Alouette 2</v>
      </c>
    </row>
    <row r="151" spans="1:4" x14ac:dyDescent="0.2">
      <c r="A151" t="str">
        <f>Sheet2!A151</f>
        <v>ALO3</v>
      </c>
      <c r="B151" t="str">
        <f ca="1">'Query Example'!D151</f>
        <v>Helicopter</v>
      </c>
      <c r="C151" s="11" t="str">
        <f>CONCATENATE(Sheet2!F151,"/",Sheet2!E151)</f>
        <v>1/Turboprop/Turboshaft</v>
      </c>
      <c r="D151" t="str">
        <f>CONCATENATE(Sheet2!B151,", ",Sheet2!C151)</f>
        <v>AEROSPATIALE, Alouette 3</v>
      </c>
    </row>
    <row r="152" spans="1:4" x14ac:dyDescent="0.2">
      <c r="A152" t="str">
        <f>Sheet2!A152</f>
        <v>ALPI</v>
      </c>
      <c r="B152" t="str">
        <f ca="1">'Query Example'!D152</f>
        <v>LandPlane</v>
      </c>
      <c r="C152" s="11" t="str">
        <f>CONCATENATE(Sheet2!F152,"/",Sheet2!E152)</f>
        <v>1/Piston</v>
      </c>
      <c r="D152" t="str">
        <f>CONCATENATE(Sheet2!B152,", ",Sheet2!C152)</f>
        <v>AUSTER, J-5R Alpine</v>
      </c>
    </row>
    <row r="153" spans="1:4" x14ac:dyDescent="0.2">
      <c r="A153" t="str">
        <f>Sheet2!A153</f>
        <v>ALSL</v>
      </c>
      <c r="B153" t="str">
        <f ca="1">'Query Example'!D153</f>
        <v>LandPlane</v>
      </c>
      <c r="C153" s="11" t="str">
        <f>CONCATENATE(Sheet2!F153,"/",Sheet2!E153)</f>
        <v>1/Piston</v>
      </c>
      <c r="D153" t="str">
        <f>CONCATENATE(Sheet2!B153,", ",Sheet2!C153)</f>
        <v>AIRLONY, Skylane</v>
      </c>
    </row>
    <row r="154" spans="1:4" x14ac:dyDescent="0.2">
      <c r="A154" t="str">
        <f>Sheet2!A154</f>
        <v>ALTO</v>
      </c>
      <c r="B154" t="str">
        <f ca="1">'Query Example'!D154</f>
        <v>LandPlane</v>
      </c>
      <c r="C154" s="11" t="str">
        <f>CONCATENATE(Sheet2!F154,"/",Sheet2!E154)</f>
        <v>1/Piston</v>
      </c>
      <c r="D154" t="str">
        <f>CONCATENATE(Sheet2!B154,", ",Sheet2!C154)</f>
        <v>DIRECT FLY, Alto</v>
      </c>
    </row>
    <row r="155" spans="1:4" x14ac:dyDescent="0.2">
      <c r="A155" t="str">
        <f>Sheet2!A155</f>
        <v>AM3</v>
      </c>
      <c r="B155" t="str">
        <f ca="1">'Query Example'!D155</f>
        <v>LandPlane</v>
      </c>
      <c r="C155" s="11" t="str">
        <f>CONCATENATE(Sheet2!F155,"/",Sheet2!E155)</f>
        <v>1/Piston</v>
      </c>
      <c r="D155" t="str">
        <f>CONCATENATE(Sheet2!B155,", ",Sheet2!C155)</f>
        <v>AERITALIA-AERMACCHI, AM-3</v>
      </c>
    </row>
    <row r="156" spans="1:4" x14ac:dyDescent="0.2">
      <c r="A156" t="str">
        <f>Sheet2!A156</f>
        <v>AMX</v>
      </c>
      <c r="B156" t="str">
        <f ca="1">'Query Example'!D156</f>
        <v>LandPlane</v>
      </c>
      <c r="C156" s="11" t="str">
        <f>CONCATENATE(Sheet2!F156,"/",Sheet2!E156)</f>
        <v>1/Jet</v>
      </c>
      <c r="D156" t="str">
        <f>CONCATENATE(Sheet2!B156,", ",Sheet2!C156)</f>
        <v>AMX, AMX</v>
      </c>
    </row>
    <row r="157" spans="1:4" x14ac:dyDescent="0.2">
      <c r="A157" t="str">
        <f>Sheet2!A157</f>
        <v>AN12</v>
      </c>
      <c r="B157" t="str">
        <f ca="1">'Query Example'!D157</f>
        <v>LandPlane</v>
      </c>
      <c r="C157" s="11" t="str">
        <f>CONCATENATE(Sheet2!F157,"/",Sheet2!E157)</f>
        <v>4/Turboprop/Turboshaft</v>
      </c>
      <c r="D157" t="str">
        <f>CONCATENATE(Sheet2!B157,", ",Sheet2!C157)</f>
        <v>ANTONOV, An-12</v>
      </c>
    </row>
    <row r="158" spans="1:4" x14ac:dyDescent="0.2">
      <c r="A158" t="str">
        <f>Sheet2!A158</f>
        <v>AN2</v>
      </c>
      <c r="B158" t="str">
        <f ca="1">'Query Example'!D158</f>
        <v>LandPlane</v>
      </c>
      <c r="C158" s="11" t="str">
        <f>CONCATENATE(Sheet2!F158,"/",Sheet2!E158)</f>
        <v>1/Piston</v>
      </c>
      <c r="D158" t="str">
        <f>CONCATENATE(Sheet2!B158,", ",Sheet2!C158)</f>
        <v>ANTONOV, An-2</v>
      </c>
    </row>
    <row r="159" spans="1:4" x14ac:dyDescent="0.2">
      <c r="A159" t="str">
        <f>Sheet2!A159</f>
        <v>AN22</v>
      </c>
      <c r="B159" t="str">
        <f ca="1">'Query Example'!D159</f>
        <v>LandPlane</v>
      </c>
      <c r="C159" s="11" t="str">
        <f>CONCATENATE(Sheet2!F159,"/",Sheet2!E159)</f>
        <v>4/Turboprop/Turboshaft</v>
      </c>
      <c r="D159" t="str">
        <f>CONCATENATE(Sheet2!B159,", ",Sheet2!C159)</f>
        <v>ANTONOV, An-22 Antheus</v>
      </c>
    </row>
    <row r="160" spans="1:4" x14ac:dyDescent="0.2">
      <c r="A160" t="str">
        <f>Sheet2!A160</f>
        <v>AN24</v>
      </c>
      <c r="B160" t="str">
        <f ca="1">'Query Example'!D160</f>
        <v>LandPlane</v>
      </c>
      <c r="C160" s="11" t="str">
        <f>CONCATENATE(Sheet2!F160,"/",Sheet2!E160)</f>
        <v>2/Turboprop/Turboshaft</v>
      </c>
      <c r="D160" t="str">
        <f>CONCATENATE(Sheet2!B160,", ",Sheet2!C160)</f>
        <v>ANTONOV, An-24</v>
      </c>
    </row>
    <row r="161" spans="1:4" x14ac:dyDescent="0.2">
      <c r="A161" t="str">
        <f>Sheet2!A161</f>
        <v>AN26</v>
      </c>
      <c r="B161" t="str">
        <f ca="1">'Query Example'!D161</f>
        <v>LandPlane</v>
      </c>
      <c r="C161" s="11" t="str">
        <f>CONCATENATE(Sheet2!F161,"/",Sheet2!E161)</f>
        <v>2/Turboprop/Turboshaft</v>
      </c>
      <c r="D161" t="str">
        <f>CONCATENATE(Sheet2!B161,", ",Sheet2!C161)</f>
        <v>ANTONOV, An-26</v>
      </c>
    </row>
    <row r="162" spans="1:4" x14ac:dyDescent="0.2">
      <c r="A162" t="str">
        <f>Sheet2!A162</f>
        <v>AN28</v>
      </c>
      <c r="B162" t="str">
        <f ca="1">'Query Example'!D162</f>
        <v>LandPlane</v>
      </c>
      <c r="C162" s="11" t="str">
        <f>CONCATENATE(Sheet2!F162,"/",Sheet2!E162)</f>
        <v>2/Turboprop/Turboshaft</v>
      </c>
      <c r="D162" t="str">
        <f>CONCATENATE(Sheet2!B162,", ",Sheet2!C162)</f>
        <v>ANTONOV, An-28</v>
      </c>
    </row>
    <row r="163" spans="1:4" x14ac:dyDescent="0.2">
      <c r="A163" t="str">
        <f>Sheet2!A163</f>
        <v>AN3</v>
      </c>
      <c r="B163" t="str">
        <f ca="1">'Query Example'!D163</f>
        <v>LandPlane</v>
      </c>
      <c r="C163" s="11" t="str">
        <f>CONCATENATE(Sheet2!F163,"/",Sheet2!E163)</f>
        <v>1/Turboprop/Turboshaft</v>
      </c>
      <c r="D163" t="str">
        <f>CONCATENATE(Sheet2!B163,", ",Sheet2!C163)</f>
        <v>ANTONOV, An-3</v>
      </c>
    </row>
    <row r="164" spans="1:4" x14ac:dyDescent="0.2">
      <c r="A164" t="str">
        <f>Sheet2!A164</f>
        <v>AN30</v>
      </c>
      <c r="B164" t="str">
        <f ca="1">'Query Example'!D164</f>
        <v>LandPlane</v>
      </c>
      <c r="C164" s="11" t="str">
        <f>CONCATENATE(Sheet2!F164,"/",Sheet2!E164)</f>
        <v>2/Turboprop/Turboshaft</v>
      </c>
      <c r="D164" t="str">
        <f>CONCATENATE(Sheet2!B164,", ",Sheet2!C164)</f>
        <v>ANTONOV, An-30</v>
      </c>
    </row>
    <row r="165" spans="1:4" x14ac:dyDescent="0.2">
      <c r="A165" t="str">
        <f>Sheet2!A165</f>
        <v>AN32</v>
      </c>
      <c r="B165" t="str">
        <f ca="1">'Query Example'!D165</f>
        <v>LandPlane</v>
      </c>
      <c r="C165" s="11" t="str">
        <f>CONCATENATE(Sheet2!F165,"/",Sheet2!E165)</f>
        <v>2/Turboprop/Turboshaft</v>
      </c>
      <c r="D165" t="str">
        <f>CONCATENATE(Sheet2!B165,", ",Sheet2!C165)</f>
        <v>ANTONOV, An-32</v>
      </c>
    </row>
    <row r="166" spans="1:4" x14ac:dyDescent="0.2">
      <c r="A166" t="str">
        <f>Sheet2!A166</f>
        <v>AN38</v>
      </c>
      <c r="B166" t="str">
        <f ca="1">'Query Example'!D166</f>
        <v>LandPlane</v>
      </c>
      <c r="C166" s="11" t="str">
        <f>CONCATENATE(Sheet2!F166,"/",Sheet2!E166)</f>
        <v>2/Turboprop/Turboshaft</v>
      </c>
      <c r="D166" t="str">
        <f>CONCATENATE(Sheet2!B166,", ",Sheet2!C166)</f>
        <v>ANTONOV, An-38</v>
      </c>
    </row>
    <row r="167" spans="1:4" x14ac:dyDescent="0.2">
      <c r="A167" t="str">
        <f>Sheet2!A167</f>
        <v>AN70</v>
      </c>
      <c r="B167" t="str">
        <f ca="1">'Query Example'!D167</f>
        <v>LandPlane</v>
      </c>
      <c r="C167" s="11" t="str">
        <f>CONCATENATE(Sheet2!F167,"/",Sheet2!E167)</f>
        <v>4/Turboprop/Turboshaft</v>
      </c>
      <c r="D167" t="str">
        <f>CONCATENATE(Sheet2!B167,", ",Sheet2!C167)</f>
        <v>ANTONOV, An-70</v>
      </c>
    </row>
    <row r="168" spans="1:4" x14ac:dyDescent="0.2">
      <c r="A168" t="str">
        <f>Sheet2!A168</f>
        <v>AN72</v>
      </c>
      <c r="B168" t="str">
        <f ca="1">'Query Example'!D168</f>
        <v>LandPlane</v>
      </c>
      <c r="C168" s="11" t="str">
        <f>CONCATENATE(Sheet2!F168,"/",Sheet2!E168)</f>
        <v>2/Jet</v>
      </c>
      <c r="D168" t="str">
        <f>CONCATENATE(Sheet2!B168,", ",Sheet2!C168)</f>
        <v>ANTONOV, An-72</v>
      </c>
    </row>
    <row r="169" spans="1:4" x14ac:dyDescent="0.2">
      <c r="A169" t="str">
        <f>Sheet2!A169</f>
        <v>AN8</v>
      </c>
      <c r="B169" t="str">
        <f ca="1">'Query Example'!D169</f>
        <v>LandPlane</v>
      </c>
      <c r="C169" s="11" t="str">
        <f>CONCATENATE(Sheet2!F169,"/",Sheet2!E169)</f>
        <v>2/Turboprop/Turboshaft</v>
      </c>
      <c r="D169" t="str">
        <f>CONCATENATE(Sheet2!B169,", ",Sheet2!C169)</f>
        <v>ANTONOV, An-8</v>
      </c>
    </row>
    <row r="170" spans="1:4" x14ac:dyDescent="0.2">
      <c r="A170" t="str">
        <f>Sheet2!A170</f>
        <v>ANGL</v>
      </c>
      <c r="B170" t="str">
        <f ca="1">'Query Example'!D170</f>
        <v>LandPlane</v>
      </c>
      <c r="C170" s="11" t="str">
        <f>CONCATENATE(Sheet2!F170,"/",Sheet2!E170)</f>
        <v>2/Piston</v>
      </c>
      <c r="D170" t="str">
        <f>CONCATENATE(Sheet2!B170,", ",Sheet2!C170)</f>
        <v>KING'S, 44 Angel</v>
      </c>
    </row>
    <row r="171" spans="1:4" x14ac:dyDescent="0.2">
      <c r="A171" t="str">
        <f>Sheet2!A171</f>
        <v>ANKA</v>
      </c>
      <c r="B171" t="str">
        <f ca="1">'Query Example'!D171</f>
        <v>LandPlane</v>
      </c>
      <c r="C171" s="11" t="str">
        <f>CONCATENATE(Sheet2!F171,"/",Sheet2!E171)</f>
        <v>1/Piston</v>
      </c>
      <c r="D171" t="str">
        <f>CONCATENATE(Sheet2!B171,", ",Sheet2!C171)</f>
        <v>TAI, Anka</v>
      </c>
    </row>
    <row r="172" spans="1:4" x14ac:dyDescent="0.2">
      <c r="A172" t="str">
        <f>Sheet2!A172</f>
        <v>ANSN</v>
      </c>
      <c r="B172" t="str">
        <f ca="1">'Query Example'!D172</f>
        <v>LandPlane</v>
      </c>
      <c r="C172" s="11" t="str">
        <f>CONCATENATE(Sheet2!F172,"/",Sheet2!E172)</f>
        <v>2/Piston</v>
      </c>
      <c r="D172" t="str">
        <f>CONCATENATE(Sheet2!B172,", ",Sheet2!C172)</f>
        <v>AVRO, 652 Anson</v>
      </c>
    </row>
    <row r="173" spans="1:4" x14ac:dyDescent="0.2">
      <c r="A173" t="str">
        <f>Sheet2!A173</f>
        <v>ANST</v>
      </c>
      <c r="B173" t="str">
        <f ca="1">'Query Example'!D173</f>
        <v>Helicopter</v>
      </c>
      <c r="C173" s="11" t="str">
        <f>CONCATENATE(Sheet2!F173,"/",Sheet2!E173)</f>
        <v>2/Turboprop/Turboshaft</v>
      </c>
      <c r="D173" t="str">
        <f>CONCATENATE(Sheet2!B173,", ",Sheet2!C173)</f>
        <v>KAZAN, Ansat</v>
      </c>
    </row>
    <row r="174" spans="1:4" x14ac:dyDescent="0.2">
      <c r="A174" t="str">
        <f>Sheet2!A174</f>
        <v>AP20</v>
      </c>
      <c r="B174" t="str">
        <f ca="1">'Query Example'!D174</f>
        <v>LandPlane</v>
      </c>
      <c r="C174" s="11" t="str">
        <f>CONCATENATE(Sheet2!F174,"/",Sheet2!E174)</f>
        <v>1/Piston</v>
      </c>
      <c r="D174" t="str">
        <f>CONCATENATE(Sheet2!B174,", ",Sheet2!C174)</f>
        <v>AEROPRAKT, A-20</v>
      </c>
    </row>
    <row r="175" spans="1:4" x14ac:dyDescent="0.2">
      <c r="A175" t="str">
        <f>Sheet2!A175</f>
        <v>AP22</v>
      </c>
      <c r="B175" t="str">
        <f ca="1">'Query Example'!D175</f>
        <v>LandPlane</v>
      </c>
      <c r="C175" s="11" t="str">
        <f>CONCATENATE(Sheet2!F175,"/",Sheet2!E175)</f>
        <v>1/Piston</v>
      </c>
      <c r="D175" t="str">
        <f>CONCATENATE(Sheet2!B175,", ",Sheet2!C175)</f>
        <v>AEROPRAKT, A-22</v>
      </c>
    </row>
    <row r="176" spans="1:4" x14ac:dyDescent="0.2">
      <c r="A176" t="str">
        <f>Sheet2!A176</f>
        <v>AP24</v>
      </c>
      <c r="B176" t="str">
        <f ca="1">'Query Example'!D176</f>
        <v>Amphibian</v>
      </c>
      <c r="C176" s="11" t="str">
        <f>CONCATENATE(Sheet2!F176,"/",Sheet2!E176)</f>
        <v>1/Piston</v>
      </c>
      <c r="D176" t="str">
        <f>CONCATENATE(Sheet2!B176,", ",Sheet2!C176)</f>
        <v>AEROPRAKT, A-24 Viking</v>
      </c>
    </row>
    <row r="177" spans="1:4" x14ac:dyDescent="0.2">
      <c r="A177" t="str">
        <f>Sheet2!A177</f>
        <v>AP26</v>
      </c>
      <c r="B177" t="str">
        <f ca="1">'Query Example'!D177</f>
        <v>LandPlane</v>
      </c>
      <c r="C177" s="11" t="str">
        <f>CONCATENATE(Sheet2!F177,"/",Sheet2!E177)</f>
        <v>2/Piston</v>
      </c>
      <c r="D177" t="str">
        <f>CONCATENATE(Sheet2!B177,", ",Sheet2!C177)</f>
        <v>AEROPRAKT, A-26 Twin Vista</v>
      </c>
    </row>
    <row r="178" spans="1:4" x14ac:dyDescent="0.2">
      <c r="A178" t="str">
        <f>Sheet2!A178</f>
        <v>AP28</v>
      </c>
      <c r="B178" t="str">
        <f ca="1">'Query Example'!D178</f>
        <v>LandPlane</v>
      </c>
      <c r="C178" s="11" t="str">
        <f>CONCATENATE(Sheet2!F178,"/",Sheet2!E178)</f>
        <v>2/Piston</v>
      </c>
      <c r="D178" t="str">
        <f>CONCATENATE(Sheet2!B178,", ",Sheet2!C178)</f>
        <v>AEROPRAKT, A-28 Victor</v>
      </c>
    </row>
    <row r="179" spans="1:4" x14ac:dyDescent="0.2">
      <c r="A179" t="str">
        <f>Sheet2!A179</f>
        <v>AP32</v>
      </c>
      <c r="B179" t="str">
        <f ca="1">'Query Example'!D179</f>
        <v>LandPlane</v>
      </c>
      <c r="C179" s="11" t="str">
        <f>CONCATENATE(Sheet2!F179,"/",Sheet2!E179)</f>
        <v>1/Piston</v>
      </c>
      <c r="D179" t="str">
        <f>CONCATENATE(Sheet2!B179,", ",Sheet2!C179)</f>
        <v>AEROPRAKT, A-32 Vixxen</v>
      </c>
    </row>
    <row r="180" spans="1:4" x14ac:dyDescent="0.2">
      <c r="A180" t="str">
        <f>Sheet2!A180</f>
        <v>AP36</v>
      </c>
      <c r="B180" t="str">
        <f ca="1">'Query Example'!D180</f>
        <v>LandPlane</v>
      </c>
      <c r="C180" s="11" t="str">
        <f>CONCATENATE(Sheet2!F180,"/",Sheet2!E180)</f>
        <v>2/Piston</v>
      </c>
      <c r="D180" t="str">
        <f>CONCATENATE(Sheet2!B180,", ",Sheet2!C180)</f>
        <v>AEROPRAKT, A-36 Vulcan</v>
      </c>
    </row>
    <row r="181" spans="1:4" x14ac:dyDescent="0.2">
      <c r="A181" t="str">
        <f>Sheet2!A181</f>
        <v>APM2</v>
      </c>
      <c r="B181" t="str">
        <f ca="1">'Query Example'!D181</f>
        <v>LandPlane</v>
      </c>
      <c r="C181" s="11" t="str">
        <f>CONCATENATE(Sheet2!F181,"/",Sheet2!E181)</f>
        <v>1/Piston</v>
      </c>
      <c r="D181" t="str">
        <f>CONCATENATE(Sheet2!B181,", ",Sheet2!C181)</f>
        <v>ISSOIRE, APM-20 Lionceau</v>
      </c>
    </row>
    <row r="182" spans="1:4" x14ac:dyDescent="0.2">
      <c r="A182" t="str">
        <f>Sheet2!A182</f>
        <v>APM3</v>
      </c>
      <c r="B182" t="str">
        <f ca="1">'Query Example'!D182</f>
        <v>LandPlane</v>
      </c>
      <c r="C182" s="11" t="str">
        <f>CONCATENATE(Sheet2!F182,"/",Sheet2!E182)</f>
        <v>1/Piston</v>
      </c>
      <c r="D182" t="str">
        <f>CONCATENATE(Sheet2!B182,", ",Sheet2!C182)</f>
        <v>ISSOIRE, APM-30 Lion</v>
      </c>
    </row>
    <row r="183" spans="1:4" x14ac:dyDescent="0.2">
      <c r="A183" t="str">
        <f>Sheet2!A183</f>
        <v>APM4</v>
      </c>
      <c r="B183" t="str">
        <f ca="1">'Query Example'!D183</f>
        <v>LandPlane</v>
      </c>
      <c r="C183" s="11" t="str">
        <f>CONCATENATE(Sheet2!F183,"/",Sheet2!E183)</f>
        <v>1/Piston</v>
      </c>
      <c r="D183" t="str">
        <f>CONCATENATE(Sheet2!B183,", ",Sheet2!C183)</f>
        <v>ISSOIRE, APM-40 Simba</v>
      </c>
    </row>
    <row r="184" spans="1:4" x14ac:dyDescent="0.2">
      <c r="A184" t="str">
        <f>Sheet2!A184</f>
        <v>APUP</v>
      </c>
      <c r="B184" t="str">
        <f ca="1">'Query Example'!D184</f>
        <v>LandPlane</v>
      </c>
      <c r="C184" s="11" t="str">
        <f>CONCATENATE(Sheet2!F184,"/",Sheet2!E184)</f>
        <v>1/Piston</v>
      </c>
      <c r="D184" t="str">
        <f>CONCATENATE(Sheet2!B184,", ",Sheet2!C184)</f>
        <v>AEROPUP, Aeropup</v>
      </c>
    </row>
    <row r="185" spans="1:4" x14ac:dyDescent="0.2">
      <c r="A185" t="str">
        <f>Sheet2!A185</f>
        <v>AR11</v>
      </c>
      <c r="B185" t="str">
        <f ca="1">'Query Example'!D185</f>
        <v>LandPlane</v>
      </c>
      <c r="C185" s="11" t="str">
        <f>CONCATENATE(Sheet2!F185,"/",Sheet2!E185)</f>
        <v>1/Piston</v>
      </c>
      <c r="D185" t="str">
        <f>CONCATENATE(Sheet2!B185,", ",Sheet2!C185)</f>
        <v>AERONCA, 11 Chief</v>
      </c>
    </row>
    <row r="186" spans="1:4" x14ac:dyDescent="0.2">
      <c r="A186" t="str">
        <f>Sheet2!A186</f>
        <v>AR15</v>
      </c>
      <c r="B186" t="str">
        <f ca="1">'Query Example'!D186</f>
        <v>LandPlane</v>
      </c>
      <c r="C186" s="11" t="str">
        <f>CONCATENATE(Sheet2!F186,"/",Sheet2!E186)</f>
        <v>1/Piston</v>
      </c>
      <c r="D186" t="str">
        <f>CONCATENATE(Sheet2!B186,", ",Sheet2!C186)</f>
        <v>AERONCA, 15 Sedan</v>
      </c>
    </row>
    <row r="187" spans="1:4" x14ac:dyDescent="0.2">
      <c r="A187" t="str">
        <f>Sheet2!A187</f>
        <v>AR50</v>
      </c>
      <c r="B187" t="str">
        <f ca="1">'Query Example'!D187</f>
        <v>LandPlane</v>
      </c>
      <c r="C187" s="11" t="str">
        <f>CONCATENATE(Sheet2!F187,"/",Sheet2!E187)</f>
        <v>1/Piston</v>
      </c>
      <c r="D187" t="str">
        <f>CONCATENATE(Sheet2!B187,", ",Sheet2!C187)</f>
        <v>AERONCA, 50 Chief</v>
      </c>
    </row>
    <row r="188" spans="1:4" x14ac:dyDescent="0.2">
      <c r="A188" t="str">
        <f>Sheet2!A188</f>
        <v>AR5T</v>
      </c>
      <c r="B188" t="str">
        <f ca="1">'Query Example'!D188</f>
        <v>LandPlane</v>
      </c>
      <c r="C188" s="11" t="str">
        <f>CONCATENATE(Sheet2!F188,"/",Sheet2!E188)</f>
        <v>1/Piston</v>
      </c>
      <c r="D188" t="str">
        <f>CONCATENATE(Sheet2!B188,", ",Sheet2!C188)</f>
        <v>AERONCA, 50 Tandem</v>
      </c>
    </row>
    <row r="189" spans="1:4" x14ac:dyDescent="0.2">
      <c r="A189" t="str">
        <f>Sheet2!A189</f>
        <v>AR65</v>
      </c>
      <c r="B189" t="str">
        <f ca="1">'Query Example'!D189</f>
        <v>LandPlane</v>
      </c>
      <c r="C189" s="11" t="str">
        <f>CONCATENATE(Sheet2!F189,"/",Sheet2!E189)</f>
        <v>1/Piston</v>
      </c>
      <c r="D189" t="str">
        <f>CONCATENATE(Sheet2!B189,", ",Sheet2!C189)</f>
        <v>AERONCA, 65 Super Chief</v>
      </c>
    </row>
    <row r="190" spans="1:4" x14ac:dyDescent="0.2">
      <c r="A190" t="str">
        <f>Sheet2!A190</f>
        <v>AR6T</v>
      </c>
      <c r="B190" t="str">
        <f ca="1">'Query Example'!D190</f>
        <v>LandPlane</v>
      </c>
      <c r="C190" s="11" t="str">
        <f>CONCATENATE(Sheet2!F190,"/",Sheet2!E190)</f>
        <v>1/Piston</v>
      </c>
      <c r="D190" t="str">
        <f>CONCATENATE(Sheet2!B190,", ",Sheet2!C190)</f>
        <v>AERONCA, 60 Tandem</v>
      </c>
    </row>
    <row r="191" spans="1:4" x14ac:dyDescent="0.2">
      <c r="A191" t="str">
        <f>Sheet2!A191</f>
        <v>AR79</v>
      </c>
      <c r="B191" t="str">
        <f ca="1">'Query Example'!D191</f>
        <v>LandPlane</v>
      </c>
      <c r="C191" s="11" t="str">
        <f>CONCATENATE(Sheet2!F191,"/",Sheet2!E191)</f>
        <v>1/Piston</v>
      </c>
      <c r="D191" t="str">
        <f>CONCATENATE(Sheet2!B191,", ",Sheet2!C191)</f>
        <v>ARADO, Ar-79</v>
      </c>
    </row>
    <row r="192" spans="1:4" x14ac:dyDescent="0.2">
      <c r="A192" t="str">
        <f>Sheet2!A192</f>
        <v>ARCE</v>
      </c>
      <c r="B192" t="str">
        <f ca="1">'Query Example'!D192</f>
        <v>LandPlane</v>
      </c>
      <c r="C192" s="11" t="str">
        <f>CONCATENATE(Sheet2!F192,"/",Sheet2!E192)</f>
        <v>1/Electric</v>
      </c>
      <c r="D192" t="str">
        <f>CONCATENATE(Sheet2!B192,", ",Sheet2!C192)</f>
        <v>SCHEMPP-HIRTH, Arcus E</v>
      </c>
    </row>
    <row r="193" spans="1:4" x14ac:dyDescent="0.2">
      <c r="A193" t="str">
        <f>Sheet2!A193</f>
        <v>ARCP</v>
      </c>
      <c r="B193" t="str">
        <f ca="1">'Query Example'!D193</f>
        <v>LandPlane</v>
      </c>
      <c r="C193" s="11" t="str">
        <f>CONCATENATE(Sheet2!F193,"/",Sheet2!E193)</f>
        <v>1/Piston</v>
      </c>
      <c r="D193" t="str">
        <f>CONCATENATE(Sheet2!B193,", ",Sheet2!C193)</f>
        <v>SCHEMPP-HIRTH, Arcus T</v>
      </c>
    </row>
    <row r="194" spans="1:4" x14ac:dyDescent="0.2">
      <c r="A194" t="str">
        <f>Sheet2!A194</f>
        <v>ARES</v>
      </c>
      <c r="B194" t="str">
        <f ca="1">'Query Example'!D194</f>
        <v>LandPlane</v>
      </c>
      <c r="C194" s="11" t="str">
        <f>CONCATENATE(Sheet2!F194,"/",Sheet2!E194)</f>
        <v>1/Jet</v>
      </c>
      <c r="D194" t="str">
        <f>CONCATENATE(Sheet2!B194,", ",Sheet2!C194)</f>
        <v>SCALED, Ares</v>
      </c>
    </row>
    <row r="195" spans="1:4" x14ac:dyDescent="0.2">
      <c r="A195" t="str">
        <f>Sheet2!A195</f>
        <v>ARKS</v>
      </c>
      <c r="B195" t="str">
        <f ca="1">'Query Example'!D195</f>
        <v>LandPlane</v>
      </c>
      <c r="C195" s="11" t="str">
        <f>CONCATENATE(Sheet2!F195,"/",Sheet2!E195)</f>
        <v>1/Piston</v>
      </c>
      <c r="D195" t="str">
        <f>CONCATENATE(Sheet2!B195,", ",Sheet2!C195)</f>
        <v>ACEAIR, A-200 Aeriks 200</v>
      </c>
    </row>
    <row r="196" spans="1:4" x14ac:dyDescent="0.2">
      <c r="A196" t="str">
        <f>Sheet2!A196</f>
        <v>ARON</v>
      </c>
      <c r="B196" t="str">
        <f ca="1">'Query Example'!D196</f>
        <v>LandPlane</v>
      </c>
      <c r="C196" s="11" t="str">
        <f>CONCATENATE(Sheet2!F196,"/",Sheet2!E196)</f>
        <v>1/Piston</v>
      </c>
      <c r="D196" t="str">
        <f>CONCATENATE(Sheet2!B196,", ",Sheet2!C196)</f>
        <v>GENERAL AVIA, F-220 Airone</v>
      </c>
    </row>
    <row r="197" spans="1:4" x14ac:dyDescent="0.2">
      <c r="A197" t="str">
        <f>Sheet2!A197</f>
        <v>ARV1</v>
      </c>
      <c r="B197" t="str">
        <f ca="1">'Query Example'!D197</f>
        <v>LandPlane</v>
      </c>
      <c r="C197" s="11" t="str">
        <f>CONCATENATE(Sheet2!F197,"/",Sheet2!E197)</f>
        <v>1/Piston</v>
      </c>
      <c r="D197" t="str">
        <f>CONCATENATE(Sheet2!B197,", ",Sheet2!C197)</f>
        <v>ARV, Super 2</v>
      </c>
    </row>
    <row r="198" spans="1:4" x14ac:dyDescent="0.2">
      <c r="A198" t="str">
        <f>Sheet2!A198</f>
        <v>ARVA</v>
      </c>
      <c r="B198" t="str">
        <f ca="1">'Query Example'!D198</f>
        <v>LandPlane</v>
      </c>
      <c r="C198" s="11" t="str">
        <f>CONCATENATE(Sheet2!F198,"/",Sheet2!E198)</f>
        <v>2/Turboprop/Turboshaft</v>
      </c>
      <c r="D198" t="str">
        <f>CONCATENATE(Sheet2!B198,", ",Sheet2!C198)</f>
        <v>IAI, 201 Arava</v>
      </c>
    </row>
    <row r="199" spans="1:4" x14ac:dyDescent="0.2">
      <c r="A199" t="str">
        <f>Sheet2!A199</f>
        <v>ARWF</v>
      </c>
      <c r="B199" t="str">
        <f ca="1">'Query Example'!D199</f>
        <v>LandPlane</v>
      </c>
      <c r="C199" s="11" t="str">
        <f>CONCATENATE(Sheet2!F199,"/",Sheet2!E199)</f>
        <v>1/Piston</v>
      </c>
      <c r="D199" t="str">
        <f>CONCATENATE(Sheet2!B199,", ",Sheet2!C199)</f>
        <v>ARROW (1), F Sport</v>
      </c>
    </row>
    <row r="200" spans="1:4" x14ac:dyDescent="0.2">
      <c r="A200" t="str">
        <f>Sheet2!A200</f>
        <v>AS02</v>
      </c>
      <c r="B200" t="str">
        <f ca="1">'Query Example'!D200</f>
        <v>LandPlane</v>
      </c>
      <c r="C200" s="11" t="str">
        <f>CONCATENATE(Sheet2!F200,"/",Sheet2!E200)</f>
        <v>1/Piston</v>
      </c>
      <c r="D200" t="str">
        <f>CONCATENATE(Sheet2!B200,", ",Sheet2!C200)</f>
        <v>FFA, AS-202-15 Bravo</v>
      </c>
    </row>
    <row r="201" spans="1:4" x14ac:dyDescent="0.2">
      <c r="A201" t="str">
        <f>Sheet2!A201</f>
        <v>AS14</v>
      </c>
      <c r="B201" t="str">
        <f ca="1">'Query Example'!D201</f>
        <v>LandPlane</v>
      </c>
      <c r="C201" s="11" t="str">
        <f>CONCATENATE(Sheet2!F201,"/",Sheet2!E201)</f>
        <v>1/Piston</v>
      </c>
      <c r="D201" t="str">
        <f>CONCATENATE(Sheet2!B201,", ",Sheet2!C201)</f>
        <v>SCHLEICHER, ASK-14</v>
      </c>
    </row>
    <row r="202" spans="1:4" x14ac:dyDescent="0.2">
      <c r="A202" t="str">
        <f>Sheet2!A202</f>
        <v>AS16</v>
      </c>
      <c r="B202" t="str">
        <f ca="1">'Query Example'!D202</f>
        <v>LandPlane</v>
      </c>
      <c r="C202" s="11" t="str">
        <f>CONCATENATE(Sheet2!F202,"/",Sheet2!E202)</f>
        <v>1/Piston</v>
      </c>
      <c r="D202" t="str">
        <f>CONCATENATE(Sheet2!B202,", ",Sheet2!C202)</f>
        <v>SCHLEICHER, ASK-16</v>
      </c>
    </row>
    <row r="203" spans="1:4" x14ac:dyDescent="0.2">
      <c r="A203" t="str">
        <f>Sheet2!A203</f>
        <v>AS20</v>
      </c>
      <c r="B203" t="str">
        <f ca="1">'Query Example'!D203</f>
        <v>LandPlane</v>
      </c>
      <c r="C203" s="11" t="str">
        <f>CONCATENATE(Sheet2!F203,"/",Sheet2!E203)</f>
        <v>1/Piston</v>
      </c>
      <c r="D203" t="str">
        <f>CONCATENATE(Sheet2!B203,", ",Sheet2!C203)</f>
        <v>SCHLEICHER, ASW-20TOP</v>
      </c>
    </row>
    <row r="204" spans="1:4" x14ac:dyDescent="0.2">
      <c r="A204" t="str">
        <f>Sheet2!A204</f>
        <v>AS21</v>
      </c>
      <c r="B204" t="str">
        <f ca="1">'Query Example'!D204</f>
        <v>LandPlane</v>
      </c>
      <c r="C204" s="11" t="str">
        <f>CONCATENATE(Sheet2!F204,"/",Sheet2!E204)</f>
        <v>1/Piston</v>
      </c>
      <c r="D204" t="str">
        <f>CONCATENATE(Sheet2!B204,", ",Sheet2!C204)</f>
        <v>SCHLEICHER, ASK-21Mi</v>
      </c>
    </row>
    <row r="205" spans="1:4" x14ac:dyDescent="0.2">
      <c r="A205" t="str">
        <f>Sheet2!A205</f>
        <v>AS22</v>
      </c>
      <c r="B205" t="str">
        <f ca="1">'Query Example'!D205</f>
        <v>LandPlane</v>
      </c>
      <c r="C205" s="11" t="str">
        <f>CONCATENATE(Sheet2!F205,"/",Sheet2!E205)</f>
        <v>1/Piston</v>
      </c>
      <c r="D205" t="str">
        <f>CONCATENATE(Sheet2!B205,", ",Sheet2!C205)</f>
        <v>SCHLEICHER, ASW-22M</v>
      </c>
    </row>
    <row r="206" spans="1:4" x14ac:dyDescent="0.2">
      <c r="A206" t="str">
        <f>Sheet2!A206</f>
        <v>AS24</v>
      </c>
      <c r="B206" t="str">
        <f ca="1">'Query Example'!D206</f>
        <v>LandPlane</v>
      </c>
      <c r="C206" s="11" t="str">
        <f>CONCATENATE(Sheet2!F206,"/",Sheet2!E206)</f>
        <v>1/Piston</v>
      </c>
      <c r="D206" t="str">
        <f>CONCATENATE(Sheet2!B206,", ",Sheet2!C206)</f>
        <v>SCHLEICHER, ASW-24E</v>
      </c>
    </row>
    <row r="207" spans="1:4" x14ac:dyDescent="0.2">
      <c r="A207" t="str">
        <f>Sheet2!A207</f>
        <v>AS25</v>
      </c>
      <c r="B207" t="str">
        <f ca="1">'Query Example'!D207</f>
        <v>LandPlane</v>
      </c>
      <c r="C207" s="11" t="str">
        <f>CONCATENATE(Sheet2!F207,"/",Sheet2!E207)</f>
        <v>1/Piston</v>
      </c>
      <c r="D207" t="str">
        <f>CONCATENATE(Sheet2!B207,", ",Sheet2!C207)</f>
        <v>SCHLEICHER, ASH-25M</v>
      </c>
    </row>
    <row r="208" spans="1:4" x14ac:dyDescent="0.2">
      <c r="A208" t="str">
        <f>Sheet2!A208</f>
        <v>AS26</v>
      </c>
      <c r="B208" t="str">
        <f ca="1">'Query Example'!D208</f>
        <v>LandPlane</v>
      </c>
      <c r="C208" s="11" t="str">
        <f>CONCATENATE(Sheet2!F208,"/",Sheet2!E208)</f>
        <v>1/Piston</v>
      </c>
      <c r="D208" t="str">
        <f>CONCATENATE(Sheet2!B208,", ",Sheet2!C208)</f>
        <v>SCHLEICHER, ASH-26E</v>
      </c>
    </row>
    <row r="209" spans="1:4" x14ac:dyDescent="0.2">
      <c r="A209" t="str">
        <f>Sheet2!A209</f>
        <v>AS28</v>
      </c>
      <c r="B209" t="str">
        <f ca="1">'Query Example'!D209</f>
        <v>LandPlane</v>
      </c>
      <c r="C209" s="11" t="str">
        <f>CONCATENATE(Sheet2!F209,"/",Sheet2!E209)</f>
        <v>1/Piston</v>
      </c>
      <c r="D209" t="str">
        <f>CONCATENATE(Sheet2!B209,", ",Sheet2!C209)</f>
        <v>SCHLEICHER, ASW-28E</v>
      </c>
    </row>
    <row r="210" spans="1:4" x14ac:dyDescent="0.2">
      <c r="A210" t="str">
        <f>Sheet2!A210</f>
        <v>AS29</v>
      </c>
      <c r="B210" t="str">
        <f ca="1">'Query Example'!D210</f>
        <v>LandPlane</v>
      </c>
      <c r="C210" s="11" t="str">
        <f>CONCATENATE(Sheet2!F210,"/",Sheet2!E210)</f>
        <v>1/Piston</v>
      </c>
      <c r="D210" t="str">
        <f>CONCATENATE(Sheet2!B210,", ",Sheet2!C210)</f>
        <v>SCHLEICHER, ASG-29E</v>
      </c>
    </row>
    <row r="211" spans="1:4" x14ac:dyDescent="0.2">
      <c r="A211" t="str">
        <f>Sheet2!A211</f>
        <v>AS2T</v>
      </c>
      <c r="B211" t="str">
        <f ca="1">'Query Example'!D211</f>
        <v>LandPlane</v>
      </c>
      <c r="C211" s="11" t="str">
        <f>CONCATENATE(Sheet2!F211,"/",Sheet2!E211)</f>
        <v>1/Turboprop/Turboshaft</v>
      </c>
      <c r="D211" t="str">
        <f>CONCATENATE(Sheet2!B211,", ",Sheet2!C211)</f>
        <v>FFA, AS-202-32TP Turbine Bravo</v>
      </c>
    </row>
    <row r="212" spans="1:4" x14ac:dyDescent="0.2">
      <c r="A212" t="str">
        <f>Sheet2!A212</f>
        <v>AS30</v>
      </c>
      <c r="B212" t="str">
        <f ca="1">'Query Example'!D212</f>
        <v>LandPlane</v>
      </c>
      <c r="C212" s="11" t="str">
        <f>CONCATENATE(Sheet2!F212,"/",Sheet2!E212)</f>
        <v>1/Piston</v>
      </c>
      <c r="D212" t="str">
        <f>CONCATENATE(Sheet2!B212,", ",Sheet2!C212)</f>
        <v>SCHLEICHER, ASH-30Mi</v>
      </c>
    </row>
    <row r="213" spans="1:4" x14ac:dyDescent="0.2">
      <c r="A213" t="str">
        <f>Sheet2!A213</f>
        <v>AS31</v>
      </c>
      <c r="B213" t="str">
        <f ca="1">'Query Example'!D213</f>
        <v>LandPlane</v>
      </c>
      <c r="C213" s="11" t="str">
        <f>CONCATENATE(Sheet2!F213,"/",Sheet2!E213)</f>
        <v>1/Piston</v>
      </c>
      <c r="D213" t="str">
        <f>CONCATENATE(Sheet2!B213,", ",Sheet2!C213)</f>
        <v>SCHLEICHER, ASH-31Mi</v>
      </c>
    </row>
    <row r="214" spans="1:4" x14ac:dyDescent="0.2">
      <c r="A214" t="str">
        <f>Sheet2!A214</f>
        <v>AS32</v>
      </c>
      <c r="B214" t="str">
        <f ca="1">'Query Example'!D214</f>
        <v>Helicopter</v>
      </c>
      <c r="C214" s="11" t="str">
        <f>CONCATENATE(Sheet2!F214,"/",Sheet2!E214)</f>
        <v>2/Turboprop/Turboshaft</v>
      </c>
      <c r="D214" t="str">
        <f>CONCATENATE(Sheet2!B214,", ",Sheet2!C214)</f>
        <v>AEROSPATIALE, AS-532 Cougar</v>
      </c>
    </row>
    <row r="215" spans="1:4" x14ac:dyDescent="0.2">
      <c r="A215" t="str">
        <f>Sheet2!A215</f>
        <v>AS3B</v>
      </c>
      <c r="B215" t="str">
        <f ca="1">'Query Example'!D215</f>
        <v>Helicopter</v>
      </c>
      <c r="C215" s="11" t="str">
        <f>CONCATENATE(Sheet2!F215,"/",Sheet2!E215)</f>
        <v>2/Turboprop/Turboshaft</v>
      </c>
      <c r="D215" t="str">
        <f>CONCATENATE(Sheet2!B215,", ",Sheet2!C215)</f>
        <v>AEROSPATIALE, AS-532A2 Cougar Mk2</v>
      </c>
    </row>
    <row r="216" spans="1:4" x14ac:dyDescent="0.2">
      <c r="A216" t="str">
        <f>Sheet2!A216</f>
        <v>AS50</v>
      </c>
      <c r="B216" t="str">
        <f ca="1">'Query Example'!D216</f>
        <v>Helicopter</v>
      </c>
      <c r="C216" s="11" t="str">
        <f>CONCATENATE(Sheet2!F216,"/",Sheet2!E216)</f>
        <v>1/Turboprop/Turboshaft</v>
      </c>
      <c r="D216" t="str">
        <f>CONCATENATE(Sheet2!B216,", ",Sheet2!C216)</f>
        <v>AEROSPATIALE, AS-350 Ecureuil</v>
      </c>
    </row>
    <row r="217" spans="1:4" x14ac:dyDescent="0.2">
      <c r="A217" t="str">
        <f>Sheet2!A217</f>
        <v>AS55</v>
      </c>
      <c r="B217" t="str">
        <f ca="1">'Query Example'!D217</f>
        <v>Helicopter</v>
      </c>
      <c r="C217" s="11" t="str">
        <f>CONCATENATE(Sheet2!F217,"/",Sheet2!E217)</f>
        <v>2/Turboprop/Turboshaft</v>
      </c>
      <c r="D217" t="str">
        <f>CONCATENATE(Sheet2!B217,", ",Sheet2!C217)</f>
        <v>AEROSPATIALE, AS-355 Ecureuil 2</v>
      </c>
    </row>
    <row r="218" spans="1:4" x14ac:dyDescent="0.2">
      <c r="A218" t="str">
        <f>Sheet2!A218</f>
        <v>AS65</v>
      </c>
      <c r="B218" t="str">
        <f ca="1">'Query Example'!D218</f>
        <v>Helicopter</v>
      </c>
      <c r="C218" s="11" t="str">
        <f>CONCATENATE(Sheet2!F218,"/",Sheet2!E218)</f>
        <v>2/Turboprop/Turboshaft</v>
      </c>
      <c r="D218" t="str">
        <f>CONCATENATE(Sheet2!B218,", ",Sheet2!C218)</f>
        <v>AEROSPATIALE, AS-365 Dauphin 2</v>
      </c>
    </row>
    <row r="219" spans="1:4" x14ac:dyDescent="0.2">
      <c r="A219" t="str">
        <f>Sheet2!A219</f>
        <v>AS80</v>
      </c>
      <c r="B219" t="str">
        <f ca="1">'Query Example'!D219</f>
        <v>LandPlane</v>
      </c>
      <c r="C219" s="11" t="str">
        <f>CONCATENATE(Sheet2!F219,"/",Sheet2!E219)</f>
        <v>1/Piston</v>
      </c>
      <c r="D219" t="str">
        <f>CONCATENATE(Sheet2!B219,", ",Sheet2!C219)</f>
        <v>STARCK, AS-80 Holiday</v>
      </c>
    </row>
    <row r="220" spans="1:4" x14ac:dyDescent="0.2">
      <c r="A220" t="str">
        <f>Sheet2!A220</f>
        <v>ASO4</v>
      </c>
      <c r="B220" t="str">
        <f ca="1">'Query Example'!D220</f>
        <v>LandPlane</v>
      </c>
      <c r="C220" s="11" t="str">
        <f>CONCATENATE(Sheet2!F220,"/",Sheet2!E220)</f>
        <v>1/Piston</v>
      </c>
      <c r="D220" t="str">
        <f>CONCATENATE(Sheet2!B220,", ",Sheet2!C220)</f>
        <v>ASSO AEREI, Asso 4 Whisky</v>
      </c>
    </row>
    <row r="221" spans="1:4" x14ac:dyDescent="0.2">
      <c r="A221" t="str">
        <f>Sheet2!A221</f>
        <v>ASTO</v>
      </c>
      <c r="B221" t="str">
        <f ca="1">'Query Example'!D221</f>
        <v>LandPlane</v>
      </c>
      <c r="C221" s="11" t="str">
        <f>CONCATENATE(Sheet2!F221,"/",Sheet2!E221)</f>
        <v>1/Piston</v>
      </c>
      <c r="D221" t="str">
        <f>CONCATENATE(Sheet2!B221,", ",Sheet2!C221)</f>
        <v>TECNAM, Astore</v>
      </c>
    </row>
    <row r="222" spans="1:4" x14ac:dyDescent="0.2">
      <c r="A222" t="str">
        <f>Sheet2!A222</f>
        <v>ASTR</v>
      </c>
      <c r="B222" t="str">
        <f ca="1">'Query Example'!D222</f>
        <v>LandPlane</v>
      </c>
      <c r="C222" s="11" t="str">
        <f>CONCATENATE(Sheet2!F222,"/",Sheet2!E222)</f>
        <v>2/Jet</v>
      </c>
      <c r="D222" t="str">
        <f>CONCATENATE(Sheet2!B222,", ",Sheet2!C222)</f>
        <v>IAI, 1125 Astra</v>
      </c>
    </row>
    <row r="223" spans="1:4" x14ac:dyDescent="0.2">
      <c r="A223" t="str">
        <f>Sheet2!A223</f>
        <v>AT2P</v>
      </c>
      <c r="B223" t="str">
        <f ca="1">'Query Example'!D223</f>
        <v>LandPlane</v>
      </c>
      <c r="C223" s="11" t="str">
        <f>CONCATENATE(Sheet2!F223,"/",Sheet2!E223)</f>
        <v>1/Piston</v>
      </c>
      <c r="D223" t="str">
        <f>CONCATENATE(Sheet2!B223,", ",Sheet2!C223)</f>
        <v>AIR TRACTOR, AT-250</v>
      </c>
    </row>
    <row r="224" spans="1:4" x14ac:dyDescent="0.2">
      <c r="A224" t="str">
        <f>Sheet2!A224</f>
        <v>AT3</v>
      </c>
      <c r="B224" t="str">
        <f ca="1">'Query Example'!D224</f>
        <v>LandPlane</v>
      </c>
      <c r="C224" s="11" t="str">
        <f>CONCATENATE(Sheet2!F224,"/",Sheet2!E224)</f>
        <v>2/Jet</v>
      </c>
      <c r="D224" t="str">
        <f>CONCATENATE(Sheet2!B224,", ",Sheet2!C224)</f>
        <v>AIDC, AT-3 Tzu-Chung</v>
      </c>
    </row>
    <row r="225" spans="1:4" x14ac:dyDescent="0.2">
      <c r="A225" t="str">
        <f>Sheet2!A225</f>
        <v>AT3P</v>
      </c>
      <c r="B225" t="str">
        <f ca="1">'Query Example'!D225</f>
        <v>LandPlane</v>
      </c>
      <c r="C225" s="11" t="str">
        <f>CONCATENATE(Sheet2!F225,"/",Sheet2!E225)</f>
        <v>1/Piston</v>
      </c>
      <c r="D225" t="str">
        <f>CONCATENATE(Sheet2!B225,", ",Sheet2!C225)</f>
        <v>AIR TRACTOR, AT-300</v>
      </c>
    </row>
    <row r="226" spans="1:4" x14ac:dyDescent="0.2">
      <c r="A226" t="str">
        <f>Sheet2!A226</f>
        <v>AT3T</v>
      </c>
      <c r="B226" t="str">
        <f ca="1">'Query Example'!D226</f>
        <v>LandPlane</v>
      </c>
      <c r="C226" s="11" t="str">
        <f>CONCATENATE(Sheet2!F226,"/",Sheet2!E226)</f>
        <v>1/Turboprop/Turboshaft</v>
      </c>
      <c r="D226" t="str">
        <f>CONCATENATE(Sheet2!B226,", ",Sheet2!C226)</f>
        <v>AIR TRACTOR, AT-302</v>
      </c>
    </row>
    <row r="227" spans="1:4" x14ac:dyDescent="0.2">
      <c r="A227" t="str">
        <f>Sheet2!A227</f>
        <v>AT43</v>
      </c>
      <c r="B227" t="str">
        <f ca="1">'Query Example'!D227</f>
        <v>LandPlane</v>
      </c>
      <c r="C227" s="11" t="str">
        <f>CONCATENATE(Sheet2!F227,"/",Sheet2!E227)</f>
        <v>2/Turboprop/Turboshaft</v>
      </c>
      <c r="D227" t="str">
        <f>CONCATENATE(Sheet2!B227,", ",Sheet2!C227)</f>
        <v>ATR, ATR-42-300</v>
      </c>
    </row>
    <row r="228" spans="1:4" x14ac:dyDescent="0.2">
      <c r="A228" t="str">
        <f>Sheet2!A228</f>
        <v>AT44</v>
      </c>
      <c r="B228" t="str">
        <f ca="1">'Query Example'!D228</f>
        <v>LandPlane</v>
      </c>
      <c r="C228" s="11" t="str">
        <f>CONCATENATE(Sheet2!F228,"/",Sheet2!E228)</f>
        <v>2/Turboprop/Turboshaft</v>
      </c>
      <c r="D228" t="str">
        <f>CONCATENATE(Sheet2!B228,", ",Sheet2!C228)</f>
        <v>ATR, ATR-42-400</v>
      </c>
    </row>
    <row r="229" spans="1:4" x14ac:dyDescent="0.2">
      <c r="A229" t="str">
        <f>Sheet2!A229</f>
        <v>AT45</v>
      </c>
      <c r="B229" t="str">
        <f ca="1">'Query Example'!D229</f>
        <v>LandPlane</v>
      </c>
      <c r="C229" s="11" t="str">
        <f>CONCATENATE(Sheet2!F229,"/",Sheet2!E229)</f>
        <v>2/Turboprop/Turboshaft</v>
      </c>
      <c r="D229" t="str">
        <f>CONCATENATE(Sheet2!B229,", ",Sheet2!C229)</f>
        <v>ATR, ATR-42-500</v>
      </c>
    </row>
    <row r="230" spans="1:4" x14ac:dyDescent="0.2">
      <c r="A230" t="str">
        <f>Sheet2!A230</f>
        <v>AT46</v>
      </c>
      <c r="B230" t="str">
        <f ca="1">'Query Example'!D230</f>
        <v>LandPlane</v>
      </c>
      <c r="C230" s="11" t="str">
        <f>CONCATENATE(Sheet2!F230,"/",Sheet2!E230)</f>
        <v>2/Turboprop/Turboshaft</v>
      </c>
      <c r="D230" t="str">
        <f>CONCATENATE(Sheet2!B230,", ",Sheet2!C230)</f>
        <v>ATR, ATR-42-600</v>
      </c>
    </row>
    <row r="231" spans="1:4" x14ac:dyDescent="0.2">
      <c r="A231" t="str">
        <f>Sheet2!A231</f>
        <v>AT5P</v>
      </c>
      <c r="B231" t="str">
        <f ca="1">'Query Example'!D231</f>
        <v>LandPlane</v>
      </c>
      <c r="C231" s="11" t="str">
        <f>CONCATENATE(Sheet2!F231,"/",Sheet2!E231)</f>
        <v>1/Piston</v>
      </c>
      <c r="D231" t="str">
        <f>CONCATENATE(Sheet2!B231,", ",Sheet2!C231)</f>
        <v>AIR TRACTOR, AT-501</v>
      </c>
    </row>
    <row r="232" spans="1:4" x14ac:dyDescent="0.2">
      <c r="A232" t="str">
        <f>Sheet2!A232</f>
        <v>AT6T</v>
      </c>
      <c r="B232" t="str">
        <f ca="1">'Query Example'!D232</f>
        <v>LandPlane</v>
      </c>
      <c r="C232" s="11" t="str">
        <f>CONCATENATE(Sheet2!F232,"/",Sheet2!E232)</f>
        <v>1/Turboprop/Turboshaft</v>
      </c>
      <c r="D232" t="str">
        <f>CONCATENATE(Sheet2!B232,", ",Sheet2!C232)</f>
        <v>AIR TRACTOR, AT-602</v>
      </c>
    </row>
    <row r="233" spans="1:4" x14ac:dyDescent="0.2">
      <c r="A233" t="str">
        <f>Sheet2!A233</f>
        <v>AT72</v>
      </c>
      <c r="B233" t="str">
        <f ca="1">'Query Example'!D233</f>
        <v>LandPlane</v>
      </c>
      <c r="C233" s="11" t="str">
        <f>CONCATENATE(Sheet2!F233,"/",Sheet2!E233)</f>
        <v>2/Turboprop/Turboshaft</v>
      </c>
      <c r="D233" t="str">
        <f>CONCATENATE(Sheet2!B233,", ",Sheet2!C233)</f>
        <v>ATR, ATR-72-201</v>
      </c>
    </row>
    <row r="234" spans="1:4" x14ac:dyDescent="0.2">
      <c r="A234" t="str">
        <f>Sheet2!A234</f>
        <v>AT73</v>
      </c>
      <c r="B234" t="str">
        <f ca="1">'Query Example'!D234</f>
        <v>LandPlane</v>
      </c>
      <c r="C234" s="11" t="str">
        <f>CONCATENATE(Sheet2!F234,"/",Sheet2!E234)</f>
        <v>2/Turboprop/Turboshaft</v>
      </c>
      <c r="D234" t="str">
        <f>CONCATENATE(Sheet2!B234,", ",Sheet2!C234)</f>
        <v>ATR, ATR-72-211</v>
      </c>
    </row>
    <row r="235" spans="1:4" x14ac:dyDescent="0.2">
      <c r="A235" t="str">
        <f>Sheet2!A235</f>
        <v>AT75</v>
      </c>
      <c r="B235" t="str">
        <f ca="1">'Query Example'!D235</f>
        <v>LandPlane</v>
      </c>
      <c r="C235" s="11" t="str">
        <f>CONCATENATE(Sheet2!F235,"/",Sheet2!E235)</f>
        <v>2/Turboprop/Turboshaft</v>
      </c>
      <c r="D235" t="str">
        <f>CONCATENATE(Sheet2!B235,", ",Sheet2!C235)</f>
        <v>ATR, ATR-72-212A (500)</v>
      </c>
    </row>
    <row r="236" spans="1:4" x14ac:dyDescent="0.2">
      <c r="A236" t="str">
        <f>Sheet2!A236</f>
        <v>AT76</v>
      </c>
      <c r="B236" t="str">
        <f ca="1">'Query Example'!D236</f>
        <v>LandPlane</v>
      </c>
      <c r="C236" s="11" t="str">
        <f>CONCATENATE(Sheet2!F236,"/",Sheet2!E236)</f>
        <v>2/Turboprop/Turboshaft</v>
      </c>
      <c r="D236" t="str">
        <f>CONCATENATE(Sheet2!B236,", ",Sheet2!C236)</f>
        <v>ATR, ATR-72-212A (600)</v>
      </c>
    </row>
    <row r="237" spans="1:4" x14ac:dyDescent="0.2">
      <c r="A237" t="str">
        <f>Sheet2!A237</f>
        <v>AT8T</v>
      </c>
      <c r="B237" t="str">
        <f ca="1">'Query Example'!D237</f>
        <v>LandPlane</v>
      </c>
      <c r="C237" s="11" t="str">
        <f>CONCATENATE(Sheet2!F237,"/",Sheet2!E237)</f>
        <v>1/Turboprop/Turboshaft</v>
      </c>
      <c r="D237" t="str">
        <f>CONCATENATE(Sheet2!B237,", ",Sheet2!C237)</f>
        <v>AIR TRACTOR, AT-802</v>
      </c>
    </row>
    <row r="238" spans="1:4" x14ac:dyDescent="0.2">
      <c r="A238" t="str">
        <f>Sheet2!A238</f>
        <v>ATAC</v>
      </c>
      <c r="B238" t="str">
        <f ca="1">'Query Example'!D238</f>
        <v>LandPlane</v>
      </c>
      <c r="C238" s="11" t="str">
        <f>CONCATENATE(Sheet2!F238,"/",Sheet2!E238)</f>
        <v>1/Piston</v>
      </c>
      <c r="D238" t="str">
        <f>CONCATENATE(Sheet2!B238,", ",Sheet2!C238)</f>
        <v>AIRCRAFT TECHNOLOGIES, Acro 1</v>
      </c>
    </row>
    <row r="239" spans="1:4" x14ac:dyDescent="0.2">
      <c r="A239" t="str">
        <f>Sheet2!A239</f>
        <v>ATG1</v>
      </c>
      <c r="B239" t="str">
        <f ca="1">'Query Example'!D239</f>
        <v>LandPlane</v>
      </c>
      <c r="C239" s="11" t="str">
        <f>CONCATENATE(Sheet2!F239,"/",Sheet2!E239)</f>
        <v>2/Jet</v>
      </c>
      <c r="D239" t="str">
        <f>CONCATENATE(Sheet2!B239,", ",Sheet2!C239)</f>
        <v>ATG, ATG-1 Javelin</v>
      </c>
    </row>
    <row r="240" spans="1:4" x14ac:dyDescent="0.2">
      <c r="A240" t="str">
        <f>Sheet2!A240</f>
        <v>ATIS</v>
      </c>
      <c r="B240" t="str">
        <f ca="1">'Query Example'!D240</f>
        <v>LandPlane</v>
      </c>
      <c r="C240" s="11" t="str">
        <f>CONCATENATE(Sheet2!F240,"/",Sheet2!E240)</f>
        <v>1/Piston</v>
      </c>
      <c r="D240" t="str">
        <f>CONCATENATE(Sheet2!B240,", ",Sheet2!C240)</f>
        <v>AIRCRAFT TECHNOLOGIES, Atlantis</v>
      </c>
    </row>
    <row r="241" spans="1:4" x14ac:dyDescent="0.2">
      <c r="A241" t="str">
        <f>Sheet2!A241</f>
        <v>ATL</v>
      </c>
      <c r="B241" t="str">
        <f ca="1">'Query Example'!D241</f>
        <v>LandPlane</v>
      </c>
      <c r="C241" s="11" t="str">
        <f>CONCATENATE(Sheet2!F241,"/",Sheet2!E241)</f>
        <v>1/Piston</v>
      </c>
      <c r="D241" t="str">
        <f>CONCATENATE(Sheet2!B241,", ",Sheet2!C241)</f>
        <v>ROBIN, ATL</v>
      </c>
    </row>
    <row r="242" spans="1:4" x14ac:dyDescent="0.2">
      <c r="A242" t="str">
        <f>Sheet2!A242</f>
        <v>ATLA</v>
      </c>
      <c r="B242" t="str">
        <f ca="1">'Query Example'!D242</f>
        <v>LandPlane</v>
      </c>
      <c r="C242" s="11" t="str">
        <f>CONCATENATE(Sheet2!F242,"/",Sheet2!E242)</f>
        <v>2/Turboprop/Turboshaft</v>
      </c>
      <c r="D242" t="str">
        <f>CONCATENATE(Sheet2!B242,", ",Sheet2!C242)</f>
        <v>DASSAULT, Atlantique 2</v>
      </c>
    </row>
    <row r="243" spans="1:4" x14ac:dyDescent="0.2">
      <c r="A243" t="str">
        <f>Sheet2!A243</f>
        <v>ATP</v>
      </c>
      <c r="B243" t="str">
        <f ca="1">'Query Example'!D243</f>
        <v>LandPlane</v>
      </c>
      <c r="C243" s="11" t="str">
        <f>CONCATENATE(Sheet2!F243,"/",Sheet2!E243)</f>
        <v>2/Turboprop/Turboshaft</v>
      </c>
      <c r="D243" t="str">
        <f>CONCATENATE(Sheet2!B243,", ",Sheet2!C243)</f>
        <v>BRITISH AEROSPACE, ATP</v>
      </c>
    </row>
    <row r="244" spans="1:4" x14ac:dyDescent="0.2">
      <c r="A244" t="str">
        <f>Sheet2!A244</f>
        <v>AU11</v>
      </c>
      <c r="B244" t="str">
        <f ca="1">'Query Example'!D244</f>
        <v>LandPlane</v>
      </c>
      <c r="C244" s="11" t="str">
        <f>CONCATENATE(Sheet2!F244,"/",Sheet2!E244)</f>
        <v>1/Piston</v>
      </c>
      <c r="D244" t="str">
        <f>CONCATENATE(Sheet2!B244,", ",Sheet2!C244)</f>
        <v>BEAGLE-AUSTER, Auster AOP11</v>
      </c>
    </row>
    <row r="245" spans="1:4" x14ac:dyDescent="0.2">
      <c r="A245" t="str">
        <f>Sheet2!A245</f>
        <v>AUJ2</v>
      </c>
      <c r="B245" t="str">
        <f ca="1">'Query Example'!D245</f>
        <v>LandPlane</v>
      </c>
      <c r="C245" s="11" t="str">
        <f>CONCATENATE(Sheet2!F245,"/",Sheet2!E245)</f>
        <v>1/Piston</v>
      </c>
      <c r="D245" t="str">
        <f>CONCATENATE(Sheet2!B245,", ",Sheet2!C245)</f>
        <v>AUSTER, J-2 Arrow</v>
      </c>
    </row>
    <row r="246" spans="1:4" x14ac:dyDescent="0.2">
      <c r="A246" t="str">
        <f>Sheet2!A246</f>
        <v>AUJ4</v>
      </c>
      <c r="B246" t="str">
        <f ca="1">'Query Example'!D246</f>
        <v>LandPlane</v>
      </c>
      <c r="C246" s="11" t="str">
        <f>CONCATENATE(Sheet2!F246,"/",Sheet2!E246)</f>
        <v>1/Piston</v>
      </c>
      <c r="D246" t="str">
        <f>CONCATENATE(Sheet2!B246,", ",Sheet2!C246)</f>
        <v>AUSTER, J-4 Archer</v>
      </c>
    </row>
    <row r="247" spans="1:4" x14ac:dyDescent="0.2">
      <c r="A247" t="str">
        <f>Sheet2!A247</f>
        <v>AUS3</v>
      </c>
      <c r="B247" t="str">
        <f ca="1">'Query Example'!D247</f>
        <v>LandPlane</v>
      </c>
      <c r="C247" s="11" t="str">
        <f>CONCATENATE(Sheet2!F247,"/",Sheet2!E247)</f>
        <v>1/Piston</v>
      </c>
      <c r="D247" t="str">
        <f>CONCATENATE(Sheet2!B247,", ",Sheet2!C247)</f>
        <v>TAYLORCRAFT (2), Auster 3</v>
      </c>
    </row>
    <row r="248" spans="1:4" x14ac:dyDescent="0.2">
      <c r="A248" t="str">
        <f>Sheet2!A248</f>
        <v>AUS4</v>
      </c>
      <c r="B248" t="str">
        <f ca="1">'Query Example'!D248</f>
        <v>LandPlane</v>
      </c>
      <c r="C248" s="11" t="str">
        <f>CONCATENATE(Sheet2!F248,"/",Sheet2!E248)</f>
        <v>1/Piston</v>
      </c>
      <c r="D248" t="str">
        <f>CONCATENATE(Sheet2!B248,", ",Sheet2!C248)</f>
        <v>TAYLORCRAFT (2), Auster 4</v>
      </c>
    </row>
    <row r="249" spans="1:4" x14ac:dyDescent="0.2">
      <c r="A249" t="str">
        <f>Sheet2!A249</f>
        <v>AUS5</v>
      </c>
      <c r="B249" t="str">
        <f ca="1">'Query Example'!D249</f>
        <v>LandPlane</v>
      </c>
      <c r="C249" s="11" t="str">
        <f>CONCATENATE(Sheet2!F249,"/",Sheet2!E249)</f>
        <v>1/Piston</v>
      </c>
      <c r="D249" t="str">
        <f>CONCATENATE(Sheet2!B249,", ",Sheet2!C249)</f>
        <v>AUSTER, Auster 5</v>
      </c>
    </row>
    <row r="250" spans="1:4" x14ac:dyDescent="0.2">
      <c r="A250" t="str">
        <f>Sheet2!A250</f>
        <v>AUS5</v>
      </c>
      <c r="B250" t="str">
        <f ca="1">'Query Example'!D250</f>
        <v>LandPlane</v>
      </c>
      <c r="C250" s="11" t="str">
        <f>CONCATENATE(Sheet2!F250,"/",Sheet2!E250)</f>
        <v>1/Piston</v>
      </c>
      <c r="D250" t="str">
        <f>CONCATENATE(Sheet2!B250,", ",Sheet2!C250)</f>
        <v>TAYLORCRAFT (2), Auster 5</v>
      </c>
    </row>
    <row r="251" spans="1:4" x14ac:dyDescent="0.2">
      <c r="A251" t="str">
        <f>Sheet2!A251</f>
        <v>AUS6</v>
      </c>
      <c r="B251" t="str">
        <f ca="1">'Query Example'!D251</f>
        <v>LandPlane</v>
      </c>
      <c r="C251" s="11" t="str">
        <f>CONCATENATE(Sheet2!F251,"/",Sheet2!E251)</f>
        <v>1/Piston</v>
      </c>
      <c r="D251" t="str">
        <f>CONCATENATE(Sheet2!B251,", ",Sheet2!C251)</f>
        <v>AUSTER, Auster AOP6</v>
      </c>
    </row>
    <row r="252" spans="1:4" x14ac:dyDescent="0.2">
      <c r="A252" t="str">
        <f>Sheet2!A252</f>
        <v>AUS7</v>
      </c>
      <c r="B252" t="str">
        <f ca="1">'Query Example'!D252</f>
        <v>LandPlane</v>
      </c>
      <c r="C252" s="11" t="str">
        <f>CONCATENATE(Sheet2!F252,"/",Sheet2!E252)</f>
        <v>1/Piston</v>
      </c>
      <c r="D252" t="str">
        <f>CONCATENATE(Sheet2!B252,", ",Sheet2!C252)</f>
        <v>AUSTER, Auster T7</v>
      </c>
    </row>
    <row r="253" spans="1:4" x14ac:dyDescent="0.2">
      <c r="A253" t="str">
        <f>Sheet2!A253</f>
        <v>AUS9</v>
      </c>
      <c r="B253" t="str">
        <f ca="1">'Query Example'!D253</f>
        <v>LandPlane</v>
      </c>
      <c r="C253" s="11" t="str">
        <f>CONCATENATE(Sheet2!F253,"/",Sheet2!E253)</f>
        <v>1/Piston</v>
      </c>
      <c r="D253" t="str">
        <f>CONCATENATE(Sheet2!B253,", ",Sheet2!C253)</f>
        <v>AUSTER, Auster AOP9</v>
      </c>
    </row>
    <row r="254" spans="1:4" x14ac:dyDescent="0.2">
      <c r="A254" t="str">
        <f>Sheet2!A254</f>
        <v>AV68</v>
      </c>
      <c r="B254" t="str">
        <f ca="1">'Query Example'!D254</f>
        <v>LandPlane</v>
      </c>
      <c r="C254" s="11" t="str">
        <f>CONCATENATE(Sheet2!F254,"/",Sheet2!E254)</f>
        <v>1/Piston</v>
      </c>
      <c r="D254" t="str">
        <f>CONCATENATE(Sheet2!B254,", ",Sheet2!C254)</f>
        <v>ALPLA, AVO-68 Samburo</v>
      </c>
    </row>
    <row r="255" spans="1:4" x14ac:dyDescent="0.2">
      <c r="A255" t="str">
        <f>Sheet2!A255</f>
        <v>AVAM</v>
      </c>
      <c r="B255" t="str">
        <f ca="1">'Query Example'!D255</f>
        <v>Amphibian</v>
      </c>
      <c r="C255" s="11" t="str">
        <f>CONCATENATE(Sheet2!F255,"/",Sheet2!E255)</f>
        <v>1/Piston</v>
      </c>
      <c r="D255" t="str">
        <f>CONCATENATE(Sheet2!B255,", ",Sheet2!C255)</f>
        <v>AVID, Avid Amphibian</v>
      </c>
    </row>
    <row r="256" spans="1:4" x14ac:dyDescent="0.2">
      <c r="A256" t="str">
        <f>Sheet2!A256</f>
        <v>AVID</v>
      </c>
      <c r="B256" t="str">
        <f ca="1">'Query Example'!D256</f>
        <v>LandPlane</v>
      </c>
      <c r="C256" s="11" t="str">
        <f>CONCATENATE(Sheet2!F256,"/",Sheet2!E256)</f>
        <v>1/Piston</v>
      </c>
      <c r="D256" t="str">
        <f>CONCATENATE(Sheet2!B256,", ",Sheet2!C256)</f>
        <v>LIGHT AERO, Avid Flyer</v>
      </c>
    </row>
    <row r="257" spans="1:4" x14ac:dyDescent="0.2">
      <c r="A257" t="str">
        <f>Sheet2!A257</f>
        <v>AVIN</v>
      </c>
      <c r="B257" t="str">
        <f ca="1">'Query Example'!D257</f>
        <v>LandPlane</v>
      </c>
      <c r="C257" s="11" t="str">
        <f>CONCATENATE(Sheet2!F257,"/",Sheet2!E257)</f>
        <v>1/Piston</v>
      </c>
      <c r="D257" t="str">
        <f>CONCATENATE(Sheet2!B257,", ",Sheet2!C257)</f>
        <v>AVRO, 594 Avian</v>
      </c>
    </row>
    <row r="258" spans="1:4" x14ac:dyDescent="0.2">
      <c r="A258" t="str">
        <f>Sheet2!A258</f>
        <v>AVK4</v>
      </c>
      <c r="B258" t="str">
        <f ca="1">'Query Example'!D258</f>
        <v>LandPlane</v>
      </c>
      <c r="C258" s="11" t="str">
        <f>CONCATENATE(Sheet2!F258,"/",Sheet2!E258)</f>
        <v>2/Turboprop/Turboshaft</v>
      </c>
      <c r="D258" t="str">
        <f>CONCATENATE(Sheet2!B258,", ",Sheet2!C258)</f>
        <v>AVTEK, 400</v>
      </c>
    </row>
    <row r="259" spans="1:4" x14ac:dyDescent="0.2">
      <c r="A259" t="str">
        <f>Sheet2!A259</f>
        <v>AVLN</v>
      </c>
      <c r="B259" t="str">
        <f ca="1">'Query Example'!D259</f>
        <v>Amphibian</v>
      </c>
      <c r="C259" s="11" t="str">
        <f>CONCATENATE(Sheet2!F259,"/",Sheet2!E259)</f>
        <v>1/Turboprop/Turboshaft</v>
      </c>
      <c r="D259" t="str">
        <f>CONCATENATE(Sheet2!B259,", ",Sheet2!C259)</f>
        <v>AIRMASTER, Avalon 680</v>
      </c>
    </row>
    <row r="260" spans="1:4" x14ac:dyDescent="0.2">
      <c r="A260" t="str">
        <f>Sheet2!A260</f>
        <v>AVTR</v>
      </c>
      <c r="B260" t="str">
        <f ca="1">'Query Example'!D260</f>
        <v>Amphibian</v>
      </c>
      <c r="C260" s="11" t="str">
        <f>CONCATENATE(Sheet2!F260,"/",Sheet2!E260)</f>
        <v>1/Piston</v>
      </c>
      <c r="D260" t="str">
        <f>CONCATENATE(Sheet2!B260,", ",Sheet2!C260)</f>
        <v>AERO ADVENTURE, Aventura 2</v>
      </c>
    </row>
    <row r="261" spans="1:4" x14ac:dyDescent="0.2">
      <c r="A261" t="str">
        <f>Sheet2!A261</f>
        <v>B06</v>
      </c>
      <c r="B261" t="str">
        <f ca="1">'Query Example'!D261</f>
        <v>Helicopter</v>
      </c>
      <c r="C261" s="11" t="str">
        <f>CONCATENATE(Sheet2!F261,"/",Sheet2!E261)</f>
        <v>1/Turboprop/Turboshaft</v>
      </c>
      <c r="D261" t="str">
        <f>CONCATENATE(Sheet2!B261,", ",Sheet2!C261)</f>
        <v>BELL, 206B JetRanger</v>
      </c>
    </row>
    <row r="262" spans="1:4" x14ac:dyDescent="0.2">
      <c r="A262" t="str">
        <f>Sheet2!A262</f>
        <v>B06T</v>
      </c>
      <c r="B262" t="str">
        <f ca="1">'Query Example'!D262</f>
        <v>Helicopter</v>
      </c>
      <c r="C262" s="11" t="str">
        <f>CONCATENATE(Sheet2!F262,"/",Sheet2!E262)</f>
        <v>2/Turboprop/Turboshaft</v>
      </c>
      <c r="D262" t="str">
        <f>CONCATENATE(Sheet2!B262,", ",Sheet2!C262)</f>
        <v>BELL, 206LT TwinRanger</v>
      </c>
    </row>
    <row r="263" spans="1:4" x14ac:dyDescent="0.2">
      <c r="A263" t="str">
        <f>Sheet2!A263</f>
        <v>B1</v>
      </c>
      <c r="B263" t="str">
        <f ca="1">'Query Example'!D263</f>
        <v>LandPlane</v>
      </c>
      <c r="C263" s="11" t="str">
        <f>CONCATENATE(Sheet2!F263,"/",Sheet2!E263)</f>
        <v>4/Jet</v>
      </c>
      <c r="D263" t="str">
        <f>CONCATENATE(Sheet2!B263,", ",Sheet2!C263)</f>
        <v>ROCKWELL, B-1 Lancer</v>
      </c>
    </row>
    <row r="264" spans="1:4" x14ac:dyDescent="0.2">
      <c r="A264" t="str">
        <f>Sheet2!A264</f>
        <v>B103</v>
      </c>
      <c r="B264" t="str">
        <f ca="1">'Query Example'!D264</f>
        <v>Amphibian</v>
      </c>
      <c r="C264" s="11" t="str">
        <f>CONCATENATE(Sheet2!F264,"/",Sheet2!E264)</f>
        <v>2/Piston</v>
      </c>
      <c r="D264" t="str">
        <f>CONCATENATE(Sheet2!B264,", ",Sheet2!C264)</f>
        <v>BERIEV, Be-103 Bekas</v>
      </c>
    </row>
    <row r="265" spans="1:4" x14ac:dyDescent="0.2">
      <c r="A265" t="str">
        <f>Sheet2!A265</f>
        <v>B105</v>
      </c>
      <c r="B265" t="str">
        <f ca="1">'Query Example'!D265</f>
        <v>Helicopter</v>
      </c>
      <c r="C265" s="11" t="str">
        <f>CONCATENATE(Sheet2!F265,"/",Sheet2!E265)</f>
        <v>2/Turboprop/Turboshaft</v>
      </c>
      <c r="D265" t="str">
        <f>CONCATENATE(Sheet2!B265,", ",Sheet2!C265)</f>
        <v>MBB, BO-105</v>
      </c>
    </row>
    <row r="266" spans="1:4" x14ac:dyDescent="0.2">
      <c r="A266" t="str">
        <f>Sheet2!A266</f>
        <v>B13</v>
      </c>
      <c r="B266" t="str">
        <f ca="1">'Query Example'!D266</f>
        <v>LandPlane</v>
      </c>
      <c r="C266" s="11" t="str">
        <f>CONCATENATE(Sheet2!F266,"/",Sheet2!E266)</f>
        <v>1/Piston</v>
      </c>
      <c r="D266" t="str">
        <f>CONCATENATE(Sheet2!B266,", ",Sheet2!C266)</f>
        <v>AKAFLIEG BERLIN, B-13</v>
      </c>
    </row>
    <row r="267" spans="1:4" x14ac:dyDescent="0.2">
      <c r="A267" t="str">
        <f>Sheet2!A267</f>
        <v>B14A</v>
      </c>
      <c r="B267" t="str">
        <f ca="1">'Query Example'!D267</f>
        <v>LandPlane</v>
      </c>
      <c r="C267" s="11" t="str">
        <f>CONCATENATE(Sheet2!F267,"/",Sheet2!E267)</f>
        <v>1/Piston</v>
      </c>
      <c r="D267" t="str">
        <f>CONCATENATE(Sheet2!B267,", ",Sheet2!C267)</f>
        <v>BELLANCA, 14 Cruisair</v>
      </c>
    </row>
    <row r="268" spans="1:4" x14ac:dyDescent="0.2">
      <c r="A268" t="str">
        <f>Sheet2!A268</f>
        <v>B14B</v>
      </c>
      <c r="B268" t="str">
        <f ca="1">'Query Example'!D268</f>
        <v>LandPlane</v>
      </c>
      <c r="C268" s="11" t="str">
        <f>CONCATENATE(Sheet2!F268,"/",Sheet2!E268)</f>
        <v>1/Piston</v>
      </c>
      <c r="D268" t="str">
        <f>CONCATENATE(Sheet2!B268,", ",Sheet2!C268)</f>
        <v>DOWNER, 14 Bellanca 260</v>
      </c>
    </row>
    <row r="269" spans="1:4" x14ac:dyDescent="0.2">
      <c r="A269" t="str">
        <f>Sheet2!A269</f>
        <v>B14C</v>
      </c>
      <c r="B269" t="str">
        <f ca="1">'Query Example'!D269</f>
        <v>LandPlane</v>
      </c>
      <c r="C269" s="11" t="str">
        <f>CONCATENATE(Sheet2!F269,"/",Sheet2!E269)</f>
        <v>1/Piston</v>
      </c>
      <c r="D269" t="str">
        <f>CONCATENATE(Sheet2!B269,", ",Sheet2!C269)</f>
        <v>BELLANCA, 14 Bellanca 260C</v>
      </c>
    </row>
    <row r="270" spans="1:4" x14ac:dyDescent="0.2">
      <c r="A270" t="str">
        <f>Sheet2!A270</f>
        <v>B150</v>
      </c>
      <c r="B270" t="str">
        <f ca="1">'Query Example'!D270</f>
        <v>Helicopter</v>
      </c>
      <c r="C270" s="11" t="str">
        <f>CONCATENATE(Sheet2!F270,"/",Sheet2!E270)</f>
        <v>1/Turboprop/Turboshaft</v>
      </c>
      <c r="D270" t="str">
        <f>CONCATENATE(Sheet2!B270,", ",Sheet2!C270)</f>
        <v>WINNER, B-150</v>
      </c>
    </row>
    <row r="271" spans="1:4" x14ac:dyDescent="0.2">
      <c r="A271" t="str">
        <f>Sheet2!A271</f>
        <v>B17</v>
      </c>
      <c r="B271" t="str">
        <f ca="1">'Query Example'!D271</f>
        <v>LandPlane</v>
      </c>
      <c r="C271" s="11" t="str">
        <f>CONCATENATE(Sheet2!F271,"/",Sheet2!E271)</f>
        <v>4/Piston</v>
      </c>
      <c r="D271" t="str">
        <f>CONCATENATE(Sheet2!B271,", ",Sheet2!C271)</f>
        <v>BOEING, B-17 Flying Fortress</v>
      </c>
    </row>
    <row r="272" spans="1:4" x14ac:dyDescent="0.2">
      <c r="A272" t="str">
        <f>Sheet2!A272</f>
        <v>B18T</v>
      </c>
      <c r="B272" t="str">
        <f ca="1">'Query Example'!D272</f>
        <v>LandPlane</v>
      </c>
      <c r="C272" s="11" t="str">
        <f>CONCATENATE(Sheet2!F272,"/",Sheet2!E272)</f>
        <v>2/Turboprop/Turboshaft</v>
      </c>
      <c r="D272" t="str">
        <f>CONCATENATE(Sheet2!B272,", ",Sheet2!C272)</f>
        <v>BEECH, 18 (turbine)</v>
      </c>
    </row>
    <row r="273" spans="1:4" x14ac:dyDescent="0.2">
      <c r="A273" t="str">
        <f>Sheet2!A273</f>
        <v>B190</v>
      </c>
      <c r="B273" t="str">
        <f ca="1">'Query Example'!D273</f>
        <v>LandPlane</v>
      </c>
      <c r="C273" s="11" t="str">
        <f>CONCATENATE(Sheet2!F273,"/",Sheet2!E273)</f>
        <v>2/Turboprop/Turboshaft</v>
      </c>
      <c r="D273" t="str">
        <f>CONCATENATE(Sheet2!B273,", ",Sheet2!C273)</f>
        <v>BEECH, 1900</v>
      </c>
    </row>
    <row r="274" spans="1:4" x14ac:dyDescent="0.2">
      <c r="A274" t="str">
        <f>Sheet2!A274</f>
        <v>B2</v>
      </c>
      <c r="B274" t="str">
        <f ca="1">'Query Example'!D274</f>
        <v>LandPlane</v>
      </c>
      <c r="C274" s="11" t="str">
        <f>CONCATENATE(Sheet2!F274,"/",Sheet2!E274)</f>
        <v>4/Jet</v>
      </c>
      <c r="D274" t="str">
        <f>CONCATENATE(Sheet2!B274,", ",Sheet2!C274)</f>
        <v>NORTHROP GRUMMAN, B-2 Spirit</v>
      </c>
    </row>
    <row r="275" spans="1:4" x14ac:dyDescent="0.2">
      <c r="A275" t="str">
        <f>Sheet2!A275</f>
        <v>B209</v>
      </c>
      <c r="B275" t="str">
        <f ca="1">'Query Example'!D275</f>
        <v>LandPlane</v>
      </c>
      <c r="C275" s="11" t="str">
        <f>CONCATENATE(Sheet2!F275,"/",Sheet2!E275)</f>
        <v>1/Piston</v>
      </c>
      <c r="D275" t="str">
        <f>CONCATENATE(Sheet2!B275,", ",Sheet2!C275)</f>
        <v>MBB, BO-209 Monsun</v>
      </c>
    </row>
    <row r="276" spans="1:4" x14ac:dyDescent="0.2">
      <c r="A276" t="str">
        <f>Sheet2!A276</f>
        <v>B214</v>
      </c>
      <c r="B276" t="str">
        <f ca="1">'Query Example'!D276</f>
        <v>Helicopter</v>
      </c>
      <c r="C276" s="11" t="str">
        <f>CONCATENATE(Sheet2!F276,"/",Sheet2!E276)</f>
        <v>1/Turboprop/Turboshaft</v>
      </c>
      <c r="D276" t="str">
        <f>CONCATENATE(Sheet2!B276,", ",Sheet2!C276)</f>
        <v>BELL, 214B</v>
      </c>
    </row>
    <row r="277" spans="1:4" x14ac:dyDescent="0.2">
      <c r="A277" t="str">
        <f>Sheet2!A277</f>
        <v>B23</v>
      </c>
      <c r="B277" t="str">
        <f ca="1">'Query Example'!D277</f>
        <v>LandPlane</v>
      </c>
      <c r="C277" s="11" t="str">
        <f>CONCATENATE(Sheet2!F277,"/",Sheet2!E277)</f>
        <v>2/Piston</v>
      </c>
      <c r="D277" t="str">
        <f>CONCATENATE(Sheet2!B277,", ",Sheet2!C277)</f>
        <v>DOUGLAS, B-23 Dragon</v>
      </c>
    </row>
    <row r="278" spans="1:4" x14ac:dyDescent="0.2">
      <c r="A278" t="str">
        <f>Sheet2!A278</f>
        <v>B230</v>
      </c>
      <c r="B278" t="str">
        <f ca="1">'Query Example'!D278</f>
        <v>Helicopter</v>
      </c>
      <c r="C278" s="11" t="str">
        <f>CONCATENATE(Sheet2!F278,"/",Sheet2!E278)</f>
        <v>2/Turboprop/Turboshaft</v>
      </c>
      <c r="D278" t="str">
        <f>CONCATENATE(Sheet2!B278,", ",Sheet2!C278)</f>
        <v>BELL, 230</v>
      </c>
    </row>
    <row r="279" spans="1:4" x14ac:dyDescent="0.2">
      <c r="A279" t="str">
        <f>Sheet2!A279</f>
        <v>B23E</v>
      </c>
      <c r="B279" t="str">
        <f ca="1">'Query Example'!D279</f>
        <v>LandPlane</v>
      </c>
      <c r="C279" s="11" t="str">
        <f>CONCATENATE(Sheet2!F279,"/",Sheet2!E279)</f>
        <v>1/Electric</v>
      </c>
      <c r="D279" t="str">
        <f>CONCATENATE(Sheet2!B279,", ",Sheet2!C279)</f>
        <v>BRM AERO, Bristell B23 Energic</v>
      </c>
    </row>
    <row r="280" spans="1:4" x14ac:dyDescent="0.2">
      <c r="A280" t="str">
        <f>Sheet2!A280</f>
        <v>B24</v>
      </c>
      <c r="B280" t="str">
        <f ca="1">'Query Example'!D280</f>
        <v>LandPlane</v>
      </c>
      <c r="C280" s="11" t="str">
        <f>CONCATENATE(Sheet2!F280,"/",Sheet2!E280)</f>
        <v>4/Piston</v>
      </c>
      <c r="D280" t="str">
        <f>CONCATENATE(Sheet2!B280,", ",Sheet2!C280)</f>
        <v>CONSOLIDATED, B-24 Liberator</v>
      </c>
    </row>
    <row r="281" spans="1:4" x14ac:dyDescent="0.2">
      <c r="A281" t="str">
        <f>Sheet2!A281</f>
        <v>B25</v>
      </c>
      <c r="B281" t="str">
        <f ca="1">'Query Example'!D281</f>
        <v>LandPlane</v>
      </c>
      <c r="C281" s="11" t="str">
        <f>CONCATENATE(Sheet2!F281,"/",Sheet2!E281)</f>
        <v>2/Piston</v>
      </c>
      <c r="D281" t="str">
        <f>CONCATENATE(Sheet2!B281,", ",Sheet2!C281)</f>
        <v>NORTH AMERICAN, B-25 Mitchell</v>
      </c>
    </row>
    <row r="282" spans="1:4" x14ac:dyDescent="0.2">
      <c r="A282" t="str">
        <f>Sheet2!A282</f>
        <v>B26</v>
      </c>
      <c r="B282" t="str">
        <f ca="1">'Query Example'!D282</f>
        <v>LandPlane</v>
      </c>
      <c r="C282" s="11" t="str">
        <f>CONCATENATE(Sheet2!F282,"/",Sheet2!E282)</f>
        <v>2/Piston</v>
      </c>
      <c r="D282" t="str">
        <f>CONCATENATE(Sheet2!B282,", ",Sheet2!C282)</f>
        <v>DOUGLAS, B-26 Invader</v>
      </c>
    </row>
    <row r="283" spans="1:4" x14ac:dyDescent="0.2">
      <c r="A283" t="str">
        <f>Sheet2!A283</f>
        <v>B26M</v>
      </c>
      <c r="B283" t="str">
        <f ca="1">'Query Example'!D283</f>
        <v>LandPlane</v>
      </c>
      <c r="C283" s="11" t="str">
        <f>CONCATENATE(Sheet2!F283,"/",Sheet2!E283)</f>
        <v>2/Piston</v>
      </c>
      <c r="D283" t="str">
        <f>CONCATENATE(Sheet2!B283,", ",Sheet2!C283)</f>
        <v>MARTIN, B-26 Marauder</v>
      </c>
    </row>
    <row r="284" spans="1:4" x14ac:dyDescent="0.2">
      <c r="A284" t="str">
        <f>Sheet2!A284</f>
        <v>B29</v>
      </c>
      <c r="B284" t="str">
        <f ca="1">'Query Example'!D284</f>
        <v>LandPlane</v>
      </c>
      <c r="C284" s="11" t="str">
        <f>CONCATENATE(Sheet2!F284,"/",Sheet2!E284)</f>
        <v>4/Piston</v>
      </c>
      <c r="D284" t="str">
        <f>CONCATENATE(Sheet2!B284,", ",Sheet2!C284)</f>
        <v>BOEING, B-29 Superfortress</v>
      </c>
    </row>
    <row r="285" spans="1:4" x14ac:dyDescent="0.2">
      <c r="A285" t="str">
        <f>Sheet2!A285</f>
        <v>B305</v>
      </c>
      <c r="B285" t="str">
        <f ca="1">'Query Example'!D285</f>
        <v>Helicopter</v>
      </c>
      <c r="C285" s="11" t="str">
        <f>CONCATENATE(Sheet2!F285,"/",Sheet2!E285)</f>
        <v>1/Piston</v>
      </c>
      <c r="D285" t="str">
        <f>CONCATENATE(Sheet2!B285,", ",Sheet2!C285)</f>
        <v>BRANTLY, 305</v>
      </c>
    </row>
    <row r="286" spans="1:4" x14ac:dyDescent="0.2">
      <c r="A286" t="str">
        <f>Sheet2!A286</f>
        <v>B350</v>
      </c>
      <c r="B286" t="str">
        <f ca="1">'Query Example'!D286</f>
        <v>LandPlane</v>
      </c>
      <c r="C286" s="11" t="str">
        <f>CONCATENATE(Sheet2!F286,"/",Sheet2!E286)</f>
        <v>2/Turboprop/Turboshaft</v>
      </c>
      <c r="D286" t="str">
        <f>CONCATENATE(Sheet2!B286,", ",Sheet2!C286)</f>
        <v>BEECH, Super King Air 350</v>
      </c>
    </row>
    <row r="287" spans="1:4" x14ac:dyDescent="0.2">
      <c r="A287" t="str">
        <f>Sheet2!A287</f>
        <v>B360</v>
      </c>
      <c r="B287" t="str">
        <f ca="1">'Query Example'!D287</f>
        <v>LandPlane</v>
      </c>
      <c r="C287" s="11" t="str">
        <f>CONCATENATE(Sheet2!F287,"/",Sheet2!E287)</f>
        <v>1/Piston</v>
      </c>
      <c r="D287" t="str">
        <f>CONCATENATE(Sheet2!B287,", ",Sheet2!C287)</f>
        <v>YAKOVLEV AIRCRAFT, Bear 360</v>
      </c>
    </row>
    <row r="288" spans="1:4" x14ac:dyDescent="0.2">
      <c r="A288" t="str">
        <f>Sheet2!A288</f>
        <v>B36T</v>
      </c>
      <c r="B288" t="str">
        <f ca="1">'Query Example'!D288</f>
        <v>LandPlane</v>
      </c>
      <c r="C288" s="11" t="str">
        <f>CONCATENATE(Sheet2!F288,"/",Sheet2!E288)</f>
        <v>1/Turboprop/Turboshaft</v>
      </c>
      <c r="D288" t="str">
        <f>CONCATENATE(Sheet2!B288,", ",Sheet2!C288)</f>
        <v>BEECH, 36 Bonanza (turbine)</v>
      </c>
    </row>
    <row r="289" spans="1:4" x14ac:dyDescent="0.2">
      <c r="A289" t="str">
        <f>Sheet2!A289</f>
        <v>B37M</v>
      </c>
      <c r="B289" t="str">
        <f ca="1">'Query Example'!D289</f>
        <v>LandPlane</v>
      </c>
      <c r="C289" s="11" t="str">
        <f>CONCATENATE(Sheet2!F289,"/",Sheet2!E289)</f>
        <v>2/Jet</v>
      </c>
      <c r="D289" t="str">
        <f>CONCATENATE(Sheet2!B289,", ",Sheet2!C289)</f>
        <v>BOEING, 737 MAX 7</v>
      </c>
    </row>
    <row r="290" spans="1:4" x14ac:dyDescent="0.2">
      <c r="A290" t="str">
        <f>Sheet2!A290</f>
        <v>B38M</v>
      </c>
      <c r="B290" t="str">
        <f ca="1">'Query Example'!D290</f>
        <v>LandPlane</v>
      </c>
      <c r="C290" s="11" t="str">
        <f>CONCATENATE(Sheet2!F290,"/",Sheet2!E290)</f>
        <v>2/Jet</v>
      </c>
      <c r="D290" t="str">
        <f>CONCATENATE(Sheet2!B290,", ",Sheet2!C290)</f>
        <v>BOEING, 737 MAX 8</v>
      </c>
    </row>
    <row r="291" spans="1:4" x14ac:dyDescent="0.2">
      <c r="A291" t="str">
        <f>Sheet2!A291</f>
        <v>B39M</v>
      </c>
      <c r="B291" t="str">
        <f ca="1">'Query Example'!D291</f>
        <v>LandPlane</v>
      </c>
      <c r="C291" s="11" t="str">
        <f>CONCATENATE(Sheet2!F291,"/",Sheet2!E291)</f>
        <v>2/Jet</v>
      </c>
      <c r="D291" t="str">
        <f>CONCATENATE(Sheet2!B291,", ",Sheet2!C291)</f>
        <v>BOEING, 737 MAX 9</v>
      </c>
    </row>
    <row r="292" spans="1:4" x14ac:dyDescent="0.2">
      <c r="A292" t="str">
        <f>Sheet2!A292</f>
        <v>B3XM</v>
      </c>
      <c r="B292" t="str">
        <f ca="1">'Query Example'!D292</f>
        <v>LandPlane</v>
      </c>
      <c r="C292" s="11" t="str">
        <f>CONCATENATE(Sheet2!F292,"/",Sheet2!E292)</f>
        <v>2/Jet</v>
      </c>
      <c r="D292" t="str">
        <f>CONCATENATE(Sheet2!B292,", ",Sheet2!C292)</f>
        <v>BOEING, 737 MAX 10</v>
      </c>
    </row>
    <row r="293" spans="1:4" x14ac:dyDescent="0.2">
      <c r="A293" t="str">
        <f>Sheet2!A293</f>
        <v>B407</v>
      </c>
      <c r="B293" t="str">
        <f ca="1">'Query Example'!D293</f>
        <v>Helicopter</v>
      </c>
      <c r="C293" s="11" t="str">
        <f>CONCATENATE(Sheet2!F293,"/",Sheet2!E293)</f>
        <v>1/Turboprop/Turboshaft</v>
      </c>
      <c r="D293" t="str">
        <f>CONCATENATE(Sheet2!B293,", ",Sheet2!C293)</f>
        <v>BELL, 407</v>
      </c>
    </row>
    <row r="294" spans="1:4" x14ac:dyDescent="0.2">
      <c r="A294" t="str">
        <f>Sheet2!A294</f>
        <v>B412</v>
      </c>
      <c r="B294" t="str">
        <f ca="1">'Query Example'!D294</f>
        <v>Helicopter</v>
      </c>
      <c r="C294" s="11" t="str">
        <f>CONCATENATE(Sheet2!F294,"/",Sheet2!E294)</f>
        <v>2/Turboprop/Turboshaft</v>
      </c>
      <c r="D294" t="str">
        <f>CONCATENATE(Sheet2!B294,", ",Sheet2!C294)</f>
        <v>BELL, 412</v>
      </c>
    </row>
    <row r="295" spans="1:4" x14ac:dyDescent="0.2">
      <c r="A295" t="str">
        <f>Sheet2!A295</f>
        <v>B427</v>
      </c>
      <c r="B295" t="str">
        <f ca="1">'Query Example'!D295</f>
        <v>Helicopter</v>
      </c>
      <c r="C295" s="11" t="str">
        <f>CONCATENATE(Sheet2!F295,"/",Sheet2!E295)</f>
        <v>2/Turboprop/Turboshaft</v>
      </c>
      <c r="D295" t="str">
        <f>CONCATENATE(Sheet2!B295,", ",Sheet2!C295)</f>
        <v>BELL, 427</v>
      </c>
    </row>
    <row r="296" spans="1:4" x14ac:dyDescent="0.2">
      <c r="A296" t="str">
        <f>Sheet2!A296</f>
        <v>B429</v>
      </c>
      <c r="B296" t="str">
        <f ca="1">'Query Example'!D296</f>
        <v>Helicopter</v>
      </c>
      <c r="C296" s="11" t="str">
        <f>CONCATENATE(Sheet2!F296,"/",Sheet2!E296)</f>
        <v>2/Turboprop/Turboshaft</v>
      </c>
      <c r="D296" t="str">
        <f>CONCATENATE(Sheet2!B296,", ",Sheet2!C296)</f>
        <v>BELL, 429 GlobalRanger</v>
      </c>
    </row>
    <row r="297" spans="1:4" x14ac:dyDescent="0.2">
      <c r="A297" t="str">
        <f>Sheet2!A297</f>
        <v>B430</v>
      </c>
      <c r="B297" t="str">
        <f ca="1">'Query Example'!D297</f>
        <v>Helicopter</v>
      </c>
      <c r="C297" s="11" t="str">
        <f>CONCATENATE(Sheet2!F297,"/",Sheet2!E297)</f>
        <v>2/Turboprop/Turboshaft</v>
      </c>
      <c r="D297" t="str">
        <f>CONCATENATE(Sheet2!B297,", ",Sheet2!C297)</f>
        <v>BELL, 430</v>
      </c>
    </row>
    <row r="298" spans="1:4" x14ac:dyDescent="0.2">
      <c r="A298" t="str">
        <f>Sheet2!A298</f>
        <v>B461</v>
      </c>
      <c r="B298" t="str">
        <f ca="1">'Query Example'!D298</f>
        <v>LandPlane</v>
      </c>
      <c r="C298" s="11" t="str">
        <f>CONCATENATE(Sheet2!F298,"/",Sheet2!E298)</f>
        <v>4/Jet</v>
      </c>
      <c r="D298" t="str">
        <f>CONCATENATE(Sheet2!B298,", ",Sheet2!C298)</f>
        <v>BRITISH AEROSPACE, BAe-146-100</v>
      </c>
    </row>
    <row r="299" spans="1:4" x14ac:dyDescent="0.2">
      <c r="A299" t="str">
        <f>Sheet2!A299</f>
        <v>B462</v>
      </c>
      <c r="B299" t="str">
        <f ca="1">'Query Example'!D299</f>
        <v>LandPlane</v>
      </c>
      <c r="C299" s="11" t="str">
        <f>CONCATENATE(Sheet2!F299,"/",Sheet2!E299)</f>
        <v>4/Jet</v>
      </c>
      <c r="D299" t="str">
        <f>CONCATENATE(Sheet2!B299,", ",Sheet2!C299)</f>
        <v>BRITISH AEROSPACE, BAe-146-200</v>
      </c>
    </row>
    <row r="300" spans="1:4" x14ac:dyDescent="0.2">
      <c r="A300" t="str">
        <f>Sheet2!A300</f>
        <v>B463</v>
      </c>
      <c r="B300" t="str">
        <f ca="1">'Query Example'!D300</f>
        <v>LandPlane</v>
      </c>
      <c r="C300" s="11" t="str">
        <f>CONCATENATE(Sheet2!F300,"/",Sheet2!E300)</f>
        <v>4/Jet</v>
      </c>
      <c r="D300" t="str">
        <f>CONCATENATE(Sheet2!B300,", ",Sheet2!C300)</f>
        <v>BRITISH AEROSPACE, BAe-146-300</v>
      </c>
    </row>
    <row r="301" spans="1:4" x14ac:dyDescent="0.2">
      <c r="A301" t="str">
        <f>Sheet2!A301</f>
        <v>B47G</v>
      </c>
      <c r="B301" t="str">
        <f ca="1">'Query Example'!D301</f>
        <v>Helicopter</v>
      </c>
      <c r="C301" s="11" t="str">
        <f>CONCATENATE(Sheet2!F301,"/",Sheet2!E301)</f>
        <v>1/Piston</v>
      </c>
      <c r="D301" t="str">
        <f>CONCATENATE(Sheet2!B301,", ",Sheet2!C301)</f>
        <v>BELL, 47G</v>
      </c>
    </row>
    <row r="302" spans="1:4" x14ac:dyDescent="0.2">
      <c r="A302" t="str">
        <f>Sheet2!A302</f>
        <v>B47J</v>
      </c>
      <c r="B302" t="str">
        <f ca="1">'Query Example'!D302</f>
        <v>Helicopter</v>
      </c>
      <c r="C302" s="11" t="str">
        <f>CONCATENATE(Sheet2!F302,"/",Sheet2!E302)</f>
        <v>1/Piston</v>
      </c>
      <c r="D302" t="str">
        <f>CONCATENATE(Sheet2!B302,", ",Sheet2!C302)</f>
        <v>BELL, 47J Ranger</v>
      </c>
    </row>
    <row r="303" spans="1:4" x14ac:dyDescent="0.2">
      <c r="A303" t="str">
        <f>Sheet2!A303</f>
        <v>B47T</v>
      </c>
      <c r="B303" t="str">
        <f ca="1">'Query Example'!D303</f>
        <v>Helicopter</v>
      </c>
      <c r="C303" s="11" t="str">
        <f>CONCATENATE(Sheet2!F303,"/",Sheet2!E303)</f>
        <v>1/Turboprop/Turboshaft</v>
      </c>
      <c r="D303" t="str">
        <f>CONCATENATE(Sheet2!B303,", ",Sheet2!C303)</f>
        <v>SOLOY, Bell 47</v>
      </c>
    </row>
    <row r="304" spans="1:4" x14ac:dyDescent="0.2">
      <c r="A304" t="str">
        <f>Sheet2!A304</f>
        <v>B505</v>
      </c>
      <c r="B304" t="str">
        <f ca="1">'Query Example'!D304</f>
        <v>Helicopter</v>
      </c>
      <c r="C304" s="11" t="str">
        <f>CONCATENATE(Sheet2!F304,"/",Sheet2!E304)</f>
        <v>1/Turboprop/Turboshaft</v>
      </c>
      <c r="D304" t="str">
        <f>CONCATENATE(Sheet2!B304,", ",Sheet2!C304)</f>
        <v>BELL, 505 Jet Ranger X</v>
      </c>
    </row>
    <row r="305" spans="1:4" x14ac:dyDescent="0.2">
      <c r="A305" t="str">
        <f>Sheet2!A305</f>
        <v>B52</v>
      </c>
      <c r="B305" t="str">
        <f ca="1">'Query Example'!D305</f>
        <v>LandPlane</v>
      </c>
      <c r="C305" s="11" t="str">
        <f>CONCATENATE(Sheet2!F305,"/",Sheet2!E305)</f>
        <v>8/Jet</v>
      </c>
      <c r="D305" t="str">
        <f>CONCATENATE(Sheet2!B305,", ",Sheet2!C305)</f>
        <v>BOEING, B-52 Stratofortress</v>
      </c>
    </row>
    <row r="306" spans="1:4" x14ac:dyDescent="0.2">
      <c r="A306" t="str">
        <f>Sheet2!A306</f>
        <v>B525</v>
      </c>
      <c r="B306" t="str">
        <f ca="1">'Query Example'!D306</f>
        <v>Helicopter</v>
      </c>
      <c r="C306" s="11" t="str">
        <f>CONCATENATE(Sheet2!F306,"/",Sheet2!E306)</f>
        <v>2/Turboprop/Turboshaft</v>
      </c>
      <c r="D306" t="str">
        <f>CONCATENATE(Sheet2!B306,", ",Sheet2!C306)</f>
        <v>BELL, 525 Relentless</v>
      </c>
    </row>
    <row r="307" spans="1:4" x14ac:dyDescent="0.2">
      <c r="A307" t="str">
        <f>Sheet2!A307</f>
        <v>B58T</v>
      </c>
      <c r="B307" t="str">
        <f ca="1">'Query Example'!D307</f>
        <v>LandPlane</v>
      </c>
      <c r="C307" s="11" t="str">
        <f>CONCATENATE(Sheet2!F307,"/",Sheet2!E307)</f>
        <v>2/Piston</v>
      </c>
      <c r="D307" t="str">
        <f>CONCATENATE(Sheet2!B307,", ",Sheet2!C307)</f>
        <v>BEECH, 58P Pressurized Baron</v>
      </c>
    </row>
    <row r="308" spans="1:4" x14ac:dyDescent="0.2">
      <c r="A308" t="str">
        <f>Sheet2!A308</f>
        <v>B60</v>
      </c>
      <c r="B308" t="str">
        <f ca="1">'Query Example'!D308</f>
        <v>LandPlane</v>
      </c>
      <c r="C308" s="11" t="str">
        <f>CONCATENATE(Sheet2!F308,"/",Sheet2!E308)</f>
        <v>1/Piston</v>
      </c>
      <c r="D308" t="str">
        <f>CONCATENATE(Sheet2!B308,", ",Sheet2!C308)</f>
        <v>BOISAVIA, B-60 Mercurey</v>
      </c>
    </row>
    <row r="309" spans="1:4" x14ac:dyDescent="0.2">
      <c r="A309" t="str">
        <f>Sheet2!A309</f>
        <v>B609</v>
      </c>
      <c r="B309" t="str">
        <f ca="1">'Query Example'!D309</f>
        <v>Tiltrotor</v>
      </c>
      <c r="C309" s="11" t="str">
        <f>CONCATENATE(Sheet2!F309,"/",Sheet2!E309)</f>
        <v>2/Turboprop/Turboshaft</v>
      </c>
      <c r="D309" t="str">
        <f>CONCATENATE(Sheet2!B309,", ",Sheet2!C309)</f>
        <v>BELL-AGUSTA, BA-609</v>
      </c>
    </row>
    <row r="310" spans="1:4" x14ac:dyDescent="0.2">
      <c r="A310" t="str">
        <f>Sheet2!A310</f>
        <v>B60T</v>
      </c>
      <c r="B310" t="str">
        <f ca="1">'Query Example'!D310</f>
        <v>LandPlane</v>
      </c>
      <c r="C310" s="11" t="str">
        <f>CONCATENATE(Sheet2!F310,"/",Sheet2!E310)</f>
        <v>2/Turboprop/Turboshaft</v>
      </c>
      <c r="D310" t="str">
        <f>CONCATENATE(Sheet2!B310,", ",Sheet2!C310)</f>
        <v>BEECH, 60 Royal Turbine Duke</v>
      </c>
    </row>
    <row r="311" spans="1:4" x14ac:dyDescent="0.2">
      <c r="A311" t="str">
        <f>Sheet2!A311</f>
        <v>B701</v>
      </c>
      <c r="B311" t="str">
        <f ca="1">'Query Example'!D311</f>
        <v>LandPlane</v>
      </c>
      <c r="C311" s="11" t="str">
        <f>CONCATENATE(Sheet2!F311,"/",Sheet2!E311)</f>
        <v>4/Jet</v>
      </c>
      <c r="D311" t="str">
        <f>CONCATENATE(Sheet2!B311,", ",Sheet2!C311)</f>
        <v>BOEING, 707-100</v>
      </c>
    </row>
    <row r="312" spans="1:4" x14ac:dyDescent="0.2">
      <c r="A312" t="str">
        <f>Sheet2!A312</f>
        <v>B703</v>
      </c>
      <c r="B312" t="str">
        <f ca="1">'Query Example'!D312</f>
        <v>LandPlane</v>
      </c>
      <c r="C312" s="11" t="str">
        <f>CONCATENATE(Sheet2!F312,"/",Sheet2!E312)</f>
        <v>4/Jet</v>
      </c>
      <c r="D312" t="str">
        <f>CONCATENATE(Sheet2!B312,", ",Sheet2!C312)</f>
        <v>BOEING, 707-300</v>
      </c>
    </row>
    <row r="313" spans="1:4" x14ac:dyDescent="0.2">
      <c r="A313" t="str">
        <f>Sheet2!A313</f>
        <v>B712</v>
      </c>
      <c r="B313" t="str">
        <f ca="1">'Query Example'!D313</f>
        <v>LandPlane</v>
      </c>
      <c r="C313" s="11" t="str">
        <f>CONCATENATE(Sheet2!F313,"/",Sheet2!E313)</f>
        <v>2/Jet</v>
      </c>
      <c r="D313" t="str">
        <f>CONCATENATE(Sheet2!B313,", ",Sheet2!C313)</f>
        <v>BOEING, 717-200</v>
      </c>
    </row>
    <row r="314" spans="1:4" x14ac:dyDescent="0.2">
      <c r="A314" t="str">
        <f>Sheet2!A314</f>
        <v>B720</v>
      </c>
      <c r="B314" t="str">
        <f ca="1">'Query Example'!D314</f>
        <v>LandPlane</v>
      </c>
      <c r="C314" s="11" t="str">
        <f>CONCATENATE(Sheet2!F314,"/",Sheet2!E314)</f>
        <v>4/Jet</v>
      </c>
      <c r="D314" t="str">
        <f>CONCATENATE(Sheet2!B314,", ",Sheet2!C314)</f>
        <v>BOEING, 720</v>
      </c>
    </row>
    <row r="315" spans="1:4" x14ac:dyDescent="0.2">
      <c r="A315" t="str">
        <f>Sheet2!A315</f>
        <v>B721</v>
      </c>
      <c r="B315" t="str">
        <f ca="1">'Query Example'!D315</f>
        <v>LandPlane</v>
      </c>
      <c r="C315" s="11" t="str">
        <f>CONCATENATE(Sheet2!F315,"/",Sheet2!E315)</f>
        <v>3/Jet</v>
      </c>
      <c r="D315" t="str">
        <f>CONCATENATE(Sheet2!B315,", ",Sheet2!C315)</f>
        <v>BOEING, 727-100</v>
      </c>
    </row>
    <row r="316" spans="1:4" x14ac:dyDescent="0.2">
      <c r="A316" t="str">
        <f>Sheet2!A316</f>
        <v>B722</v>
      </c>
      <c r="B316" t="str">
        <f ca="1">'Query Example'!D316</f>
        <v>LandPlane</v>
      </c>
      <c r="C316" s="11" t="str">
        <f>CONCATENATE(Sheet2!F316,"/",Sheet2!E316)</f>
        <v>3/Jet</v>
      </c>
      <c r="D316" t="str">
        <f>CONCATENATE(Sheet2!B316,", ",Sheet2!C316)</f>
        <v>BOEING, 727-200</v>
      </c>
    </row>
    <row r="317" spans="1:4" x14ac:dyDescent="0.2">
      <c r="A317" t="str">
        <f>Sheet2!A317</f>
        <v>B732</v>
      </c>
      <c r="B317" t="str">
        <f ca="1">'Query Example'!D317</f>
        <v>LandPlane</v>
      </c>
      <c r="C317" s="11" t="str">
        <f>CONCATENATE(Sheet2!F317,"/",Sheet2!E317)</f>
        <v>2/Jet</v>
      </c>
      <c r="D317" t="str">
        <f>CONCATENATE(Sheet2!B317,", ",Sheet2!C317)</f>
        <v>BOEING, 737-200</v>
      </c>
    </row>
    <row r="318" spans="1:4" x14ac:dyDescent="0.2">
      <c r="A318" t="str">
        <f>Sheet2!A318</f>
        <v>B733</v>
      </c>
      <c r="B318" t="str">
        <f ca="1">'Query Example'!D318</f>
        <v>LandPlane</v>
      </c>
      <c r="C318" s="11" t="str">
        <f>CONCATENATE(Sheet2!F318,"/",Sheet2!E318)</f>
        <v>2/Jet</v>
      </c>
      <c r="D318" t="str">
        <f>CONCATENATE(Sheet2!B318,", ",Sheet2!C318)</f>
        <v>BOEING, 737-300</v>
      </c>
    </row>
    <row r="319" spans="1:4" x14ac:dyDescent="0.2">
      <c r="A319" t="str">
        <f>Sheet2!A319</f>
        <v>B734</v>
      </c>
      <c r="B319" t="str">
        <f ca="1">'Query Example'!D319</f>
        <v>LandPlane</v>
      </c>
      <c r="C319" s="11" t="str">
        <f>CONCATENATE(Sheet2!F319,"/",Sheet2!E319)</f>
        <v>2/Jet</v>
      </c>
      <c r="D319" t="str">
        <f>CONCATENATE(Sheet2!B319,", ",Sheet2!C319)</f>
        <v>BOEING, 737-400</v>
      </c>
    </row>
    <row r="320" spans="1:4" x14ac:dyDescent="0.2">
      <c r="A320" t="str">
        <f>Sheet2!A320</f>
        <v>B735</v>
      </c>
      <c r="B320" t="str">
        <f ca="1">'Query Example'!D320</f>
        <v>LandPlane</v>
      </c>
      <c r="C320" s="11" t="str">
        <f>CONCATENATE(Sheet2!F320,"/",Sheet2!E320)</f>
        <v>2/Jet</v>
      </c>
      <c r="D320" t="str">
        <f>CONCATENATE(Sheet2!B320,", ",Sheet2!C320)</f>
        <v>BOEING, 737-500</v>
      </c>
    </row>
    <row r="321" spans="1:4" x14ac:dyDescent="0.2">
      <c r="A321" t="str">
        <f>Sheet2!A321</f>
        <v>B736</v>
      </c>
      <c r="B321" t="str">
        <f ca="1">'Query Example'!D321</f>
        <v>LandPlane</v>
      </c>
      <c r="C321" s="11" t="str">
        <f>CONCATENATE(Sheet2!F321,"/",Sheet2!E321)</f>
        <v>2/Jet</v>
      </c>
      <c r="D321" t="str">
        <f>CONCATENATE(Sheet2!B321,", ",Sheet2!C321)</f>
        <v>BOEING, 737-600</v>
      </c>
    </row>
    <row r="322" spans="1:4" x14ac:dyDescent="0.2">
      <c r="A322" t="str">
        <f>Sheet2!A322</f>
        <v>B737</v>
      </c>
      <c r="B322" t="str">
        <f ca="1">'Query Example'!D322</f>
        <v>LandPlane</v>
      </c>
      <c r="C322" s="11" t="str">
        <f>CONCATENATE(Sheet2!F322,"/",Sheet2!E322)</f>
        <v>2/Jet</v>
      </c>
      <c r="D322" t="str">
        <f>CONCATENATE(Sheet2!B322,", ",Sheet2!C322)</f>
        <v>BOEING, 737-700</v>
      </c>
    </row>
    <row r="323" spans="1:4" x14ac:dyDescent="0.2">
      <c r="A323" t="str">
        <f>Sheet2!A323</f>
        <v>B738</v>
      </c>
      <c r="B323" t="str">
        <f ca="1">'Query Example'!D323</f>
        <v>LandPlane</v>
      </c>
      <c r="C323" s="11" t="str">
        <f>CONCATENATE(Sheet2!F323,"/",Sheet2!E323)</f>
        <v>2/Jet</v>
      </c>
      <c r="D323" t="str">
        <f>CONCATENATE(Sheet2!B323,", ",Sheet2!C323)</f>
        <v>BOEING, 737-800</v>
      </c>
    </row>
    <row r="324" spans="1:4" x14ac:dyDescent="0.2">
      <c r="A324" t="str">
        <f>Sheet2!A324</f>
        <v>B739</v>
      </c>
      <c r="B324" t="str">
        <f ca="1">'Query Example'!D324</f>
        <v>LandPlane</v>
      </c>
      <c r="C324" s="11" t="str">
        <f>CONCATENATE(Sheet2!F324,"/",Sheet2!E324)</f>
        <v>2/Jet</v>
      </c>
      <c r="D324" t="str">
        <f>CONCATENATE(Sheet2!B324,", ",Sheet2!C324)</f>
        <v>BOEING, 737-900</v>
      </c>
    </row>
    <row r="325" spans="1:4" x14ac:dyDescent="0.2">
      <c r="A325" t="str">
        <f>Sheet2!A325</f>
        <v>B741</v>
      </c>
      <c r="B325" t="str">
        <f ca="1">'Query Example'!D325</f>
        <v>LandPlane</v>
      </c>
      <c r="C325" s="11" t="str">
        <f>CONCATENATE(Sheet2!F325,"/",Sheet2!E325)</f>
        <v>4/Jet</v>
      </c>
      <c r="D325" t="str">
        <f>CONCATENATE(Sheet2!B325,", ",Sheet2!C325)</f>
        <v>BOEING, 747-100</v>
      </c>
    </row>
    <row r="326" spans="1:4" x14ac:dyDescent="0.2">
      <c r="A326" t="str">
        <f>Sheet2!A326</f>
        <v>B742</v>
      </c>
      <c r="B326" t="str">
        <f ca="1">'Query Example'!D326</f>
        <v>LandPlane</v>
      </c>
      <c r="C326" s="11" t="str">
        <f>CONCATENATE(Sheet2!F326,"/",Sheet2!E326)</f>
        <v>4/Jet</v>
      </c>
      <c r="D326" t="str">
        <f>CONCATENATE(Sheet2!B326,", ",Sheet2!C326)</f>
        <v>BOEING, 747-200</v>
      </c>
    </row>
    <row r="327" spans="1:4" x14ac:dyDescent="0.2">
      <c r="A327" t="str">
        <f>Sheet2!A327</f>
        <v>B743</v>
      </c>
      <c r="B327" t="str">
        <f ca="1">'Query Example'!D327</f>
        <v>LandPlane</v>
      </c>
      <c r="C327" s="11" t="str">
        <f>CONCATENATE(Sheet2!F327,"/",Sheet2!E327)</f>
        <v>4/Jet</v>
      </c>
      <c r="D327" t="str">
        <f>CONCATENATE(Sheet2!B327,", ",Sheet2!C327)</f>
        <v>BOEING, 747-300</v>
      </c>
    </row>
    <row r="328" spans="1:4" x14ac:dyDescent="0.2">
      <c r="A328" t="str">
        <f>Sheet2!A328</f>
        <v>B744</v>
      </c>
      <c r="B328" t="str">
        <f ca="1">'Query Example'!D328</f>
        <v>LandPlane</v>
      </c>
      <c r="C328" s="11" t="str">
        <f>CONCATENATE(Sheet2!F328,"/",Sheet2!E328)</f>
        <v>4/Jet</v>
      </c>
      <c r="D328" t="str">
        <f>CONCATENATE(Sheet2!B328,", ",Sheet2!C328)</f>
        <v>BOEING, 747-400</v>
      </c>
    </row>
    <row r="329" spans="1:4" x14ac:dyDescent="0.2">
      <c r="A329" t="str">
        <f>Sheet2!A329</f>
        <v>B748</v>
      </c>
      <c r="B329" t="str">
        <f ca="1">'Query Example'!D329</f>
        <v>LandPlane</v>
      </c>
      <c r="C329" s="11" t="str">
        <f>CONCATENATE(Sheet2!F329,"/",Sheet2!E329)</f>
        <v>4/Jet</v>
      </c>
      <c r="D329" t="str">
        <f>CONCATENATE(Sheet2!B329,", ",Sheet2!C329)</f>
        <v>BOEING, 747-8</v>
      </c>
    </row>
    <row r="330" spans="1:4" x14ac:dyDescent="0.2">
      <c r="A330" t="str">
        <f>Sheet2!A330</f>
        <v>B74R</v>
      </c>
      <c r="B330" t="str">
        <f ca="1">'Query Example'!D330</f>
        <v>LandPlane</v>
      </c>
      <c r="C330" s="11" t="str">
        <f>CONCATENATE(Sheet2!F330,"/",Sheet2!E330)</f>
        <v>4/Jet</v>
      </c>
      <c r="D330" t="str">
        <f>CONCATENATE(Sheet2!B330,", ",Sheet2!C330)</f>
        <v>BOEING, 747SR</v>
      </c>
    </row>
    <row r="331" spans="1:4" x14ac:dyDescent="0.2">
      <c r="A331" t="str">
        <f>Sheet2!A331</f>
        <v>B74S</v>
      </c>
      <c r="B331" t="str">
        <f ca="1">'Query Example'!D331</f>
        <v>LandPlane</v>
      </c>
      <c r="C331" s="11" t="str">
        <f>CONCATENATE(Sheet2!F331,"/",Sheet2!E331)</f>
        <v>4/Jet</v>
      </c>
      <c r="D331" t="str">
        <f>CONCATENATE(Sheet2!B331,", ",Sheet2!C331)</f>
        <v>BOEING, 747SP</v>
      </c>
    </row>
    <row r="332" spans="1:4" x14ac:dyDescent="0.2">
      <c r="A332" t="str">
        <f>Sheet2!A332</f>
        <v>B752</v>
      </c>
      <c r="B332" t="str">
        <f ca="1">'Query Example'!D332</f>
        <v>LandPlane</v>
      </c>
      <c r="C332" s="11" t="str">
        <f>CONCATENATE(Sheet2!F332,"/",Sheet2!E332)</f>
        <v>2/Jet</v>
      </c>
      <c r="D332" t="str">
        <f>CONCATENATE(Sheet2!B332,", ",Sheet2!C332)</f>
        <v>BOEING, 757-200</v>
      </c>
    </row>
    <row r="333" spans="1:4" x14ac:dyDescent="0.2">
      <c r="A333" t="str">
        <f>Sheet2!A333</f>
        <v>B753</v>
      </c>
      <c r="B333" t="str">
        <f ca="1">'Query Example'!D333</f>
        <v>LandPlane</v>
      </c>
      <c r="C333" s="11" t="str">
        <f>CONCATENATE(Sheet2!F333,"/",Sheet2!E333)</f>
        <v>2/Jet</v>
      </c>
      <c r="D333" t="str">
        <f>CONCATENATE(Sheet2!B333,", ",Sheet2!C333)</f>
        <v>BOEING, 757-300</v>
      </c>
    </row>
    <row r="334" spans="1:4" x14ac:dyDescent="0.2">
      <c r="A334" t="str">
        <f>Sheet2!A334</f>
        <v>B762</v>
      </c>
      <c r="B334" t="str">
        <f ca="1">'Query Example'!D334</f>
        <v>LandPlane</v>
      </c>
      <c r="C334" s="11" t="str">
        <f>CONCATENATE(Sheet2!F334,"/",Sheet2!E334)</f>
        <v>2/Jet</v>
      </c>
      <c r="D334" t="str">
        <f>CONCATENATE(Sheet2!B334,", ",Sheet2!C334)</f>
        <v>BOEING, 767-200</v>
      </c>
    </row>
    <row r="335" spans="1:4" x14ac:dyDescent="0.2">
      <c r="A335" t="str">
        <f>Sheet2!A335</f>
        <v>B763</v>
      </c>
      <c r="B335" t="str">
        <f ca="1">'Query Example'!D335</f>
        <v>LandPlane</v>
      </c>
      <c r="C335" s="11" t="str">
        <f>CONCATENATE(Sheet2!F335,"/",Sheet2!E335)</f>
        <v>2/Jet</v>
      </c>
      <c r="D335" t="str">
        <f>CONCATENATE(Sheet2!B335,", ",Sheet2!C335)</f>
        <v>BOEING, 767-300</v>
      </c>
    </row>
    <row r="336" spans="1:4" x14ac:dyDescent="0.2">
      <c r="A336" t="str">
        <f>Sheet2!A336</f>
        <v>B764</v>
      </c>
      <c r="B336" t="str">
        <f ca="1">'Query Example'!D336</f>
        <v>LandPlane</v>
      </c>
      <c r="C336" s="11" t="str">
        <f>CONCATENATE(Sheet2!F336,"/",Sheet2!E336)</f>
        <v>2/Jet</v>
      </c>
      <c r="D336" t="str">
        <f>CONCATENATE(Sheet2!B336,", ",Sheet2!C336)</f>
        <v>BOEING, 767-400</v>
      </c>
    </row>
    <row r="337" spans="1:4" x14ac:dyDescent="0.2">
      <c r="A337" t="str">
        <f>Sheet2!A337</f>
        <v>B772</v>
      </c>
      <c r="B337" t="str">
        <f ca="1">'Query Example'!D337</f>
        <v>LandPlane</v>
      </c>
      <c r="C337" s="11" t="str">
        <f>CONCATENATE(Sheet2!F337,"/",Sheet2!E337)</f>
        <v>2/Jet</v>
      </c>
      <c r="D337" t="str">
        <f>CONCATENATE(Sheet2!B337,", ",Sheet2!C337)</f>
        <v>BOEING, 777-200ER</v>
      </c>
    </row>
    <row r="338" spans="1:4" x14ac:dyDescent="0.2">
      <c r="A338" t="str">
        <f>Sheet2!A338</f>
        <v>B773</v>
      </c>
      <c r="B338" t="str">
        <f ca="1">'Query Example'!D338</f>
        <v>LandPlane</v>
      </c>
      <c r="C338" s="11" t="str">
        <f>CONCATENATE(Sheet2!F338,"/",Sheet2!E338)</f>
        <v>2/Jet</v>
      </c>
      <c r="D338" t="str">
        <f>CONCATENATE(Sheet2!B338,", ",Sheet2!C338)</f>
        <v>BOEING, 777-300</v>
      </c>
    </row>
    <row r="339" spans="1:4" x14ac:dyDescent="0.2">
      <c r="A339" t="str">
        <f>Sheet2!A339</f>
        <v>B778</v>
      </c>
      <c r="B339" t="str">
        <f ca="1">'Query Example'!D339</f>
        <v>LandPlane</v>
      </c>
      <c r="C339" s="11" t="str">
        <f>CONCATENATE(Sheet2!F339,"/",Sheet2!E339)</f>
        <v>2/Jet</v>
      </c>
      <c r="D339" t="str">
        <f>CONCATENATE(Sheet2!B339,", ",Sheet2!C339)</f>
        <v>BOEING, 777-8</v>
      </c>
    </row>
    <row r="340" spans="1:4" x14ac:dyDescent="0.2">
      <c r="A340" t="str">
        <f>Sheet2!A340</f>
        <v>B779</v>
      </c>
      <c r="B340" t="str">
        <f ca="1">'Query Example'!D340</f>
        <v>LandPlane</v>
      </c>
      <c r="C340" s="11" t="str">
        <f>CONCATENATE(Sheet2!F340,"/",Sheet2!E340)</f>
        <v>2/Jet</v>
      </c>
      <c r="D340" t="str">
        <f>CONCATENATE(Sheet2!B340,", ",Sheet2!C340)</f>
        <v>BOEING, 777-9</v>
      </c>
    </row>
    <row r="341" spans="1:4" x14ac:dyDescent="0.2">
      <c r="A341" t="str">
        <f>Sheet2!A341</f>
        <v>B77L</v>
      </c>
      <c r="B341" t="str">
        <f ca="1">'Query Example'!D341</f>
        <v>LandPlane</v>
      </c>
      <c r="C341" s="11" t="str">
        <f>CONCATENATE(Sheet2!F341,"/",Sheet2!E341)</f>
        <v>2/Jet</v>
      </c>
      <c r="D341" t="str">
        <f>CONCATENATE(Sheet2!B341,", ",Sheet2!C341)</f>
        <v>BOEING, 777-200LR</v>
      </c>
    </row>
    <row r="342" spans="1:4" x14ac:dyDescent="0.2">
      <c r="A342" t="str">
        <f>Sheet2!A342</f>
        <v>B77W</v>
      </c>
      <c r="B342" t="str">
        <f ca="1">'Query Example'!D342</f>
        <v>LandPlane</v>
      </c>
      <c r="C342" s="11" t="str">
        <f>CONCATENATE(Sheet2!F342,"/",Sheet2!E342)</f>
        <v>2/Jet</v>
      </c>
      <c r="D342" t="str">
        <f>CONCATENATE(Sheet2!B342,", ",Sheet2!C342)</f>
        <v>BOEING, 777-300ER</v>
      </c>
    </row>
    <row r="343" spans="1:4" x14ac:dyDescent="0.2">
      <c r="A343" t="str">
        <f>Sheet2!A343</f>
        <v>B788</v>
      </c>
      <c r="B343" t="str">
        <f ca="1">'Query Example'!D343</f>
        <v>LandPlane</v>
      </c>
      <c r="C343" s="11" t="str">
        <f>CONCATENATE(Sheet2!F343,"/",Sheet2!E343)</f>
        <v>2/Jet</v>
      </c>
      <c r="D343" t="str">
        <f>CONCATENATE(Sheet2!B343,", ",Sheet2!C343)</f>
        <v>BOEING, 787-8 Dreamliner</v>
      </c>
    </row>
    <row r="344" spans="1:4" x14ac:dyDescent="0.2">
      <c r="A344" t="str">
        <f>Sheet2!A344</f>
        <v>B789</v>
      </c>
      <c r="B344" t="str">
        <f ca="1">'Query Example'!D344</f>
        <v>LandPlane</v>
      </c>
      <c r="C344" s="11" t="str">
        <f>CONCATENATE(Sheet2!F344,"/",Sheet2!E344)</f>
        <v>2/Jet</v>
      </c>
      <c r="D344" t="str">
        <f>CONCATENATE(Sheet2!B344,", ",Sheet2!C344)</f>
        <v>BOEING, 787-9 Dreamliner</v>
      </c>
    </row>
    <row r="345" spans="1:4" x14ac:dyDescent="0.2">
      <c r="A345" t="str">
        <f>Sheet2!A345</f>
        <v>B78X</v>
      </c>
      <c r="B345" t="str">
        <f ca="1">'Query Example'!D345</f>
        <v>LandPlane</v>
      </c>
      <c r="C345" s="11" t="str">
        <f>CONCATENATE(Sheet2!F345,"/",Sheet2!E345)</f>
        <v>2/Jet</v>
      </c>
      <c r="D345" t="str">
        <f>CONCATENATE(Sheet2!B345,", ",Sheet2!C345)</f>
        <v>BOEING, 787-10 Dreamliner</v>
      </c>
    </row>
    <row r="346" spans="1:4" x14ac:dyDescent="0.2">
      <c r="A346" t="str">
        <f>Sheet2!A346</f>
        <v>BA11</v>
      </c>
      <c r="B346" t="str">
        <f ca="1">'Query Example'!D346</f>
        <v>LandPlane</v>
      </c>
      <c r="C346" s="11" t="str">
        <f>CONCATENATE(Sheet2!F346,"/",Sheet2!E346)</f>
        <v>2/Jet</v>
      </c>
      <c r="D346" t="str">
        <f>CONCATENATE(Sheet2!B346,", ",Sheet2!C346)</f>
        <v>BAC, 111 One-Eleven</v>
      </c>
    </row>
    <row r="347" spans="1:4" x14ac:dyDescent="0.2">
      <c r="A347" t="str">
        <f>Sheet2!A347</f>
        <v>BABY</v>
      </c>
      <c r="B347" t="str">
        <f ca="1">'Query Example'!D347</f>
        <v>Helicopter</v>
      </c>
      <c r="C347" s="11" t="str">
        <f>CONCATENATE(Sheet2!F347,"/",Sheet2!E347)</f>
        <v>1/Piston</v>
      </c>
      <c r="D347" t="str">
        <f>CONCATENATE(Sheet2!B347,", ",Sheet2!C347)</f>
        <v>CANADIAN HOME ROTORS, Baby Belle</v>
      </c>
    </row>
    <row r="348" spans="1:4" x14ac:dyDescent="0.2">
      <c r="A348" t="str">
        <f>Sheet2!A348</f>
        <v>BAR6</v>
      </c>
      <c r="B348" t="str">
        <f ca="1">'Query Example'!D348</f>
        <v>LandPlane</v>
      </c>
      <c r="C348" s="11" t="str">
        <f>CONCATENATE(Sheet2!F348,"/",Sheet2!E348)</f>
        <v>1/Piston</v>
      </c>
      <c r="D348" t="str">
        <f>CONCATENATE(Sheet2!B348,", ",Sheet2!C348)</f>
        <v>BARR, BarrSix</v>
      </c>
    </row>
    <row r="349" spans="1:4" x14ac:dyDescent="0.2">
      <c r="A349" t="str">
        <f>Sheet2!A349</f>
        <v>BARC</v>
      </c>
      <c r="B349" t="str">
        <f ca="1">'Query Example'!D349</f>
        <v>LandPlane</v>
      </c>
      <c r="C349" s="11" t="str">
        <f>CONCATENATE(Sheet2!F349,"/",Sheet2!E349)</f>
        <v>1/Piston</v>
      </c>
      <c r="D349" t="str">
        <f>CONCATENATE(Sheet2!B349,", ",Sheet2!C349)</f>
        <v>BUETHE, Barracuda</v>
      </c>
    </row>
    <row r="350" spans="1:4" x14ac:dyDescent="0.2">
      <c r="A350" t="str">
        <f>Sheet2!A350</f>
        <v>BASS</v>
      </c>
      <c r="B350" t="str">
        <f ca="1">'Query Example'!D350</f>
        <v>LandPlane</v>
      </c>
      <c r="C350" s="11" t="str">
        <f>CONCATENATE(Sheet2!F350,"/",Sheet2!E350)</f>
        <v>2/Piston</v>
      </c>
      <c r="D350" t="str">
        <f>CONCATENATE(Sheet2!B350,", ",Sheet2!C350)</f>
        <v>BEAGLE, B-206</v>
      </c>
    </row>
    <row r="351" spans="1:4" x14ac:dyDescent="0.2">
      <c r="A351" t="str">
        <f>Sheet2!A351</f>
        <v>BBAT</v>
      </c>
      <c r="B351" t="str">
        <f ca="1">'Query Example'!D351</f>
        <v>LandPlane</v>
      </c>
      <c r="C351" s="11" t="str">
        <f>CONCATENATE(Sheet2!F351,"/",Sheet2!E351)</f>
        <v>1/Piston</v>
      </c>
      <c r="D351" t="str">
        <f>CONCATENATE(Sheet2!B351,", ",Sheet2!C351)</f>
        <v>BRADLEY, BA-100 Aerobat</v>
      </c>
    </row>
    <row r="352" spans="1:4" x14ac:dyDescent="0.2">
      <c r="A352" t="str">
        <f>Sheet2!A352</f>
        <v>BBIR</v>
      </c>
      <c r="B352" t="str">
        <f ca="1">'Query Example'!D352</f>
        <v>LandPlane</v>
      </c>
      <c r="C352" s="11" t="str">
        <f>CONCATENATE(Sheet2!F352,"/",Sheet2!E352)</f>
        <v>1/Piston</v>
      </c>
      <c r="D352" t="str">
        <f>CONCATENATE(Sheet2!B352,", ",Sheet2!C352)</f>
        <v>HOVEY, Beta Bird</v>
      </c>
    </row>
    <row r="353" spans="1:4" x14ac:dyDescent="0.2">
      <c r="A353" t="str">
        <f>Sheet2!A353</f>
        <v>BCA3</v>
      </c>
      <c r="B353" t="str">
        <f ca="1">'Query Example'!D353</f>
        <v>LandPlane</v>
      </c>
      <c r="C353" s="11" t="str">
        <f>CONCATENATE(Sheet2!F353,"/",Sheet2!E353)</f>
        <v>1/Piston</v>
      </c>
      <c r="D353" t="str">
        <f>CONCATENATE(Sheet2!B353,", ",Sheet2!C353)</f>
        <v>BUHL, CA-3 Sport Airsedan</v>
      </c>
    </row>
    <row r="354" spans="1:4" x14ac:dyDescent="0.2">
      <c r="A354" t="str">
        <f>Sheet2!A354</f>
        <v>BCAT</v>
      </c>
      <c r="B354" t="str">
        <f ca="1">'Query Example'!D354</f>
        <v>LandPlane</v>
      </c>
      <c r="C354" s="11" t="str">
        <f>CONCATENATE(Sheet2!F354,"/",Sheet2!E354)</f>
        <v>1/Piston</v>
      </c>
      <c r="D354" t="str">
        <f>CONCATENATE(Sheet2!B354,", ",Sheet2!C354)</f>
        <v>GRUMMAN, F8F Bearcat</v>
      </c>
    </row>
    <row r="355" spans="1:4" x14ac:dyDescent="0.2">
      <c r="A355" t="str">
        <f>Sheet2!A355</f>
        <v>BCS1</v>
      </c>
      <c r="B355" t="str">
        <f ca="1">'Query Example'!D355</f>
        <v>LandPlane</v>
      </c>
      <c r="C355" s="11" t="str">
        <f>CONCATENATE(Sheet2!F355,"/",Sheet2!E355)</f>
        <v>2/Jet</v>
      </c>
      <c r="D355" t="str">
        <f>CONCATENATE(Sheet2!B355,", ",Sheet2!C355)</f>
        <v>AIRBUS, A-220-100</v>
      </c>
    </row>
    <row r="356" spans="1:4" x14ac:dyDescent="0.2">
      <c r="A356" t="str">
        <f>Sheet2!A356</f>
        <v>BCS3</v>
      </c>
      <c r="B356" t="str">
        <f ca="1">'Query Example'!D356</f>
        <v>LandPlane</v>
      </c>
      <c r="C356" s="11" t="str">
        <f>CONCATENATE(Sheet2!F356,"/",Sheet2!E356)</f>
        <v>2/Jet</v>
      </c>
      <c r="D356" t="str">
        <f>CONCATENATE(Sheet2!B356,", ",Sheet2!C356)</f>
        <v>AIRBUS, A-220-300</v>
      </c>
    </row>
    <row r="357" spans="1:4" x14ac:dyDescent="0.2">
      <c r="A357" t="str">
        <f>Sheet2!A357</f>
        <v>BD10</v>
      </c>
      <c r="B357" t="str">
        <f ca="1">'Query Example'!D357</f>
        <v>LandPlane</v>
      </c>
      <c r="C357" s="11" t="str">
        <f>CONCATENATE(Sheet2!F357,"/",Sheet2!E357)</f>
        <v>1/Jet</v>
      </c>
      <c r="D357" t="str">
        <f>CONCATENATE(Sheet2!B357,", ",Sheet2!C357)</f>
        <v>BEDE, BD-10</v>
      </c>
    </row>
    <row r="358" spans="1:4" x14ac:dyDescent="0.2">
      <c r="A358" t="str">
        <f>Sheet2!A358</f>
        <v>BD12</v>
      </c>
      <c r="B358" t="str">
        <f ca="1">'Query Example'!D358</f>
        <v>LandPlane</v>
      </c>
      <c r="C358" s="11" t="str">
        <f>CONCATENATE(Sheet2!F358,"/",Sheet2!E358)</f>
        <v>1/Piston</v>
      </c>
      <c r="D358" t="str">
        <f>CONCATENATE(Sheet2!B358,", ",Sheet2!C358)</f>
        <v>BEDE, BD-12</v>
      </c>
    </row>
    <row r="359" spans="1:4" x14ac:dyDescent="0.2">
      <c r="A359" t="str">
        <f>Sheet2!A359</f>
        <v>BD17</v>
      </c>
      <c r="B359" t="str">
        <f ca="1">'Query Example'!D359</f>
        <v>LandPlane</v>
      </c>
      <c r="C359" s="11" t="str">
        <f>CONCATENATE(Sheet2!F359,"/",Sheet2!E359)</f>
        <v>1/Piston</v>
      </c>
      <c r="D359" t="str">
        <f>CONCATENATE(Sheet2!B359,", ",Sheet2!C359)</f>
        <v>BEDE, BD-17 Nuggett</v>
      </c>
    </row>
    <row r="360" spans="1:4" x14ac:dyDescent="0.2">
      <c r="A360" t="str">
        <f>Sheet2!A360</f>
        <v>BD4</v>
      </c>
      <c r="B360" t="str">
        <f ca="1">'Query Example'!D360</f>
        <v>LandPlane</v>
      </c>
      <c r="C360" s="11" t="str">
        <f>CONCATENATE(Sheet2!F360,"/",Sheet2!E360)</f>
        <v>1/Piston</v>
      </c>
      <c r="D360" t="str">
        <f>CONCATENATE(Sheet2!B360,", ",Sheet2!C360)</f>
        <v>BEDE, BD-4</v>
      </c>
    </row>
    <row r="361" spans="1:4" x14ac:dyDescent="0.2">
      <c r="A361" t="str">
        <f>Sheet2!A361</f>
        <v>BD5</v>
      </c>
      <c r="B361" t="str">
        <f ca="1">'Query Example'!D361</f>
        <v>LandPlane</v>
      </c>
      <c r="C361" s="11" t="str">
        <f>CONCATENATE(Sheet2!F361,"/",Sheet2!E361)</f>
        <v>1/Piston</v>
      </c>
      <c r="D361" t="str">
        <f>CONCATENATE(Sheet2!B361,", ",Sheet2!C361)</f>
        <v>BEDE, Micro (BD-5B/D/G)</v>
      </c>
    </row>
    <row r="362" spans="1:4" x14ac:dyDescent="0.2">
      <c r="A362" t="str">
        <f>Sheet2!A362</f>
        <v>BD5J</v>
      </c>
      <c r="B362" t="str">
        <f ca="1">'Query Example'!D362</f>
        <v>LandPlane</v>
      </c>
      <c r="C362" s="11" t="str">
        <f>CONCATENATE(Sheet2!F362,"/",Sheet2!E362)</f>
        <v>1/Jet</v>
      </c>
      <c r="D362" t="str">
        <f>CONCATENATE(Sheet2!B362,", ",Sheet2!C362)</f>
        <v>BEDE, BD-5J Micro</v>
      </c>
    </row>
    <row r="363" spans="1:4" x14ac:dyDescent="0.2">
      <c r="A363" t="str">
        <f>Sheet2!A363</f>
        <v>BD5T</v>
      </c>
      <c r="B363" t="str">
        <f ca="1">'Query Example'!D363</f>
        <v>LandPlane</v>
      </c>
      <c r="C363" s="11" t="str">
        <f>CONCATENATE(Sheet2!F363,"/",Sheet2!E363)</f>
        <v>1/Turboprop/Turboshaft</v>
      </c>
      <c r="D363" t="str">
        <f>CONCATENATE(Sheet2!B363,", ",Sheet2!C363)</f>
        <v>BEDE, BD-5TP Micro</v>
      </c>
    </row>
    <row r="364" spans="1:4" x14ac:dyDescent="0.2">
      <c r="A364" t="str">
        <f>Sheet2!A364</f>
        <v>BDOG</v>
      </c>
      <c r="B364" t="str">
        <f ca="1">'Query Example'!D364</f>
        <v>LandPlane</v>
      </c>
      <c r="C364" s="11" t="str">
        <f>CONCATENATE(Sheet2!F364,"/",Sheet2!E364)</f>
        <v>1/Piston</v>
      </c>
      <c r="D364" t="str">
        <f>CONCATENATE(Sheet2!B364,", ",Sheet2!C364)</f>
        <v>SCOTTISH AVIATION, SA-3 Bulldog</v>
      </c>
    </row>
    <row r="365" spans="1:4" x14ac:dyDescent="0.2">
      <c r="A365" t="str">
        <f>Sheet2!A365</f>
        <v>BE10</v>
      </c>
      <c r="B365" t="str">
        <f ca="1">'Query Example'!D365</f>
        <v>LandPlane</v>
      </c>
      <c r="C365" s="11" t="str">
        <f>CONCATENATE(Sheet2!F365,"/",Sheet2!E365)</f>
        <v>2/Turboprop/Turboshaft</v>
      </c>
      <c r="D365" t="str">
        <f>CONCATENATE(Sheet2!B365,", ",Sheet2!C365)</f>
        <v>BEECH, 100 King Air</v>
      </c>
    </row>
    <row r="366" spans="1:4" x14ac:dyDescent="0.2">
      <c r="A366" t="str">
        <f>Sheet2!A366</f>
        <v>BE12</v>
      </c>
      <c r="B366" t="str">
        <f ca="1">'Query Example'!D366</f>
        <v>Amphibian</v>
      </c>
      <c r="C366" s="11" t="str">
        <f>CONCATENATE(Sheet2!F366,"/",Sheet2!E366)</f>
        <v>2/Turboprop/Turboshaft</v>
      </c>
      <c r="D366" t="str">
        <f>CONCATENATE(Sheet2!B366,", ",Sheet2!C366)</f>
        <v>BERIEV, Be-12 Tchaika</v>
      </c>
    </row>
    <row r="367" spans="1:4" x14ac:dyDescent="0.2">
      <c r="A367" t="str">
        <f>Sheet2!A367</f>
        <v>BE17</v>
      </c>
      <c r="B367" t="str">
        <f ca="1">'Query Example'!D367</f>
        <v>LandPlane</v>
      </c>
      <c r="C367" s="11" t="str">
        <f>CONCATENATE(Sheet2!F367,"/",Sheet2!E367)</f>
        <v>1/Piston</v>
      </c>
      <c r="D367" t="str">
        <f>CONCATENATE(Sheet2!B367,", ",Sheet2!C367)</f>
        <v>BEECH, 17 Staggerwing</v>
      </c>
    </row>
    <row r="368" spans="1:4" x14ac:dyDescent="0.2">
      <c r="A368" t="str">
        <f>Sheet2!A368</f>
        <v>BE18</v>
      </c>
      <c r="B368" t="str">
        <f ca="1">'Query Example'!D368</f>
        <v>LandPlane</v>
      </c>
      <c r="C368" s="11" t="str">
        <f>CONCATENATE(Sheet2!F368,"/",Sheet2!E368)</f>
        <v>2/Piston</v>
      </c>
      <c r="D368" t="str">
        <f>CONCATENATE(Sheet2!B368,", ",Sheet2!C368)</f>
        <v>BEECH, 18 (piston)</v>
      </c>
    </row>
    <row r="369" spans="1:4" x14ac:dyDescent="0.2">
      <c r="A369" t="str">
        <f>Sheet2!A369</f>
        <v>BE19</v>
      </c>
      <c r="B369" t="str">
        <f ca="1">'Query Example'!D369</f>
        <v>LandPlane</v>
      </c>
      <c r="C369" s="11" t="str">
        <f>CONCATENATE(Sheet2!F369,"/",Sheet2!E369)</f>
        <v>1/Piston</v>
      </c>
      <c r="D369" t="str">
        <f>CONCATENATE(Sheet2!B369,", ",Sheet2!C369)</f>
        <v>BEECH, 19 Musketeer Sport</v>
      </c>
    </row>
    <row r="370" spans="1:4" x14ac:dyDescent="0.2">
      <c r="A370" t="str">
        <f>Sheet2!A370</f>
        <v>BE20</v>
      </c>
      <c r="B370" t="str">
        <f ca="1">'Query Example'!D370</f>
        <v>LandPlane</v>
      </c>
      <c r="C370" s="11" t="str">
        <f>CONCATENATE(Sheet2!F370,"/",Sheet2!E370)</f>
        <v>2/Turboprop/Turboshaft</v>
      </c>
      <c r="D370" t="str">
        <f>CONCATENATE(Sheet2!B370,", ",Sheet2!C370)</f>
        <v>BEECHCRAFT, 200 King Air 250</v>
      </c>
    </row>
    <row r="371" spans="1:4" x14ac:dyDescent="0.2">
      <c r="A371" t="str">
        <f>Sheet2!A371</f>
        <v>BE22</v>
      </c>
      <c r="B371" t="str">
        <f ca="1">'Query Example'!D371</f>
        <v>LandPlane</v>
      </c>
      <c r="C371" s="11" t="str">
        <f>CONCATENATE(Sheet2!F371,"/",Sheet2!E371)</f>
        <v>1/Turboprop/Turboshaft</v>
      </c>
      <c r="D371" t="str">
        <f>CONCATENATE(Sheet2!B371,", ",Sheet2!C371)</f>
        <v>BEECHCRAFT, 220 Denali</v>
      </c>
    </row>
    <row r="372" spans="1:4" x14ac:dyDescent="0.2">
      <c r="A372" t="str">
        <f>Sheet2!A372</f>
        <v>BE23</v>
      </c>
      <c r="B372" t="str">
        <f ca="1">'Query Example'!D372</f>
        <v>LandPlane</v>
      </c>
      <c r="C372" s="11" t="str">
        <f>CONCATENATE(Sheet2!F372,"/",Sheet2!E372)</f>
        <v>1/Piston</v>
      </c>
      <c r="D372" t="str">
        <f>CONCATENATE(Sheet2!B372,", ",Sheet2!C372)</f>
        <v>BEECH, 23 Musketeer</v>
      </c>
    </row>
    <row r="373" spans="1:4" x14ac:dyDescent="0.2">
      <c r="A373" t="str">
        <f>Sheet2!A373</f>
        <v>BE24</v>
      </c>
      <c r="B373" t="str">
        <f ca="1">'Query Example'!D373</f>
        <v>LandPlane</v>
      </c>
      <c r="C373" s="11" t="str">
        <f>CONCATENATE(Sheet2!F373,"/",Sheet2!E373)</f>
        <v>1/Piston</v>
      </c>
      <c r="D373" t="str">
        <f>CONCATENATE(Sheet2!B373,", ",Sheet2!C373)</f>
        <v>BEECH, 24 Musketeer Super</v>
      </c>
    </row>
    <row r="374" spans="1:4" x14ac:dyDescent="0.2">
      <c r="A374" t="str">
        <f>Sheet2!A374</f>
        <v>BE30</v>
      </c>
      <c r="B374" t="str">
        <f ca="1">'Query Example'!D374</f>
        <v>LandPlane</v>
      </c>
      <c r="C374" s="11" t="str">
        <f>CONCATENATE(Sheet2!F374,"/",Sheet2!E374)</f>
        <v>2/Turboprop/Turboshaft</v>
      </c>
      <c r="D374" t="str">
        <f>CONCATENATE(Sheet2!B374,", ",Sheet2!C374)</f>
        <v>RAYTHEON, 300 Super King Air</v>
      </c>
    </row>
    <row r="375" spans="1:4" x14ac:dyDescent="0.2">
      <c r="A375" t="str">
        <f>Sheet2!A375</f>
        <v>BE32</v>
      </c>
      <c r="B375" t="str">
        <f ca="1">'Query Example'!D375</f>
        <v>LandPlane</v>
      </c>
      <c r="C375" s="11" t="str">
        <f>CONCATENATE(Sheet2!F375,"/",Sheet2!E375)</f>
        <v>2/Turboprop/Turboshaft</v>
      </c>
      <c r="D375" t="str">
        <f>CONCATENATE(Sheet2!B375,", ",Sheet2!C375)</f>
        <v>BERIEV, Be-32</v>
      </c>
    </row>
    <row r="376" spans="1:4" x14ac:dyDescent="0.2">
      <c r="A376" t="str">
        <f>Sheet2!A376</f>
        <v>BE33</v>
      </c>
      <c r="B376" t="str">
        <f ca="1">'Query Example'!D376</f>
        <v>LandPlane</v>
      </c>
      <c r="C376" s="11" t="str">
        <f>CONCATENATE(Sheet2!F376,"/",Sheet2!E376)</f>
        <v>1/Piston</v>
      </c>
      <c r="D376" t="str">
        <f>CONCATENATE(Sheet2!B376,", ",Sheet2!C376)</f>
        <v>BEECH, 33 Bonanza</v>
      </c>
    </row>
    <row r="377" spans="1:4" x14ac:dyDescent="0.2">
      <c r="A377" t="str">
        <f>Sheet2!A377</f>
        <v>BE35</v>
      </c>
      <c r="B377" t="str">
        <f ca="1">'Query Example'!D377</f>
        <v>LandPlane</v>
      </c>
      <c r="C377" s="11" t="str">
        <f>CONCATENATE(Sheet2!F377,"/",Sheet2!E377)</f>
        <v>1/Piston</v>
      </c>
      <c r="D377" t="str">
        <f>CONCATENATE(Sheet2!B377,", ",Sheet2!C377)</f>
        <v>BEECH, 35 Bonanza</v>
      </c>
    </row>
    <row r="378" spans="1:4" x14ac:dyDescent="0.2">
      <c r="A378" t="str">
        <f>Sheet2!A378</f>
        <v>BE36</v>
      </c>
      <c r="B378" t="str">
        <f ca="1">'Query Example'!D378</f>
        <v>LandPlane</v>
      </c>
      <c r="C378" s="11" t="str">
        <f>CONCATENATE(Sheet2!F378,"/",Sheet2!E378)</f>
        <v>1/Piston</v>
      </c>
      <c r="D378" t="str">
        <f>CONCATENATE(Sheet2!B378,", ",Sheet2!C378)</f>
        <v>BEECH, 36 Bonanza 36</v>
      </c>
    </row>
    <row r="379" spans="1:4" x14ac:dyDescent="0.2">
      <c r="A379" t="str">
        <f>Sheet2!A379</f>
        <v>BE40</v>
      </c>
      <c r="B379" t="str">
        <f ca="1">'Query Example'!D379</f>
        <v>LandPlane</v>
      </c>
      <c r="C379" s="11" t="str">
        <f>CONCATENATE(Sheet2!F379,"/",Sheet2!E379)</f>
        <v>2/Jet</v>
      </c>
      <c r="D379" t="str">
        <f>CONCATENATE(Sheet2!B379,", ",Sheet2!C379)</f>
        <v>RAYTHEON, Hawker 400XP</v>
      </c>
    </row>
    <row r="380" spans="1:4" x14ac:dyDescent="0.2">
      <c r="A380" t="str">
        <f>Sheet2!A380</f>
        <v>BE4W</v>
      </c>
      <c r="B380" t="str">
        <f ca="1">'Query Example'!D380</f>
        <v>LandPlane</v>
      </c>
      <c r="C380" s="11" t="str">
        <f>CONCATENATE(Sheet2!F380,"/",Sheet2!E380)</f>
        <v>2/Jet</v>
      </c>
      <c r="D380" t="str">
        <f>CONCATENATE(Sheet2!B380,", ",Sheet2!C380)</f>
        <v>RAYTHEON, Hawker 400XT</v>
      </c>
    </row>
    <row r="381" spans="1:4" x14ac:dyDescent="0.2">
      <c r="A381" t="str">
        <f>Sheet2!A381</f>
        <v>BE50</v>
      </c>
      <c r="B381" t="str">
        <f ca="1">'Query Example'!D381</f>
        <v>LandPlane</v>
      </c>
      <c r="C381" s="11" t="str">
        <f>CONCATENATE(Sheet2!F381,"/",Sheet2!E381)</f>
        <v>2/Piston</v>
      </c>
      <c r="D381" t="str">
        <f>CONCATENATE(Sheet2!B381,", ",Sheet2!C381)</f>
        <v>BEECH, 50 Twin Bonanza</v>
      </c>
    </row>
    <row r="382" spans="1:4" x14ac:dyDescent="0.2">
      <c r="A382" t="str">
        <f>Sheet2!A382</f>
        <v>BE55</v>
      </c>
      <c r="B382" t="str">
        <f ca="1">'Query Example'!D382</f>
        <v>LandPlane</v>
      </c>
      <c r="C382" s="11" t="str">
        <f>CONCATENATE(Sheet2!F382,"/",Sheet2!E382)</f>
        <v>2/Piston</v>
      </c>
      <c r="D382" t="str">
        <f>CONCATENATE(Sheet2!B382,", ",Sheet2!C382)</f>
        <v>BEECH, 55 Baron</v>
      </c>
    </row>
    <row r="383" spans="1:4" x14ac:dyDescent="0.2">
      <c r="A383" t="str">
        <f>Sheet2!A383</f>
        <v>BE56</v>
      </c>
      <c r="B383" t="str">
        <f ca="1">'Query Example'!D383</f>
        <v>LandPlane</v>
      </c>
      <c r="C383" s="11" t="str">
        <f>CONCATENATE(Sheet2!F383,"/",Sheet2!E383)</f>
        <v>2/Piston</v>
      </c>
      <c r="D383" t="str">
        <f>CONCATENATE(Sheet2!B383,", ",Sheet2!C383)</f>
        <v>BEECH, 56 Turbo Baron</v>
      </c>
    </row>
    <row r="384" spans="1:4" x14ac:dyDescent="0.2">
      <c r="A384" t="str">
        <f>Sheet2!A384</f>
        <v>BE58</v>
      </c>
      <c r="B384" t="str">
        <f ca="1">'Query Example'!D384</f>
        <v>LandPlane</v>
      </c>
      <c r="C384" s="11" t="str">
        <f>CONCATENATE(Sheet2!F384,"/",Sheet2!E384)</f>
        <v>2/Piston</v>
      </c>
      <c r="D384" t="str">
        <f>CONCATENATE(Sheet2!B384,", ",Sheet2!C384)</f>
        <v>RAYTHEON, 58 Baron</v>
      </c>
    </row>
    <row r="385" spans="1:4" x14ac:dyDescent="0.2">
      <c r="A385" t="str">
        <f>Sheet2!A385</f>
        <v>BE60</v>
      </c>
      <c r="B385" t="str">
        <f ca="1">'Query Example'!D385</f>
        <v>LandPlane</v>
      </c>
      <c r="C385" s="11" t="str">
        <f>CONCATENATE(Sheet2!F385,"/",Sheet2!E385)</f>
        <v>2/Piston</v>
      </c>
      <c r="D385" t="str">
        <f>CONCATENATE(Sheet2!B385,", ",Sheet2!C385)</f>
        <v>BEECH, 60 Duke</v>
      </c>
    </row>
    <row r="386" spans="1:4" x14ac:dyDescent="0.2">
      <c r="A386" t="str">
        <f>Sheet2!A386</f>
        <v>BE65</v>
      </c>
      <c r="B386" t="str">
        <f ca="1">'Query Example'!D386</f>
        <v>LandPlane</v>
      </c>
      <c r="C386" s="11" t="str">
        <f>CONCATENATE(Sheet2!F386,"/",Sheet2!E386)</f>
        <v>2/Piston</v>
      </c>
      <c r="D386" t="str">
        <f>CONCATENATE(Sheet2!B386,", ",Sheet2!C386)</f>
        <v>BEECH, 65 Queen Air</v>
      </c>
    </row>
    <row r="387" spans="1:4" x14ac:dyDescent="0.2">
      <c r="A387" t="str">
        <f>Sheet2!A387</f>
        <v>BE70</v>
      </c>
      <c r="B387" t="str">
        <f ca="1">'Query Example'!D387</f>
        <v>LandPlane</v>
      </c>
      <c r="C387" s="11" t="str">
        <f>CONCATENATE(Sheet2!F387,"/",Sheet2!E387)</f>
        <v>2/Piston</v>
      </c>
      <c r="D387" t="str">
        <f>CONCATENATE(Sheet2!B387,", ",Sheet2!C387)</f>
        <v>BEECH, 70 Queen Air</v>
      </c>
    </row>
    <row r="388" spans="1:4" x14ac:dyDescent="0.2">
      <c r="A388" t="str">
        <f>Sheet2!A388</f>
        <v>BE76</v>
      </c>
      <c r="B388" t="str">
        <f ca="1">'Query Example'!D388</f>
        <v>LandPlane</v>
      </c>
      <c r="C388" s="11" t="str">
        <f>CONCATENATE(Sheet2!F388,"/",Sheet2!E388)</f>
        <v>2/Piston</v>
      </c>
      <c r="D388" t="str">
        <f>CONCATENATE(Sheet2!B388,", ",Sheet2!C388)</f>
        <v>BEECH, 76 Duchess</v>
      </c>
    </row>
    <row r="389" spans="1:4" x14ac:dyDescent="0.2">
      <c r="A389" t="str">
        <f>Sheet2!A389</f>
        <v>BE77</v>
      </c>
      <c r="B389" t="str">
        <f ca="1">'Query Example'!D389</f>
        <v>LandPlane</v>
      </c>
      <c r="C389" s="11" t="str">
        <f>CONCATENATE(Sheet2!F389,"/",Sheet2!E389)</f>
        <v>1/Piston</v>
      </c>
      <c r="D389" t="str">
        <f>CONCATENATE(Sheet2!B389,", ",Sheet2!C389)</f>
        <v>BEECH, 77 Skipper</v>
      </c>
    </row>
    <row r="390" spans="1:4" x14ac:dyDescent="0.2">
      <c r="A390" t="str">
        <f>Sheet2!A390</f>
        <v>BE80</v>
      </c>
      <c r="B390" t="str">
        <f ca="1">'Query Example'!D390</f>
        <v>LandPlane</v>
      </c>
      <c r="C390" s="11" t="str">
        <f>CONCATENATE(Sheet2!F390,"/",Sheet2!E390)</f>
        <v>2/Piston</v>
      </c>
      <c r="D390" t="str">
        <f>CONCATENATE(Sheet2!B390,", ",Sheet2!C390)</f>
        <v>BEECH, 80 Queen Air</v>
      </c>
    </row>
    <row r="391" spans="1:4" x14ac:dyDescent="0.2">
      <c r="A391" t="str">
        <f>Sheet2!A391</f>
        <v>BE88</v>
      </c>
      <c r="B391" t="str">
        <f ca="1">'Query Example'!D391</f>
        <v>LandPlane</v>
      </c>
      <c r="C391" s="11" t="str">
        <f>CONCATENATE(Sheet2!F391,"/",Sheet2!E391)</f>
        <v>2/Piston</v>
      </c>
      <c r="D391" t="str">
        <f>CONCATENATE(Sheet2!B391,", ",Sheet2!C391)</f>
        <v>BEECH, 88 Queen Air</v>
      </c>
    </row>
    <row r="392" spans="1:4" x14ac:dyDescent="0.2">
      <c r="A392" t="str">
        <f>Sheet2!A392</f>
        <v>BE95</v>
      </c>
      <c r="B392" t="str">
        <f ca="1">'Query Example'!D392</f>
        <v>LandPlane</v>
      </c>
      <c r="C392" s="11" t="str">
        <f>CONCATENATE(Sheet2!F392,"/",Sheet2!E392)</f>
        <v>2/Piston</v>
      </c>
      <c r="D392" t="str">
        <f>CONCATENATE(Sheet2!B392,", ",Sheet2!C392)</f>
        <v>BEECH, 95 Travel Air</v>
      </c>
    </row>
    <row r="393" spans="1:4" x14ac:dyDescent="0.2">
      <c r="A393" t="str">
        <f>Sheet2!A393</f>
        <v>BE99</v>
      </c>
      <c r="B393" t="str">
        <f ca="1">'Query Example'!D393</f>
        <v>LandPlane</v>
      </c>
      <c r="C393" s="11" t="str">
        <f>CONCATENATE(Sheet2!F393,"/",Sheet2!E393)</f>
        <v>2/Turboprop/Turboshaft</v>
      </c>
      <c r="D393" t="str">
        <f>CONCATENATE(Sheet2!B393,", ",Sheet2!C393)</f>
        <v>BEECH, 99 Airliner</v>
      </c>
    </row>
    <row r="394" spans="1:4" x14ac:dyDescent="0.2">
      <c r="A394" t="str">
        <f>Sheet2!A394</f>
        <v>BE9L</v>
      </c>
      <c r="B394" t="str">
        <f ca="1">'Query Example'!D394</f>
        <v>LandPlane</v>
      </c>
      <c r="C394" s="11" t="str">
        <f>CONCATENATE(Sheet2!F394,"/",Sheet2!E394)</f>
        <v>2/Turboprop/Turboshaft</v>
      </c>
      <c r="D394" t="str">
        <f>CONCATENATE(Sheet2!B394,", ",Sheet2!C394)</f>
        <v>BEECH, 90 King Air</v>
      </c>
    </row>
    <row r="395" spans="1:4" x14ac:dyDescent="0.2">
      <c r="A395" t="str">
        <f>Sheet2!A395</f>
        <v>BE9T</v>
      </c>
      <c r="B395" t="str">
        <f ca="1">'Query Example'!D395</f>
        <v>LandPlane</v>
      </c>
      <c r="C395" s="11" t="str">
        <f>CONCATENATE(Sheet2!F395,"/",Sheet2!E395)</f>
        <v>2/Turboprop/Turboshaft</v>
      </c>
      <c r="D395" t="str">
        <f>CONCATENATE(Sheet2!B395,", ",Sheet2!C395)</f>
        <v>BEECH, 90 (F90) King Air</v>
      </c>
    </row>
    <row r="396" spans="1:4" x14ac:dyDescent="0.2">
      <c r="A396" t="str">
        <f>Sheet2!A396</f>
        <v>BEAR</v>
      </c>
      <c r="B396" t="str">
        <f ca="1">'Query Example'!D396</f>
        <v>LandPlane</v>
      </c>
      <c r="C396" s="11" t="str">
        <f>CONCATENATE(Sheet2!F396,"/",Sheet2!E396)</f>
        <v>1/Piston</v>
      </c>
      <c r="D396" t="str">
        <f>CONCATENATE(Sheet2!B396,", ",Sheet2!C396)</f>
        <v>AVIPRO, RB-4 Bearhawk</v>
      </c>
    </row>
    <row r="397" spans="1:4" x14ac:dyDescent="0.2">
      <c r="A397" t="str">
        <f>Sheet2!A397</f>
        <v>BELF</v>
      </c>
      <c r="B397" t="str">
        <f ca="1">'Query Example'!D397</f>
        <v>LandPlane</v>
      </c>
      <c r="C397" s="11" t="str">
        <f>CONCATENATE(Sheet2!F397,"/",Sheet2!E397)</f>
        <v>4/Turboprop/Turboshaft</v>
      </c>
      <c r="D397" t="str">
        <f>CONCATENATE(Sheet2!B397,", ",Sheet2!C397)</f>
        <v>SHORT, SC-5 Belfast</v>
      </c>
    </row>
    <row r="398" spans="1:4" x14ac:dyDescent="0.2">
      <c r="A398" t="str">
        <f>Sheet2!A398</f>
        <v>BER2</v>
      </c>
      <c r="B398" t="str">
        <f ca="1">'Query Example'!D398</f>
        <v>Amphibian</v>
      </c>
      <c r="C398" s="11" t="str">
        <f>CONCATENATE(Sheet2!F398,"/",Sheet2!E398)</f>
        <v>2/Jet</v>
      </c>
      <c r="D398" t="str">
        <f>CONCATENATE(Sheet2!B398,", ",Sheet2!C398)</f>
        <v>BERIEV, Be-200 Altair</v>
      </c>
    </row>
    <row r="399" spans="1:4" x14ac:dyDescent="0.2">
      <c r="A399" t="str">
        <f>Sheet2!A399</f>
        <v>BER4</v>
      </c>
      <c r="B399" t="str">
        <f ca="1">'Query Example'!D399</f>
        <v>Amphibian</v>
      </c>
      <c r="C399" s="11" t="str">
        <f>CONCATENATE(Sheet2!F399,"/",Sheet2!E399)</f>
        <v>2/Jet</v>
      </c>
      <c r="D399" t="str">
        <f>CONCATENATE(Sheet2!B399,", ",Sheet2!C399)</f>
        <v>BERIEV, A-40 Albatross</v>
      </c>
    </row>
    <row r="400" spans="1:4" x14ac:dyDescent="0.2">
      <c r="A400" t="str">
        <f>Sheet2!A400</f>
        <v>BETA</v>
      </c>
      <c r="B400" t="str">
        <f ca="1">'Query Example'!D400</f>
        <v>LandPlane</v>
      </c>
      <c r="C400" s="11" t="str">
        <f>CONCATENATE(Sheet2!F400,"/",Sheet2!E400)</f>
        <v>1/Piston</v>
      </c>
      <c r="D400" t="str">
        <f>CONCATENATE(Sheet2!B400,", ",Sheet2!C400)</f>
        <v>ROLLASON, Beta</v>
      </c>
    </row>
    <row r="401" spans="1:4" x14ac:dyDescent="0.2">
      <c r="A401" t="str">
        <f>Sheet2!A401</f>
        <v>BEVR</v>
      </c>
      <c r="B401" t="str">
        <f ca="1">'Query Example'!D401</f>
        <v>LandPlane</v>
      </c>
      <c r="C401" s="11" t="str">
        <f>CONCATENATE(Sheet2!F401,"/",Sheet2!E401)</f>
        <v>1/Piston</v>
      </c>
      <c r="D401" t="str">
        <f>CONCATENATE(Sheet2!B401,", ",Sheet2!C401)</f>
        <v>ASAP, Beaver</v>
      </c>
    </row>
    <row r="402" spans="1:4" x14ac:dyDescent="0.2">
      <c r="A402" t="str">
        <f>Sheet2!A402</f>
        <v>BF19</v>
      </c>
      <c r="B402" t="str">
        <f ca="1">'Query Example'!D402</f>
        <v>LandPlane</v>
      </c>
      <c r="C402" s="11" t="str">
        <f>CONCATENATE(Sheet2!F402,"/",Sheet2!E402)</f>
        <v>1/Piston</v>
      </c>
      <c r="D402" t="str">
        <f>CONCATENATE(Sheet2!B402,", ",Sheet2!C402)</f>
        <v>PODESVA, Bf-109G-2</v>
      </c>
    </row>
    <row r="403" spans="1:4" x14ac:dyDescent="0.2">
      <c r="A403" t="str">
        <f>Sheet2!A403</f>
        <v>BFIT</v>
      </c>
      <c r="B403" t="str">
        <f ca="1">'Query Example'!D403</f>
        <v>LandPlane</v>
      </c>
      <c r="C403" s="11" t="str">
        <f>CONCATENATE(Sheet2!F403,"/",Sheet2!E403)</f>
        <v>1/Piston</v>
      </c>
      <c r="D403" t="str">
        <f>CONCATENATE(Sheet2!B403,", ",Sheet2!C403)</f>
        <v>BRISTOL, F-2B Fighter Replica</v>
      </c>
    </row>
    <row r="404" spans="1:4" x14ac:dyDescent="0.2">
      <c r="A404" t="str">
        <f>Sheet2!A404</f>
        <v>BILO</v>
      </c>
      <c r="B404" t="str">
        <f ca="1">'Query Example'!D404</f>
        <v>LandPlane</v>
      </c>
      <c r="C404" s="11" t="str">
        <f>CONCATENATE(Sheet2!F404,"/",Sheet2!E404)</f>
        <v>1/Piston</v>
      </c>
      <c r="D404" t="str">
        <f>CONCATENATE(Sheet2!B404,", ",Sheet2!C404)</f>
        <v>PENA, Bilouis</v>
      </c>
    </row>
    <row r="405" spans="1:4" x14ac:dyDescent="0.2">
      <c r="A405" t="str">
        <f>Sheet2!A405</f>
        <v>BIPL</v>
      </c>
      <c r="B405" t="str">
        <f ca="1">'Query Example'!D405</f>
        <v>LandPlane</v>
      </c>
      <c r="C405" s="11" t="str">
        <f>CONCATENATE(Sheet2!F405,"/",Sheet2!E405)</f>
        <v>1/Piston</v>
      </c>
      <c r="D405" t="str">
        <f>CONCATENATE(Sheet2!B405,", ",Sheet2!C405)</f>
        <v>EAA, Biplane</v>
      </c>
    </row>
    <row r="406" spans="1:4" x14ac:dyDescent="0.2">
      <c r="A406" t="str">
        <f>Sheet2!A406</f>
        <v>BIRD</v>
      </c>
      <c r="B406" t="str">
        <f ca="1">'Query Example'!D406</f>
        <v>LandPlane</v>
      </c>
      <c r="C406" s="11" t="str">
        <f>CONCATENATE(Sheet2!F406,"/",Sheet2!E406)</f>
        <v>1/Piston</v>
      </c>
      <c r="D406" t="str">
        <f>CONCATENATE(Sheet2!B406,", ",Sheet2!C406)</f>
        <v>TAYLOR (3), TA-2 Bird</v>
      </c>
    </row>
    <row r="407" spans="1:4" x14ac:dyDescent="0.2">
      <c r="A407" t="str">
        <f>Sheet2!A407</f>
        <v>BISC</v>
      </c>
      <c r="B407" t="str">
        <f ca="1">'Query Example'!D407</f>
        <v>LandPlane</v>
      </c>
      <c r="C407" s="11" t="str">
        <f>CONCATENATE(Sheet2!F407,"/",Sheet2!E407)</f>
        <v>1/Piston</v>
      </c>
      <c r="D407" t="str">
        <f>CONCATENATE(Sheet2!B407,", ",Sheet2!C407)</f>
        <v>BILSAM, Sky Cruiser</v>
      </c>
    </row>
    <row r="408" spans="1:4" x14ac:dyDescent="0.2">
      <c r="A408" t="str">
        <f>Sheet2!A408</f>
        <v>BK17</v>
      </c>
      <c r="B408" t="str">
        <f ca="1">'Query Example'!D408</f>
        <v>Helicopter</v>
      </c>
      <c r="C408" s="11" t="str">
        <f>CONCATENATE(Sheet2!F408,"/",Sheet2!E408)</f>
        <v>2/Turboprop/Turboshaft</v>
      </c>
      <c r="D408" t="str">
        <f>CONCATENATE(Sheet2!B408,", ",Sheet2!C408)</f>
        <v>MBB-KAWASAKI, BK-117</v>
      </c>
    </row>
    <row r="409" spans="1:4" x14ac:dyDescent="0.2">
      <c r="A409" t="str">
        <f>Sheet2!A409</f>
        <v>BKUT</v>
      </c>
      <c r="B409" t="str">
        <f ca="1">'Query Example'!D409</f>
        <v>LandPlane</v>
      </c>
      <c r="C409" s="11" t="str">
        <f>CONCATENATE(Sheet2!F409,"/",Sheet2!E409)</f>
        <v>1/Piston</v>
      </c>
      <c r="D409" t="str">
        <f>CONCATENATE(Sheet2!B409,", ",Sheet2!C409)</f>
        <v>BERKUT, Berkut</v>
      </c>
    </row>
    <row r="410" spans="1:4" x14ac:dyDescent="0.2">
      <c r="A410" t="str">
        <f>Sheet2!A410</f>
        <v>BL11</v>
      </c>
      <c r="B410" t="str">
        <f ca="1">'Query Example'!D410</f>
        <v>LandPlane</v>
      </c>
      <c r="C410" s="11" t="str">
        <f>CONCATENATE(Sheet2!F410,"/",Sheet2!E410)</f>
        <v>1/Piston</v>
      </c>
      <c r="D410" t="str">
        <f>CONCATENATE(Sheet2!B410,", ",Sheet2!C410)</f>
        <v>BLERIOT, 11 Replica</v>
      </c>
    </row>
    <row r="411" spans="1:4" x14ac:dyDescent="0.2">
      <c r="A411" t="str">
        <f>Sheet2!A411</f>
        <v>BL17</v>
      </c>
      <c r="B411" t="str">
        <f ca="1">'Query Example'!D411</f>
        <v>LandPlane</v>
      </c>
      <c r="C411" s="11" t="str">
        <f>CONCATENATE(Sheet2!F411,"/",Sheet2!E411)</f>
        <v>1/Piston</v>
      </c>
      <c r="D411" t="str">
        <f>CONCATENATE(Sheet2!B411,", ",Sheet2!C411)</f>
        <v>BELLANCA, 17 Viking</v>
      </c>
    </row>
    <row r="412" spans="1:4" x14ac:dyDescent="0.2">
      <c r="A412" t="str">
        <f>Sheet2!A412</f>
        <v>BL19</v>
      </c>
      <c r="B412" t="str">
        <f ca="1">'Query Example'!D412</f>
        <v>LandPlane</v>
      </c>
      <c r="C412" s="11" t="str">
        <f>CONCATENATE(Sheet2!F412,"/",Sheet2!E412)</f>
        <v>1/Piston</v>
      </c>
      <c r="D412" t="str">
        <f>CONCATENATE(Sheet2!B412,", ",Sheet2!C412)</f>
        <v>BELLANCA, 19 Skyrocket</v>
      </c>
    </row>
    <row r="413" spans="1:4" x14ac:dyDescent="0.2">
      <c r="A413" t="str">
        <f>Sheet2!A413</f>
        <v>BL8</v>
      </c>
      <c r="B413" t="str">
        <f ca="1">'Query Example'!D413</f>
        <v>LandPlane</v>
      </c>
      <c r="C413" s="11" t="str">
        <f>CONCATENATE(Sheet2!F413,"/",Sheet2!E413)</f>
        <v>1/Piston</v>
      </c>
      <c r="D413" t="str">
        <f>CONCATENATE(Sheet2!B413,", ",Sheet2!C413)</f>
        <v>BELLANCA, 8 Scout</v>
      </c>
    </row>
    <row r="414" spans="1:4" x14ac:dyDescent="0.2">
      <c r="A414" t="str">
        <f>Sheet2!A414</f>
        <v>BLBU</v>
      </c>
      <c r="B414" t="str">
        <f ca="1">'Query Example'!D414</f>
        <v>LandPlane</v>
      </c>
      <c r="C414" s="11" t="str">
        <f>CONCATENATE(Sheet2!F414,"/",Sheet2!E414)</f>
        <v>1/Piston</v>
      </c>
      <c r="D414" t="str">
        <f>CONCATENATE(Sheet2!B414,", ",Sheet2!C414)</f>
        <v>AMEUR, Altania</v>
      </c>
    </row>
    <row r="415" spans="1:4" x14ac:dyDescent="0.2">
      <c r="A415" t="str">
        <f>Sheet2!A415</f>
        <v>BLCF</v>
      </c>
      <c r="B415" t="str">
        <f ca="1">'Query Example'!D415</f>
        <v>LandPlane</v>
      </c>
      <c r="C415" s="11" t="str">
        <f>CONCATENATE(Sheet2!F415,"/",Sheet2!E415)</f>
        <v>4/Jet</v>
      </c>
      <c r="D415" t="str">
        <f>CONCATENATE(Sheet2!B415,", ",Sheet2!C415)</f>
        <v>BOEING, 747-400LCF Dreamlifter</v>
      </c>
    </row>
    <row r="416" spans="1:4" x14ac:dyDescent="0.2">
      <c r="A416" t="str">
        <f>Sheet2!A416</f>
        <v>BLEN</v>
      </c>
      <c r="B416" t="str">
        <f ca="1">'Query Example'!D416</f>
        <v>LandPlane</v>
      </c>
      <c r="C416" s="11" t="str">
        <f>CONCATENATE(Sheet2!F416,"/",Sheet2!E416)</f>
        <v>2/Piston</v>
      </c>
      <c r="D416" t="str">
        <f>CONCATENATE(Sheet2!B416,", ",Sheet2!C416)</f>
        <v>BRISTOL, 149 Blenheim</v>
      </c>
    </row>
    <row r="417" spans="1:4" x14ac:dyDescent="0.2">
      <c r="A417" t="str">
        <f>Sheet2!A417</f>
        <v>BLKS</v>
      </c>
      <c r="B417" t="str">
        <f ca="1">'Query Example'!D417</f>
        <v>LandPlane</v>
      </c>
      <c r="C417" s="11" t="str">
        <f>CONCATENATE(Sheet2!F417,"/",Sheet2!E417)</f>
        <v>1/Piston</v>
      </c>
      <c r="D417" t="str">
        <f>CONCATENATE(Sheet2!B417,", ",Sheet2!C417)</f>
        <v>AIRCRAFT SPRUCE, Baby Lakes</v>
      </c>
    </row>
    <row r="418" spans="1:4" x14ac:dyDescent="0.2">
      <c r="A418" t="str">
        <f>Sheet2!A418</f>
        <v>BM6</v>
      </c>
      <c r="B418" t="str">
        <f ca="1">'Query Example'!D418</f>
        <v>LandPlane</v>
      </c>
      <c r="C418" s="11" t="str">
        <f>CONCATENATE(Sheet2!F418,"/",Sheet2!E418)</f>
        <v>1/Piston</v>
      </c>
      <c r="D418" t="str">
        <f>CONCATENATE(Sheet2!B418,", ",Sheet2!C418)</f>
        <v>MARANDA, BM-6 Lark</v>
      </c>
    </row>
    <row r="419" spans="1:4" x14ac:dyDescent="0.2">
      <c r="A419" t="str">
        <f>Sheet2!A419</f>
        <v>BMAN</v>
      </c>
      <c r="B419" t="str">
        <f ca="1">'Query Example'!D419</f>
        <v>LandPlane</v>
      </c>
      <c r="C419" s="11" t="str">
        <f>CONCATENATE(Sheet2!F419,"/",Sheet2!E419)</f>
        <v>1/Piston</v>
      </c>
      <c r="D419" t="str">
        <f>CONCATENATE(Sheet2!B419,", ",Sheet2!C419)</f>
        <v>AAK, Bushman</v>
      </c>
    </row>
    <row r="420" spans="1:4" x14ac:dyDescent="0.2">
      <c r="A420" t="str">
        <f>Sheet2!A420</f>
        <v>BN2P</v>
      </c>
      <c r="B420" t="str">
        <f ca="1">'Query Example'!D420</f>
        <v>LandPlane</v>
      </c>
      <c r="C420" s="11" t="str">
        <f>CONCATENATE(Sheet2!F420,"/",Sheet2!E420)</f>
        <v>2/Piston</v>
      </c>
      <c r="D420" t="str">
        <f>CONCATENATE(Sheet2!B420,", ",Sheet2!C420)</f>
        <v>BRITTEN-NORMAN, BN-2 Islander</v>
      </c>
    </row>
    <row r="421" spans="1:4" x14ac:dyDescent="0.2">
      <c r="A421" t="str">
        <f>Sheet2!A421</f>
        <v>BN2T</v>
      </c>
      <c r="B421" t="str">
        <f ca="1">'Query Example'!D421</f>
        <v>LandPlane</v>
      </c>
      <c r="C421" s="11" t="str">
        <f>CONCATENATE(Sheet2!F421,"/",Sheet2!E421)</f>
        <v>2/Turboprop/Turboshaft</v>
      </c>
      <c r="D421" t="str">
        <f>CONCATENATE(Sheet2!B421,", ",Sheet2!C421)</f>
        <v>BRITTEN-NORMAN, BN-2T Turbine Islander</v>
      </c>
    </row>
    <row r="422" spans="1:4" x14ac:dyDescent="0.2">
      <c r="A422" t="str">
        <f>Sheet2!A422</f>
        <v>BO40</v>
      </c>
      <c r="B422" t="str">
        <f ca="1">'Query Example'!D422</f>
        <v>LandPlane</v>
      </c>
      <c r="C422" s="11" t="str">
        <f>CONCATENATE(Sheet2!F422,"/",Sheet2!E422)</f>
        <v>1/Piston</v>
      </c>
      <c r="D422" t="str">
        <f>CONCATENATE(Sheet2!B422,", ",Sheet2!C422)</f>
        <v>BOEING, 40</v>
      </c>
    </row>
    <row r="423" spans="1:4" x14ac:dyDescent="0.2">
      <c r="A423" t="str">
        <f>Sheet2!A423</f>
        <v>BOLT</v>
      </c>
      <c r="B423" t="str">
        <f ca="1">'Query Example'!D423</f>
        <v>LandPlane</v>
      </c>
      <c r="C423" s="11" t="str">
        <f>CONCATENATE(Sheet2!F423,"/",Sheet2!E423)</f>
        <v>1/Piston</v>
      </c>
      <c r="D423" t="str">
        <f>CONCATENATE(Sheet2!B423,", ",Sheet2!C423)</f>
        <v>STEEN, Skybolt</v>
      </c>
    </row>
    <row r="424" spans="1:4" x14ac:dyDescent="0.2">
      <c r="A424" t="str">
        <f>Sheet2!A424</f>
        <v>BOOM</v>
      </c>
      <c r="B424" t="str">
        <f ca="1">'Query Example'!D424</f>
        <v>LandPlane</v>
      </c>
      <c r="C424" s="11" t="str">
        <f>CONCATENATE(Sheet2!F424,"/",Sheet2!E424)</f>
        <v>2/Piston</v>
      </c>
      <c r="D424" t="str">
        <f>CONCATENATE(Sheet2!B424,", ",Sheet2!C424)</f>
        <v>RUTAN, 202 Boomerang</v>
      </c>
    </row>
    <row r="425" spans="1:4" x14ac:dyDescent="0.2">
      <c r="A425" t="str">
        <f>Sheet2!A425</f>
        <v>BPAT</v>
      </c>
      <c r="B425" t="str">
        <f ca="1">'Query Example'!D425</f>
        <v>LandPlane</v>
      </c>
      <c r="C425" s="11" t="str">
        <f>CONCATENATE(Sheet2!F425,"/",Sheet2!E425)</f>
        <v>1/Piston</v>
      </c>
      <c r="D425" t="str">
        <f>CONCATENATE(Sheet2!B425,", ",Sheet2!C425)</f>
        <v>R &amp; B, Bearhawk Patrol</v>
      </c>
    </row>
    <row r="426" spans="1:4" x14ac:dyDescent="0.2">
      <c r="A426" t="str">
        <f>Sheet2!A426</f>
        <v>BPOD</v>
      </c>
      <c r="B426" t="str">
        <f ca="1">'Query Example'!D426</f>
        <v>LandPlane</v>
      </c>
      <c r="C426" s="11" t="str">
        <f>CONCATENATE(Sheet2!F426,"/",Sheet2!E426)</f>
        <v>4/Electric</v>
      </c>
      <c r="D426" t="str">
        <f>CONCATENATE(Sheet2!B426,", ",Sheet2!C426)</f>
        <v>SCALED, 367 BiPod</v>
      </c>
    </row>
    <row r="427" spans="1:4" x14ac:dyDescent="0.2">
      <c r="A427" t="str">
        <f>Sheet2!A427</f>
        <v>BR14</v>
      </c>
      <c r="B427" t="str">
        <f ca="1">'Query Example'!D427</f>
        <v>LandPlane</v>
      </c>
      <c r="C427" s="11" t="str">
        <f>CONCATENATE(Sheet2!F427,"/",Sheet2!E427)</f>
        <v>1/Piston</v>
      </c>
      <c r="D427" t="str">
        <f>CONCATENATE(Sheet2!B427,", ",Sheet2!C427)</f>
        <v>BREGUET, 14 Replica</v>
      </c>
    </row>
    <row r="428" spans="1:4" x14ac:dyDescent="0.2">
      <c r="A428" t="str">
        <f>Sheet2!A428</f>
        <v>BR23</v>
      </c>
      <c r="B428" t="str">
        <f ca="1">'Query Example'!D428</f>
        <v>LandPlane</v>
      </c>
      <c r="C428" s="11" t="str">
        <f>CONCATENATE(Sheet2!F428,"/",Sheet2!E428)</f>
        <v>1/Piston</v>
      </c>
      <c r="D428" t="str">
        <f>CONCATENATE(Sheet2!B428,", ",Sheet2!C428)</f>
        <v>BRM AERO, Bristell B23</v>
      </c>
    </row>
    <row r="429" spans="1:4" x14ac:dyDescent="0.2">
      <c r="A429" t="str">
        <f>Sheet2!A429</f>
        <v>BR54</v>
      </c>
      <c r="B429" t="str">
        <f ca="1">'Query Example'!D429</f>
        <v>Gyrocopter</v>
      </c>
      <c r="C429" s="11" t="str">
        <f>CONCATENATE(Sheet2!F429,"/",Sheet2!E429)</f>
        <v>1/Piston</v>
      </c>
      <c r="D429" t="str">
        <f>CONCATENATE(Sheet2!B429,", ",Sheet2!C429)</f>
        <v>BARNETT, BRC-540</v>
      </c>
    </row>
    <row r="430" spans="1:4" x14ac:dyDescent="0.2">
      <c r="A430" t="str">
        <f>Sheet2!A430</f>
        <v>BR60</v>
      </c>
      <c r="B430" t="str">
        <f ca="1">'Query Example'!D430</f>
        <v>LandPlane</v>
      </c>
      <c r="C430" s="11" t="str">
        <f>CONCATENATE(Sheet2!F430,"/",Sheet2!E430)</f>
        <v>1/Piston</v>
      </c>
      <c r="D430" t="str">
        <f>CONCATENATE(Sheet2!B430,", ",Sheet2!C430)</f>
        <v>BRUMBY, 600</v>
      </c>
    </row>
    <row r="431" spans="1:4" x14ac:dyDescent="0.2">
      <c r="A431" t="str">
        <f>Sheet2!A431</f>
        <v>BR61</v>
      </c>
      <c r="B431" t="str">
        <f ca="1">'Query Example'!D431</f>
        <v>LandPlane</v>
      </c>
      <c r="C431" s="11" t="str">
        <f>CONCATENATE(Sheet2!F431,"/",Sheet2!E431)</f>
        <v>1/Piston</v>
      </c>
      <c r="D431" t="str">
        <f>CONCATENATE(Sheet2!B431,", ",Sheet2!C431)</f>
        <v>BRUMBY, 610 Evolution</v>
      </c>
    </row>
    <row r="432" spans="1:4" x14ac:dyDescent="0.2">
      <c r="A432" t="str">
        <f>Sheet2!A432</f>
        <v>BR8</v>
      </c>
      <c r="B432" t="str">
        <f ca="1">'Query Example'!D432</f>
        <v>LandPlane</v>
      </c>
      <c r="C432" s="11" t="str">
        <f>CONCATENATE(Sheet2!F432,"/",Sheet2!E432)</f>
        <v>1/Piston</v>
      </c>
      <c r="D432" t="str">
        <f>CONCATENATE(Sheet2!B432,", ",Sheet2!C432)</f>
        <v>BRM AERO, Bristell B8</v>
      </c>
    </row>
    <row r="433" spans="1:4" x14ac:dyDescent="0.2">
      <c r="A433" t="str">
        <f>Sheet2!A433</f>
        <v>BRAV</v>
      </c>
      <c r="B433" t="str">
        <f ca="1">'Query Example'!D433</f>
        <v>LandPlane</v>
      </c>
      <c r="C433" s="11" t="str">
        <f>CONCATENATE(Sheet2!F433,"/",Sheet2!E433)</f>
        <v>1/Piston</v>
      </c>
      <c r="D433" t="str">
        <f>CONCATENATE(Sheet2!B433,", ",Sheet2!C433)</f>
        <v>TECNAM, P-2004 Bravo</v>
      </c>
    </row>
    <row r="434" spans="1:4" x14ac:dyDescent="0.2">
      <c r="A434" t="str">
        <f>Sheet2!A434</f>
        <v>BRB2</v>
      </c>
      <c r="B434" t="str">
        <f ca="1">'Query Example'!D434</f>
        <v>Helicopter</v>
      </c>
      <c r="C434" s="11" t="str">
        <f>CONCATENATE(Sheet2!F434,"/",Sheet2!E434)</f>
        <v>1/Piston</v>
      </c>
      <c r="D434" t="str">
        <f>CONCATENATE(Sheet2!B434,", ",Sheet2!C434)</f>
        <v>BRANTLY, B-2</v>
      </c>
    </row>
    <row r="435" spans="1:4" x14ac:dyDescent="0.2">
      <c r="A435" t="str">
        <f>Sheet2!A435</f>
        <v>BREZ</v>
      </c>
      <c r="B435" t="str">
        <f ca="1">'Query Example'!D435</f>
        <v>LandPlane</v>
      </c>
      <c r="C435" s="11" t="str">
        <f>CONCATENATE(Sheet2!F435,"/",Sheet2!E435)</f>
        <v>1/Piston</v>
      </c>
      <c r="D435" t="str">
        <f>CONCATENATE(Sheet2!B435,", ",Sheet2!C435)</f>
        <v>AEROSTYLE, Breezer</v>
      </c>
    </row>
    <row r="436" spans="1:4" x14ac:dyDescent="0.2">
      <c r="A436" t="str">
        <f>Sheet2!A436</f>
        <v>BROU</v>
      </c>
      <c r="B436" t="str">
        <f ca="1">'Query Example'!D436</f>
        <v>LandPlane</v>
      </c>
      <c r="C436" s="11" t="str">
        <f>CONCATENATE(Sheet2!F436,"/",Sheet2!E436)</f>
        <v>1/Piston</v>
      </c>
      <c r="D436" t="str">
        <f>CONCATENATE(Sheet2!B436,", ",Sheet2!C436)</f>
        <v>MAX HOLSTE, MH-1521 Broussard</v>
      </c>
    </row>
    <row r="437" spans="1:4" x14ac:dyDescent="0.2">
      <c r="A437" t="str">
        <f>Sheet2!A437</f>
        <v>BS60</v>
      </c>
      <c r="B437" t="str">
        <f ca="1">'Query Example'!D437</f>
        <v>LandPlane</v>
      </c>
      <c r="C437" s="11" t="str">
        <f>CONCATENATE(Sheet2!F437,"/",Sheet2!E437)</f>
        <v>2/Turboprop/Turboshaft</v>
      </c>
      <c r="D437" t="str">
        <f>CONCATENATE(Sheet2!B437,", ",Sheet2!C437)</f>
        <v>BEECH-SFERMA, 60 Marquis</v>
      </c>
    </row>
    <row r="438" spans="1:4" x14ac:dyDescent="0.2">
      <c r="A438" t="str">
        <f>Sheet2!A438</f>
        <v>BSTP</v>
      </c>
      <c r="B438" t="str">
        <f ca="1">'Query Example'!D438</f>
        <v>Helicopter</v>
      </c>
      <c r="C438" s="11" t="str">
        <f>CONCATENATE(Sheet2!F438,"/",Sheet2!E438)</f>
        <v>2/Turboprop/Turboshaft</v>
      </c>
      <c r="D438" t="str">
        <f>CONCATENATE(Sheet2!B438,", ",Sheet2!C438)</f>
        <v>BELL, 214ST SuperTransport</v>
      </c>
    </row>
    <row r="439" spans="1:4" x14ac:dyDescent="0.2">
      <c r="A439" t="str">
        <f>Sheet2!A439</f>
        <v>BT36</v>
      </c>
      <c r="B439" t="str">
        <f ca="1">'Query Example'!D439</f>
        <v>LandPlane</v>
      </c>
      <c r="C439" s="11" t="str">
        <f>CONCATENATE(Sheet2!F439,"/",Sheet2!E439)</f>
        <v>1/Piston</v>
      </c>
      <c r="D439" t="str">
        <f>CONCATENATE(Sheet2!B439,", ",Sheet2!C439)</f>
        <v>BEECH, B36TC Bonanza</v>
      </c>
    </row>
    <row r="440" spans="1:4" x14ac:dyDescent="0.2">
      <c r="A440" t="str">
        <f>Sheet2!A440</f>
        <v>BT7</v>
      </c>
      <c r="B440" t="str">
        <f ca="1">'Query Example'!D440</f>
        <v>LandPlane</v>
      </c>
      <c r="C440" s="11" t="str">
        <f>CONCATENATE(Sheet2!F440,"/",Sheet2!E440)</f>
        <v>1/Jet</v>
      </c>
      <c r="D440" t="str">
        <f>CONCATENATE(Sheet2!B440,", ",Sheet2!C440)</f>
        <v>BOEING, T-7 Red Hawk</v>
      </c>
    </row>
    <row r="441" spans="1:4" x14ac:dyDescent="0.2">
      <c r="A441" t="str">
        <f>Sheet2!A441</f>
        <v>BTUB</v>
      </c>
      <c r="B441" t="str">
        <f ca="1">'Query Example'!D441</f>
        <v>LandPlane</v>
      </c>
      <c r="C441" s="11" t="str">
        <f>CONCATENATE(Sheet2!F441,"/",Sheet2!E441)</f>
        <v>1/Piston</v>
      </c>
      <c r="D441" t="str">
        <f>CONCATENATE(Sheet2!B441,", ",Sheet2!C441)</f>
        <v>KIMBREL, Dormoy Bathtub</v>
      </c>
    </row>
    <row r="442" spans="1:4" x14ac:dyDescent="0.2">
      <c r="A442" t="str">
        <f>Sheet2!A442</f>
        <v>BU20</v>
      </c>
      <c r="B442" t="str">
        <f ca="1">'Query Example'!D442</f>
        <v>LandPlane</v>
      </c>
      <c r="C442" s="11" t="str">
        <f>CONCATENATE(Sheet2!F442,"/",Sheet2!E442)</f>
        <v>3/Piston</v>
      </c>
      <c r="D442" t="str">
        <f>CONCATENATE(Sheet2!B442,", ",Sheet2!C442)</f>
        <v>AIRCRAFT HYDRO-FORMING, Bushmaster 2000</v>
      </c>
    </row>
    <row r="443" spans="1:4" x14ac:dyDescent="0.2">
      <c r="A443" t="str">
        <f>Sheet2!A443</f>
        <v>BU31</v>
      </c>
      <c r="B443" t="str">
        <f ca="1">'Query Example'!D443</f>
        <v>LandPlane</v>
      </c>
      <c r="C443" s="11" t="str">
        <f>CONCATENATE(Sheet2!F443,"/",Sheet2!E443)</f>
        <v>1/Piston</v>
      </c>
      <c r="D443" t="str">
        <f>CONCATENATE(Sheet2!B443,", ",Sheet2!C443)</f>
        <v>BUCKER, Bü-131 Jungmann</v>
      </c>
    </row>
    <row r="444" spans="1:4" x14ac:dyDescent="0.2">
      <c r="A444" t="str">
        <f>Sheet2!A444</f>
        <v>BU33</v>
      </c>
      <c r="B444" t="str">
        <f ca="1">'Query Example'!D444</f>
        <v>LandPlane</v>
      </c>
      <c r="C444" s="11" t="str">
        <f>CONCATENATE(Sheet2!F444,"/",Sheet2!E444)</f>
        <v>1/Piston</v>
      </c>
      <c r="D444" t="str">
        <f>CONCATENATE(Sheet2!B444,", ",Sheet2!C444)</f>
        <v>BUCKER, Bü-133 Jungmeister</v>
      </c>
    </row>
    <row r="445" spans="1:4" x14ac:dyDescent="0.2">
      <c r="A445" t="str">
        <f>Sheet2!A445</f>
        <v>BU81</v>
      </c>
      <c r="B445" t="str">
        <f ca="1">'Query Example'!D445</f>
        <v>LandPlane</v>
      </c>
      <c r="C445" s="11" t="str">
        <f>CONCATENATE(Sheet2!F445,"/",Sheet2!E445)</f>
        <v>1/Piston</v>
      </c>
      <c r="D445" t="str">
        <f>CONCATENATE(Sheet2!B445,", ",Sheet2!C445)</f>
        <v>BUCKER, Bü-181 Bestmann</v>
      </c>
    </row>
    <row r="446" spans="1:4" x14ac:dyDescent="0.2">
      <c r="A446" t="str">
        <f>Sheet2!A446</f>
        <v>BUC</v>
      </c>
      <c r="B446" t="str">
        <f ca="1">'Query Example'!D446</f>
        <v>LandPlane</v>
      </c>
      <c r="C446" s="11" t="str">
        <f>CONCATENATE(Sheet2!F446,"/",Sheet2!E446)</f>
        <v>2/Jet</v>
      </c>
      <c r="D446" t="str">
        <f>CONCATENATE(Sheet2!B446,", ",Sheet2!C446)</f>
        <v>HAWKER SIDDELEY, Buccaneer</v>
      </c>
    </row>
    <row r="447" spans="1:4" x14ac:dyDescent="0.2">
      <c r="A447" t="str">
        <f>Sheet2!A447</f>
        <v>BUCA</v>
      </c>
      <c r="B447" t="str">
        <f ca="1">'Query Example'!D447</f>
        <v>Amphibian</v>
      </c>
      <c r="C447" s="11" t="str">
        <f>CONCATENATE(Sheet2!F447,"/",Sheet2!E447)</f>
        <v>1/Piston</v>
      </c>
      <c r="D447" t="str">
        <f>CONCATENATE(Sheet2!B447,", ",Sheet2!C447)</f>
        <v>ADVANCED AVIATION, Buccaneer</v>
      </c>
    </row>
    <row r="448" spans="1:4" x14ac:dyDescent="0.2">
      <c r="A448" t="str">
        <f>Sheet2!A448</f>
        <v>BULT</v>
      </c>
      <c r="B448" t="str">
        <f ca="1">'Query Example'!D448</f>
        <v>LandPlane</v>
      </c>
      <c r="C448" s="11" t="str">
        <f>CONCATENATE(Sheet2!F448,"/",Sheet2!E448)</f>
        <v>1/Piston</v>
      </c>
      <c r="D448" t="str">
        <f>CONCATENATE(Sheet2!B448,", ",Sheet2!C448)</f>
        <v>BROKAW, BJ-520 Bullet</v>
      </c>
    </row>
    <row r="449" spans="1:4" x14ac:dyDescent="0.2">
      <c r="A449" t="str">
        <f>Sheet2!A449</f>
        <v>BUSH</v>
      </c>
      <c r="B449" t="str">
        <f ca="1">'Query Example'!D449</f>
        <v>LandPlane</v>
      </c>
      <c r="C449" s="11" t="str">
        <f>CONCATENATE(Sheet2!F449,"/",Sheet2!E449)</f>
        <v>1/Piston</v>
      </c>
      <c r="D449" t="str">
        <f>CONCATENATE(Sheet2!B449,", ",Sheet2!C449)</f>
        <v>RAINBOW SKYREACH, BushCat</v>
      </c>
    </row>
    <row r="450" spans="1:4" x14ac:dyDescent="0.2">
      <c r="A450" t="str">
        <f>Sheet2!A450</f>
        <v>BW60</v>
      </c>
      <c r="B450" t="str">
        <f ca="1">'Query Example'!D450</f>
        <v>LandPlane</v>
      </c>
      <c r="C450" s="11" t="str">
        <f>CONCATENATE(Sheet2!F450,"/",Sheet2!E450)</f>
        <v>1/Piston</v>
      </c>
      <c r="D450" t="str">
        <f>CONCATENATE(Sheet2!B450,", ",Sheet2!C450)</f>
        <v>BLACKWING, BW-600</v>
      </c>
    </row>
    <row r="451" spans="1:4" x14ac:dyDescent="0.2">
      <c r="A451" t="str">
        <f>Sheet2!A451</f>
        <v>BW6T</v>
      </c>
      <c r="B451" t="str">
        <f ca="1">'Query Example'!D451</f>
        <v>LandPlane</v>
      </c>
      <c r="C451" s="11" t="str">
        <f>CONCATENATE(Sheet2!F451,"/",Sheet2!E451)</f>
        <v>1/Piston</v>
      </c>
      <c r="D451" t="str">
        <f>CONCATENATE(Sheet2!B451,", ",Sheet2!C451)</f>
        <v>BLACKWING, BW-635</v>
      </c>
    </row>
    <row r="452" spans="1:4" x14ac:dyDescent="0.2">
      <c r="A452" t="str">
        <f>Sheet2!A452</f>
        <v>BX2</v>
      </c>
      <c r="B452" t="str">
        <f ca="1">'Query Example'!D452</f>
        <v>LandPlane</v>
      </c>
      <c r="C452" s="11" t="str">
        <f>CONCATENATE(Sheet2!F452,"/",Sheet2!E452)</f>
        <v>1/Piston</v>
      </c>
      <c r="D452" t="str">
        <f>CONCATENATE(Sheet2!B452,", ",Sheet2!C452)</f>
        <v>BRANDLI, BX-2 Cherry</v>
      </c>
    </row>
    <row r="453" spans="1:4" x14ac:dyDescent="0.2">
      <c r="A453" t="str">
        <f>Sheet2!A453</f>
        <v>C02T</v>
      </c>
      <c r="B453" t="str">
        <f ca="1">'Query Example'!D453</f>
        <v>LandPlane</v>
      </c>
      <c r="C453" s="11" t="str">
        <f>CONCATENATE(Sheet2!F453,"/",Sheet2!E453)</f>
        <v>2/Turboprop/Turboshaft</v>
      </c>
      <c r="D453" t="str">
        <f>CONCATENATE(Sheet2!B453,", ",Sheet2!C453)</f>
        <v>CESSNA, 402 (turbine)</v>
      </c>
    </row>
    <row r="454" spans="1:4" x14ac:dyDescent="0.2">
      <c r="A454" t="str">
        <f>Sheet2!A454</f>
        <v>C04T</v>
      </c>
      <c r="B454" t="str">
        <f ca="1">'Query Example'!D454</f>
        <v>LandPlane</v>
      </c>
      <c r="C454" s="11" t="str">
        <f>CONCATENATE(Sheet2!F454,"/",Sheet2!E454)</f>
        <v>2/Turboprop/Turboshaft</v>
      </c>
      <c r="D454" t="str">
        <f>CONCATENATE(Sheet2!B454,", ",Sheet2!C454)</f>
        <v>CESSNA, 404 (turbine)</v>
      </c>
    </row>
    <row r="455" spans="1:4" x14ac:dyDescent="0.2">
      <c r="A455" t="str">
        <f>Sheet2!A455</f>
        <v>C06T</v>
      </c>
      <c r="B455" t="str">
        <f ca="1">'Query Example'!D455</f>
        <v>LandPlane</v>
      </c>
      <c r="C455" s="11" t="str">
        <f>CONCATENATE(Sheet2!F455,"/",Sheet2!E455)</f>
        <v>1/Turboprop/Turboshaft</v>
      </c>
      <c r="D455" t="str">
        <f>CONCATENATE(Sheet2!B455,", ",Sheet2!C455)</f>
        <v>CESSNA, 206 (turbine)</v>
      </c>
    </row>
    <row r="456" spans="1:4" x14ac:dyDescent="0.2">
      <c r="A456" t="str">
        <f>Sheet2!A456</f>
        <v>C07T</v>
      </c>
      <c r="B456" t="str">
        <f ca="1">'Query Example'!D456</f>
        <v>LandPlane</v>
      </c>
      <c r="C456" s="11" t="str">
        <f>CONCATENATE(Sheet2!F456,"/",Sheet2!E456)</f>
        <v>1/Turboprop/Turboshaft</v>
      </c>
      <c r="D456" t="str">
        <f>CONCATENATE(Sheet2!B456,", ",Sheet2!C456)</f>
        <v>CESSNA, 207 (turbine)</v>
      </c>
    </row>
    <row r="457" spans="1:4" x14ac:dyDescent="0.2">
      <c r="A457" t="str">
        <f>Sheet2!A457</f>
        <v>C08T</v>
      </c>
      <c r="B457" t="str">
        <f ca="1">'Query Example'!D457</f>
        <v>LandPlane</v>
      </c>
      <c r="C457" s="11" t="str">
        <f>CONCATENATE(Sheet2!F457,"/",Sheet2!E457)</f>
        <v>/Turboprop/Turboshaft</v>
      </c>
      <c r="D457" t="str">
        <f>CONCATENATE(Sheet2!B457,", ",Sheet2!C457)</f>
        <v>SOLOY, 208 Dual-Pac Caravan</v>
      </c>
    </row>
    <row r="458" spans="1:4" x14ac:dyDescent="0.2">
      <c r="A458" t="str">
        <f>Sheet2!A458</f>
        <v>C1</v>
      </c>
      <c r="B458" t="str">
        <f ca="1">'Query Example'!D458</f>
        <v>LandPlane</v>
      </c>
      <c r="C458" s="11" t="str">
        <f>CONCATENATE(Sheet2!F458,"/",Sheet2!E458)</f>
        <v>2/Jet</v>
      </c>
      <c r="D458" t="str">
        <f>CONCATENATE(Sheet2!B458,", ",Sheet2!C458)</f>
        <v>KAWASAKI, C-1</v>
      </c>
    </row>
    <row r="459" spans="1:4" x14ac:dyDescent="0.2">
      <c r="A459" t="str">
        <f>Sheet2!A459</f>
        <v>C101</v>
      </c>
      <c r="B459" t="str">
        <f ca="1">'Query Example'!D459</f>
        <v>LandPlane</v>
      </c>
      <c r="C459" s="11" t="str">
        <f>CONCATENATE(Sheet2!F459,"/",Sheet2!E459)</f>
        <v>1/Jet</v>
      </c>
      <c r="D459" t="str">
        <f>CONCATENATE(Sheet2!B459,", ",Sheet2!C459)</f>
        <v>CASA, C-101 Aviojet</v>
      </c>
    </row>
    <row r="460" spans="1:4" x14ac:dyDescent="0.2">
      <c r="A460" t="str">
        <f>Sheet2!A460</f>
        <v>C10T</v>
      </c>
      <c r="B460" t="str">
        <f ca="1">'Query Example'!D460</f>
        <v>LandPlane</v>
      </c>
      <c r="C460" s="11" t="str">
        <f>CONCATENATE(Sheet2!F460,"/",Sheet2!E460)</f>
        <v>1/Turboprop/Turboshaft</v>
      </c>
      <c r="D460" t="str">
        <f>CONCATENATE(Sheet2!B460,", ",Sheet2!C460)</f>
        <v>CESSNA, P210 (turbine)</v>
      </c>
    </row>
    <row r="461" spans="1:4" x14ac:dyDescent="0.2">
      <c r="A461" t="str">
        <f>Sheet2!A461</f>
        <v>C119</v>
      </c>
      <c r="B461" t="str">
        <f ca="1">'Query Example'!D461</f>
        <v>LandPlane</v>
      </c>
      <c r="C461" s="11" t="str">
        <f>CONCATENATE(Sheet2!F461,"/",Sheet2!E461)</f>
        <v>2/Piston</v>
      </c>
      <c r="D461" t="str">
        <f>CONCATENATE(Sheet2!B461,", ",Sheet2!C461)</f>
        <v>FAIRCHILD (1), C-119 Flying Boxcar</v>
      </c>
    </row>
    <row r="462" spans="1:4" x14ac:dyDescent="0.2">
      <c r="A462" t="str">
        <f>Sheet2!A462</f>
        <v>C120</v>
      </c>
      <c r="B462" t="str">
        <f ca="1">'Query Example'!D462</f>
        <v>LandPlane</v>
      </c>
      <c r="C462" s="11" t="str">
        <f>CONCATENATE(Sheet2!F462,"/",Sheet2!E462)</f>
        <v>1/Piston</v>
      </c>
      <c r="D462" t="str">
        <f>CONCATENATE(Sheet2!B462,", ",Sheet2!C462)</f>
        <v>CESSNA, 120</v>
      </c>
    </row>
    <row r="463" spans="1:4" x14ac:dyDescent="0.2">
      <c r="A463" t="str">
        <f>Sheet2!A463</f>
        <v>C123</v>
      </c>
      <c r="B463" t="str">
        <f ca="1">'Query Example'!D463</f>
        <v>LandPlane</v>
      </c>
      <c r="C463" s="11" t="str">
        <f>CONCATENATE(Sheet2!F463,"/",Sheet2!E463)</f>
        <v>2/Piston</v>
      </c>
      <c r="D463" t="str">
        <f>CONCATENATE(Sheet2!B463,", ",Sheet2!C463)</f>
        <v>FAIRCHILD (1), C-123 Provider</v>
      </c>
    </row>
    <row r="464" spans="1:4" x14ac:dyDescent="0.2">
      <c r="A464" t="str">
        <f>Sheet2!A464</f>
        <v>C125</v>
      </c>
      <c r="B464" t="str">
        <f ca="1">'Query Example'!D464</f>
        <v>LandPlane</v>
      </c>
      <c r="C464" s="11" t="str">
        <f>CONCATENATE(Sheet2!F464,"/",Sheet2!E464)</f>
        <v>3/Piston</v>
      </c>
      <c r="D464" t="str">
        <f>CONCATENATE(Sheet2!B464,", ",Sheet2!C464)</f>
        <v>NORTHROP, C-125 Raider</v>
      </c>
    </row>
    <row r="465" spans="1:4" x14ac:dyDescent="0.2">
      <c r="A465" t="str">
        <f>Sheet2!A465</f>
        <v>C130</v>
      </c>
      <c r="B465" t="str">
        <f ca="1">'Query Example'!D465</f>
        <v>LandPlane</v>
      </c>
      <c r="C465" s="11" t="str">
        <f>CONCATENATE(Sheet2!F465,"/",Sheet2!E465)</f>
        <v>4/Turboprop/Turboshaft</v>
      </c>
      <c r="D465" t="str">
        <f>CONCATENATE(Sheet2!B465,", ",Sheet2!C465)</f>
        <v>LOCKHEED, C-130H Hercules</v>
      </c>
    </row>
    <row r="466" spans="1:4" x14ac:dyDescent="0.2">
      <c r="A466" t="str">
        <f>Sheet2!A466</f>
        <v>C135</v>
      </c>
      <c r="B466" t="str">
        <f ca="1">'Query Example'!D466</f>
        <v>LandPlane</v>
      </c>
      <c r="C466" s="11" t="str">
        <f>CONCATENATE(Sheet2!F466,"/",Sheet2!E466)</f>
        <v>4/Jet</v>
      </c>
      <c r="D466" t="str">
        <f>CONCATENATE(Sheet2!B466,", ",Sheet2!C466)</f>
        <v>BOEING, WC-135</v>
      </c>
    </row>
    <row r="467" spans="1:4" x14ac:dyDescent="0.2">
      <c r="A467" t="str">
        <f>Sheet2!A467</f>
        <v>C140</v>
      </c>
      <c r="B467" t="str">
        <f ca="1">'Query Example'!D467</f>
        <v>LandPlane</v>
      </c>
      <c r="C467" s="11" t="str">
        <f>CONCATENATE(Sheet2!F467,"/",Sheet2!E467)</f>
        <v>1/Piston</v>
      </c>
      <c r="D467" t="str">
        <f>CONCATENATE(Sheet2!B467,", ",Sheet2!C467)</f>
        <v>CESSNA, 140</v>
      </c>
    </row>
    <row r="468" spans="1:4" x14ac:dyDescent="0.2">
      <c r="A468" t="str">
        <f>Sheet2!A468</f>
        <v>C141</v>
      </c>
      <c r="B468" t="str">
        <f ca="1">'Query Example'!D468</f>
        <v>LandPlane</v>
      </c>
      <c r="C468" s="11" t="str">
        <f>CONCATENATE(Sheet2!F468,"/",Sheet2!E468)</f>
        <v>4/Jet</v>
      </c>
      <c r="D468" t="str">
        <f>CONCATENATE(Sheet2!B468,", ",Sheet2!C468)</f>
        <v>LOCKHEED, C-141 Starlifter</v>
      </c>
    </row>
    <row r="469" spans="1:4" x14ac:dyDescent="0.2">
      <c r="A469" t="str">
        <f>Sheet2!A469</f>
        <v>C14T</v>
      </c>
      <c r="B469" t="str">
        <f ca="1">'Query Example'!D469</f>
        <v>LandPlane</v>
      </c>
      <c r="C469" s="11" t="str">
        <f>CONCATENATE(Sheet2!F469,"/",Sheet2!E469)</f>
        <v>2/Turboprop/Turboshaft</v>
      </c>
      <c r="D469" t="str">
        <f>CONCATENATE(Sheet2!B469,", ",Sheet2!C469)</f>
        <v>CESSNA, 414 (turbine)</v>
      </c>
    </row>
    <row r="470" spans="1:4" x14ac:dyDescent="0.2">
      <c r="A470" t="str">
        <f>Sheet2!A470</f>
        <v>C15</v>
      </c>
      <c r="B470" t="str">
        <f ca="1">'Query Example'!D470</f>
        <v>LandPlane</v>
      </c>
      <c r="C470" s="11" t="str">
        <f>CONCATENATE(Sheet2!F470,"/",Sheet2!E470)</f>
        <v>4/Jet</v>
      </c>
      <c r="D470" t="str">
        <f>CONCATENATE(Sheet2!B470,", ",Sheet2!C470)</f>
        <v>MCDONNELL DOUGLAS, YC-15</v>
      </c>
    </row>
    <row r="471" spans="1:4" x14ac:dyDescent="0.2">
      <c r="A471" t="str">
        <f>Sheet2!A471</f>
        <v>C150</v>
      </c>
      <c r="B471" t="str">
        <f ca="1">'Query Example'!D471</f>
        <v>LandPlane</v>
      </c>
      <c r="C471" s="11" t="str">
        <f>CONCATENATE(Sheet2!F471,"/",Sheet2!E471)</f>
        <v>1/Piston</v>
      </c>
      <c r="D471" t="str">
        <f>CONCATENATE(Sheet2!B471,", ",Sheet2!C471)</f>
        <v>CESSNA, A150 Aerobat</v>
      </c>
    </row>
    <row r="472" spans="1:4" x14ac:dyDescent="0.2">
      <c r="A472" t="str">
        <f>Sheet2!A472</f>
        <v>C152</v>
      </c>
      <c r="B472" t="str">
        <f ca="1">'Query Example'!D472</f>
        <v>LandPlane</v>
      </c>
      <c r="C472" s="11" t="str">
        <f>CONCATENATE(Sheet2!F472,"/",Sheet2!E472)</f>
        <v>1/Piston</v>
      </c>
      <c r="D472" t="str">
        <f>CONCATENATE(Sheet2!B472,", ",Sheet2!C472)</f>
        <v>CESSNA, A152 Aerobat</v>
      </c>
    </row>
    <row r="473" spans="1:4" x14ac:dyDescent="0.2">
      <c r="A473" t="str">
        <f>Sheet2!A473</f>
        <v>C160</v>
      </c>
      <c r="B473" t="str">
        <f ca="1">'Query Example'!D473</f>
        <v>LandPlane</v>
      </c>
      <c r="C473" s="11" t="str">
        <f>CONCATENATE(Sheet2!F473,"/",Sheet2!E473)</f>
        <v>2/Turboprop/Turboshaft</v>
      </c>
      <c r="D473" t="str">
        <f>CONCATENATE(Sheet2!B473,", ",Sheet2!C473)</f>
        <v>TRANSALL, C-160</v>
      </c>
    </row>
    <row r="474" spans="1:4" x14ac:dyDescent="0.2">
      <c r="A474" t="str">
        <f>Sheet2!A474</f>
        <v>C162</v>
      </c>
      <c r="B474" t="str">
        <f ca="1">'Query Example'!D474</f>
        <v>LandPlane</v>
      </c>
      <c r="C474" s="11" t="str">
        <f>CONCATENATE(Sheet2!F474,"/",Sheet2!E474)</f>
        <v>1/Piston</v>
      </c>
      <c r="D474" t="str">
        <f>CONCATENATE(Sheet2!B474,", ",Sheet2!C474)</f>
        <v>CESSNA, 162 Skycatcher</v>
      </c>
    </row>
    <row r="475" spans="1:4" x14ac:dyDescent="0.2">
      <c r="A475" t="str">
        <f>Sheet2!A475</f>
        <v>C17</v>
      </c>
      <c r="B475" t="str">
        <f ca="1">'Query Example'!D475</f>
        <v>LandPlane</v>
      </c>
      <c r="C475" s="11" t="str">
        <f>CONCATENATE(Sheet2!F475,"/",Sheet2!E475)</f>
        <v>4/Jet</v>
      </c>
      <c r="D475" t="str">
        <f>CONCATENATE(Sheet2!B475,", ",Sheet2!C475)</f>
        <v>BOEING, C-17 Globemaster 3</v>
      </c>
    </row>
    <row r="476" spans="1:4" x14ac:dyDescent="0.2">
      <c r="A476" t="str">
        <f>Sheet2!A476</f>
        <v>C170</v>
      </c>
      <c r="B476" t="str">
        <f ca="1">'Query Example'!D476</f>
        <v>LandPlane</v>
      </c>
      <c r="C476" s="11" t="str">
        <f>CONCATENATE(Sheet2!F476,"/",Sheet2!E476)</f>
        <v>1/Piston</v>
      </c>
      <c r="D476" t="str">
        <f>CONCATENATE(Sheet2!B476,", ",Sheet2!C476)</f>
        <v>CESSNA, 170</v>
      </c>
    </row>
    <row r="477" spans="1:4" x14ac:dyDescent="0.2">
      <c r="A477" t="str">
        <f>Sheet2!A477</f>
        <v>C172</v>
      </c>
      <c r="B477" t="str">
        <f ca="1">'Query Example'!D477</f>
        <v>LandPlane</v>
      </c>
      <c r="C477" s="11" t="str">
        <f>CONCATENATE(Sheet2!F477,"/",Sheet2!E477)</f>
        <v>1/Piston</v>
      </c>
      <c r="D477" t="str">
        <f>CONCATENATE(Sheet2!B477,", ",Sheet2!C477)</f>
        <v>CESSNA, 172 Skyhawk</v>
      </c>
    </row>
    <row r="478" spans="1:4" x14ac:dyDescent="0.2">
      <c r="A478" t="str">
        <f>Sheet2!A478</f>
        <v>C175</v>
      </c>
      <c r="B478" t="str">
        <f ca="1">'Query Example'!D478</f>
        <v>LandPlane</v>
      </c>
      <c r="C478" s="11" t="str">
        <f>CONCATENATE(Sheet2!F478,"/",Sheet2!E478)</f>
        <v>1/Piston</v>
      </c>
      <c r="D478" t="str">
        <f>CONCATENATE(Sheet2!B478,", ",Sheet2!C478)</f>
        <v>CESSNA, 175 Skylark</v>
      </c>
    </row>
    <row r="479" spans="1:4" x14ac:dyDescent="0.2">
      <c r="A479" t="str">
        <f>Sheet2!A479</f>
        <v>C177</v>
      </c>
      <c r="B479" t="str">
        <f ca="1">'Query Example'!D479</f>
        <v>LandPlane</v>
      </c>
      <c r="C479" s="11" t="str">
        <f>CONCATENATE(Sheet2!F479,"/",Sheet2!E479)</f>
        <v>1/Piston</v>
      </c>
      <c r="D479" t="str">
        <f>CONCATENATE(Sheet2!B479,", ",Sheet2!C479)</f>
        <v>CESSNA, 177 Cardinal</v>
      </c>
    </row>
    <row r="480" spans="1:4" x14ac:dyDescent="0.2">
      <c r="A480" t="str">
        <f>Sheet2!A480</f>
        <v>C180</v>
      </c>
      <c r="B480" t="str">
        <f ca="1">'Query Example'!D480</f>
        <v>LandPlane</v>
      </c>
      <c r="C480" s="11" t="str">
        <f>CONCATENATE(Sheet2!F480,"/",Sheet2!E480)</f>
        <v>1/Piston</v>
      </c>
      <c r="D480" t="str">
        <f>CONCATENATE(Sheet2!B480,", ",Sheet2!C480)</f>
        <v>CESSNA, 180 Skywagon 180</v>
      </c>
    </row>
    <row r="481" spans="1:4" x14ac:dyDescent="0.2">
      <c r="A481" t="str">
        <f>Sheet2!A481</f>
        <v>C182</v>
      </c>
      <c r="B481" t="str">
        <f ca="1">'Query Example'!D481</f>
        <v>LandPlane</v>
      </c>
      <c r="C481" s="11" t="str">
        <f>CONCATENATE(Sheet2!F481,"/",Sheet2!E481)</f>
        <v>1/Piston</v>
      </c>
      <c r="D481" t="str">
        <f>CONCATENATE(Sheet2!B481,", ",Sheet2!C481)</f>
        <v>CESSNA, 182 Skylane</v>
      </c>
    </row>
    <row r="482" spans="1:4" x14ac:dyDescent="0.2">
      <c r="A482" t="str">
        <f>Sheet2!A482</f>
        <v>C185</v>
      </c>
      <c r="B482" t="str">
        <f ca="1">'Query Example'!D482</f>
        <v>LandPlane</v>
      </c>
      <c r="C482" s="11" t="str">
        <f>CONCATENATE(Sheet2!F482,"/",Sheet2!E482)</f>
        <v>1/Piston</v>
      </c>
      <c r="D482" t="str">
        <f>CONCATENATE(Sheet2!B482,", ",Sheet2!C482)</f>
        <v>CESSNA, 185 Skywagon</v>
      </c>
    </row>
    <row r="483" spans="1:4" x14ac:dyDescent="0.2">
      <c r="A483" t="str">
        <f>Sheet2!A483</f>
        <v>C188</v>
      </c>
      <c r="B483" t="str">
        <f ca="1">'Query Example'!D483</f>
        <v>LandPlane</v>
      </c>
      <c r="C483" s="11" t="str">
        <f>CONCATENATE(Sheet2!F483,"/",Sheet2!E483)</f>
        <v>1/Piston</v>
      </c>
      <c r="D483" t="str">
        <f>CONCATENATE(Sheet2!B483,", ",Sheet2!C483)</f>
        <v>CESSNA, 188 AgWagon</v>
      </c>
    </row>
    <row r="484" spans="1:4" x14ac:dyDescent="0.2">
      <c r="A484" t="str">
        <f>Sheet2!A484</f>
        <v>C190</v>
      </c>
      <c r="B484" t="str">
        <f ca="1">'Query Example'!D484</f>
        <v>LandPlane</v>
      </c>
      <c r="C484" s="11" t="str">
        <f>CONCATENATE(Sheet2!F484,"/",Sheet2!E484)</f>
        <v>1/Piston</v>
      </c>
      <c r="D484" t="str">
        <f>CONCATENATE(Sheet2!B484,", ",Sheet2!C484)</f>
        <v>CESSNA, 190</v>
      </c>
    </row>
    <row r="485" spans="1:4" x14ac:dyDescent="0.2">
      <c r="A485" t="str">
        <f>Sheet2!A485</f>
        <v>C195</v>
      </c>
      <c r="B485" t="str">
        <f ca="1">'Query Example'!D485</f>
        <v>LandPlane</v>
      </c>
      <c r="C485" s="11" t="str">
        <f>CONCATENATE(Sheet2!F485,"/",Sheet2!E485)</f>
        <v>1/Piston</v>
      </c>
      <c r="D485" t="str">
        <f>CONCATENATE(Sheet2!B485,", ",Sheet2!C485)</f>
        <v>CESSNA, 195</v>
      </c>
    </row>
    <row r="486" spans="1:4" x14ac:dyDescent="0.2">
      <c r="A486" t="str">
        <f>Sheet2!A486</f>
        <v>C2</v>
      </c>
      <c r="B486" t="str">
        <f ca="1">'Query Example'!D486</f>
        <v>LandPlane</v>
      </c>
      <c r="C486" s="11" t="str">
        <f>CONCATENATE(Sheet2!F486,"/",Sheet2!E486)</f>
        <v>2/Turboprop/Turboshaft</v>
      </c>
      <c r="D486" t="str">
        <f>CONCATENATE(Sheet2!B486,", ",Sheet2!C486)</f>
        <v>GRUMMAN, C-2 Greyhound</v>
      </c>
    </row>
    <row r="487" spans="1:4" x14ac:dyDescent="0.2">
      <c r="A487" t="str">
        <f>Sheet2!A487</f>
        <v>C205</v>
      </c>
      <c r="B487" t="str">
        <f ca="1">'Query Example'!D487</f>
        <v>LandPlane</v>
      </c>
      <c r="C487" s="11" t="str">
        <f>CONCATENATE(Sheet2!F487,"/",Sheet2!E487)</f>
        <v>1/Piston</v>
      </c>
      <c r="D487" t="str">
        <f>CONCATENATE(Sheet2!B487,", ",Sheet2!C487)</f>
        <v>CESSNA, 205</v>
      </c>
    </row>
    <row r="488" spans="1:4" x14ac:dyDescent="0.2">
      <c r="A488" t="str">
        <f>Sheet2!A488</f>
        <v>C206</v>
      </c>
      <c r="B488" t="str">
        <f ca="1">'Query Example'!D488</f>
        <v>LandPlane</v>
      </c>
      <c r="C488" s="11" t="str">
        <f>CONCATENATE(Sheet2!F488,"/",Sheet2!E488)</f>
        <v>1/Piston</v>
      </c>
      <c r="D488" t="str">
        <f>CONCATENATE(Sheet2!B488,", ",Sheet2!C488)</f>
        <v>CESSNA, 206 Stationair</v>
      </c>
    </row>
    <row r="489" spans="1:4" x14ac:dyDescent="0.2">
      <c r="A489" t="str">
        <f>Sheet2!A489</f>
        <v>C207</v>
      </c>
      <c r="B489" t="str">
        <f ca="1">'Query Example'!D489</f>
        <v>LandPlane</v>
      </c>
      <c r="C489" s="11" t="str">
        <f>CONCATENATE(Sheet2!F489,"/",Sheet2!E489)</f>
        <v>1/Piston</v>
      </c>
      <c r="D489" t="str">
        <f>CONCATENATE(Sheet2!B489,", ",Sheet2!C489)</f>
        <v>CESSNA, 207 Stationair 7</v>
      </c>
    </row>
    <row r="490" spans="1:4" x14ac:dyDescent="0.2">
      <c r="A490" t="str">
        <f>Sheet2!A490</f>
        <v>C208</v>
      </c>
      <c r="B490" t="str">
        <f ca="1">'Query Example'!D490</f>
        <v>LandPlane</v>
      </c>
      <c r="C490" s="11" t="str">
        <f>CONCATENATE(Sheet2!F490,"/",Sheet2!E490)</f>
        <v>1/Turboprop/Turboshaft</v>
      </c>
      <c r="D490" t="str">
        <f>CONCATENATE(Sheet2!B490,", ",Sheet2!C490)</f>
        <v>CESSNA, 208 Caravan 1</v>
      </c>
    </row>
    <row r="491" spans="1:4" x14ac:dyDescent="0.2">
      <c r="A491" t="str">
        <f>Sheet2!A491</f>
        <v>C210</v>
      </c>
      <c r="B491" t="str">
        <f ca="1">'Query Example'!D491</f>
        <v>LandPlane</v>
      </c>
      <c r="C491" s="11" t="str">
        <f>CONCATENATE(Sheet2!F491,"/",Sheet2!E491)</f>
        <v>1/Piston</v>
      </c>
      <c r="D491" t="str">
        <f>CONCATENATE(Sheet2!B491,", ",Sheet2!C491)</f>
        <v>CESSNA, 210 Centurion</v>
      </c>
    </row>
    <row r="492" spans="1:4" x14ac:dyDescent="0.2">
      <c r="A492" t="str">
        <f>Sheet2!A492</f>
        <v>C212</v>
      </c>
      <c r="B492" t="str">
        <f ca="1">'Query Example'!D492</f>
        <v>LandPlane</v>
      </c>
      <c r="C492" s="11" t="str">
        <f>CONCATENATE(Sheet2!F492,"/",Sheet2!E492)</f>
        <v>2/Turboprop/Turboshaft</v>
      </c>
      <c r="D492" t="str">
        <f>CONCATENATE(Sheet2!B492,", ",Sheet2!C492)</f>
        <v>CASA, C-212 Aviocar</v>
      </c>
    </row>
    <row r="493" spans="1:4" x14ac:dyDescent="0.2">
      <c r="A493" t="str">
        <f>Sheet2!A493</f>
        <v>C21T</v>
      </c>
      <c r="B493" t="str">
        <f ca="1">'Query Example'!D493</f>
        <v>LandPlane</v>
      </c>
      <c r="C493" s="11" t="str">
        <f>CONCATENATE(Sheet2!F493,"/",Sheet2!E493)</f>
        <v>2/Turboprop/Turboshaft</v>
      </c>
      <c r="D493" t="str">
        <f>CONCATENATE(Sheet2!B493,", ",Sheet2!C493)</f>
        <v>CESSNA, 421 (turbine)</v>
      </c>
    </row>
    <row r="494" spans="1:4" x14ac:dyDescent="0.2">
      <c r="A494" t="str">
        <f>Sheet2!A494</f>
        <v>C22J</v>
      </c>
      <c r="B494" t="str">
        <f ca="1">'Query Example'!D494</f>
        <v>LandPlane</v>
      </c>
      <c r="C494" s="11" t="str">
        <f>CONCATENATE(Sheet2!F494,"/",Sheet2!E494)</f>
        <v>2/Jet</v>
      </c>
      <c r="D494" t="str">
        <f>CONCATENATE(Sheet2!B494,", ",Sheet2!C494)</f>
        <v>CAPRONI VIZZOLA, C-22J Ventura</v>
      </c>
    </row>
    <row r="495" spans="1:4" x14ac:dyDescent="0.2">
      <c r="A495" t="str">
        <f>Sheet2!A495</f>
        <v>C240</v>
      </c>
      <c r="B495" t="str">
        <f ca="1">'Query Example'!D495</f>
        <v>LandPlane</v>
      </c>
      <c r="C495" s="11" t="str">
        <f>CONCATENATE(Sheet2!F495,"/",Sheet2!E495)</f>
        <v>1/Piston</v>
      </c>
      <c r="D495" t="str">
        <f>CONCATENATE(Sheet2!B495,", ",Sheet2!C495)</f>
        <v>CESSNA, T240 Corvalis TTx</v>
      </c>
    </row>
    <row r="496" spans="1:4" x14ac:dyDescent="0.2">
      <c r="A496" t="str">
        <f>Sheet2!A496</f>
        <v>C25A</v>
      </c>
      <c r="B496" t="str">
        <f ca="1">'Query Example'!D496</f>
        <v>LandPlane</v>
      </c>
      <c r="C496" s="11" t="str">
        <f>CONCATENATE(Sheet2!F496,"/",Sheet2!E496)</f>
        <v>2/Jet</v>
      </c>
      <c r="D496" t="str">
        <f>CONCATENATE(Sheet2!B496,", ",Sheet2!C496)</f>
        <v>CESSNA, 525A Citation CJ2</v>
      </c>
    </row>
    <row r="497" spans="1:4" x14ac:dyDescent="0.2">
      <c r="A497" t="str">
        <f>Sheet2!A497</f>
        <v>C25B</v>
      </c>
      <c r="B497" t="str">
        <f ca="1">'Query Example'!D497</f>
        <v>LandPlane</v>
      </c>
      <c r="C497" s="11" t="str">
        <f>CONCATENATE(Sheet2!F497,"/",Sheet2!E497)</f>
        <v>2/Jet</v>
      </c>
      <c r="D497" t="str">
        <f>CONCATENATE(Sheet2!B497,", ",Sheet2!C497)</f>
        <v>CESSNA, 525B Citation CJ3</v>
      </c>
    </row>
    <row r="498" spans="1:4" x14ac:dyDescent="0.2">
      <c r="A498" t="str">
        <f>Sheet2!A498</f>
        <v>C25C</v>
      </c>
      <c r="B498" t="str">
        <f ca="1">'Query Example'!D498</f>
        <v>LandPlane</v>
      </c>
      <c r="C498" s="11" t="str">
        <f>CONCATENATE(Sheet2!F498,"/",Sheet2!E498)</f>
        <v>2/Jet</v>
      </c>
      <c r="D498" t="str">
        <f>CONCATENATE(Sheet2!B498,", ",Sheet2!C498)</f>
        <v>CESSNA, 525C Citation CJ4</v>
      </c>
    </row>
    <row r="499" spans="1:4" x14ac:dyDescent="0.2">
      <c r="A499" t="str">
        <f>Sheet2!A499</f>
        <v>C25M</v>
      </c>
      <c r="B499" t="str">
        <f ca="1">'Query Example'!D499</f>
        <v>LandPlane</v>
      </c>
      <c r="C499" s="11" t="str">
        <f>CONCATENATE(Sheet2!F499,"/",Sheet2!E499)</f>
        <v>2/Jet</v>
      </c>
      <c r="D499" t="str">
        <f>CONCATENATE(Sheet2!B499,", ",Sheet2!C499)</f>
        <v>CESSNA, 525 Citation M2</v>
      </c>
    </row>
    <row r="500" spans="1:4" x14ac:dyDescent="0.2">
      <c r="A500" t="str">
        <f>Sheet2!A500</f>
        <v>C270</v>
      </c>
      <c r="B500" t="str">
        <f ca="1">'Query Example'!D500</f>
        <v>LandPlane</v>
      </c>
      <c r="C500" s="11" t="str">
        <f>CONCATENATE(Sheet2!F500,"/",Sheet2!E500)</f>
        <v>1/Piston</v>
      </c>
      <c r="D500" t="str">
        <f>CONCATENATE(Sheet2!B500,", ",Sheet2!C500)</f>
        <v>CAUDRON, C-270 Luciole</v>
      </c>
    </row>
    <row r="501" spans="1:4" x14ac:dyDescent="0.2">
      <c r="A501" t="str">
        <f>Sheet2!A501</f>
        <v>C27J</v>
      </c>
      <c r="B501" t="str">
        <f ca="1">'Query Example'!D501</f>
        <v>LandPlane</v>
      </c>
      <c r="C501" s="11" t="str">
        <f>CONCATENATE(Sheet2!F501,"/",Sheet2!E501)</f>
        <v>2/Turboprop/Turboshaft</v>
      </c>
      <c r="D501" t="str">
        <f>CONCATENATE(Sheet2!B501,", ",Sheet2!C501)</f>
        <v>ALENIA, C-27J Spartan</v>
      </c>
    </row>
    <row r="502" spans="1:4" x14ac:dyDescent="0.2">
      <c r="A502" t="str">
        <f>Sheet2!A502</f>
        <v>C295</v>
      </c>
      <c r="B502" t="str">
        <f ca="1">'Query Example'!D502</f>
        <v>LandPlane</v>
      </c>
      <c r="C502" s="11" t="str">
        <f>CONCATENATE(Sheet2!F502,"/",Sheet2!E502)</f>
        <v>2/Turboprop/Turboshaft</v>
      </c>
      <c r="D502" t="str">
        <f>CONCATENATE(Sheet2!B502,", ",Sheet2!C502)</f>
        <v>CASA, C-295 Persuader</v>
      </c>
    </row>
    <row r="503" spans="1:4" x14ac:dyDescent="0.2">
      <c r="A503" t="str">
        <f>Sheet2!A503</f>
        <v>C303</v>
      </c>
      <c r="B503" t="str">
        <f ca="1">'Query Example'!D503</f>
        <v>LandPlane</v>
      </c>
      <c r="C503" s="11" t="str">
        <f>CONCATENATE(Sheet2!F503,"/",Sheet2!E503)</f>
        <v>2/Piston</v>
      </c>
      <c r="D503" t="str">
        <f>CONCATENATE(Sheet2!B503,", ",Sheet2!C503)</f>
        <v>CESSNA, T303 Crusader</v>
      </c>
    </row>
    <row r="504" spans="1:4" x14ac:dyDescent="0.2">
      <c r="A504" t="str">
        <f>Sheet2!A504</f>
        <v>C306</v>
      </c>
      <c r="B504" t="str">
        <f ca="1">'Query Example'!D504</f>
        <v>LandPlane</v>
      </c>
      <c r="C504" s="11" t="str">
        <f>CONCATENATE(Sheet2!F504,"/",Sheet2!E504)</f>
        <v>1/Piston</v>
      </c>
      <c r="D504" t="str">
        <f>CONCATENATE(Sheet2!B504,", ",Sheet2!C504)</f>
        <v>CEA-UFMG, CEA-306 CB-10 Triathlon</v>
      </c>
    </row>
    <row r="505" spans="1:4" x14ac:dyDescent="0.2">
      <c r="A505" t="str">
        <f>Sheet2!A505</f>
        <v>C309</v>
      </c>
      <c r="B505" t="str">
        <f ca="1">'Query Example'!D505</f>
        <v>LandPlane</v>
      </c>
      <c r="C505" s="11" t="str">
        <f>CONCATENATE(Sheet2!F505,"/",Sheet2!E505)</f>
        <v>1/Piston</v>
      </c>
      <c r="D505" t="str">
        <f>CONCATENATE(Sheet2!B505,", ",Sheet2!C505)</f>
        <v>CEA-UFMG, CEA-309 Mehari</v>
      </c>
    </row>
    <row r="506" spans="1:4" x14ac:dyDescent="0.2">
      <c r="A506" t="str">
        <f>Sheet2!A506</f>
        <v>C30J</v>
      </c>
      <c r="B506" t="str">
        <f ca="1">'Query Example'!D506</f>
        <v>LandPlane</v>
      </c>
      <c r="C506" s="11" t="str">
        <f>CONCATENATE(Sheet2!F506,"/",Sheet2!E506)</f>
        <v>4/Turboprop/Turboshaft</v>
      </c>
      <c r="D506" t="str">
        <f>CONCATENATE(Sheet2!B506,", ",Sheet2!C506)</f>
        <v>LOCKHEED MARTIN, C-130J Super Hercules</v>
      </c>
    </row>
    <row r="507" spans="1:4" x14ac:dyDescent="0.2">
      <c r="A507" t="str">
        <f>Sheet2!A507</f>
        <v>C310</v>
      </c>
      <c r="B507" t="str">
        <f ca="1">'Query Example'!D507</f>
        <v>LandPlane</v>
      </c>
      <c r="C507" s="11" t="str">
        <f>CONCATENATE(Sheet2!F507,"/",Sheet2!E507)</f>
        <v>2/Piston</v>
      </c>
      <c r="D507" t="str">
        <f>CONCATENATE(Sheet2!B507,", ",Sheet2!C507)</f>
        <v>CESSNA, 310</v>
      </c>
    </row>
    <row r="508" spans="1:4" x14ac:dyDescent="0.2">
      <c r="A508" t="str">
        <f>Sheet2!A508</f>
        <v>C311</v>
      </c>
      <c r="B508" t="str">
        <f ca="1">'Query Example'!D508</f>
        <v>LandPlane</v>
      </c>
      <c r="C508" s="11" t="str">
        <f>CONCATENATE(Sheet2!F508,"/",Sheet2!E508)</f>
        <v>1/Piston</v>
      </c>
      <c r="D508" t="str">
        <f>CONCATENATE(Sheet2!B508,", ",Sheet2!C508)</f>
        <v>CEA-UFMG, CEA-311 Anequim</v>
      </c>
    </row>
    <row r="509" spans="1:4" x14ac:dyDescent="0.2">
      <c r="A509" t="str">
        <f>Sheet2!A509</f>
        <v>C320</v>
      </c>
      <c r="B509" t="str">
        <f ca="1">'Query Example'!D509</f>
        <v>LandPlane</v>
      </c>
      <c r="C509" s="11" t="str">
        <f>CONCATENATE(Sheet2!F509,"/",Sheet2!E509)</f>
        <v>2/Piston</v>
      </c>
      <c r="D509" t="str">
        <f>CONCATENATE(Sheet2!B509,", ",Sheet2!C509)</f>
        <v>CESSNA, 320 Skyknight</v>
      </c>
    </row>
    <row r="510" spans="1:4" x14ac:dyDescent="0.2">
      <c r="A510" t="str">
        <f>Sheet2!A510</f>
        <v>C335</v>
      </c>
      <c r="B510" t="str">
        <f ca="1">'Query Example'!D510</f>
        <v>LandPlane</v>
      </c>
      <c r="C510" s="11" t="str">
        <f>CONCATENATE(Sheet2!F510,"/",Sheet2!E510)</f>
        <v>2/Piston</v>
      </c>
      <c r="D510" t="str">
        <f>CONCATENATE(Sheet2!B510,", ",Sheet2!C510)</f>
        <v>CESSNA, 335</v>
      </c>
    </row>
    <row r="511" spans="1:4" x14ac:dyDescent="0.2">
      <c r="A511" t="str">
        <f>Sheet2!A511</f>
        <v>C336</v>
      </c>
      <c r="B511" t="str">
        <f ca="1">'Query Example'!D511</f>
        <v>LandPlane</v>
      </c>
      <c r="C511" s="11" t="str">
        <f>CONCATENATE(Sheet2!F511,"/",Sheet2!E511)</f>
        <v>2/Piston</v>
      </c>
      <c r="D511" t="str">
        <f>CONCATENATE(Sheet2!B511,", ",Sheet2!C511)</f>
        <v>CESSNA, 336 Skymaster</v>
      </c>
    </row>
    <row r="512" spans="1:4" x14ac:dyDescent="0.2">
      <c r="A512" t="str">
        <f>Sheet2!A512</f>
        <v>C337</v>
      </c>
      <c r="B512" t="str">
        <f ca="1">'Query Example'!D512</f>
        <v>LandPlane</v>
      </c>
      <c r="C512" s="11" t="str">
        <f>CONCATENATE(Sheet2!F512,"/",Sheet2!E512)</f>
        <v>2/Piston</v>
      </c>
      <c r="D512" t="str">
        <f>CONCATENATE(Sheet2!B512,", ",Sheet2!C512)</f>
        <v>CESSNA, 337 Super Skymaster</v>
      </c>
    </row>
    <row r="513" spans="1:4" x14ac:dyDescent="0.2">
      <c r="A513" t="str">
        <f>Sheet2!A513</f>
        <v>C340</v>
      </c>
      <c r="B513" t="str">
        <f ca="1">'Query Example'!D513</f>
        <v>LandPlane</v>
      </c>
      <c r="C513" s="11" t="str">
        <f>CONCATENATE(Sheet2!F513,"/",Sheet2!E513)</f>
        <v>2/Piston</v>
      </c>
      <c r="D513" t="str">
        <f>CONCATENATE(Sheet2!B513,", ",Sheet2!C513)</f>
        <v>CESSNA, 340</v>
      </c>
    </row>
    <row r="514" spans="1:4" x14ac:dyDescent="0.2">
      <c r="A514" t="str">
        <f>Sheet2!A514</f>
        <v>C365</v>
      </c>
      <c r="B514" t="str">
        <f ca="1">'Query Example'!D514</f>
        <v>LandPlane</v>
      </c>
      <c r="C514" s="11" t="str">
        <f>CONCATENATE(Sheet2!F514,"/",Sheet2!E514)</f>
        <v>1/Turboprop/Turboshaft</v>
      </c>
      <c r="D514" t="str">
        <f>CONCATENATE(Sheet2!B514,", ",Sheet2!C514)</f>
        <v>EKW, C-3605</v>
      </c>
    </row>
    <row r="515" spans="1:4" x14ac:dyDescent="0.2">
      <c r="A515" t="str">
        <f>Sheet2!A515</f>
        <v>C402</v>
      </c>
      <c r="B515" t="str">
        <f ca="1">'Query Example'!D515</f>
        <v>LandPlane</v>
      </c>
      <c r="C515" s="11" t="str">
        <f>CONCATENATE(Sheet2!F515,"/",Sheet2!E515)</f>
        <v>2/Piston</v>
      </c>
      <c r="D515" t="str">
        <f>CONCATENATE(Sheet2!B515,", ",Sheet2!C515)</f>
        <v>CESSNA, 402 Businessliner</v>
      </c>
    </row>
    <row r="516" spans="1:4" x14ac:dyDescent="0.2">
      <c r="A516" t="str">
        <f>Sheet2!A516</f>
        <v>C404</v>
      </c>
      <c r="B516" t="str">
        <f ca="1">'Query Example'!D516</f>
        <v>LandPlane</v>
      </c>
      <c r="C516" s="11" t="str">
        <f>CONCATENATE(Sheet2!F516,"/",Sheet2!E516)</f>
        <v>2/Piston</v>
      </c>
      <c r="D516" t="str">
        <f>CONCATENATE(Sheet2!B516,", ",Sheet2!C516)</f>
        <v>CESSNA, 404 Titan</v>
      </c>
    </row>
    <row r="517" spans="1:4" x14ac:dyDescent="0.2">
      <c r="A517" t="str">
        <f>Sheet2!A517</f>
        <v>C408</v>
      </c>
      <c r="B517" t="str">
        <f ca="1">'Query Example'!D517</f>
        <v>LandPlane</v>
      </c>
      <c r="C517" s="11" t="str">
        <f>CONCATENATE(Sheet2!F517,"/",Sheet2!E517)</f>
        <v>2/Turboprop/Turboshaft</v>
      </c>
      <c r="D517" t="str">
        <f>CONCATENATE(Sheet2!B517,", ",Sheet2!C517)</f>
        <v>CESSNA, 408 SkyCourier</v>
      </c>
    </row>
    <row r="518" spans="1:4" x14ac:dyDescent="0.2">
      <c r="A518" t="str">
        <f>Sheet2!A518</f>
        <v>C411</v>
      </c>
      <c r="B518" t="str">
        <f ca="1">'Query Example'!D518</f>
        <v>LandPlane</v>
      </c>
      <c r="C518" s="11" t="str">
        <f>CONCATENATE(Sheet2!F518,"/",Sheet2!E518)</f>
        <v>2/Piston</v>
      </c>
      <c r="D518" t="str">
        <f>CONCATENATE(Sheet2!B518,", ",Sheet2!C518)</f>
        <v>CESSNA, 411</v>
      </c>
    </row>
    <row r="519" spans="1:4" x14ac:dyDescent="0.2">
      <c r="A519" t="str">
        <f>Sheet2!A519</f>
        <v>C414</v>
      </c>
      <c r="B519" t="str">
        <f ca="1">'Query Example'!D519</f>
        <v>LandPlane</v>
      </c>
      <c r="C519" s="11" t="str">
        <f>CONCATENATE(Sheet2!F519,"/",Sheet2!E519)</f>
        <v>2/Piston</v>
      </c>
      <c r="D519" t="str">
        <f>CONCATENATE(Sheet2!B519,", ",Sheet2!C519)</f>
        <v>CESSNA, 414 Chancellor</v>
      </c>
    </row>
    <row r="520" spans="1:4" x14ac:dyDescent="0.2">
      <c r="A520" t="str">
        <f>Sheet2!A520</f>
        <v>C42</v>
      </c>
      <c r="B520" t="str">
        <f ca="1">'Query Example'!D520</f>
        <v>LandPlane</v>
      </c>
      <c r="C520" s="11" t="str">
        <f>CONCATENATE(Sheet2!F520,"/",Sheet2!E520)</f>
        <v>1/Piston</v>
      </c>
      <c r="D520" t="str">
        <f>CONCATENATE(Sheet2!B520,", ",Sheet2!C520)</f>
        <v>IKARUS, C-42 Bison</v>
      </c>
    </row>
    <row r="521" spans="1:4" x14ac:dyDescent="0.2">
      <c r="A521" t="str">
        <f>Sheet2!A521</f>
        <v>C421</v>
      </c>
      <c r="B521" t="str">
        <f ca="1">'Query Example'!D521</f>
        <v>LandPlane</v>
      </c>
      <c r="C521" s="11" t="str">
        <f>CONCATENATE(Sheet2!F521,"/",Sheet2!E521)</f>
        <v>2/Piston</v>
      </c>
      <c r="D521" t="str">
        <f>CONCATENATE(Sheet2!B521,", ",Sheet2!C521)</f>
        <v>CESSNA, 421 Executive Commuter</v>
      </c>
    </row>
    <row r="522" spans="1:4" x14ac:dyDescent="0.2">
      <c r="A522" t="str">
        <f>Sheet2!A522</f>
        <v>C425</v>
      </c>
      <c r="B522" t="str">
        <f ca="1">'Query Example'!D522</f>
        <v>LandPlane</v>
      </c>
      <c r="C522" s="11" t="str">
        <f>CONCATENATE(Sheet2!F522,"/",Sheet2!E522)</f>
        <v>2/Turboprop/Turboshaft</v>
      </c>
      <c r="D522" t="str">
        <f>CONCATENATE(Sheet2!B522,", ",Sheet2!C522)</f>
        <v>CESSNA, 425 Conquest 1</v>
      </c>
    </row>
    <row r="523" spans="1:4" x14ac:dyDescent="0.2">
      <c r="A523" t="str">
        <f>Sheet2!A523</f>
        <v>C441</v>
      </c>
      <c r="B523" t="str">
        <f ca="1">'Query Example'!D523</f>
        <v>LandPlane</v>
      </c>
      <c r="C523" s="11" t="str">
        <f>CONCATENATE(Sheet2!F523,"/",Sheet2!E523)</f>
        <v>2/Turboprop/Turboshaft</v>
      </c>
      <c r="D523" t="str">
        <f>CONCATENATE(Sheet2!B523,", ",Sheet2!C523)</f>
        <v>CESSNA, 441 Conquest 2</v>
      </c>
    </row>
    <row r="524" spans="1:4" x14ac:dyDescent="0.2">
      <c r="A524" t="str">
        <f>Sheet2!A524</f>
        <v>C46</v>
      </c>
      <c r="B524" t="str">
        <f ca="1">'Query Example'!D524</f>
        <v>LandPlane</v>
      </c>
      <c r="C524" s="11" t="str">
        <f>CONCATENATE(Sheet2!F524,"/",Sheet2!E524)</f>
        <v>2/Piston</v>
      </c>
      <c r="D524" t="str">
        <f>CONCATENATE(Sheet2!B524,", ",Sheet2!C524)</f>
        <v>CURTISS, C-46 Commando</v>
      </c>
    </row>
    <row r="525" spans="1:4" x14ac:dyDescent="0.2">
      <c r="A525" t="str">
        <f>Sheet2!A525</f>
        <v>C500</v>
      </c>
      <c r="B525" t="str">
        <f ca="1">'Query Example'!D525</f>
        <v>LandPlane</v>
      </c>
      <c r="C525" s="11" t="str">
        <f>CONCATENATE(Sheet2!F525,"/",Sheet2!E525)</f>
        <v>2/Jet</v>
      </c>
      <c r="D525" t="str">
        <f>CONCATENATE(Sheet2!B525,", ",Sheet2!C525)</f>
        <v>CESSNA, 500 Citation 1</v>
      </c>
    </row>
    <row r="526" spans="1:4" x14ac:dyDescent="0.2">
      <c r="A526" t="str">
        <f>Sheet2!A526</f>
        <v>C501</v>
      </c>
      <c r="B526" t="str">
        <f ca="1">'Query Example'!D526</f>
        <v>LandPlane</v>
      </c>
      <c r="C526" s="11" t="str">
        <f>CONCATENATE(Sheet2!F526,"/",Sheet2!E526)</f>
        <v>2/Jet</v>
      </c>
      <c r="D526" t="str">
        <f>CONCATENATE(Sheet2!B526,", ",Sheet2!C526)</f>
        <v>CESSNA, 501 Citation 1SP</v>
      </c>
    </row>
    <row r="527" spans="1:4" x14ac:dyDescent="0.2">
      <c r="A527" t="str">
        <f>Sheet2!A527</f>
        <v>C510</v>
      </c>
      <c r="B527" t="str">
        <f ca="1">'Query Example'!D527</f>
        <v>LandPlane</v>
      </c>
      <c r="C527" s="11" t="str">
        <f>CONCATENATE(Sheet2!F527,"/",Sheet2!E527)</f>
        <v>2/Jet</v>
      </c>
      <c r="D527" t="str">
        <f>CONCATENATE(Sheet2!B527,", ",Sheet2!C527)</f>
        <v>CESSNA, 510 Citation Mustang</v>
      </c>
    </row>
    <row r="528" spans="1:4" x14ac:dyDescent="0.2">
      <c r="A528" t="str">
        <f>Sheet2!A528</f>
        <v>C525</v>
      </c>
      <c r="B528" t="str">
        <f ca="1">'Query Example'!D528</f>
        <v>LandPlane</v>
      </c>
      <c r="C528" s="11" t="str">
        <f>CONCATENATE(Sheet2!F528,"/",Sheet2!E528)</f>
        <v>2/Jet</v>
      </c>
      <c r="D528" t="str">
        <f>CONCATENATE(Sheet2!B528,", ",Sheet2!C528)</f>
        <v>CESSNA, 525 Citation CJ1</v>
      </c>
    </row>
    <row r="529" spans="1:4" x14ac:dyDescent="0.2">
      <c r="A529" t="str">
        <f>Sheet2!A529</f>
        <v>C526</v>
      </c>
      <c r="B529" t="str">
        <f ca="1">'Query Example'!D529</f>
        <v>LandPlane</v>
      </c>
      <c r="C529" s="11" t="str">
        <f>CONCATENATE(Sheet2!F529,"/",Sheet2!E529)</f>
        <v>2/Jet</v>
      </c>
      <c r="D529" t="str">
        <f>CONCATENATE(Sheet2!B529,", ",Sheet2!C529)</f>
        <v>CESSNA, 526 CitationJet</v>
      </c>
    </row>
    <row r="530" spans="1:4" x14ac:dyDescent="0.2">
      <c r="A530" t="str">
        <f>Sheet2!A530</f>
        <v>C550</v>
      </c>
      <c r="B530" t="str">
        <f ca="1">'Query Example'!D530</f>
        <v>LandPlane</v>
      </c>
      <c r="C530" s="11" t="str">
        <f>CONCATENATE(Sheet2!F530,"/",Sheet2!E530)</f>
        <v>2/Jet</v>
      </c>
      <c r="D530" t="str">
        <f>CONCATENATE(Sheet2!B530,", ",Sheet2!C530)</f>
        <v>CESSNA, 550 Citation 2</v>
      </c>
    </row>
    <row r="531" spans="1:4" x14ac:dyDescent="0.2">
      <c r="A531" t="str">
        <f>Sheet2!A531</f>
        <v>C551</v>
      </c>
      <c r="B531" t="str">
        <f ca="1">'Query Example'!D531</f>
        <v>LandPlane</v>
      </c>
      <c r="C531" s="11" t="str">
        <f>CONCATENATE(Sheet2!F531,"/",Sheet2!E531)</f>
        <v>2/Jet</v>
      </c>
      <c r="D531" t="str">
        <f>CONCATENATE(Sheet2!B531,", ",Sheet2!C531)</f>
        <v>CESSNA, 551 Citation 2SP</v>
      </c>
    </row>
    <row r="532" spans="1:4" x14ac:dyDescent="0.2">
      <c r="A532" t="str">
        <f>Sheet2!A532</f>
        <v>C55B</v>
      </c>
      <c r="B532" t="str">
        <f ca="1">'Query Example'!D532</f>
        <v>LandPlane</v>
      </c>
      <c r="C532" s="11" t="str">
        <f>CONCATENATE(Sheet2!F532,"/",Sheet2!E532)</f>
        <v>2/Jet</v>
      </c>
      <c r="D532" t="str">
        <f>CONCATENATE(Sheet2!B532,", ",Sheet2!C532)</f>
        <v>CESSNA, 550B Citation Bravo</v>
      </c>
    </row>
    <row r="533" spans="1:4" x14ac:dyDescent="0.2">
      <c r="A533" t="str">
        <f>Sheet2!A533</f>
        <v>C560</v>
      </c>
      <c r="B533" t="str">
        <f ca="1">'Query Example'!D533</f>
        <v>LandPlane</v>
      </c>
      <c r="C533" s="11" t="str">
        <f>CONCATENATE(Sheet2!F533,"/",Sheet2!E533)</f>
        <v>2/Jet</v>
      </c>
      <c r="D533" t="str">
        <f>CONCATENATE(Sheet2!B533,", ",Sheet2!C533)</f>
        <v>CESSNA, 560 Citation 5</v>
      </c>
    </row>
    <row r="534" spans="1:4" x14ac:dyDescent="0.2">
      <c r="A534" t="str">
        <f>Sheet2!A534</f>
        <v>C56X</v>
      </c>
      <c r="B534" t="str">
        <f ca="1">'Query Example'!D534</f>
        <v>LandPlane</v>
      </c>
      <c r="C534" s="11" t="str">
        <f>CONCATENATE(Sheet2!F534,"/",Sheet2!E534)</f>
        <v>2/Jet</v>
      </c>
      <c r="D534" t="str">
        <f>CONCATENATE(Sheet2!B534,", ",Sheet2!C534)</f>
        <v>CESSNA, 560XL Citation XLS</v>
      </c>
    </row>
    <row r="535" spans="1:4" x14ac:dyDescent="0.2">
      <c r="A535" t="str">
        <f>Sheet2!A535</f>
        <v>C5M</v>
      </c>
      <c r="B535" t="str">
        <f ca="1">'Query Example'!D535</f>
        <v>LandPlane</v>
      </c>
      <c r="C535" s="11" t="str">
        <f>CONCATENATE(Sheet2!F535,"/",Sheet2!E535)</f>
        <v>4/Jet</v>
      </c>
      <c r="D535" t="str">
        <f>CONCATENATE(Sheet2!B535,", ",Sheet2!C535)</f>
        <v>LOCKHEED, C-5 Super Galaxy</v>
      </c>
    </row>
    <row r="536" spans="1:4" x14ac:dyDescent="0.2">
      <c r="A536" t="str">
        <f>Sheet2!A536</f>
        <v>C650</v>
      </c>
      <c r="B536" t="str">
        <f ca="1">'Query Example'!D536</f>
        <v>LandPlane</v>
      </c>
      <c r="C536" s="11" t="str">
        <f>CONCATENATE(Sheet2!F536,"/",Sheet2!E536)</f>
        <v>2/Jet</v>
      </c>
      <c r="D536" t="str">
        <f>CONCATENATE(Sheet2!B536,", ",Sheet2!C536)</f>
        <v>CESSNA, 650 Citation 7</v>
      </c>
    </row>
    <row r="537" spans="1:4" x14ac:dyDescent="0.2">
      <c r="A537" t="str">
        <f>Sheet2!A537</f>
        <v>C680</v>
      </c>
      <c r="B537" t="str">
        <f ca="1">'Query Example'!D537</f>
        <v>LandPlane</v>
      </c>
      <c r="C537" s="11" t="str">
        <f>CONCATENATE(Sheet2!F537,"/",Sheet2!E537)</f>
        <v>2/Jet</v>
      </c>
      <c r="D537" t="str">
        <f>CONCATENATE(Sheet2!B537,", ",Sheet2!C537)</f>
        <v>CESSNA, 680 Citation Sovereign</v>
      </c>
    </row>
    <row r="538" spans="1:4" x14ac:dyDescent="0.2">
      <c r="A538" t="str">
        <f>Sheet2!A538</f>
        <v>C68A</v>
      </c>
      <c r="B538" t="str">
        <f ca="1">'Query Example'!D538</f>
        <v>LandPlane</v>
      </c>
      <c r="C538" s="11" t="str">
        <f>CONCATENATE(Sheet2!F538,"/",Sheet2!E538)</f>
        <v>2/Jet</v>
      </c>
      <c r="D538" t="str">
        <f>CONCATENATE(Sheet2!B538,", ",Sheet2!C538)</f>
        <v>CESSNA, 680A Citation Latitude</v>
      </c>
    </row>
    <row r="539" spans="1:4" x14ac:dyDescent="0.2">
      <c r="A539" t="str">
        <f>Sheet2!A539</f>
        <v>C700</v>
      </c>
      <c r="B539" t="str">
        <f ca="1">'Query Example'!D539</f>
        <v>LandPlane</v>
      </c>
      <c r="C539" s="11" t="str">
        <f>CONCATENATE(Sheet2!F539,"/",Sheet2!E539)</f>
        <v>2/Jet</v>
      </c>
      <c r="D539" t="str">
        <f>CONCATENATE(Sheet2!B539,", ",Sheet2!C539)</f>
        <v>CESSNA, 700 Citation Longitude</v>
      </c>
    </row>
    <row r="540" spans="1:4" x14ac:dyDescent="0.2">
      <c r="A540" t="str">
        <f>Sheet2!A540</f>
        <v>C72R</v>
      </c>
      <c r="B540" t="str">
        <f ca="1">'Query Example'!D540</f>
        <v>LandPlane</v>
      </c>
      <c r="C540" s="11" t="str">
        <f>CONCATENATE(Sheet2!F540,"/",Sheet2!E540)</f>
        <v>1/Piston</v>
      </c>
      <c r="D540" t="str">
        <f>CONCATENATE(Sheet2!B540,", ",Sheet2!C540)</f>
        <v>CESSNA, 172RG Cutlass RG</v>
      </c>
    </row>
    <row r="541" spans="1:4" x14ac:dyDescent="0.2">
      <c r="A541" t="str">
        <f>Sheet2!A541</f>
        <v>C750</v>
      </c>
      <c r="B541" t="str">
        <f ca="1">'Query Example'!D541</f>
        <v>LandPlane</v>
      </c>
      <c r="C541" s="11" t="str">
        <f>CONCATENATE(Sheet2!F541,"/",Sheet2!E541)</f>
        <v>2/Jet</v>
      </c>
      <c r="D541" t="str">
        <f>CONCATENATE(Sheet2!B541,", ",Sheet2!C541)</f>
        <v>CESSNA, 750 Citation 10</v>
      </c>
    </row>
    <row r="542" spans="1:4" x14ac:dyDescent="0.2">
      <c r="A542" t="str">
        <f>Sheet2!A542</f>
        <v>C77R</v>
      </c>
      <c r="B542" t="str">
        <f ca="1">'Query Example'!D542</f>
        <v>LandPlane</v>
      </c>
      <c r="C542" s="11" t="str">
        <f>CONCATENATE(Sheet2!F542,"/",Sheet2!E542)</f>
        <v>1/Piston</v>
      </c>
      <c r="D542" t="str">
        <f>CONCATENATE(Sheet2!B542,", ",Sheet2!C542)</f>
        <v>CESSNA, 177RG Cardinal RG</v>
      </c>
    </row>
    <row r="543" spans="1:4" x14ac:dyDescent="0.2">
      <c r="A543" t="str">
        <f>Sheet2!A543</f>
        <v>C82</v>
      </c>
      <c r="B543" t="str">
        <f ca="1">'Query Example'!D543</f>
        <v>LandPlane</v>
      </c>
      <c r="C543" s="11" t="str">
        <f>CONCATENATE(Sheet2!F543,"/",Sheet2!E543)</f>
        <v>2/Piston</v>
      </c>
      <c r="D543" t="str">
        <f>CONCATENATE(Sheet2!B543,", ",Sheet2!C543)</f>
        <v>FAIRCHILD (1), C-82 Packet</v>
      </c>
    </row>
    <row r="544" spans="1:4" x14ac:dyDescent="0.2">
      <c r="A544" t="str">
        <f>Sheet2!A544</f>
        <v>C82R</v>
      </c>
      <c r="B544" t="str">
        <f ca="1">'Query Example'!D544</f>
        <v>LandPlane</v>
      </c>
      <c r="C544" s="11" t="str">
        <f>CONCATENATE(Sheet2!F544,"/",Sheet2!E544)</f>
        <v>1/Piston</v>
      </c>
      <c r="D544" t="str">
        <f>CONCATENATE(Sheet2!B544,", ",Sheet2!C544)</f>
        <v>CESSNA, R182 Skylane RG</v>
      </c>
    </row>
    <row r="545" spans="1:4" x14ac:dyDescent="0.2">
      <c r="A545" t="str">
        <f>Sheet2!A545</f>
        <v>C82S</v>
      </c>
      <c r="B545" t="str">
        <f ca="1">'Query Example'!D545</f>
        <v>LandPlane</v>
      </c>
      <c r="C545" s="11" t="str">
        <f>CONCATENATE(Sheet2!F545,"/",Sheet2!E545)</f>
        <v>1/Piston</v>
      </c>
      <c r="D545" t="str">
        <f>CONCATENATE(Sheet2!B545,", ",Sheet2!C545)</f>
        <v>CESSNA, T182 Turbo Skylane</v>
      </c>
    </row>
    <row r="546" spans="1:4" x14ac:dyDescent="0.2">
      <c r="A546" t="str">
        <f>Sheet2!A546</f>
        <v>C82T</v>
      </c>
      <c r="B546" t="str">
        <f ca="1">'Query Example'!D546</f>
        <v>LandPlane</v>
      </c>
      <c r="C546" s="11" t="str">
        <f>CONCATENATE(Sheet2!F546,"/",Sheet2!E546)</f>
        <v>1/Piston</v>
      </c>
      <c r="D546" t="str">
        <f>CONCATENATE(Sheet2!B546,", ",Sheet2!C546)</f>
        <v>CESSNA, TR182 Turbo Skylane RG</v>
      </c>
    </row>
    <row r="547" spans="1:4" x14ac:dyDescent="0.2">
      <c r="A547" t="str">
        <f>Sheet2!A547</f>
        <v>C919</v>
      </c>
      <c r="B547" t="str">
        <f ca="1">'Query Example'!D547</f>
        <v>LandPlane</v>
      </c>
      <c r="C547" s="11" t="str">
        <f>CONCATENATE(Sheet2!F547,"/",Sheet2!E547)</f>
        <v>2/Jet</v>
      </c>
      <c r="D547" t="str">
        <f>CONCATENATE(Sheet2!B547,", ",Sheet2!C547)</f>
        <v>COMAC, C-919</v>
      </c>
    </row>
    <row r="548" spans="1:4" x14ac:dyDescent="0.2">
      <c r="A548" t="str">
        <f>Sheet2!A548</f>
        <v>C97</v>
      </c>
      <c r="B548" t="str">
        <f ca="1">'Query Example'!D548</f>
        <v>LandPlane</v>
      </c>
      <c r="C548" s="11" t="str">
        <f>CONCATENATE(Sheet2!F548,"/",Sheet2!E548)</f>
        <v>4/Piston</v>
      </c>
      <c r="D548" t="str">
        <f>CONCATENATE(Sheet2!B548,", ",Sheet2!C548)</f>
        <v>BOEING, C-97 Stratofreighter</v>
      </c>
    </row>
    <row r="549" spans="1:4" x14ac:dyDescent="0.2">
      <c r="A549" t="str">
        <f>Sheet2!A549</f>
        <v>CA12</v>
      </c>
      <c r="B549" t="str">
        <f ca="1">'Query Example'!D549</f>
        <v>LandPlane</v>
      </c>
      <c r="C549" s="11" t="str">
        <f>CONCATENATE(Sheet2!F549,"/",Sheet2!E549)</f>
        <v>1/Turboprop/Turboshaft</v>
      </c>
      <c r="D549" t="str">
        <f>CONCATENATE(Sheet2!B549,", ",Sheet2!C549)</f>
        <v>COMP AIR, CA-12 Comp Air 12</v>
      </c>
    </row>
    <row r="550" spans="1:4" x14ac:dyDescent="0.2">
      <c r="A550" t="str">
        <f>Sheet2!A550</f>
        <v>CA19</v>
      </c>
      <c r="B550" t="str">
        <f ca="1">'Query Example'!D550</f>
        <v>LandPlane</v>
      </c>
      <c r="C550" s="11" t="str">
        <f>CONCATENATE(Sheet2!F550,"/",Sheet2!E550)</f>
        <v>1/Piston</v>
      </c>
      <c r="D550" t="str">
        <f>CONCATENATE(Sheet2!B550,", ",Sheet2!C550)</f>
        <v>COMMONWEALTH (1), CA-19 Boomerang</v>
      </c>
    </row>
    <row r="551" spans="1:4" x14ac:dyDescent="0.2">
      <c r="A551" t="str">
        <f>Sheet2!A551</f>
        <v>CA1P</v>
      </c>
      <c r="B551" t="str">
        <f ca="1">'Query Example'!D551</f>
        <v>LandPlane</v>
      </c>
      <c r="C551" s="11" t="str">
        <f>CONCATENATE(Sheet2!F551,"/",Sheet2!E551)</f>
        <v>1/Piston</v>
      </c>
      <c r="D551" t="str">
        <f>CONCATENATE(Sheet2!B551,", ",Sheet2!C551)</f>
        <v>AEROCOMP, CA-10 Comp Air 10</v>
      </c>
    </row>
    <row r="552" spans="1:4" x14ac:dyDescent="0.2">
      <c r="A552" t="str">
        <f>Sheet2!A552</f>
        <v>CA1T</v>
      </c>
      <c r="B552" t="str">
        <f ca="1">'Query Example'!D552</f>
        <v>LandPlane</v>
      </c>
      <c r="C552" s="11" t="str">
        <f>CONCATENATE(Sheet2!F552,"/",Sheet2!E552)</f>
        <v>1/Turboprop/Turboshaft</v>
      </c>
      <c r="D552" t="str">
        <f>CONCATENATE(Sheet2!B552,", ",Sheet2!C552)</f>
        <v>AEROCOMP, CA-10T  Comp Air 10T</v>
      </c>
    </row>
    <row r="553" spans="1:4" x14ac:dyDescent="0.2">
      <c r="A553" t="str">
        <f>Sheet2!A553</f>
        <v>CA25</v>
      </c>
      <c r="B553" t="str">
        <f ca="1">'Query Example'!D553</f>
        <v>LandPlane</v>
      </c>
      <c r="C553" s="11" t="str">
        <f>CONCATENATE(Sheet2!F553,"/",Sheet2!E553)</f>
        <v>1/Piston</v>
      </c>
      <c r="D553" t="str">
        <f>CONCATENATE(Sheet2!B553,", ",Sheet2!C553)</f>
        <v>COMMONWEALTH (1), CA-25 Winjeel</v>
      </c>
    </row>
    <row r="554" spans="1:4" x14ac:dyDescent="0.2">
      <c r="A554" t="str">
        <f>Sheet2!A554</f>
        <v>CA3</v>
      </c>
      <c r="B554" t="str">
        <f ca="1">'Query Example'!D554</f>
        <v>LandPlane</v>
      </c>
      <c r="C554" s="11" t="str">
        <f>CONCATENATE(Sheet2!F554,"/",Sheet2!E554)</f>
        <v>1/Piston</v>
      </c>
      <c r="D554" t="str">
        <f>CONCATENATE(Sheet2!B554,", ",Sheet2!C554)</f>
        <v>AEROCOMP, CA-3 Comp Air 3</v>
      </c>
    </row>
    <row r="555" spans="1:4" x14ac:dyDescent="0.2">
      <c r="A555" t="str">
        <f>Sheet2!A555</f>
        <v>CA4</v>
      </c>
      <c r="B555" t="str">
        <f ca="1">'Query Example'!D555</f>
        <v>LandPlane</v>
      </c>
      <c r="C555" s="11" t="str">
        <f>CONCATENATE(Sheet2!F555,"/",Sheet2!E555)</f>
        <v>1/Piston</v>
      </c>
      <c r="D555" t="str">
        <f>CONCATENATE(Sheet2!B555,", ",Sheet2!C555)</f>
        <v>AEROCOMP, CA-4 Comp Air 4</v>
      </c>
    </row>
    <row r="556" spans="1:4" x14ac:dyDescent="0.2">
      <c r="A556" t="str">
        <f>Sheet2!A556</f>
        <v>CA41</v>
      </c>
      <c r="B556" t="str">
        <f ca="1">'Query Example'!D556</f>
        <v>LandPlane</v>
      </c>
      <c r="C556" s="11" t="str">
        <f>CONCATENATE(Sheet2!F556,"/",Sheet2!E556)</f>
        <v>1/Piston</v>
      </c>
      <c r="D556" t="str">
        <f>CONCATENATE(Sheet2!B556,", ",Sheet2!C556)</f>
        <v>CORVUS, CA-41 Racer</v>
      </c>
    </row>
    <row r="557" spans="1:4" x14ac:dyDescent="0.2">
      <c r="A557" t="str">
        <f>Sheet2!A557</f>
        <v>CA6</v>
      </c>
      <c r="B557" t="str">
        <f ca="1">'Query Example'!D557</f>
        <v>LandPlane</v>
      </c>
      <c r="C557" s="11" t="str">
        <f>CONCATENATE(Sheet2!F557,"/",Sheet2!E557)</f>
        <v>1/Piston</v>
      </c>
      <c r="D557" t="str">
        <f>CONCATENATE(Sheet2!B557,", ",Sheet2!C557)</f>
        <v>AEROCOMP, CA-6 Comp Air 6</v>
      </c>
    </row>
    <row r="558" spans="1:4" x14ac:dyDescent="0.2">
      <c r="A558" t="str">
        <f>Sheet2!A558</f>
        <v>CA61</v>
      </c>
      <c r="B558" t="str">
        <f ca="1">'Query Example'!D558</f>
        <v>LandPlane</v>
      </c>
      <c r="C558" s="11" t="str">
        <f>CONCATENATE(Sheet2!F558,"/",Sheet2!E558)</f>
        <v>1/Piston</v>
      </c>
      <c r="D558" t="str">
        <f>CONCATENATE(Sheet2!B558,", ",Sheet2!C558)</f>
        <v>CVJETKOVIC, CA-61 Mini Ace</v>
      </c>
    </row>
    <row r="559" spans="1:4" x14ac:dyDescent="0.2">
      <c r="A559" t="str">
        <f>Sheet2!A559</f>
        <v>CA65</v>
      </c>
      <c r="B559" t="str">
        <f ca="1">'Query Example'!D559</f>
        <v>LandPlane</v>
      </c>
      <c r="C559" s="11" t="str">
        <f>CONCATENATE(Sheet2!F559,"/",Sheet2!E559)</f>
        <v>1/Piston</v>
      </c>
      <c r="D559" t="str">
        <f>CONCATENATE(Sheet2!B559,", ",Sheet2!C559)</f>
        <v>CVJETKOVIC, CA-65 Skyfly</v>
      </c>
    </row>
    <row r="560" spans="1:4" x14ac:dyDescent="0.2">
      <c r="A560" t="str">
        <f>Sheet2!A560</f>
        <v>CA7P</v>
      </c>
      <c r="B560" t="str">
        <f ca="1">'Query Example'!D560</f>
        <v>LandPlane</v>
      </c>
      <c r="C560" s="11" t="str">
        <f>CONCATENATE(Sheet2!F560,"/",Sheet2!E560)</f>
        <v>1/Piston</v>
      </c>
      <c r="D560" t="str">
        <f>CONCATENATE(Sheet2!B560,", ",Sheet2!C560)</f>
        <v>AEROCOMP, CA-7P Comp Air 7P</v>
      </c>
    </row>
    <row r="561" spans="1:4" x14ac:dyDescent="0.2">
      <c r="A561" t="str">
        <f>Sheet2!A561</f>
        <v>CA7T</v>
      </c>
      <c r="B561" t="str">
        <f ca="1">'Query Example'!D561</f>
        <v>LandPlane</v>
      </c>
      <c r="C561" s="11" t="str">
        <f>CONCATENATE(Sheet2!F561,"/",Sheet2!E561)</f>
        <v>1/Turboprop/Turboshaft</v>
      </c>
      <c r="D561" t="str">
        <f>CONCATENATE(Sheet2!B561,", ",Sheet2!C561)</f>
        <v>AEROCOMP, CA-7T Comp Air 7T</v>
      </c>
    </row>
    <row r="562" spans="1:4" x14ac:dyDescent="0.2">
      <c r="A562" t="str">
        <f>Sheet2!A562</f>
        <v>CA8</v>
      </c>
      <c r="B562" t="str">
        <f ca="1">'Query Example'!D562</f>
        <v>LandPlane</v>
      </c>
      <c r="C562" s="11" t="str">
        <f>CONCATENATE(Sheet2!F562,"/",Sheet2!E562)</f>
        <v>1/Turboprop/Turboshaft</v>
      </c>
      <c r="D562" t="str">
        <f>CONCATENATE(Sheet2!B562,", ",Sheet2!C562)</f>
        <v>AEROCOMP, CA-8 Comp Air 8</v>
      </c>
    </row>
    <row r="563" spans="1:4" x14ac:dyDescent="0.2">
      <c r="A563" t="str">
        <f>Sheet2!A563</f>
        <v>CA8</v>
      </c>
      <c r="B563" t="str">
        <f ca="1">'Query Example'!D563</f>
        <v>LandPlane</v>
      </c>
      <c r="C563" s="11" t="str">
        <f>CONCATENATE(Sheet2!F563,"/",Sheet2!E563)</f>
        <v>1/Turboprop/Turboshaft</v>
      </c>
      <c r="D563" t="str">
        <f>CONCATENATE(Sheet2!B563,", ",Sheet2!C563)</f>
        <v>COMP AIR, CA-8 Comp Air 8</v>
      </c>
    </row>
    <row r="564" spans="1:4" x14ac:dyDescent="0.2">
      <c r="A564" t="str">
        <f>Sheet2!A564</f>
        <v>CA9</v>
      </c>
      <c r="B564" t="str">
        <f ca="1">'Query Example'!D564</f>
        <v>LandPlane</v>
      </c>
      <c r="C564" s="11" t="str">
        <f>CONCATENATE(Sheet2!F564,"/",Sheet2!E564)</f>
        <v>1/Turboprop/Turboshaft</v>
      </c>
      <c r="D564" t="str">
        <f>CONCATENATE(Sheet2!B564,", ",Sheet2!C564)</f>
        <v>COMP AIR, CA-9 Comp Air 9</v>
      </c>
    </row>
    <row r="565" spans="1:4" x14ac:dyDescent="0.2">
      <c r="A565" t="str">
        <f>Sheet2!A565</f>
        <v>CABI</v>
      </c>
      <c r="B565" t="str">
        <f ca="1">'Query Example'!D565</f>
        <v>LandPlane</v>
      </c>
      <c r="C565" s="11" t="str">
        <f>CONCATENATE(Sheet2!F565,"/",Sheet2!E565)</f>
        <v>1/Turboprop/Turboshaft</v>
      </c>
      <c r="D565" t="str">
        <f>CONCATENATE(Sheet2!B565,", ",Sheet2!C565)</f>
        <v>UNIVERSAL COMPOSITE, Carbon Bird</v>
      </c>
    </row>
    <row r="566" spans="1:4" x14ac:dyDescent="0.2">
      <c r="A566" t="str">
        <f>Sheet2!A566</f>
        <v>CABN</v>
      </c>
      <c r="B566" t="str">
        <f ca="1">'Query Example'!D566</f>
        <v>LandPlane</v>
      </c>
      <c r="C566" s="11" t="str">
        <f>CONCATENATE(Sheet2!F566,"/",Sheet2!E566)</f>
        <v>1/Piston</v>
      </c>
      <c r="D566" t="str">
        <f>CONCATENATE(Sheet2!B566,", ",Sheet2!C566)</f>
        <v>PARAMOUNT, Cabinaire</v>
      </c>
    </row>
    <row r="567" spans="1:4" x14ac:dyDescent="0.2">
      <c r="A567" t="str">
        <f>Sheet2!A567</f>
        <v>CAD2</v>
      </c>
      <c r="B567" t="str">
        <f ca="1">'Query Example'!D567</f>
        <v>LandPlane</v>
      </c>
      <c r="C567" s="11" t="str">
        <f>CONCATENATE(Sheet2!F567,"/",Sheet2!E567)</f>
        <v>1/Piston</v>
      </c>
      <c r="D567" t="str">
        <f>CONCATENATE(Sheet2!B567,", ",Sheet2!C567)</f>
        <v>CLASS, Bush Caddy R-120</v>
      </c>
    </row>
    <row r="568" spans="1:4" x14ac:dyDescent="0.2">
      <c r="A568" t="str">
        <f>Sheet2!A568</f>
        <v>CAD4</v>
      </c>
      <c r="B568" t="str">
        <f ca="1">'Query Example'!D568</f>
        <v>LandPlane</v>
      </c>
      <c r="C568" s="11" t="str">
        <f>CONCATENATE(Sheet2!F568,"/",Sheet2!E568)</f>
        <v>1/Piston</v>
      </c>
      <c r="D568" t="str">
        <f>CONCATENATE(Sheet2!B568,", ",Sheet2!C568)</f>
        <v>CLASS, Bush Caddy L-160</v>
      </c>
    </row>
    <row r="569" spans="1:4" x14ac:dyDescent="0.2">
      <c r="A569" t="str">
        <f>Sheet2!A569</f>
        <v>CAJ</v>
      </c>
      <c r="B569" t="str">
        <f ca="1">'Query Example'!D569</f>
        <v>LandPlane</v>
      </c>
      <c r="C569" s="11" t="str">
        <f>CONCATENATE(Sheet2!F569,"/",Sheet2!E569)</f>
        <v>1/Jet</v>
      </c>
      <c r="D569" t="str">
        <f>CONCATENATE(Sheet2!B569,", ",Sheet2!C569)</f>
        <v>AEROCOMP, CA-J Comp Air Jet</v>
      </c>
    </row>
    <row r="570" spans="1:4" x14ac:dyDescent="0.2">
      <c r="A570" t="str">
        <f>Sheet2!A570</f>
        <v>CAML</v>
      </c>
      <c r="B570" t="str">
        <f ca="1">'Query Example'!D570</f>
        <v>LandPlane</v>
      </c>
      <c r="C570" s="11" t="str">
        <f>CONCATENATE(Sheet2!F570,"/",Sheet2!E570)</f>
        <v>1/Piston</v>
      </c>
      <c r="D570" t="str">
        <f>CONCATENATE(Sheet2!B570,", ",Sheet2!C570)</f>
        <v>SOPWITH, Camel Replica</v>
      </c>
    </row>
    <row r="571" spans="1:4" x14ac:dyDescent="0.2">
      <c r="A571" t="str">
        <f>Sheet2!A571</f>
        <v>CAMP</v>
      </c>
      <c r="B571" t="str">
        <f ca="1">'Query Example'!D571</f>
        <v>LandPlane</v>
      </c>
      <c r="C571" s="11" t="str">
        <f>CONCATENATE(Sheet2!F571,"/",Sheet2!E571)</f>
        <v>1/Piston</v>
      </c>
      <c r="D571" t="str">
        <f>CONCATENATE(Sheet2!B571,", ",Sheet2!C571)</f>
        <v>GREGA, GN-1 Aircamper</v>
      </c>
    </row>
    <row r="572" spans="1:4" x14ac:dyDescent="0.2">
      <c r="A572" t="str">
        <f>Sheet2!A572</f>
        <v>CAN4</v>
      </c>
      <c r="B572" t="str">
        <f ca="1">'Query Example'!D572</f>
        <v>LandPlane</v>
      </c>
      <c r="C572" s="11" t="str">
        <f>CONCATENATE(Sheet2!F572,"/",Sheet2!E572)</f>
        <v>1/Piston</v>
      </c>
      <c r="D572" t="str">
        <f>CONCATENATE(Sheet2!B572,", ",Sheet2!C572)</f>
        <v>CAMPANA, AN-4</v>
      </c>
    </row>
    <row r="573" spans="1:4" x14ac:dyDescent="0.2">
      <c r="A573" t="str">
        <f>Sheet2!A573</f>
        <v>CAPL</v>
      </c>
      <c r="B573" t="str">
        <f ca="1">'Query Example'!D573</f>
        <v>LandPlane</v>
      </c>
      <c r="C573" s="11" t="str">
        <f>CONCATENATE(Sheet2!F573,"/",Sheet2!E573)</f>
        <v>1/Piston</v>
      </c>
      <c r="D573" t="str">
        <f>CONCATENATE(Sheet2!B573,", ",Sheet2!C573)</f>
        <v>CAPELLA, Capella</v>
      </c>
    </row>
    <row r="574" spans="1:4" x14ac:dyDescent="0.2">
      <c r="A574" t="str">
        <f>Sheet2!A574</f>
        <v>CAR</v>
      </c>
      <c r="B574" t="str">
        <f ca="1">'Query Example'!D574</f>
        <v>LandPlane</v>
      </c>
      <c r="C574" s="11" t="str">
        <f>CONCATENATE(Sheet2!F574,"/",Sheet2!E574)</f>
        <v>1/Piston</v>
      </c>
      <c r="D574" t="str">
        <f>CONCATENATE(Sheet2!B574,", ",Sheet2!C574)</f>
        <v>AEROCAR, Aerocar</v>
      </c>
    </row>
    <row r="575" spans="1:4" x14ac:dyDescent="0.2">
      <c r="A575" t="str">
        <f>Sheet2!A575</f>
        <v>CARV</v>
      </c>
      <c r="B575" t="str">
        <f ca="1">'Query Example'!D575</f>
        <v>LandPlane</v>
      </c>
      <c r="C575" s="11" t="str">
        <f>CONCATENATE(Sheet2!F575,"/",Sheet2!E575)</f>
        <v>4/Piston</v>
      </c>
      <c r="D575" t="str">
        <f>CONCATENATE(Sheet2!B575,", ",Sheet2!C575)</f>
        <v>AVIATION TRADERS, ATL-98 Carvair</v>
      </c>
    </row>
    <row r="576" spans="1:4" x14ac:dyDescent="0.2">
      <c r="A576" t="str">
        <f>Sheet2!A576</f>
        <v>CASS</v>
      </c>
      <c r="B576" t="str">
        <f ca="1">'Query Example'!D576</f>
        <v>LandPlane</v>
      </c>
      <c r="C576" s="11" t="str">
        <f>CONCATENATE(Sheet2!F576,"/",Sheet2!E576)</f>
        <v>1/Piston</v>
      </c>
      <c r="D576" t="str">
        <f>CONCATENATE(Sheet2!B576,", ",Sheet2!C576)</f>
        <v>CASSUTT, Special</v>
      </c>
    </row>
    <row r="577" spans="1:4" x14ac:dyDescent="0.2">
      <c r="A577" t="str">
        <f>Sheet2!A577</f>
        <v>CAT</v>
      </c>
      <c r="B577" t="str">
        <f ca="1">'Query Example'!D577</f>
        <v>Amphibian</v>
      </c>
      <c r="C577" s="11" t="str">
        <f>CONCATENATE(Sheet2!F577,"/",Sheet2!E577)</f>
        <v>2/Piston</v>
      </c>
      <c r="D577" t="str">
        <f>CONCATENATE(Sheet2!B577,", ",Sheet2!C577)</f>
        <v>CONSOLIDATED, PBY Catalina</v>
      </c>
    </row>
    <row r="578" spans="1:4" x14ac:dyDescent="0.2">
      <c r="A578" t="str">
        <f>Sheet2!A578</f>
        <v>CAT1</v>
      </c>
      <c r="B578" t="str">
        <f ca="1">'Query Example'!D578</f>
        <v>LandPlane</v>
      </c>
      <c r="C578" s="11" t="str">
        <f>CONCATENATE(Sheet2!F578,"/",Sheet2!E578)</f>
        <v>1/Piston</v>
      </c>
      <c r="D578" t="str">
        <f>CONCATENATE(Sheet2!B578,", ",Sheet2!C578)</f>
        <v>CREATIVE FLIGHT, MPA Aerocat SR</v>
      </c>
    </row>
    <row r="579" spans="1:4" x14ac:dyDescent="0.2">
      <c r="A579" t="str">
        <f>Sheet2!A579</f>
        <v>CAT2</v>
      </c>
      <c r="B579" t="str">
        <f ca="1">'Query Example'!D579</f>
        <v>LandPlane</v>
      </c>
      <c r="C579" s="11" t="str">
        <f>CONCATENATE(Sheet2!F579,"/",Sheet2!E579)</f>
        <v>2/Piston</v>
      </c>
      <c r="D579" t="str">
        <f>CONCATENATE(Sheet2!B579,", ",Sheet2!C579)</f>
        <v>CREATIVE FLIGHT, MPA Aerocat TR</v>
      </c>
    </row>
    <row r="580" spans="1:4" x14ac:dyDescent="0.2">
      <c r="A580" t="str">
        <f>Sheet2!A580</f>
        <v>CAW</v>
      </c>
      <c r="B580" t="str">
        <f ca="1">'Query Example'!D580</f>
        <v>LandPlane</v>
      </c>
      <c r="C580" s="11" t="str">
        <f>CONCATENATE(Sheet2!F580,"/",Sheet2!E580)</f>
        <v>1/Piston</v>
      </c>
      <c r="D580" t="str">
        <f>CONCATENATE(Sheet2!B580,", ",Sheet2!C580)</f>
        <v>CESSNA, AW</v>
      </c>
    </row>
    <row r="581" spans="1:4" x14ac:dyDescent="0.2">
      <c r="A581" t="str">
        <f>Sheet2!A581</f>
        <v>CB1</v>
      </c>
      <c r="B581" t="str">
        <f ca="1">'Query Example'!D581</f>
        <v>LandPlane</v>
      </c>
      <c r="C581" s="11" t="str">
        <f>CONCATENATE(Sheet2!F581,"/",Sheet2!E581)</f>
        <v>1/Piston</v>
      </c>
      <c r="D581" t="str">
        <f>CONCATENATE(Sheet2!B581,", ",Sheet2!C581)</f>
        <v>HATZ, CB-1 Biplane</v>
      </c>
    </row>
    <row r="582" spans="1:4" x14ac:dyDescent="0.2">
      <c r="A582" t="str">
        <f>Sheet2!A582</f>
        <v>CC19</v>
      </c>
      <c r="B582" t="str">
        <f ca="1">'Query Example'!D582</f>
        <v>LandPlane</v>
      </c>
      <c r="C582" s="11" t="str">
        <f>CONCATENATE(Sheet2!F582,"/",Sheet2!E582)</f>
        <v>1/Piston</v>
      </c>
      <c r="D582" t="str">
        <f>CONCATENATE(Sheet2!B582,", ",Sheet2!C582)</f>
        <v>CUB CRAFTERS, CC-19 XCub</v>
      </c>
    </row>
    <row r="583" spans="1:4" x14ac:dyDescent="0.2">
      <c r="A583" t="str">
        <f>Sheet2!A583</f>
        <v>CD2</v>
      </c>
      <c r="B583" t="str">
        <f ca="1">'Query Example'!D583</f>
        <v>Amphibian</v>
      </c>
      <c r="C583" s="11" t="str">
        <f>CONCATENATE(Sheet2!F583,"/",Sheet2!E583)</f>
        <v>2/Turboprop/Turboshaft</v>
      </c>
      <c r="D583" t="str">
        <f>CONCATENATE(Sheet2!B583,", ",Sheet2!C583)</f>
        <v>CLAUDIUS DORNIER, CD-2 Seastar</v>
      </c>
    </row>
    <row r="584" spans="1:4" x14ac:dyDescent="0.2">
      <c r="A584" t="str">
        <f>Sheet2!A584</f>
        <v>CDC6</v>
      </c>
      <c r="B584" t="str">
        <f ca="1">'Query Example'!D584</f>
        <v>LandPlane</v>
      </c>
      <c r="C584" s="11" t="str">
        <f>CONCATENATE(Sheet2!F584,"/",Sheet2!E584)</f>
        <v>1/Piston</v>
      </c>
      <c r="D584" t="str">
        <f>CONCATENATE(Sheet2!B584,", ",Sheet2!C584)</f>
        <v>CESSNA, DC-6</v>
      </c>
    </row>
    <row r="585" spans="1:4" x14ac:dyDescent="0.2">
      <c r="A585" t="str">
        <f>Sheet2!A585</f>
        <v>CDUS</v>
      </c>
      <c r="B585" t="str">
        <f ca="1">'Query Example'!D585</f>
        <v>Gyrocopter</v>
      </c>
      <c r="C585" s="11" t="str">
        <f>CONCATENATE(Sheet2!F585,"/",Sheet2!E585)</f>
        <v>1/Piston</v>
      </c>
      <c r="D585" t="str">
        <f>CONCATENATE(Sheet2!B585,", ",Sheet2!C585)</f>
        <v>ROTORSPORT, Calidus</v>
      </c>
    </row>
    <row r="586" spans="1:4" x14ac:dyDescent="0.2">
      <c r="A586" t="str">
        <f>Sheet2!A586</f>
        <v>CDW1</v>
      </c>
      <c r="B586" t="str">
        <f ca="1">'Query Example'!D586</f>
        <v>LandPlane</v>
      </c>
      <c r="C586" s="11" t="str">
        <f>CONCATENATE(Sheet2!F586,"/",Sheet2!E586)</f>
        <v>1/Piston</v>
      </c>
      <c r="D586" t="str">
        <f>CONCATENATE(Sheet2!B586,", ",Sheet2!C586)</f>
        <v>CHILTON, DW-1</v>
      </c>
    </row>
    <row r="587" spans="1:4" x14ac:dyDescent="0.2">
      <c r="A587" t="str">
        <f>Sheet2!A587</f>
        <v>CE15</v>
      </c>
      <c r="B587" t="str">
        <f ca="1">'Query Example'!D587</f>
        <v>SeaPlane</v>
      </c>
      <c r="C587" s="11" t="str">
        <f>CONCATENATE(Sheet2!F587,"/",Sheet2!E587)</f>
        <v>1/Piston</v>
      </c>
      <c r="D587" t="str">
        <f>CONCATENATE(Sheet2!B587,", ",Sheet2!C587)</f>
        <v>CHERNOV, Che-15</v>
      </c>
    </row>
    <row r="588" spans="1:4" x14ac:dyDescent="0.2">
      <c r="A588" t="str">
        <f>Sheet2!A588</f>
        <v>CE22</v>
      </c>
      <c r="B588" t="str">
        <f ca="1">'Query Example'!D588</f>
        <v>Amphibian</v>
      </c>
      <c r="C588" s="11" t="str">
        <f>CONCATENATE(Sheet2!F588,"/",Sheet2!E588)</f>
        <v>2/Piston</v>
      </c>
      <c r="D588" t="str">
        <f>CONCATENATE(Sheet2!B588,", ",Sheet2!C588)</f>
        <v>CHERNOV, Che-22 Corvette</v>
      </c>
    </row>
    <row r="589" spans="1:4" x14ac:dyDescent="0.2">
      <c r="A589" t="str">
        <f>Sheet2!A589</f>
        <v>CE23</v>
      </c>
      <c r="B589" t="str">
        <f ca="1">'Query Example'!D589</f>
        <v>Amphibian</v>
      </c>
      <c r="C589" s="11" t="str">
        <f>CONCATENATE(Sheet2!F589,"/",Sheet2!E589)</f>
        <v>1/Piston</v>
      </c>
      <c r="D589" t="str">
        <f>CONCATENATE(Sheet2!B589,", ",Sheet2!C589)</f>
        <v>CHERNOV, Che-23</v>
      </c>
    </row>
    <row r="590" spans="1:4" x14ac:dyDescent="0.2">
      <c r="A590" t="str">
        <f>Sheet2!A590</f>
        <v>CE25</v>
      </c>
      <c r="B590" t="str">
        <f ca="1">'Query Example'!D590</f>
        <v>Amphibian</v>
      </c>
      <c r="C590" s="11" t="str">
        <f>CONCATENATE(Sheet2!F590,"/",Sheet2!E590)</f>
        <v>2/Piston</v>
      </c>
      <c r="D590" t="str">
        <f>CONCATENATE(Sheet2!B590,", ",Sheet2!C590)</f>
        <v>CHERNOV, Che-25</v>
      </c>
    </row>
    <row r="591" spans="1:4" x14ac:dyDescent="0.2">
      <c r="A591" t="str">
        <f>Sheet2!A591</f>
        <v>CE27</v>
      </c>
      <c r="B591" t="str">
        <f ca="1">'Query Example'!D591</f>
        <v>Amphibian</v>
      </c>
      <c r="C591" s="11" t="str">
        <f>CONCATENATE(Sheet2!F591,"/",Sheet2!E591)</f>
        <v>2/Piston</v>
      </c>
      <c r="D591" t="str">
        <f>CONCATENATE(Sheet2!B591,", ",Sheet2!C591)</f>
        <v>CHERNOV, Che-27</v>
      </c>
    </row>
    <row r="592" spans="1:4" x14ac:dyDescent="0.2">
      <c r="A592" t="str">
        <f>Sheet2!A592</f>
        <v>CE43</v>
      </c>
      <c r="B592" t="str">
        <f ca="1">'Query Example'!D592</f>
        <v>LandPlane</v>
      </c>
      <c r="C592" s="11" t="str">
        <f>CONCATENATE(Sheet2!F592,"/",Sheet2!E592)</f>
        <v>1/Piston</v>
      </c>
      <c r="D592" t="str">
        <f>CONCATENATE(Sheet2!B592,", ",Sheet2!C592)</f>
        <v>CERVA, CE-43 Guepard</v>
      </c>
    </row>
    <row r="593" spans="1:4" x14ac:dyDescent="0.2">
      <c r="A593" t="str">
        <f>Sheet2!A593</f>
        <v>CEGL</v>
      </c>
      <c r="B593" t="str">
        <f ca="1">'Query Example'!D593</f>
        <v>LandPlane</v>
      </c>
      <c r="C593" s="11" t="str">
        <f>CONCATENATE(Sheet2!F593,"/",Sheet2!E593)</f>
        <v>1/Piston</v>
      </c>
      <c r="D593" t="str">
        <f>CONCATENATE(Sheet2!B593,", ",Sheet2!C593)</f>
        <v>CELAIR, Eagle 300</v>
      </c>
    </row>
    <row r="594" spans="1:4" x14ac:dyDescent="0.2">
      <c r="A594" t="str">
        <f>Sheet2!A594</f>
        <v>CELR</v>
      </c>
      <c r="B594" t="str">
        <f ca="1">'Query Example'!D594</f>
        <v>LandPlane</v>
      </c>
      <c r="C594" s="11" t="str">
        <f>CONCATENATE(Sheet2!F594,"/",Sheet2!E594)</f>
        <v>1/Piston</v>
      </c>
      <c r="D594" t="str">
        <f>CONCATENATE(Sheet2!B594,", ",Sheet2!C594)</f>
        <v>MIRAGE, Celerity</v>
      </c>
    </row>
    <row r="595" spans="1:4" x14ac:dyDescent="0.2">
      <c r="A595" t="str">
        <f>Sheet2!A595</f>
        <v>CENT</v>
      </c>
      <c r="B595" t="str">
        <f ca="1">'Query Example'!D595</f>
        <v>LandPlane</v>
      </c>
      <c r="C595" s="11" t="str">
        <f>CONCATENATE(Sheet2!F595,"/",Sheet2!E595)</f>
        <v>1/Piston</v>
      </c>
      <c r="D595" t="str">
        <f>CONCATENATE(Sheet2!B595,", ",Sheet2!C595)</f>
        <v>FOUND, 100 Centennial</v>
      </c>
    </row>
    <row r="596" spans="1:4" x14ac:dyDescent="0.2">
      <c r="A596" t="str">
        <f>Sheet2!A596</f>
        <v>CFRE</v>
      </c>
      <c r="B596" t="str">
        <f ca="1">'Query Example'!D596</f>
        <v>Amphibian</v>
      </c>
      <c r="C596" s="11" t="str">
        <f>CONCATENATE(Sheet2!F596,"/",Sheet2!E596)</f>
        <v>1/Piston</v>
      </c>
      <c r="D596" t="str">
        <f>CONCATENATE(Sheet2!B596,", ",Sheet2!C596)</f>
        <v>COLYAER, Freedom</v>
      </c>
    </row>
    <row r="597" spans="1:4" x14ac:dyDescent="0.2">
      <c r="A597" t="str">
        <f>Sheet2!A597</f>
        <v>CG3</v>
      </c>
      <c r="B597" t="str">
        <f ca="1">'Query Example'!D597</f>
        <v>LandPlane</v>
      </c>
      <c r="C597" s="11" t="str">
        <f>CONCATENATE(Sheet2!F597,"/",Sheet2!E597)</f>
        <v>1/Piston</v>
      </c>
      <c r="D597" t="str">
        <f>CONCATENATE(Sheet2!B597,", ",Sheet2!C597)</f>
        <v>CAUDRON, G-3 Replica</v>
      </c>
    </row>
    <row r="598" spans="1:4" x14ac:dyDescent="0.2">
      <c r="A598" t="str">
        <f>Sheet2!A598</f>
        <v>CGAN</v>
      </c>
      <c r="B598" t="str">
        <f ca="1">'Query Example'!D598</f>
        <v>SeaPlane</v>
      </c>
      <c r="C598" s="11" t="str">
        <f>CONCATENATE(Sheet2!F598,"/",Sheet2!E598)</f>
        <v>1/Piston</v>
      </c>
      <c r="D598" t="str">
        <f>CONCATENATE(Sheet2!B598,", ",Sheet2!C598)</f>
        <v>COLYAER, Gannet</v>
      </c>
    </row>
    <row r="599" spans="1:4" x14ac:dyDescent="0.2">
      <c r="A599" t="str">
        <f>Sheet2!A599</f>
        <v>CH1</v>
      </c>
      <c r="B599" t="str">
        <f ca="1">'Query Example'!D599</f>
        <v>LandPlane</v>
      </c>
      <c r="C599" s="11" t="str">
        <f>CONCATENATE(Sheet2!F599,"/",Sheet2!E599)</f>
        <v>1/Turboprop/Turboshaft</v>
      </c>
      <c r="D599" t="str">
        <f>CONCATENATE(Sheet2!B599,", ",Sheet2!C599)</f>
        <v>AIDC, A-CH-1 Chung-Tsing</v>
      </c>
    </row>
    <row r="600" spans="1:4" x14ac:dyDescent="0.2">
      <c r="A600" t="str">
        <f>Sheet2!A600</f>
        <v>CH10</v>
      </c>
      <c r="B600" t="str">
        <f ca="1">'Query Example'!D600</f>
        <v>LandPlane</v>
      </c>
      <c r="C600" s="11" t="str">
        <f>CONCATENATE(Sheet2!F600,"/",Sheet2!E600)</f>
        <v>1/Piston</v>
      </c>
      <c r="D600" t="str">
        <f>CONCATENATE(Sheet2!B600,", ",Sheet2!C600)</f>
        <v>ZENAIR, CH-100 Mono-Zénith</v>
      </c>
    </row>
    <row r="601" spans="1:4" x14ac:dyDescent="0.2">
      <c r="A601" t="str">
        <f>Sheet2!A601</f>
        <v>CH12</v>
      </c>
      <c r="B601" t="str">
        <f ca="1">'Query Example'!D601</f>
        <v>Helicopter</v>
      </c>
      <c r="C601" s="11" t="str">
        <f>CONCATENATE(Sheet2!F601,"/",Sheet2!E601)</f>
        <v>1/Piston</v>
      </c>
      <c r="D601" t="str">
        <f>CONCATENATE(Sheet2!B601,", ",Sheet2!C601)</f>
        <v>CICARE, CH-12</v>
      </c>
    </row>
    <row r="602" spans="1:4" x14ac:dyDescent="0.2">
      <c r="A602" t="str">
        <f>Sheet2!A602</f>
        <v>CH14</v>
      </c>
      <c r="B602" t="str">
        <f ca="1">'Query Example'!D602</f>
        <v>Helicopter</v>
      </c>
      <c r="C602" s="11" t="str">
        <f>CONCATENATE(Sheet2!F602,"/",Sheet2!E602)</f>
        <v>1/Turboprop/Turboshaft</v>
      </c>
      <c r="D602" t="str">
        <f>CONCATENATE(Sheet2!B602,", ",Sheet2!C602)</f>
        <v>CICARE, CH-14 Aguilucho</v>
      </c>
    </row>
    <row r="603" spans="1:4" x14ac:dyDescent="0.2">
      <c r="A603" t="str">
        <f>Sheet2!A603</f>
        <v>CH15</v>
      </c>
      <c r="B603" t="str">
        <f ca="1">'Query Example'!D603</f>
        <v>LandPlane</v>
      </c>
      <c r="C603" s="11" t="str">
        <f>CONCATENATE(Sheet2!F603,"/",Sheet2!E603)</f>
        <v>1/Piston</v>
      </c>
      <c r="D603" t="str">
        <f>CONCATENATE(Sheet2!B603,", ",Sheet2!C603)</f>
        <v>ZENAIR, CH-150 Acro-Zénith</v>
      </c>
    </row>
    <row r="604" spans="1:4" x14ac:dyDescent="0.2">
      <c r="A604" t="str">
        <f>Sheet2!A604</f>
        <v>CH18</v>
      </c>
      <c r="B604" t="str">
        <f ca="1">'Query Example'!D604</f>
        <v>LandPlane</v>
      </c>
      <c r="C604" s="11" t="str">
        <f>CONCATENATE(Sheet2!F604,"/",Sheet2!E604)</f>
        <v>1/Piston</v>
      </c>
      <c r="D604" t="str">
        <f>CONCATENATE(Sheet2!B604,", ",Sheet2!C604)</f>
        <v>ZENAIR, CH-180 Super Acro-Zénith</v>
      </c>
    </row>
    <row r="605" spans="1:4" x14ac:dyDescent="0.2">
      <c r="A605" t="str">
        <f>Sheet2!A605</f>
        <v>CH20</v>
      </c>
      <c r="B605" t="str">
        <f ca="1">'Query Example'!D605</f>
        <v>LandPlane</v>
      </c>
      <c r="C605" s="11" t="str">
        <f>CONCATENATE(Sheet2!F605,"/",Sheet2!E605)</f>
        <v>1/Piston</v>
      </c>
      <c r="D605" t="str">
        <f>CONCATENATE(Sheet2!B605,", ",Sheet2!C605)</f>
        <v>ZENAIR, CH-200 Zénith</v>
      </c>
    </row>
    <row r="606" spans="1:4" x14ac:dyDescent="0.2">
      <c r="A606" t="str">
        <f>Sheet2!A606</f>
        <v>CH25</v>
      </c>
      <c r="B606" t="str">
        <f ca="1">'Query Example'!D606</f>
        <v>LandPlane</v>
      </c>
      <c r="C606" s="11" t="str">
        <f>CONCATENATE(Sheet2!F606,"/",Sheet2!E606)</f>
        <v>1/Piston</v>
      </c>
      <c r="D606" t="str">
        <f>CONCATENATE(Sheet2!B606,", ",Sheet2!C606)</f>
        <v>ZENAIR, CH-250 Zénith</v>
      </c>
    </row>
    <row r="607" spans="1:4" x14ac:dyDescent="0.2">
      <c r="A607" t="str">
        <f>Sheet2!A607</f>
        <v>CH2T</v>
      </c>
      <c r="B607" t="str">
        <f ca="1">'Query Example'!D607</f>
        <v>LandPlane</v>
      </c>
      <c r="C607" s="11" t="str">
        <f>CONCATENATE(Sheet2!F607,"/",Sheet2!E607)</f>
        <v>1/Piston</v>
      </c>
      <c r="D607" t="str">
        <f>CONCATENATE(Sheet2!B607,", ",Sheet2!C607)</f>
        <v>ZENAIR, CH-2000 Zénith</v>
      </c>
    </row>
    <row r="608" spans="1:4" x14ac:dyDescent="0.2">
      <c r="A608" t="str">
        <f>Sheet2!A608</f>
        <v>CH3</v>
      </c>
      <c r="B608" t="str">
        <f ca="1">'Query Example'!D608</f>
        <v>LandPlane</v>
      </c>
      <c r="C608" s="11" t="str">
        <f>CONCATENATE(Sheet2!F608,"/",Sheet2!E608)</f>
        <v>1/Piston</v>
      </c>
      <c r="D608" t="str">
        <f>CONCATENATE(Sheet2!B608,", ",Sheet2!C608)</f>
        <v>CHRISLEA, CH-3 Super Ace</v>
      </c>
    </row>
    <row r="609" spans="1:4" x14ac:dyDescent="0.2">
      <c r="A609" t="str">
        <f>Sheet2!A609</f>
        <v>CH30</v>
      </c>
      <c r="B609" t="str">
        <f ca="1">'Query Example'!D609</f>
        <v>LandPlane</v>
      </c>
      <c r="C609" s="11" t="str">
        <f>CONCATENATE(Sheet2!F609,"/",Sheet2!E609)</f>
        <v>1/Piston</v>
      </c>
      <c r="D609" t="str">
        <f>CONCATENATE(Sheet2!B609,", ",Sheet2!C609)</f>
        <v>ZENAIR, CH-300 Tri-Zénith</v>
      </c>
    </row>
    <row r="610" spans="1:4" x14ac:dyDescent="0.2">
      <c r="A610" t="str">
        <f>Sheet2!A610</f>
        <v>CH40</v>
      </c>
      <c r="B610" t="str">
        <f ca="1">'Query Example'!D610</f>
        <v>LandPlane</v>
      </c>
      <c r="C610" s="11" t="str">
        <f>CONCATENATE(Sheet2!F610,"/",Sheet2!E610)</f>
        <v>2/Piston</v>
      </c>
      <c r="D610" t="str">
        <f>CONCATENATE(Sheet2!B610,", ",Sheet2!C610)</f>
        <v>CHAMPION, 402 Lancer</v>
      </c>
    </row>
    <row r="611" spans="1:4" x14ac:dyDescent="0.2">
      <c r="A611" t="str">
        <f>Sheet2!A611</f>
        <v>CH50</v>
      </c>
      <c r="B611" t="str">
        <f ca="1">'Query Example'!D611</f>
        <v>LandPlane</v>
      </c>
      <c r="C611" s="11" t="str">
        <f>CONCATENATE(Sheet2!F611,"/",Sheet2!E611)</f>
        <v>1/Piston</v>
      </c>
      <c r="D611" t="str">
        <f>CONCATENATE(Sheet2!B611,", ",Sheet2!C611)</f>
        <v>ZENAIR, CH-50 Mini Zénith</v>
      </c>
    </row>
    <row r="612" spans="1:4" x14ac:dyDescent="0.2">
      <c r="A612" t="str">
        <f>Sheet2!A612</f>
        <v>CH60</v>
      </c>
      <c r="B612" t="str">
        <f ca="1">'Query Example'!D612</f>
        <v>LandPlane</v>
      </c>
      <c r="C612" s="11" t="str">
        <f>CONCATENATE(Sheet2!F612,"/",Sheet2!E612)</f>
        <v>1/Piston</v>
      </c>
      <c r="D612" t="str">
        <f>CONCATENATE(Sheet2!B612,", ",Sheet2!C612)</f>
        <v>ZENAIR, CH-600 Zodiac</v>
      </c>
    </row>
    <row r="613" spans="1:4" x14ac:dyDescent="0.2">
      <c r="A613" t="str">
        <f>Sheet2!A613</f>
        <v>CH62</v>
      </c>
      <c r="B613" t="str">
        <f ca="1">'Query Example'!D613</f>
        <v>LandPlane</v>
      </c>
      <c r="C613" s="11" t="str">
        <f>CONCATENATE(Sheet2!F613,"/",Sheet2!E613)</f>
        <v>2/Piston</v>
      </c>
      <c r="D613" t="str">
        <f>CONCATENATE(Sheet2!B613,", ",Sheet2!C613)</f>
        <v>ZENAIR, CH-620 Gemini</v>
      </c>
    </row>
    <row r="614" spans="1:4" x14ac:dyDescent="0.2">
      <c r="A614" t="str">
        <f>Sheet2!A614</f>
        <v>CH64</v>
      </c>
      <c r="B614" t="str">
        <f ca="1">'Query Example'!D614</f>
        <v>LandPlane</v>
      </c>
      <c r="C614" s="11" t="str">
        <f>CONCATENATE(Sheet2!F614,"/",Sheet2!E614)</f>
        <v>1/Piston</v>
      </c>
      <c r="D614" t="str">
        <f>CONCATENATE(Sheet2!B614,", ",Sheet2!C614)</f>
        <v>ZENAIR, CH-640 Zodiac</v>
      </c>
    </row>
    <row r="615" spans="1:4" x14ac:dyDescent="0.2">
      <c r="A615" t="str">
        <f>Sheet2!A615</f>
        <v>CH65</v>
      </c>
      <c r="B615" t="str">
        <f ca="1">'Query Example'!D615</f>
        <v>LandPlane</v>
      </c>
      <c r="C615" s="11" t="str">
        <f>CONCATENATE(Sheet2!F615,"/",Sheet2!E615)</f>
        <v>1/Piston</v>
      </c>
      <c r="D615" t="str">
        <f>CONCATENATE(Sheet2!B615,", ",Sheet2!C615)</f>
        <v>AMD, CH-650 Zodiac</v>
      </c>
    </row>
    <row r="616" spans="1:4" x14ac:dyDescent="0.2">
      <c r="A616" t="str">
        <f>Sheet2!A616</f>
        <v>CH7</v>
      </c>
      <c r="B616" t="str">
        <f ca="1">'Query Example'!D616</f>
        <v>Helicopter</v>
      </c>
      <c r="C616" s="11" t="str">
        <f>CONCATENATE(Sheet2!F616,"/",Sheet2!E616)</f>
        <v>1/Piston</v>
      </c>
      <c r="D616" t="str">
        <f>CONCATENATE(Sheet2!B616,", ",Sheet2!C616)</f>
        <v>HELI-SPORT, CH-7 Kompress</v>
      </c>
    </row>
    <row r="617" spans="1:4" x14ac:dyDescent="0.2">
      <c r="A617" t="str">
        <f>Sheet2!A617</f>
        <v>CH70</v>
      </c>
      <c r="B617" t="str">
        <f ca="1">'Query Example'!D617</f>
        <v>LandPlane</v>
      </c>
      <c r="C617" s="11" t="str">
        <f>CONCATENATE(Sheet2!F617,"/",Sheet2!E617)</f>
        <v>1/Piston</v>
      </c>
      <c r="D617" t="str">
        <f>CONCATENATE(Sheet2!B617,", ",Sheet2!C617)</f>
        <v>ZENAIR, CH-701 Stol</v>
      </c>
    </row>
    <row r="618" spans="1:4" x14ac:dyDescent="0.2">
      <c r="A618" t="str">
        <f>Sheet2!A618</f>
        <v>CH75</v>
      </c>
      <c r="B618" t="str">
        <f ca="1">'Query Example'!D618</f>
        <v>LandPlane</v>
      </c>
      <c r="C618" s="11" t="str">
        <f>CONCATENATE(Sheet2!F618,"/",Sheet2!E618)</f>
        <v>1/Piston</v>
      </c>
      <c r="D618" t="str">
        <f>CONCATENATE(Sheet2!B618,", ",Sheet2!C618)</f>
        <v>ZENAIR, CH-750 Cruzer</v>
      </c>
    </row>
    <row r="619" spans="1:4" x14ac:dyDescent="0.2">
      <c r="A619" t="str">
        <f>Sheet2!A619</f>
        <v>CH7A</v>
      </c>
      <c r="B619" t="str">
        <f ca="1">'Query Example'!D619</f>
        <v>LandPlane</v>
      </c>
      <c r="C619" s="11" t="str">
        <f>CONCATENATE(Sheet2!F619,"/",Sheet2!E619)</f>
        <v>1/Piston</v>
      </c>
      <c r="D619" t="str">
        <f>CONCATENATE(Sheet2!B619,", ",Sheet2!C619)</f>
        <v>AERONCA, 7AC Champion</v>
      </c>
    </row>
    <row r="620" spans="1:4" x14ac:dyDescent="0.2">
      <c r="A620" t="str">
        <f>Sheet2!A620</f>
        <v>CH7B</v>
      </c>
      <c r="B620" t="str">
        <f ca="1">'Query Example'!D620</f>
        <v>LandPlane</v>
      </c>
      <c r="C620" s="11" t="str">
        <f>CONCATENATE(Sheet2!F620,"/",Sheet2!E620)</f>
        <v>1/Piston</v>
      </c>
      <c r="D620" t="str">
        <f>CONCATENATE(Sheet2!B620,", ",Sheet2!C620)</f>
        <v>AMERICAN CHAMPION, 7GCBC Citabria High Country Explorer</v>
      </c>
    </row>
    <row r="621" spans="1:4" x14ac:dyDescent="0.2">
      <c r="A621" t="str">
        <f>Sheet2!A621</f>
        <v>CH80</v>
      </c>
      <c r="B621" t="str">
        <f ca="1">'Query Example'!D621</f>
        <v>LandPlane</v>
      </c>
      <c r="C621" s="11" t="str">
        <f>CONCATENATE(Sheet2!F621,"/",Sheet2!E621)</f>
        <v>1/Piston</v>
      </c>
      <c r="D621" t="str">
        <f>CONCATENATE(Sheet2!B621,", ",Sheet2!C621)</f>
        <v>ZENAIR, CH-801 Stol</v>
      </c>
    </row>
    <row r="622" spans="1:4" x14ac:dyDescent="0.2">
      <c r="A622" t="str">
        <f>Sheet2!A622</f>
        <v>CHAN</v>
      </c>
      <c r="B622" t="str">
        <f ca="1">'Query Example'!D622</f>
        <v>LandPlane</v>
      </c>
      <c r="C622" s="11" t="str">
        <f>CONCATENATE(Sheet2!F622,"/",Sheet2!E622)</f>
        <v>1/Piston</v>
      </c>
      <c r="D622" t="str">
        <f>CONCATENATE(Sheet2!B622,", ",Sheet2!C622)</f>
        <v>CADCOR, Chanute</v>
      </c>
    </row>
    <row r="623" spans="1:4" x14ac:dyDescent="0.2">
      <c r="A623" t="str">
        <f>Sheet2!A623</f>
        <v>CHCS</v>
      </c>
      <c r="B623" t="str">
        <f ca="1">'Query Example'!D623</f>
        <v>LandPlane</v>
      </c>
      <c r="C623" s="11" t="str">
        <f>CONCATENATE(Sheet2!F623,"/",Sheet2!E623)</f>
        <v>1/Piston</v>
      </c>
      <c r="D623" t="str">
        <f>CONCATENATE(Sheet2!B623,", ",Sheet2!C623)</f>
        <v>ALPAERO, Choucas</v>
      </c>
    </row>
    <row r="624" spans="1:4" x14ac:dyDescent="0.2">
      <c r="A624" t="str">
        <f>Sheet2!A624</f>
        <v>CHGO</v>
      </c>
      <c r="B624" t="str">
        <f ca="1">'Query Example'!D624</f>
        <v>LandPlane</v>
      </c>
      <c r="C624" s="11" t="str">
        <f>CONCATENATE(Sheet2!F624,"/",Sheet2!E624)</f>
        <v>1/Piston</v>
      </c>
      <c r="D624" t="str">
        <f>CONCATENATE(Sheet2!B624,", ",Sheet2!C624)</f>
        <v>KOREAN AIR, CHK-91 Chang-Gong 91</v>
      </c>
    </row>
    <row r="625" spans="1:4" x14ac:dyDescent="0.2">
      <c r="A625" t="str">
        <f>Sheet2!A625</f>
        <v>CHIC</v>
      </c>
      <c r="B625" t="str">
        <f ca="1">'Query Example'!D625</f>
        <v>LandPlane</v>
      </c>
      <c r="C625" s="11" t="str">
        <f>CONCATENATE(Sheet2!F625,"/",Sheet2!E625)</f>
        <v>1/Piston</v>
      </c>
      <c r="D625" t="str">
        <f>CONCATENATE(Sheet2!B625,", ",Sheet2!C625)</f>
        <v>PODESVA, Chico</v>
      </c>
    </row>
    <row r="626" spans="1:4" x14ac:dyDescent="0.2">
      <c r="A626" t="str">
        <f>Sheet2!A626</f>
        <v>CHIF</v>
      </c>
      <c r="B626" t="str">
        <f ca="1">'Query Example'!D626</f>
        <v>Helicopter</v>
      </c>
      <c r="C626" s="11" t="str">
        <f>CONCATENATE(Sheet2!F626,"/",Sheet2!E626)</f>
        <v>1/Piston</v>
      </c>
      <c r="D626" t="str">
        <f>CONCATENATE(Sheet2!B626,", ",Sheet2!C626)</f>
        <v>PAWNEE, Chief</v>
      </c>
    </row>
    <row r="627" spans="1:4" x14ac:dyDescent="0.2">
      <c r="A627" t="str">
        <f>Sheet2!A627</f>
        <v>CHIN</v>
      </c>
      <c r="B627" t="str">
        <f ca="1">'Query Example'!D627</f>
        <v>LandPlane</v>
      </c>
      <c r="C627" s="11" t="str">
        <f>CONCATENATE(Sheet2!F627,"/",Sheet2!E627)</f>
        <v>1/Piston</v>
      </c>
      <c r="D627" t="str">
        <f>CONCATENATE(Sheet2!B627,", ",Sheet2!C627)</f>
        <v>ASAP, Chinook</v>
      </c>
    </row>
    <row r="628" spans="1:4" x14ac:dyDescent="0.2">
      <c r="A628" t="str">
        <f>Sheet2!A628</f>
        <v>CHIP</v>
      </c>
      <c r="B628" t="str">
        <f ca="1">'Query Example'!D628</f>
        <v>LandPlane</v>
      </c>
      <c r="C628" s="11" t="str">
        <f>CONCATENATE(Sheet2!F628,"/",Sheet2!E628)</f>
        <v>1/Piston</v>
      </c>
      <c r="D628" t="str">
        <f>CONCATENATE(Sheet2!B628,", ",Sheet2!C628)</f>
        <v>LEGER, Super-Chipmunk</v>
      </c>
    </row>
    <row r="629" spans="1:4" x14ac:dyDescent="0.2">
      <c r="A629" t="str">
        <f>Sheet2!A629</f>
        <v>CHR1</v>
      </c>
      <c r="B629" t="str">
        <f ca="1">'Query Example'!D629</f>
        <v>LandPlane</v>
      </c>
      <c r="C629" s="11" t="str">
        <f>CONCATENATE(Sheet2!F629,"/",Sheet2!E629)</f>
        <v>1/Piston</v>
      </c>
      <c r="D629" t="str">
        <f>CONCATENATE(Sheet2!B629,", ",Sheet2!C629)</f>
        <v>ELMWOOD, CA-05 Christavia Mk1</v>
      </c>
    </row>
    <row r="630" spans="1:4" x14ac:dyDescent="0.2">
      <c r="A630" t="str">
        <f>Sheet2!A630</f>
        <v>CHR4</v>
      </c>
      <c r="B630" t="str">
        <f ca="1">'Query Example'!D630</f>
        <v>LandPlane</v>
      </c>
      <c r="C630" s="11" t="str">
        <f>CONCATENATE(Sheet2!F630,"/",Sheet2!E630)</f>
        <v>1/Piston</v>
      </c>
      <c r="D630" t="str">
        <f>CONCATENATE(Sheet2!B630,", ",Sheet2!C630)</f>
        <v>ELMWOOD, CH-8 Christavia Mk4</v>
      </c>
    </row>
    <row r="631" spans="1:4" x14ac:dyDescent="0.2">
      <c r="A631" t="str">
        <f>Sheet2!A631</f>
        <v>CHSY</v>
      </c>
      <c r="B631" t="str">
        <f ca="1">'Query Example'!D631</f>
        <v>Gyrocopter</v>
      </c>
      <c r="C631" s="11" t="str">
        <f>CONCATENATE(Sheet2!F631,"/",Sheet2!E631)</f>
        <v>1/Piston</v>
      </c>
      <c r="D631" t="str">
        <f>CONCATENATE(Sheet2!B631,", ",Sheet2!C631)</f>
        <v>CHAYAIR, Sycamore</v>
      </c>
    </row>
    <row r="632" spans="1:4" x14ac:dyDescent="0.2">
      <c r="A632" t="str">
        <f>Sheet2!A632</f>
        <v>CICA</v>
      </c>
      <c r="B632" t="str">
        <f ca="1">'Query Example'!D632</f>
        <v>LandPlane</v>
      </c>
      <c r="C632" s="11" t="str">
        <f>CONCATENATE(Sheet2!F632,"/",Sheet2!E632)</f>
        <v>2/Piston</v>
      </c>
      <c r="D632" t="str">
        <f>CONCATENATE(Sheet2!B632,", ",Sheet2!C632)</f>
        <v>HYDROPLANE, SkyWind</v>
      </c>
    </row>
    <row r="633" spans="1:4" x14ac:dyDescent="0.2">
      <c r="A633" t="str">
        <f>Sheet2!A633</f>
        <v>CJ1</v>
      </c>
      <c r="B633" t="str">
        <f ca="1">'Query Example'!D633</f>
        <v>LandPlane</v>
      </c>
      <c r="C633" s="11" t="str">
        <f>CONCATENATE(Sheet2!F633,"/",Sheet2!E633)</f>
        <v>1/Piston</v>
      </c>
      <c r="D633" t="str">
        <f>CONCATENATE(Sheet2!B633,", ",Sheet2!C633)</f>
        <v>CORBY, CJ-1 Starlet</v>
      </c>
    </row>
    <row r="634" spans="1:4" x14ac:dyDescent="0.2">
      <c r="A634" t="str">
        <f>Sheet2!A634</f>
        <v>CJ6</v>
      </c>
      <c r="B634" t="str">
        <f ca="1">'Query Example'!D634</f>
        <v>LandPlane</v>
      </c>
      <c r="C634" s="11" t="str">
        <f>CONCATENATE(Sheet2!F634,"/",Sheet2!E634)</f>
        <v>1/Piston</v>
      </c>
      <c r="D634" t="str">
        <f>CONCATENATE(Sheet2!B634,", ",Sheet2!C634)</f>
        <v>NANCHANG, CJ-6</v>
      </c>
    </row>
    <row r="635" spans="1:4" x14ac:dyDescent="0.2">
      <c r="A635" t="str">
        <f>Sheet2!A635</f>
        <v>CKUO</v>
      </c>
      <c r="B635" t="str">
        <f ca="1">'Query Example'!D635</f>
        <v>LandPlane</v>
      </c>
      <c r="C635" s="11" t="str">
        <f>CONCATENATE(Sheet2!F635,"/",Sheet2!E635)</f>
        <v>2/Jet</v>
      </c>
      <c r="D635" t="str">
        <f>CONCATENATE(Sheet2!B635,", ",Sheet2!C635)</f>
        <v>AIDC, F-CK-1 Ching-Kuo</v>
      </c>
    </row>
    <row r="636" spans="1:4" x14ac:dyDescent="0.2">
      <c r="A636" t="str">
        <f>Sheet2!A636</f>
        <v>CL2P</v>
      </c>
      <c r="B636" t="str">
        <f ca="1">'Query Example'!D636</f>
        <v>Amphibian</v>
      </c>
      <c r="C636" s="11" t="str">
        <f>CONCATENATE(Sheet2!F636,"/",Sheet2!E636)</f>
        <v>2/Piston</v>
      </c>
      <c r="D636" t="str">
        <f>CONCATENATE(Sheet2!B636,", ",Sheet2!C636)</f>
        <v>CANADAIR, CL-215</v>
      </c>
    </row>
    <row r="637" spans="1:4" x14ac:dyDescent="0.2">
      <c r="A637" t="str">
        <f>Sheet2!A637</f>
        <v>CL2T</v>
      </c>
      <c r="B637" t="str">
        <f ca="1">'Query Example'!D637</f>
        <v>Amphibian</v>
      </c>
      <c r="C637" s="11" t="str">
        <f>CONCATENATE(Sheet2!F637,"/",Sheet2!E637)</f>
        <v>2/Turboprop/Turboshaft</v>
      </c>
      <c r="D637" t="str">
        <f>CONCATENATE(Sheet2!B637,", ",Sheet2!C637)</f>
        <v>CANADAIR, CL-215T</v>
      </c>
    </row>
    <row r="638" spans="1:4" x14ac:dyDescent="0.2">
      <c r="A638" t="str">
        <f>Sheet2!A638</f>
        <v>CL2T</v>
      </c>
      <c r="B638" t="str">
        <f ca="1">'Query Example'!D638</f>
        <v>Amphibian</v>
      </c>
      <c r="C638" s="11" t="str">
        <f>CONCATENATE(Sheet2!F638,"/",Sheet2!E638)</f>
        <v>2/Turboprop/Turboshaft</v>
      </c>
      <c r="D638" t="str">
        <f>CONCATENATE(Sheet2!B638,", ",Sheet2!C638)</f>
        <v>CANADAIR, CL-415</v>
      </c>
    </row>
    <row r="639" spans="1:4" x14ac:dyDescent="0.2">
      <c r="A639" t="str">
        <f>Sheet2!A639</f>
        <v>CL30</v>
      </c>
      <c r="B639" t="str">
        <f ca="1">'Query Example'!D639</f>
        <v>LandPlane</v>
      </c>
      <c r="C639" s="11" t="str">
        <f>CONCATENATE(Sheet2!F639,"/",Sheet2!E639)</f>
        <v>2/Jet</v>
      </c>
      <c r="D639" t="str">
        <f>CONCATENATE(Sheet2!B639,", ",Sheet2!C639)</f>
        <v>BOMBARDIER, Challenger 300</v>
      </c>
    </row>
    <row r="640" spans="1:4" x14ac:dyDescent="0.2">
      <c r="A640" t="str">
        <f>Sheet2!A640</f>
        <v>CL35</v>
      </c>
      <c r="B640" t="str">
        <f ca="1">'Query Example'!D640</f>
        <v>LandPlane</v>
      </c>
      <c r="C640" s="11" t="str">
        <f>CONCATENATE(Sheet2!F640,"/",Sheet2!E640)</f>
        <v>2/Jet</v>
      </c>
      <c r="D640" t="str">
        <f>CONCATENATE(Sheet2!B640,", ",Sheet2!C640)</f>
        <v>BOMBARDIER, Challenger 350</v>
      </c>
    </row>
    <row r="641" spans="1:4" x14ac:dyDescent="0.2">
      <c r="A641" t="str">
        <f>Sheet2!A641</f>
        <v>CL41</v>
      </c>
      <c r="B641" t="str">
        <f ca="1">'Query Example'!D641</f>
        <v>LandPlane</v>
      </c>
      <c r="C641" s="11" t="str">
        <f>CONCATENATE(Sheet2!F641,"/",Sheet2!E641)</f>
        <v>1/Jet</v>
      </c>
      <c r="D641" t="str">
        <f>CONCATENATE(Sheet2!B641,", ",Sheet2!C641)</f>
        <v>CANADAIR, CL-41 Tutor</v>
      </c>
    </row>
    <row r="642" spans="1:4" x14ac:dyDescent="0.2">
      <c r="A642" t="str">
        <f>Sheet2!A642</f>
        <v>CL4G</v>
      </c>
      <c r="B642" t="str">
        <f ca="1">'Query Example'!D642</f>
        <v>LandPlane</v>
      </c>
      <c r="C642" s="11" t="str">
        <f>CONCATENATE(Sheet2!F642,"/",Sheet2!E642)</f>
        <v>4/Turboprop/Turboshaft</v>
      </c>
      <c r="D642" t="str">
        <f>CONCATENATE(Sheet2!B642,", ",Sheet2!C642)</f>
        <v>CANADAIR, CL-44-O Guppy</v>
      </c>
    </row>
    <row r="643" spans="1:4" x14ac:dyDescent="0.2">
      <c r="A643" t="str">
        <f>Sheet2!A643</f>
        <v>CL60</v>
      </c>
      <c r="B643" t="str">
        <f ca="1">'Query Example'!D643</f>
        <v>LandPlane</v>
      </c>
      <c r="C643" s="11" t="str">
        <f>CONCATENATE(Sheet2!F643,"/",Sheet2!E643)</f>
        <v>2/Jet</v>
      </c>
      <c r="D643" t="str">
        <f>CONCATENATE(Sheet2!B643,", ",Sheet2!C643)</f>
        <v>CANADAIR, Challenger 600</v>
      </c>
    </row>
    <row r="644" spans="1:4" x14ac:dyDescent="0.2">
      <c r="A644" t="str">
        <f>Sheet2!A644</f>
        <v>CL8</v>
      </c>
      <c r="B644" t="str">
        <f ca="1">'Query Example'!D644</f>
        <v>LandPlane</v>
      </c>
      <c r="C644" s="11" t="str">
        <f>CONCATENATE(Sheet2!F644,"/",Sheet2!E644)</f>
        <v>1/Piston</v>
      </c>
      <c r="D644" t="str">
        <f>CONCATENATE(Sheet2!B644,", ",Sheet2!C644)</f>
        <v>CARRIOU, CL-8 RSA Club</v>
      </c>
    </row>
    <row r="645" spans="1:4" x14ac:dyDescent="0.2">
      <c r="A645" t="str">
        <f>Sheet2!A645</f>
        <v>CLA</v>
      </c>
      <c r="B645" t="str">
        <f ca="1">'Query Example'!D645</f>
        <v>LandPlane</v>
      </c>
      <c r="C645" s="11" t="str">
        <f>CONCATENATE(Sheet2!F645,"/",Sheet2!E645)</f>
        <v>1/Piston</v>
      </c>
      <c r="D645" t="str">
        <f>CONCATENATE(Sheet2!B645,", ",Sheet2!C645)</f>
        <v>CALLAIR, A-2</v>
      </c>
    </row>
    <row r="646" spans="1:4" x14ac:dyDescent="0.2">
      <c r="A646" t="str">
        <f>Sheet2!A646</f>
        <v>CLB1</v>
      </c>
      <c r="B646" t="str">
        <f ca="1">'Query Example'!D646</f>
        <v>LandPlane</v>
      </c>
      <c r="C646" s="11" t="str">
        <f>CONCATENATE(Sheet2!F646,"/",Sheet2!E646)</f>
        <v>1/Piston</v>
      </c>
      <c r="D646" t="str">
        <f>CONCATENATE(Sheet2!B646,", ",Sheet2!C646)</f>
        <v>AERO COMMANDER, B-1 Ag Commander</v>
      </c>
    </row>
    <row r="647" spans="1:4" x14ac:dyDescent="0.2">
      <c r="A647" t="str">
        <f>Sheet2!A647</f>
        <v>CLBR</v>
      </c>
      <c r="B647" t="str">
        <f ca="1">'Query Example'!D647</f>
        <v>LandPlane</v>
      </c>
      <c r="C647" s="11" t="str">
        <f>CONCATENATE(Sheet2!F647,"/",Sheet2!E647)</f>
        <v>1/Piston</v>
      </c>
      <c r="D647" t="str">
        <f>CONCATENATE(Sheet2!B647,", ",Sheet2!C647)</f>
        <v>FISHER AERO, Celebrity</v>
      </c>
    </row>
    <row r="648" spans="1:4" x14ac:dyDescent="0.2">
      <c r="A648" t="str">
        <f>Sheet2!A648</f>
        <v>CLD2</v>
      </c>
      <c r="B648" t="str">
        <f ca="1">'Query Example'!D648</f>
        <v>Gyrocopter</v>
      </c>
      <c r="C648" s="11" t="str">
        <f>CONCATENATE(Sheet2!F648,"/",Sheet2!E648)</f>
        <v>1/Piston</v>
      </c>
      <c r="D648" t="str">
        <f>CONCATENATE(Sheet2!B648,", ",Sheet2!C648)</f>
        <v>ROTORTEC, Cloud Dancer 2</v>
      </c>
    </row>
    <row r="649" spans="1:4" x14ac:dyDescent="0.2">
      <c r="A649" t="str">
        <f>Sheet2!A649</f>
        <v>CLDS</v>
      </c>
      <c r="B649" t="str">
        <f ca="1">'Query Example'!D649</f>
        <v>LandPlane</v>
      </c>
      <c r="C649" s="11" t="str">
        <f>CONCATENATE(Sheet2!F649,"/",Sheet2!E649)</f>
        <v>1/Piston</v>
      </c>
      <c r="D649" t="str">
        <f>CONCATENATE(Sheet2!B649,", ",Sheet2!C649)</f>
        <v>REARWIN, Cloudster</v>
      </c>
    </row>
    <row r="650" spans="1:4" x14ac:dyDescent="0.2">
      <c r="A650" t="str">
        <f>Sheet2!A650</f>
        <v>CLON</v>
      </c>
      <c r="B650" t="str">
        <f ca="1">'Query Example'!D650</f>
        <v>Gyrocopter</v>
      </c>
      <c r="C650" s="11" t="str">
        <f>CONCATENATE(Sheet2!F650,"/",Sheet2!E650)</f>
        <v>1/Piston</v>
      </c>
      <c r="D650" t="str">
        <f>CONCATENATE(Sheet2!B650,", ",Sheet2!C650)</f>
        <v>ROTORSPORT, Cavalon</v>
      </c>
    </row>
    <row r="651" spans="1:4" x14ac:dyDescent="0.2">
      <c r="A651" t="str">
        <f>Sheet2!A651</f>
        <v>CMA3</v>
      </c>
      <c r="B651" t="str">
        <f ca="1">'Query Example'!D651</f>
        <v>LandPlane</v>
      </c>
      <c r="C651" s="11" t="str">
        <f>CONCATENATE(Sheet2!F651,"/",Sheet2!E651)</f>
        <v>1/Piston</v>
      </c>
      <c r="D651" t="str">
        <f>CONCATENATE(Sheet2!B651,", ",Sheet2!C651)</f>
        <v>COLYAER, Martin 3</v>
      </c>
    </row>
    <row r="652" spans="1:4" x14ac:dyDescent="0.2">
      <c r="A652" t="str">
        <f>Sheet2!A652</f>
        <v>CMAS</v>
      </c>
      <c r="B652" t="str">
        <f ca="1">'Query Example'!D652</f>
        <v>LandPlane</v>
      </c>
      <c r="C652" s="11" t="str">
        <f>CONCATENATE(Sheet2!F652,"/",Sheet2!E652)</f>
        <v>1/Piston</v>
      </c>
      <c r="D652" t="str">
        <f>CONCATENATE(Sheet2!B652,", ",Sheet2!C652)</f>
        <v>CESSNA, C-165 Airmaster</v>
      </c>
    </row>
    <row r="653" spans="1:4" x14ac:dyDescent="0.2">
      <c r="A653" t="str">
        <f>Sheet2!A653</f>
        <v>CMD1</v>
      </c>
      <c r="B653" t="str">
        <f ca="1">'Query Example'!D653</f>
        <v>Gyrocopter</v>
      </c>
      <c r="C653" s="11" t="str">
        <f>CONCATENATE(Sheet2!F653,"/",Sheet2!E653)</f>
        <v>1/Piston</v>
      </c>
      <c r="D653" t="str">
        <f>CONCATENATE(Sheet2!B653,", ",Sheet2!C653)</f>
        <v>AIR COMMAND, Commander 147</v>
      </c>
    </row>
    <row r="654" spans="1:4" x14ac:dyDescent="0.2">
      <c r="A654" t="str">
        <f>Sheet2!A654</f>
        <v>CMDE</v>
      </c>
      <c r="B654" t="str">
        <f ca="1">'Query Example'!D654</f>
        <v>Gyrocopter</v>
      </c>
      <c r="C654" s="11" t="str">
        <f>CONCATENATE(Sheet2!F654,"/",Sheet2!E654)</f>
        <v>1/Piston</v>
      </c>
      <c r="D654" t="str">
        <f>CONCATENATE(Sheet2!B654,", ",Sheet2!C654)</f>
        <v>AIR COMMAND, Commander Elite Side-by-Side</v>
      </c>
    </row>
    <row r="655" spans="1:4" x14ac:dyDescent="0.2">
      <c r="A655" t="str">
        <f>Sheet2!A655</f>
        <v>CMDT</v>
      </c>
      <c r="B655" t="str">
        <f ca="1">'Query Example'!D655</f>
        <v>Gyrocopter</v>
      </c>
      <c r="C655" s="11" t="str">
        <f>CONCATENATE(Sheet2!F655,"/",Sheet2!E655)</f>
        <v>1/Piston</v>
      </c>
      <c r="D655" t="str">
        <f>CONCATENATE(Sheet2!B655,", ",Sheet2!C655)</f>
        <v>AIR COMMAND, Commander  Elite Tandem</v>
      </c>
    </row>
    <row r="656" spans="1:4" x14ac:dyDescent="0.2">
      <c r="A656" t="str">
        <f>Sheet2!A656</f>
        <v>CN12</v>
      </c>
      <c r="B656" t="str">
        <f ca="1">'Query Example'!D656</f>
        <v>LandPlane</v>
      </c>
      <c r="C656" s="11" t="str">
        <f>CONCATENATE(Sheet2!F656,"/",Sheet2!E656)</f>
        <v>1/Piston</v>
      </c>
      <c r="D656" t="str">
        <f>CONCATENATE(Sheet2!B656,", ",Sheet2!C656)</f>
        <v>CIRCA, Nieuport 12-7/8</v>
      </c>
    </row>
    <row r="657" spans="1:4" x14ac:dyDescent="0.2">
      <c r="A657" t="str">
        <f>Sheet2!A657</f>
        <v>CN35</v>
      </c>
      <c r="B657" t="str">
        <f ca="1">'Query Example'!D657</f>
        <v>LandPlane</v>
      </c>
      <c r="C657" s="11" t="str">
        <f>CONCATENATE(Sheet2!F657,"/",Sheet2!E657)</f>
        <v>2/Turboprop/Turboshaft</v>
      </c>
      <c r="D657" t="str">
        <f>CONCATENATE(Sheet2!B657,", ",Sheet2!C657)</f>
        <v>CASA, CN-235 Persuader</v>
      </c>
    </row>
    <row r="658" spans="1:4" x14ac:dyDescent="0.2">
      <c r="A658" t="str">
        <f>Sheet2!A658</f>
        <v>CNBR</v>
      </c>
      <c r="B658" t="str">
        <f ca="1">'Query Example'!D658</f>
        <v>LandPlane</v>
      </c>
      <c r="C658" s="11" t="str">
        <f>CONCATENATE(Sheet2!F658,"/",Sheet2!E658)</f>
        <v>2/Jet</v>
      </c>
      <c r="D658" t="str">
        <f>CONCATENATE(Sheet2!B658,", ",Sheet2!C658)</f>
        <v>ENGLISH ELECTRIC, Canberra</v>
      </c>
    </row>
    <row r="659" spans="1:4" x14ac:dyDescent="0.2">
      <c r="A659" t="str">
        <f>Sheet2!A659</f>
        <v>CNDR</v>
      </c>
      <c r="B659" t="str">
        <f ca="1">'Query Example'!D659</f>
        <v>LandPlane</v>
      </c>
      <c r="C659" s="11" t="str">
        <f>CONCATENATE(Sheet2!F659,"/",Sheet2!E659)</f>
        <v>2/Turboprop/Turboshaft</v>
      </c>
      <c r="D659" t="str">
        <f>CONCATENATE(Sheet2!B659,", ",Sheet2!C659)</f>
        <v>GENERAL AVIA, F-20TP Condor</v>
      </c>
    </row>
    <row r="660" spans="1:4" x14ac:dyDescent="0.2">
      <c r="A660" t="str">
        <f>Sheet2!A660</f>
        <v>CNGP</v>
      </c>
      <c r="B660" t="str">
        <f ca="1">'Query Example'!D660</f>
        <v>LandPlane</v>
      </c>
      <c r="C660" s="11" t="str">
        <f>CONCATENATE(Sheet2!F660,"/",Sheet2!E660)</f>
        <v>1/Piston</v>
      </c>
      <c r="D660" t="str">
        <f>CONCATENATE(Sheet2!B660,", ",Sheet2!C660)</f>
        <v>CESSNA, NGP</v>
      </c>
    </row>
    <row r="661" spans="1:4" x14ac:dyDescent="0.2">
      <c r="A661" t="str">
        <f>Sheet2!A661</f>
        <v>CNUK</v>
      </c>
      <c r="B661" t="str">
        <f ca="1">'Query Example'!D661</f>
        <v>LandPlane</v>
      </c>
      <c r="C661" s="11" t="str">
        <f>CONCATENATE(Sheet2!F661,"/",Sheet2!E661)</f>
        <v>1/Piston</v>
      </c>
      <c r="D661" t="str">
        <f>CONCATENATE(Sheet2!B661,", ",Sheet2!C661)</f>
        <v>FLEET, 80 Canuck</v>
      </c>
    </row>
    <row r="662" spans="1:4" x14ac:dyDescent="0.2">
      <c r="A662" t="str">
        <f>Sheet2!A662</f>
        <v>CO50</v>
      </c>
      <c r="B662" t="str">
        <f ca="1">'Query Example'!D662</f>
        <v>LandPlane</v>
      </c>
      <c r="C662" s="11" t="str">
        <f>CONCATENATE(Sheet2!F662,"/",Sheet2!E662)</f>
        <v>1/Piston</v>
      </c>
      <c r="D662" t="str">
        <f>CONCATENATE(Sheet2!B662,", ",Sheet2!C662)</f>
        <v>COBALT, Co-50 Valkyrie</v>
      </c>
    </row>
    <row r="663" spans="1:4" x14ac:dyDescent="0.2">
      <c r="A663" t="str">
        <f>Sheet2!A663</f>
        <v>COAR</v>
      </c>
      <c r="B663" t="str">
        <f ca="1">'Query Example'!D663</f>
        <v>LandPlane</v>
      </c>
      <c r="C663" s="11" t="str">
        <f>CONCATENATE(Sheet2!F663,"/",Sheet2!E663)</f>
        <v>1/Piston</v>
      </c>
      <c r="D663" t="str">
        <f>CONCATENATE(Sheet2!B663,", ",Sheet2!C663)</f>
        <v>COBRA, Arrow</v>
      </c>
    </row>
    <row r="664" spans="1:4" x14ac:dyDescent="0.2">
      <c r="A664" t="str">
        <f>Sheet2!A664</f>
        <v>COBR</v>
      </c>
      <c r="B664" t="str">
        <f ca="1">'Query Example'!D664</f>
        <v>LandPlane</v>
      </c>
      <c r="C664" s="11" t="str">
        <f>CONCATENATE(Sheet2!F664,"/",Sheet2!E664)</f>
        <v>1/Piston</v>
      </c>
      <c r="D664" t="str">
        <f>CONCATENATE(Sheet2!B664,", ",Sheet2!C664)</f>
        <v>DEBORDE-ROLLAND, Cobra</v>
      </c>
    </row>
    <row r="665" spans="1:4" x14ac:dyDescent="0.2">
      <c r="A665" t="str">
        <f>Sheet2!A665</f>
        <v>COL3</v>
      </c>
      <c r="B665" t="str">
        <f ca="1">'Query Example'!D665</f>
        <v>LandPlane</v>
      </c>
      <c r="C665" s="11" t="str">
        <f>CONCATENATE(Sheet2!F665,"/",Sheet2!E665)</f>
        <v>1/Piston</v>
      </c>
      <c r="D665" t="str">
        <f>CONCATENATE(Sheet2!B665,", ",Sheet2!C665)</f>
        <v>CESSNA, 350 Corvalis</v>
      </c>
    </row>
    <row r="666" spans="1:4" x14ac:dyDescent="0.2">
      <c r="A666" t="str">
        <f>Sheet2!A666</f>
        <v>COL4</v>
      </c>
      <c r="B666" t="str">
        <f ca="1">'Query Example'!D666</f>
        <v>LandPlane</v>
      </c>
      <c r="C666" s="11" t="str">
        <f>CONCATENATE(Sheet2!F666,"/",Sheet2!E666)</f>
        <v>1/Piston</v>
      </c>
      <c r="D666" t="str">
        <f>CONCATENATE(Sheet2!B666,", ",Sheet2!C666)</f>
        <v>CESSNA, 400 Corvalis TT</v>
      </c>
    </row>
    <row r="667" spans="1:4" x14ac:dyDescent="0.2">
      <c r="A667" t="str">
        <f>Sheet2!A667</f>
        <v>COLT</v>
      </c>
      <c r="B667" t="str">
        <f ca="1">'Query Example'!D667</f>
        <v>LandPlane</v>
      </c>
      <c r="C667" s="11" t="str">
        <f>CONCATENATE(Sheet2!F667,"/",Sheet2!E667)</f>
        <v>1/Piston</v>
      </c>
      <c r="D667" t="str">
        <f>CONCATENATE(Sheet2!B667,", ",Sheet2!C667)</f>
        <v>TEXAS AIRCRAFT, TA-01</v>
      </c>
    </row>
    <row r="668" spans="1:4" x14ac:dyDescent="0.2">
      <c r="A668" t="str">
        <f>Sheet2!A668</f>
        <v>COMU</v>
      </c>
      <c r="B668" t="str">
        <f ca="1">'Query Example'!D668</f>
        <v>Helicopter</v>
      </c>
      <c r="C668" s="11" t="str">
        <f>CONCATENATE(Sheet2!F668,"/",Sheet2!E668)</f>
        <v>1/Piston</v>
      </c>
      <c r="D668" t="str">
        <f>CONCATENATE(Sheet2!B668,", ",Sheet2!C668)</f>
        <v>HELICOM, H-1 Commuter</v>
      </c>
    </row>
    <row r="669" spans="1:4" x14ac:dyDescent="0.2">
      <c r="A669" t="str">
        <f>Sheet2!A669</f>
        <v>CONI</v>
      </c>
      <c r="B669" t="str">
        <f ca="1">'Query Example'!D669</f>
        <v>LandPlane</v>
      </c>
      <c r="C669" s="11" t="str">
        <f>CONCATENATE(Sheet2!F669,"/",Sheet2!E669)</f>
        <v>4/Piston</v>
      </c>
      <c r="D669" t="str">
        <f>CONCATENATE(Sheet2!B669,", ",Sheet2!C669)</f>
        <v>LOCKHEED, C-121 Constellation</v>
      </c>
    </row>
    <row r="670" spans="1:4" x14ac:dyDescent="0.2">
      <c r="A670" t="str">
        <f>Sheet2!A670</f>
        <v>COOT</v>
      </c>
      <c r="B670" t="str">
        <f ca="1">'Query Example'!D670</f>
        <v>Amphibian</v>
      </c>
      <c r="C670" s="11" t="str">
        <f>CONCATENATE(Sheet2!F670,"/",Sheet2!E670)</f>
        <v>1/Piston</v>
      </c>
      <c r="D670" t="str">
        <f>CONCATENATE(Sheet2!B670,", ",Sheet2!C670)</f>
        <v>TAYLOR (2), Coot</v>
      </c>
    </row>
    <row r="671" spans="1:4" x14ac:dyDescent="0.2">
      <c r="A671" t="str">
        <f>Sheet2!A671</f>
        <v>CORO</v>
      </c>
      <c r="B671" t="str">
        <f ca="1">'Query Example'!D671</f>
        <v>LandPlane</v>
      </c>
      <c r="C671" s="11" t="str">
        <f>CONCATENATE(Sheet2!F671,"/",Sheet2!E671)</f>
        <v>1/Piston</v>
      </c>
      <c r="D671" t="str">
        <f>CONCATENATE(Sheet2!B671,", ",Sheet2!C671)</f>
        <v>CORVUS, CA-21 Phantom</v>
      </c>
    </row>
    <row r="672" spans="1:4" x14ac:dyDescent="0.2">
      <c r="A672" t="str">
        <f>Sheet2!A672</f>
        <v>CORR</v>
      </c>
      <c r="B672" t="str">
        <f ca="1">'Query Example'!D672</f>
        <v>LandPlane</v>
      </c>
      <c r="C672" s="11" t="str">
        <f>CONCATENATE(Sheet2!F672,"/",Sheet2!E672)</f>
        <v>1/Piston</v>
      </c>
      <c r="D672" t="str">
        <f>CONCATENATE(Sheet2!B672,", ",Sheet2!C672)</f>
        <v>SIVEL, SD-27 Corriedale</v>
      </c>
    </row>
    <row r="673" spans="1:4" x14ac:dyDescent="0.2">
      <c r="A673" t="str">
        <f>Sheet2!A673</f>
        <v>CORS</v>
      </c>
      <c r="B673" t="str">
        <f ca="1">'Query Example'!D673</f>
        <v>LandPlane</v>
      </c>
      <c r="C673" s="11" t="str">
        <f>CONCATENATE(Sheet2!F673,"/",Sheet2!E673)</f>
        <v>1/Piston</v>
      </c>
      <c r="D673" t="str">
        <f>CONCATENATE(Sheet2!B673,", ",Sheet2!C673)</f>
        <v>CHANCE VOUGHT, F4U Corsair</v>
      </c>
    </row>
    <row r="674" spans="1:4" x14ac:dyDescent="0.2">
      <c r="A674" t="str">
        <f>Sheet2!A674</f>
        <v>CORV</v>
      </c>
      <c r="B674" t="str">
        <f ca="1">'Query Example'!D674</f>
        <v>LandPlane</v>
      </c>
      <c r="C674" s="11" t="str">
        <f>CONCATENATE(Sheet2!F674,"/",Sheet2!E674)</f>
        <v>2/Piston</v>
      </c>
      <c r="D674" t="str">
        <f>CONCATENATE(Sheet2!B674,", ",Sheet2!C674)</f>
        <v>WOLFSBERG, Corvus</v>
      </c>
    </row>
    <row r="675" spans="1:4" x14ac:dyDescent="0.2">
      <c r="A675" t="str">
        <f>Sheet2!A675</f>
        <v>COUG</v>
      </c>
      <c r="B675" t="str">
        <f ca="1">'Query Example'!D675</f>
        <v>LandPlane</v>
      </c>
      <c r="C675" s="11" t="str">
        <f>CONCATENATE(Sheet2!F675,"/",Sheet2!E675)</f>
        <v>1/Piston</v>
      </c>
      <c r="D675" t="str">
        <f>CONCATENATE(Sheet2!B675,", ",Sheet2!C675)</f>
        <v>NESMITH, Cougar</v>
      </c>
    </row>
    <row r="676" spans="1:4" x14ac:dyDescent="0.2">
      <c r="A676" t="str">
        <f>Sheet2!A676</f>
        <v>COUR</v>
      </c>
      <c r="B676" t="str">
        <f ca="1">'Query Example'!D676</f>
        <v>LandPlane</v>
      </c>
      <c r="C676" s="11" t="str">
        <f>CONCATENATE(Sheet2!F676,"/",Sheet2!E676)</f>
        <v>1/Piston</v>
      </c>
      <c r="D676" t="str">
        <f>CONCATENATE(Sheet2!B676,", ",Sheet2!C676)</f>
        <v>HELIO, U-10 Super Courier</v>
      </c>
    </row>
    <row r="677" spans="1:4" x14ac:dyDescent="0.2">
      <c r="A677" t="str">
        <f>Sheet2!A677</f>
        <v>COY2</v>
      </c>
      <c r="B677" t="str">
        <f ca="1">'Query Example'!D677</f>
        <v>LandPlane</v>
      </c>
      <c r="C677" s="11" t="str">
        <f>CONCATENATE(Sheet2!F677,"/",Sheet2!E677)</f>
        <v>1/Piston</v>
      </c>
      <c r="D677" t="str">
        <f>CONCATENATE(Sheet2!B677,", ",Sheet2!C677)</f>
        <v>RANS, S-6 Coyote 2</v>
      </c>
    </row>
    <row r="678" spans="1:4" x14ac:dyDescent="0.2">
      <c r="A678" t="str">
        <f>Sheet2!A678</f>
        <v>COZJ</v>
      </c>
      <c r="B678" t="str">
        <f ca="1">'Query Example'!D678</f>
        <v>LandPlane</v>
      </c>
      <c r="C678" s="11" t="str">
        <f>CONCATENATE(Sheet2!F678,"/",Sheet2!E678)</f>
        <v>1/Jet</v>
      </c>
      <c r="D678" t="str">
        <f>CONCATENATE(Sheet2!B678,", ",Sheet2!C678)</f>
        <v>CO-Z, CozyJet</v>
      </c>
    </row>
    <row r="679" spans="1:4" x14ac:dyDescent="0.2">
      <c r="A679" t="str">
        <f>Sheet2!A679</f>
        <v>COZY</v>
      </c>
      <c r="B679" t="str">
        <f ca="1">'Query Example'!D679</f>
        <v>LandPlane</v>
      </c>
      <c r="C679" s="11" t="str">
        <f>CONCATENATE(Sheet2!F679,"/",Sheet2!E679)</f>
        <v>1/Piston</v>
      </c>
      <c r="D679" t="str">
        <f>CONCATENATE(Sheet2!B679,", ",Sheet2!C679)</f>
        <v>AEROCAD, AeroCanard</v>
      </c>
    </row>
    <row r="680" spans="1:4" x14ac:dyDescent="0.2">
      <c r="A680" t="str">
        <f>Sheet2!A680</f>
        <v>CP10</v>
      </c>
      <c r="B680" t="str">
        <f ca="1">'Query Example'!D680</f>
        <v>LandPlane</v>
      </c>
      <c r="C680" s="11" t="str">
        <f>CONCATENATE(Sheet2!F680,"/",Sheet2!E680)</f>
        <v>1/Piston</v>
      </c>
      <c r="D680" t="str">
        <f>CONCATENATE(Sheet2!B680,", ",Sheet2!C680)</f>
        <v>MUDRY, CAP-10</v>
      </c>
    </row>
    <row r="681" spans="1:4" x14ac:dyDescent="0.2">
      <c r="A681" t="str">
        <f>Sheet2!A681</f>
        <v>CP13</v>
      </c>
      <c r="B681" t="str">
        <f ca="1">'Query Example'!D681</f>
        <v>LandPlane</v>
      </c>
      <c r="C681" s="11" t="str">
        <f>CONCATENATE(Sheet2!F681,"/",Sheet2!E681)</f>
        <v>1/Piston</v>
      </c>
      <c r="D681" t="str">
        <f>CONCATENATE(Sheet2!B681,", ",Sheet2!C681)</f>
        <v>PIEL, Super Emeraude (CP-1310/1315/1330)</v>
      </c>
    </row>
    <row r="682" spans="1:4" x14ac:dyDescent="0.2">
      <c r="A682" t="str">
        <f>Sheet2!A682</f>
        <v>CP20</v>
      </c>
      <c r="B682" t="str">
        <f ca="1">'Query Example'!D682</f>
        <v>LandPlane</v>
      </c>
      <c r="C682" s="11" t="str">
        <f>CONCATENATE(Sheet2!F682,"/",Sheet2!E682)</f>
        <v>1/Piston</v>
      </c>
      <c r="D682" t="str">
        <f>CONCATENATE(Sheet2!B682,", ",Sheet2!C682)</f>
        <v>MUDRY, CAP-20</v>
      </c>
    </row>
    <row r="683" spans="1:4" x14ac:dyDescent="0.2">
      <c r="A683" t="str">
        <f>Sheet2!A683</f>
        <v>CP21</v>
      </c>
      <c r="B683" t="str">
        <f ca="1">'Query Example'!D683</f>
        <v>LandPlane</v>
      </c>
      <c r="C683" s="11" t="str">
        <f>CONCATENATE(Sheet2!F683,"/",Sheet2!E683)</f>
        <v>1/Piston</v>
      </c>
      <c r="D683" t="str">
        <f>CONCATENATE(Sheet2!B683,", ",Sheet2!C683)</f>
        <v>MUDRY, CAP-21</v>
      </c>
    </row>
    <row r="684" spans="1:4" x14ac:dyDescent="0.2">
      <c r="A684" t="str">
        <f>Sheet2!A684</f>
        <v>CP22</v>
      </c>
      <c r="B684" t="str">
        <f ca="1">'Query Example'!D684</f>
        <v>LandPlane</v>
      </c>
      <c r="C684" s="11" t="str">
        <f>CONCATENATE(Sheet2!F684,"/",Sheet2!E684)</f>
        <v>1/Piston</v>
      </c>
      <c r="D684" t="str">
        <f>CONCATENATE(Sheet2!B684,", ",Sheet2!C684)</f>
        <v>GILES, G-222</v>
      </c>
    </row>
    <row r="685" spans="1:4" x14ac:dyDescent="0.2">
      <c r="A685" t="str">
        <f>Sheet2!A685</f>
        <v>CP23</v>
      </c>
      <c r="B685" t="str">
        <f ca="1">'Query Example'!D685</f>
        <v>LandPlane</v>
      </c>
      <c r="C685" s="11" t="str">
        <f>CONCATENATE(Sheet2!F685,"/",Sheet2!E685)</f>
        <v>1/Piston</v>
      </c>
      <c r="D685" t="str">
        <f>CONCATENATE(Sheet2!B685,", ",Sheet2!C685)</f>
        <v>MUDRY, CAP-230</v>
      </c>
    </row>
    <row r="686" spans="1:4" x14ac:dyDescent="0.2">
      <c r="A686" t="str">
        <f>Sheet2!A686</f>
        <v>CP30</v>
      </c>
      <c r="B686" t="str">
        <f ca="1">'Query Example'!D686</f>
        <v>LandPlane</v>
      </c>
      <c r="C686" s="11" t="str">
        <f>CONCATENATE(Sheet2!F686,"/",Sheet2!E686)</f>
        <v>1/Piston</v>
      </c>
      <c r="D686" t="str">
        <f>CONCATENATE(Sheet2!B686,", ",Sheet2!C686)</f>
        <v>PIEL, CP-30 Emeraude</v>
      </c>
    </row>
    <row r="687" spans="1:4" x14ac:dyDescent="0.2">
      <c r="A687" t="str">
        <f>Sheet2!A687</f>
        <v>CP32</v>
      </c>
      <c r="B687" t="str">
        <f ca="1">'Query Example'!D687</f>
        <v>LandPlane</v>
      </c>
      <c r="C687" s="11" t="str">
        <f>CONCATENATE(Sheet2!F687,"/",Sheet2!E687)</f>
        <v>1/Piston</v>
      </c>
      <c r="D687" t="str">
        <f>CONCATENATE(Sheet2!B687,", ",Sheet2!C687)</f>
        <v>PIEL, Super Emeraude (CP-320/325/328)</v>
      </c>
    </row>
    <row r="688" spans="1:4" x14ac:dyDescent="0.2">
      <c r="A688" t="str">
        <f>Sheet2!A688</f>
        <v>CP60</v>
      </c>
      <c r="B688" t="str">
        <f ca="1">'Query Example'!D688</f>
        <v>LandPlane</v>
      </c>
      <c r="C688" s="11" t="str">
        <f>CONCATENATE(Sheet2!F688,"/",Sheet2!E688)</f>
        <v>1/Piston</v>
      </c>
      <c r="D688" t="str">
        <f>CONCATENATE(Sheet2!B688,", ",Sheet2!C688)</f>
        <v>PIEL, CP-60 Diamant</v>
      </c>
    </row>
    <row r="689" spans="1:4" x14ac:dyDescent="0.2">
      <c r="A689" t="str">
        <f>Sheet2!A689</f>
        <v>CP65</v>
      </c>
      <c r="B689" t="str">
        <f ca="1">'Query Example'!D689</f>
        <v>LandPlane</v>
      </c>
      <c r="C689" s="11" t="str">
        <f>CONCATENATE(Sheet2!F689,"/",Sheet2!E689)</f>
        <v>1/Piston</v>
      </c>
      <c r="D689" t="str">
        <f>CONCATENATE(Sheet2!B689,", ",Sheet2!C689)</f>
        <v>PORTERFIELD, CP-65 Collegiate</v>
      </c>
    </row>
    <row r="690" spans="1:4" x14ac:dyDescent="0.2">
      <c r="A690" t="str">
        <f>Sheet2!A690</f>
        <v>CP75</v>
      </c>
      <c r="B690" t="str">
        <f ca="1">'Query Example'!D690</f>
        <v>LandPlane</v>
      </c>
      <c r="C690" s="11" t="str">
        <f>CONCATENATE(Sheet2!F690,"/",Sheet2!E690)</f>
        <v>1/Piston</v>
      </c>
      <c r="D690" t="str">
        <f>CONCATENATE(Sheet2!B690,", ",Sheet2!C690)</f>
        <v>PIEL, CP-70 Béryl</v>
      </c>
    </row>
    <row r="691" spans="1:4" x14ac:dyDescent="0.2">
      <c r="A691" t="str">
        <f>Sheet2!A691</f>
        <v>CP80</v>
      </c>
      <c r="B691" t="str">
        <f ca="1">'Query Example'!D691</f>
        <v>LandPlane</v>
      </c>
      <c r="C691" s="11" t="str">
        <f>CONCATENATE(Sheet2!F691,"/",Sheet2!E691)</f>
        <v>1/Piston</v>
      </c>
      <c r="D691" t="str">
        <f>CONCATENATE(Sheet2!B691,", ",Sheet2!C691)</f>
        <v>PIEL, CP-80 Zéphir</v>
      </c>
    </row>
    <row r="692" spans="1:4" x14ac:dyDescent="0.2">
      <c r="A692" t="str">
        <f>Sheet2!A692</f>
        <v>CP90</v>
      </c>
      <c r="B692" t="str">
        <f ca="1">'Query Example'!D692</f>
        <v>LandPlane</v>
      </c>
      <c r="C692" s="11" t="str">
        <f>CONCATENATE(Sheet2!F692,"/",Sheet2!E692)</f>
        <v>1/Piston</v>
      </c>
      <c r="D692" t="str">
        <f>CONCATENATE(Sheet2!B692,", ",Sheet2!C692)</f>
        <v>PIEL, CP-90 Pinocchio 2</v>
      </c>
    </row>
    <row r="693" spans="1:4" x14ac:dyDescent="0.2">
      <c r="A693" t="str">
        <f>Sheet2!A693</f>
        <v>CPNA</v>
      </c>
      <c r="B693" t="str">
        <f ca="1">'Query Example'!D693</f>
        <v>LandPlane</v>
      </c>
      <c r="C693" s="11" t="str">
        <f>CONCATENATE(Sheet2!F693,"/",Sheet2!E693)</f>
        <v>1/Piston</v>
      </c>
      <c r="D693" t="str">
        <f>CONCATENATE(Sheet2!B693,", ",Sheet2!C693)</f>
        <v>PENA, Capena</v>
      </c>
    </row>
    <row r="694" spans="1:4" x14ac:dyDescent="0.2">
      <c r="A694" t="str">
        <f>Sheet2!A694</f>
        <v>CPUP</v>
      </c>
      <c r="B694" t="str">
        <f ca="1">'Query Example'!D694</f>
        <v>LandPlane</v>
      </c>
      <c r="C694" s="11" t="str">
        <f>CONCATENATE(Sheet2!F694,"/",Sheet2!E694)</f>
        <v>1/Piston</v>
      </c>
      <c r="D694" t="str">
        <f>CONCATENATE(Sheet2!B694,", ",Sheet2!C694)</f>
        <v>CULP, Sopwith Pup</v>
      </c>
    </row>
    <row r="695" spans="1:4" x14ac:dyDescent="0.2">
      <c r="A695" t="str">
        <f>Sheet2!A695</f>
        <v>CR10</v>
      </c>
      <c r="B695" t="str">
        <f ca="1">'Query Example'!D695</f>
        <v>LandPlane</v>
      </c>
      <c r="C695" s="11" t="str">
        <f>CONCATENATE(Sheet2!F695,"/",Sheet2!E695)</f>
        <v>1/Piston</v>
      </c>
      <c r="D695" t="str">
        <f>CONCATENATE(Sheet2!B695,", ",Sheet2!C695)</f>
        <v>DYN'AERO, CR-100</v>
      </c>
    </row>
    <row r="696" spans="1:4" x14ac:dyDescent="0.2">
      <c r="A696" t="str">
        <f>Sheet2!A696</f>
        <v>CRA1</v>
      </c>
      <c r="B696" t="str">
        <f ca="1">'Query Example'!D696</f>
        <v>LandPlane</v>
      </c>
      <c r="C696" s="11" t="str">
        <f>CONCATENATE(Sheet2!F696,"/",Sheet2!E696)</f>
        <v>1/Piston</v>
      </c>
      <c r="D696" t="str">
        <f>CONCATENATE(Sheet2!B696,", ",Sheet2!C696)</f>
        <v>CRANFIELD, A-1 Eagle</v>
      </c>
    </row>
    <row r="697" spans="1:4" x14ac:dyDescent="0.2">
      <c r="A697" t="str">
        <f>Sheet2!A697</f>
        <v>CRAC</v>
      </c>
      <c r="B697" t="str">
        <f ca="1">'Query Example'!D697</f>
        <v>LandPlane</v>
      </c>
      <c r="C697" s="11" t="str">
        <f>CONCATENATE(Sheet2!F697,"/",Sheet2!E697)</f>
        <v>1/Piston</v>
      </c>
      <c r="D697" t="str">
        <f>CONCATENATE(Sheet2!B697,", ",Sheet2!C697)</f>
        <v>PLUMB, CJ-3 Cracker Jack</v>
      </c>
    </row>
    <row r="698" spans="1:4" x14ac:dyDescent="0.2">
      <c r="A698" t="str">
        <f>Sheet2!A698</f>
        <v>CRBN</v>
      </c>
      <c r="B698" t="str">
        <f ca="1">'Query Example'!D698</f>
        <v>LandPlane</v>
      </c>
      <c r="C698" s="11" t="str">
        <f>CONCATENATE(Sheet2!F698,"/",Sheet2!E698)</f>
        <v>1/Piston</v>
      </c>
      <c r="D698" t="str">
        <f>CONCATENATE(Sheet2!B698,", ",Sheet2!C698)</f>
        <v>CURTISS, 50 Robin</v>
      </c>
    </row>
    <row r="699" spans="1:4" x14ac:dyDescent="0.2">
      <c r="A699" t="str">
        <f>Sheet2!A699</f>
        <v>CRER</v>
      </c>
      <c r="B699" t="str">
        <f ca="1">'Query Example'!D699</f>
        <v>LandPlane</v>
      </c>
      <c r="C699" s="11" t="str">
        <f>CONCATENATE(Sheet2!F699,"/",Sheet2!E699)</f>
        <v>1/Piston</v>
      </c>
      <c r="D699" t="str">
        <f>CONCATENATE(Sheet2!B699,", ",Sheet2!C699)</f>
        <v>RANS, S-7 Courier</v>
      </c>
    </row>
    <row r="700" spans="1:4" x14ac:dyDescent="0.2">
      <c r="A700" t="str">
        <f>Sheet2!A700</f>
        <v>CRES</v>
      </c>
      <c r="B700" t="str">
        <f ca="1">'Query Example'!D700</f>
        <v>LandPlane</v>
      </c>
      <c r="C700" s="11" t="str">
        <f>CONCATENATE(Sheet2!F700,"/",Sheet2!E700)</f>
        <v>1/Turboprop/Turboshaft</v>
      </c>
      <c r="D700" t="str">
        <f>CONCATENATE(Sheet2!B700,", ",Sheet2!C700)</f>
        <v>PACIFIC AEROSPACE, Cresco</v>
      </c>
    </row>
    <row r="701" spans="1:4" x14ac:dyDescent="0.2">
      <c r="A701" t="str">
        <f>Sheet2!A701</f>
        <v>CRIO</v>
      </c>
      <c r="B701" t="str">
        <f ca="1">'Query Example'!D701</f>
        <v>Amphibian</v>
      </c>
      <c r="C701" s="11" t="str">
        <f>CONCATENATE(Sheet2!F701,"/",Sheet2!E701)</f>
        <v>1/Piston</v>
      </c>
      <c r="D701" t="str">
        <f>CONCATENATE(Sheet2!B701,", ",Sheet2!C701)</f>
        <v>MICROLEVE, Corsario</v>
      </c>
    </row>
    <row r="702" spans="1:4" x14ac:dyDescent="0.2">
      <c r="A702" t="str">
        <f>Sheet2!A702</f>
        <v>CRJ1</v>
      </c>
      <c r="B702" t="str">
        <f ca="1">'Query Example'!D702</f>
        <v>LandPlane</v>
      </c>
      <c r="C702" s="11" t="str">
        <f>CONCATENATE(Sheet2!F702,"/",Sheet2!E702)</f>
        <v>2/Jet</v>
      </c>
      <c r="D702" t="str">
        <f>CONCATENATE(Sheet2!B702,", ",Sheet2!C702)</f>
        <v>CANADAIR, Regional Jet CRJ-100</v>
      </c>
    </row>
    <row r="703" spans="1:4" x14ac:dyDescent="0.2">
      <c r="A703" t="str">
        <f>Sheet2!A703</f>
        <v>CRJ2</v>
      </c>
      <c r="B703" t="str">
        <f ca="1">'Query Example'!D703</f>
        <v>LandPlane</v>
      </c>
      <c r="C703" s="11" t="str">
        <f>CONCATENATE(Sheet2!F703,"/",Sheet2!E703)</f>
        <v>2/Jet</v>
      </c>
      <c r="D703" t="str">
        <f>CONCATENATE(Sheet2!B703,", ",Sheet2!C703)</f>
        <v>CANADAIR, Regional Jet CRJ-440</v>
      </c>
    </row>
    <row r="704" spans="1:4" x14ac:dyDescent="0.2">
      <c r="A704" t="str">
        <f>Sheet2!A704</f>
        <v>CRJ7</v>
      </c>
      <c r="B704" t="str">
        <f ca="1">'Query Example'!D704</f>
        <v>LandPlane</v>
      </c>
      <c r="C704" s="11" t="str">
        <f>CONCATENATE(Sheet2!F704,"/",Sheet2!E704)</f>
        <v>2/Jet</v>
      </c>
      <c r="D704" t="str">
        <f>CONCATENATE(Sheet2!B704,", ",Sheet2!C704)</f>
        <v>CANADAIR, Regional Jet CRJ-700</v>
      </c>
    </row>
    <row r="705" spans="1:4" x14ac:dyDescent="0.2">
      <c r="A705" t="str">
        <f>Sheet2!A705</f>
        <v>CRJ9</v>
      </c>
      <c r="B705" t="str">
        <f ca="1">'Query Example'!D705</f>
        <v>LandPlane</v>
      </c>
      <c r="C705" s="11" t="str">
        <f>CONCATENATE(Sheet2!F705,"/",Sheet2!E705)</f>
        <v>2/Jet</v>
      </c>
      <c r="D705" t="str">
        <f>CONCATENATE(Sheet2!B705,", ",Sheet2!C705)</f>
        <v>CANADAIR, Regional Jet CRJ-900</v>
      </c>
    </row>
    <row r="706" spans="1:4" x14ac:dyDescent="0.2">
      <c r="A706" t="str">
        <f>Sheet2!A706</f>
        <v>CRJX</v>
      </c>
      <c r="B706" t="str">
        <f ca="1">'Query Example'!D706</f>
        <v>LandPlane</v>
      </c>
      <c r="C706" s="11" t="str">
        <f>CONCATENATE(Sheet2!F706,"/",Sheet2!E706)</f>
        <v>2/Jet</v>
      </c>
      <c r="D706" t="str">
        <f>CONCATENATE(Sheet2!B706,", ",Sheet2!C706)</f>
        <v>BOMBARDIER, Regional Jet CRJ-1000</v>
      </c>
    </row>
    <row r="707" spans="1:4" x14ac:dyDescent="0.2">
      <c r="A707" t="str">
        <f>Sheet2!A707</f>
        <v>CRUZ</v>
      </c>
      <c r="B707" t="str">
        <f ca="1">'Query Example'!D707</f>
        <v>LandPlane</v>
      </c>
      <c r="C707" s="11" t="str">
        <f>CONCATENATE(Sheet2!F707,"/",Sheet2!E707)</f>
        <v>1/Piston</v>
      </c>
      <c r="D707" t="str">
        <f>CONCATENATE(Sheet2!B707,", ",Sheet2!C707)</f>
        <v>CZAW, SportCruiser</v>
      </c>
    </row>
    <row r="708" spans="1:4" x14ac:dyDescent="0.2">
      <c r="A708" t="str">
        <f>Sheet2!A708</f>
        <v>CT4</v>
      </c>
      <c r="B708" t="str">
        <f ca="1">'Query Example'!D708</f>
        <v>LandPlane</v>
      </c>
      <c r="C708" s="11" t="str">
        <f>CONCATENATE(Sheet2!F708,"/",Sheet2!E708)</f>
        <v>1/Piston</v>
      </c>
      <c r="D708" t="str">
        <f>CONCATENATE(Sheet2!B708,", ",Sheet2!C708)</f>
        <v>PACIFIC AEROSPACE, CT-4 Airtrainer</v>
      </c>
    </row>
    <row r="709" spans="1:4" x14ac:dyDescent="0.2">
      <c r="A709" t="str">
        <f>Sheet2!A709</f>
        <v>CTAH</v>
      </c>
      <c r="B709" t="str">
        <f ca="1">'Query Example'!D709</f>
        <v>LandPlane</v>
      </c>
      <c r="C709" s="11" t="str">
        <f>CONCATENATE(Sheet2!F709,"/",Sheet2!E709)</f>
        <v>1/Piston</v>
      </c>
      <c r="D709" t="str">
        <f>CONCATENATE(Sheet2!B709,", ",Sheet2!C709)</f>
        <v>RAINBOW SKYREACH, Cheetah</v>
      </c>
    </row>
    <row r="710" spans="1:4" x14ac:dyDescent="0.2">
      <c r="A710" t="str">
        <f>Sheet2!A710</f>
        <v>CTLN</v>
      </c>
      <c r="B710" t="str">
        <f ca="1">'Query Example'!D710</f>
        <v>Amphibian</v>
      </c>
      <c r="C710" s="11" t="str">
        <f>CONCATENATE(Sheet2!F710,"/",Sheet2!E710)</f>
        <v>1/Piston</v>
      </c>
      <c r="D710" t="str">
        <f>CONCATENATE(Sheet2!B710,", ",Sheet2!C710)</f>
        <v>FLY SYNTHESIS, Catalina</v>
      </c>
    </row>
    <row r="711" spans="1:4" x14ac:dyDescent="0.2">
      <c r="A711" t="str">
        <f>Sheet2!A711</f>
        <v>CUB2</v>
      </c>
      <c r="B711" t="str">
        <f ca="1">'Query Example'!D711</f>
        <v>LandPlane</v>
      </c>
      <c r="C711" s="11" t="str">
        <f>CONCATENATE(Sheet2!F711,"/",Sheet2!E711)</f>
        <v>1/Piston</v>
      </c>
      <c r="D711" t="str">
        <f>CONCATENATE(Sheet2!B711,", ",Sheet2!C711)</f>
        <v>ACES HIGH, Cuby 2</v>
      </c>
    </row>
    <row r="712" spans="1:4" x14ac:dyDescent="0.2">
      <c r="A712" t="str">
        <f>Sheet2!A712</f>
        <v>CUCA</v>
      </c>
      <c r="B712" t="str">
        <f ca="1">'Query Example'!D712</f>
        <v>LandPlane</v>
      </c>
      <c r="C712" s="11" t="str">
        <f>CONCATENATE(Sheet2!F712,"/",Sheet2!E712)</f>
        <v>1/Piston</v>
      </c>
      <c r="D712" t="str">
        <f>CONCATENATE(Sheet2!B712,", ",Sheet2!C712)</f>
        <v>CULVER, Cadet</v>
      </c>
    </row>
    <row r="713" spans="1:4" x14ac:dyDescent="0.2">
      <c r="A713" t="str">
        <f>Sheet2!A713</f>
        <v>CULP</v>
      </c>
      <c r="B713" t="str">
        <f ca="1">'Query Example'!D713</f>
        <v>LandPlane</v>
      </c>
      <c r="C713" s="11" t="str">
        <f>CONCATENATE(Sheet2!F713,"/",Sheet2!E713)</f>
        <v>1/Piston</v>
      </c>
      <c r="D713" t="str">
        <f>CONCATENATE(Sheet2!B713,", ",Sheet2!C713)</f>
        <v>CULP, Special</v>
      </c>
    </row>
    <row r="714" spans="1:4" x14ac:dyDescent="0.2">
      <c r="A714" t="str">
        <f>Sheet2!A714</f>
        <v>CULV</v>
      </c>
      <c r="B714" t="str">
        <f ca="1">'Query Example'!D714</f>
        <v>LandPlane</v>
      </c>
      <c r="C714" s="11" t="str">
        <f>CONCATENATE(Sheet2!F714,"/",Sheet2!E714)</f>
        <v>1/Piston</v>
      </c>
      <c r="D714" t="str">
        <f>CONCATENATE(Sheet2!B714,", ",Sheet2!C714)</f>
        <v>CULVER, V</v>
      </c>
    </row>
    <row r="715" spans="1:4" x14ac:dyDescent="0.2">
      <c r="A715" t="str">
        <f>Sheet2!A715</f>
        <v>CULX</v>
      </c>
      <c r="B715" t="str">
        <f ca="1">'Query Example'!D715</f>
        <v>LandPlane</v>
      </c>
      <c r="C715" s="11" t="str">
        <f>CONCATENATE(Sheet2!F715,"/",Sheet2!E715)</f>
        <v>2/Piston</v>
      </c>
      <c r="D715" t="str">
        <f>CONCATENATE(Sheet2!B715,", ",Sheet2!C715)</f>
        <v>FISHER AERO, Culex</v>
      </c>
    </row>
    <row r="716" spans="1:4" x14ac:dyDescent="0.2">
      <c r="A716" t="str">
        <f>Sheet2!A716</f>
        <v>CVLP</v>
      </c>
      <c r="B716" t="str">
        <f ca="1">'Query Example'!D716</f>
        <v>LandPlane</v>
      </c>
      <c r="C716" s="11" t="str">
        <f>CONCATENATE(Sheet2!F716,"/",Sheet2!E716)</f>
        <v>2/Piston</v>
      </c>
      <c r="D716" t="str">
        <f>CONCATENATE(Sheet2!B716,", ",Sheet2!C716)</f>
        <v>CONVAIR, C-131 Samaritan</v>
      </c>
    </row>
    <row r="717" spans="1:4" x14ac:dyDescent="0.2">
      <c r="A717" t="str">
        <f>Sheet2!A717</f>
        <v>CVLT</v>
      </c>
      <c r="B717" t="str">
        <f ca="1">'Query Example'!D717</f>
        <v>LandPlane</v>
      </c>
      <c r="C717" s="11" t="str">
        <f>CONCATENATE(Sheet2!F717,"/",Sheet2!E717)</f>
        <v>2/Turboprop/Turboshaft</v>
      </c>
      <c r="D717" t="str">
        <f>CONCATENATE(Sheet2!B717,", ",Sheet2!C717)</f>
        <v>CONVAIR, C-131H</v>
      </c>
    </row>
    <row r="718" spans="1:4" x14ac:dyDescent="0.2">
      <c r="A718" t="str">
        <f>Sheet2!A718</f>
        <v>CX5</v>
      </c>
      <c r="B718" t="str">
        <f ca="1">'Query Example'!D718</f>
        <v>LandPlane</v>
      </c>
      <c r="C718" s="11" t="str">
        <f>CONCATENATE(Sheet2!F718,"/",Sheet2!E718)</f>
        <v>1/Piston</v>
      </c>
      <c r="D718" t="str">
        <f>CONCATENATE(Sheet2!B718,", ",Sheet2!C718)</f>
        <v>THATCHER, CX-5</v>
      </c>
    </row>
    <row r="719" spans="1:4" x14ac:dyDescent="0.2">
      <c r="A719" t="str">
        <f>Sheet2!A719</f>
        <v>CYCL</v>
      </c>
      <c r="B719" t="str">
        <f ca="1">'Query Example'!D719</f>
        <v>LandPlane</v>
      </c>
      <c r="C719" s="11" t="str">
        <f>CONCATENATE(Sheet2!F719,"/",Sheet2!E719)</f>
        <v>1/Piston</v>
      </c>
      <c r="D719" t="str">
        <f>CONCATENATE(Sheet2!B719,", ",Sheet2!C719)</f>
        <v>CARLSON, Skycycle</v>
      </c>
    </row>
    <row r="720" spans="1:4" x14ac:dyDescent="0.2">
      <c r="A720" t="str">
        <f>Sheet2!A720</f>
        <v>CYGT</v>
      </c>
      <c r="B720" t="str">
        <f ca="1">'Query Example'!D720</f>
        <v>LandPlane</v>
      </c>
      <c r="C720" s="11" t="str">
        <f>CONCATENATE(Sheet2!F720,"/",Sheet2!E720)</f>
        <v>1/Piston</v>
      </c>
      <c r="D720" t="str">
        <f>CONCATENATE(Sheet2!B720,", ",Sheet2!C720)</f>
        <v>HAWKER, Cygnet Replica</v>
      </c>
    </row>
    <row r="721" spans="1:4" x14ac:dyDescent="0.2">
      <c r="A721" t="str">
        <f>Sheet2!A721</f>
        <v>D1</v>
      </c>
      <c r="B721" t="str">
        <f ca="1">'Query Example'!D721</f>
        <v>LandPlane</v>
      </c>
      <c r="C721" s="11" t="str">
        <f>CONCATENATE(Sheet2!F721,"/",Sheet2!E721)</f>
        <v>2/Piston</v>
      </c>
      <c r="D721" t="str">
        <f>CONCATENATE(Sheet2!B721,", ",Sheet2!C721)</f>
        <v>WING, D-1 Derringer</v>
      </c>
    </row>
    <row r="722" spans="1:4" x14ac:dyDescent="0.2">
      <c r="A722" t="str">
        <f>Sheet2!A722</f>
        <v>D11</v>
      </c>
      <c r="B722" t="str">
        <f ca="1">'Query Example'!D722</f>
        <v>LandPlane</v>
      </c>
      <c r="C722" s="11" t="str">
        <f>CONCATENATE(Sheet2!F722,"/",Sheet2!E722)</f>
        <v>1/Piston</v>
      </c>
      <c r="D722" t="str">
        <f>CONCATENATE(Sheet2!B722,", ",Sheet2!C722)</f>
        <v>JODEL, D-11</v>
      </c>
    </row>
    <row r="723" spans="1:4" x14ac:dyDescent="0.2">
      <c r="A723" t="str">
        <f>Sheet2!A723</f>
        <v>D139</v>
      </c>
      <c r="B723" t="str">
        <f ca="1">'Query Example'!D723</f>
        <v>LandPlane</v>
      </c>
      <c r="C723" s="11" t="str">
        <f>CONCATENATE(Sheet2!F723,"/",Sheet2!E723)</f>
        <v>1/Piston</v>
      </c>
      <c r="D723" t="str">
        <f>CONCATENATE(Sheet2!B723,", ",Sheet2!C723)</f>
        <v>DORNA, D-139 Parandeh Abi</v>
      </c>
    </row>
    <row r="724" spans="1:4" x14ac:dyDescent="0.2">
      <c r="A724" t="str">
        <f>Sheet2!A724</f>
        <v>D140</v>
      </c>
      <c r="B724" t="str">
        <f ca="1">'Query Example'!D724</f>
        <v>LandPlane</v>
      </c>
      <c r="C724" s="11" t="str">
        <f>CONCATENATE(Sheet2!F724,"/",Sheet2!E724)</f>
        <v>1/Piston</v>
      </c>
      <c r="D724" t="str">
        <f>CONCATENATE(Sheet2!B724,", ",Sheet2!C724)</f>
        <v>JODEL, D-140 Mousquetaire</v>
      </c>
    </row>
    <row r="725" spans="1:4" x14ac:dyDescent="0.2">
      <c r="A725" t="str">
        <f>Sheet2!A725</f>
        <v>D150</v>
      </c>
      <c r="B725" t="str">
        <f ca="1">'Query Example'!D725</f>
        <v>LandPlane</v>
      </c>
      <c r="C725" s="11" t="str">
        <f>CONCATENATE(Sheet2!F725,"/",Sheet2!E725)</f>
        <v>1/Piston</v>
      </c>
      <c r="D725" t="str">
        <f>CONCATENATE(Sheet2!B725,", ",Sheet2!C725)</f>
        <v>JODEL, D-150 Mascaret</v>
      </c>
    </row>
    <row r="726" spans="1:4" x14ac:dyDescent="0.2">
      <c r="A726" t="str">
        <f>Sheet2!A726</f>
        <v>D150</v>
      </c>
      <c r="B726" t="str">
        <f ca="1">'Query Example'!D726</f>
        <v>LandPlane</v>
      </c>
      <c r="C726" s="11" t="str">
        <f>CONCATENATE(Sheet2!F726,"/",Sheet2!E726)</f>
        <v>1/Piston</v>
      </c>
      <c r="D726" t="str">
        <f>CONCATENATE(Sheet2!B726,", ",Sheet2!C726)</f>
        <v>SAN, D-150 Mascaret</v>
      </c>
    </row>
    <row r="727" spans="1:4" x14ac:dyDescent="0.2">
      <c r="A727" t="str">
        <f>Sheet2!A727</f>
        <v>D18</v>
      </c>
      <c r="B727" t="str">
        <f ca="1">'Query Example'!D727</f>
        <v>LandPlane</v>
      </c>
      <c r="C727" s="11" t="str">
        <f>CONCATENATE(Sheet2!F727,"/",Sheet2!E727)</f>
        <v>1/Piston</v>
      </c>
      <c r="D727" t="str">
        <f>CONCATENATE(Sheet2!B727,", ",Sheet2!C727)</f>
        <v>JODEL, D-18</v>
      </c>
    </row>
    <row r="728" spans="1:4" x14ac:dyDescent="0.2">
      <c r="A728" t="str">
        <f>Sheet2!A728</f>
        <v>D201</v>
      </c>
      <c r="B728" t="str">
        <f ca="1">'Query Example'!D728</f>
        <v>LandPlane</v>
      </c>
      <c r="C728" s="11" t="str">
        <f>CONCATENATE(Sheet2!F728,"/",Sheet2!E728)</f>
        <v>1/Piston</v>
      </c>
      <c r="D728" t="str">
        <f>CONCATENATE(Sheet2!B728,", ",Sheet2!C728)</f>
        <v>D'APUZZO, D-201 Sportwing</v>
      </c>
    </row>
    <row r="729" spans="1:4" x14ac:dyDescent="0.2">
      <c r="A729" t="str">
        <f>Sheet2!A729</f>
        <v>D21</v>
      </c>
      <c r="B729" t="str">
        <f ca="1">'Query Example'!D729</f>
        <v>LandPlane</v>
      </c>
      <c r="C729" s="11" t="str">
        <f>CONCATENATE(Sheet2!F729,"/",Sheet2!E729)</f>
        <v>1/Piston</v>
      </c>
      <c r="D729" t="str">
        <f>CONCATENATE(Sheet2!B729,", ",Sheet2!C729)</f>
        <v>FOKKER, D-21 Replica</v>
      </c>
    </row>
    <row r="730" spans="1:4" x14ac:dyDescent="0.2">
      <c r="A730" t="str">
        <f>Sheet2!A730</f>
        <v>D228</v>
      </c>
      <c r="B730" t="str">
        <f ca="1">'Query Example'!D730</f>
        <v>LandPlane</v>
      </c>
      <c r="C730" s="11" t="str">
        <f>CONCATENATE(Sheet2!F730,"/",Sheet2!E730)</f>
        <v>2/Turboprop/Turboshaft</v>
      </c>
      <c r="D730" t="str">
        <f>CONCATENATE(Sheet2!B730,", ",Sheet2!C730)</f>
        <v>DORNIER, 228</v>
      </c>
    </row>
    <row r="731" spans="1:4" x14ac:dyDescent="0.2">
      <c r="A731" t="str">
        <f>Sheet2!A731</f>
        <v>D25</v>
      </c>
      <c r="B731" t="str">
        <f ca="1">'Query Example'!D731</f>
        <v>LandPlane</v>
      </c>
      <c r="C731" s="11" t="str">
        <f>CONCATENATE(Sheet2!F731,"/",Sheet2!E731)</f>
        <v>1/Piston</v>
      </c>
      <c r="D731" t="str">
        <f>CONCATENATE(Sheet2!B731,", ",Sheet2!C731)</f>
        <v>NEW STANDARD, D-25</v>
      </c>
    </row>
    <row r="732" spans="1:4" x14ac:dyDescent="0.2">
      <c r="A732" t="str">
        <f>Sheet2!A732</f>
        <v>D250</v>
      </c>
      <c r="B732" t="str">
        <f ca="1">'Query Example'!D732</f>
        <v>LandPlane</v>
      </c>
      <c r="C732" s="11" t="str">
        <f>CONCATENATE(Sheet2!F732,"/",Sheet2!E732)</f>
        <v>1/Piston</v>
      </c>
      <c r="D732" t="str">
        <f>CONCATENATE(Sheet2!B732,", ",Sheet2!C732)</f>
        <v>CENTRE EST, DR-250 Capitaine</v>
      </c>
    </row>
    <row r="733" spans="1:4" x14ac:dyDescent="0.2">
      <c r="A733" t="str">
        <f>Sheet2!A733</f>
        <v>D253</v>
      </c>
      <c r="B733" t="str">
        <f ca="1">'Query Example'!D733</f>
        <v>LandPlane</v>
      </c>
      <c r="C733" s="11" t="str">
        <f>CONCATENATE(Sheet2!F733,"/",Sheet2!E733)</f>
        <v>1/Piston</v>
      </c>
      <c r="D733" t="str">
        <f>CONCATENATE(Sheet2!B733,", ",Sheet2!C733)</f>
        <v>CENTRE EST, DR-253 Regent</v>
      </c>
    </row>
    <row r="734" spans="1:4" x14ac:dyDescent="0.2">
      <c r="A734" t="str">
        <f>Sheet2!A734</f>
        <v>D28D</v>
      </c>
      <c r="B734" t="str">
        <f ca="1">'Query Example'!D734</f>
        <v>LandPlane</v>
      </c>
      <c r="C734" s="11" t="str">
        <f>CONCATENATE(Sheet2!F734,"/",Sheet2!E734)</f>
        <v>2/Piston</v>
      </c>
      <c r="D734" t="str">
        <f>CONCATENATE(Sheet2!B734,", ",Sheet2!C734)</f>
        <v>DORNIER, Do-28D Skyservant</v>
      </c>
    </row>
    <row r="735" spans="1:4" x14ac:dyDescent="0.2">
      <c r="A735" t="str">
        <f>Sheet2!A735</f>
        <v>D28T</v>
      </c>
      <c r="B735" t="str">
        <f ca="1">'Query Example'!D735</f>
        <v>LandPlane</v>
      </c>
      <c r="C735" s="11" t="str">
        <f>CONCATENATE(Sheet2!F735,"/",Sheet2!E735)</f>
        <v>2/Turboprop/Turboshaft</v>
      </c>
      <c r="D735" t="str">
        <f>CONCATENATE(Sheet2!B735,", ",Sheet2!C735)</f>
        <v>DORNIER, Do-28D-6 Turbo Skyservant</v>
      </c>
    </row>
    <row r="736" spans="1:4" x14ac:dyDescent="0.2">
      <c r="A736" t="str">
        <f>Sheet2!A736</f>
        <v>D31</v>
      </c>
      <c r="B736" t="str">
        <f ca="1">'Query Example'!D736</f>
        <v>LandPlane</v>
      </c>
      <c r="C736" s="11" t="str">
        <f>CONCATENATE(Sheet2!F736,"/",Sheet2!E736)</f>
        <v>1/Piston</v>
      </c>
      <c r="D736" t="str">
        <f>CONCATENATE(Sheet2!B736,", ",Sheet2!C736)</f>
        <v>DRUINE, D-31 Turbulent</v>
      </c>
    </row>
    <row r="737" spans="1:4" x14ac:dyDescent="0.2">
      <c r="A737" t="str">
        <f>Sheet2!A737</f>
        <v>D328</v>
      </c>
      <c r="B737" t="str">
        <f ca="1">'Query Example'!D737</f>
        <v>LandPlane</v>
      </c>
      <c r="C737" s="11" t="str">
        <f>CONCATENATE(Sheet2!F737,"/",Sheet2!E737)</f>
        <v>2/Turboprop/Turboshaft</v>
      </c>
      <c r="D737" t="str">
        <f>CONCATENATE(Sheet2!B737,", ",Sheet2!C737)</f>
        <v>DORNIER, 328</v>
      </c>
    </row>
    <row r="738" spans="1:4" x14ac:dyDescent="0.2">
      <c r="A738" t="str">
        <f>Sheet2!A738</f>
        <v>D39</v>
      </c>
      <c r="B738" t="str">
        <f ca="1">'Query Example'!D738</f>
        <v>LandPlane</v>
      </c>
      <c r="C738" s="11" t="str">
        <f>CONCATENATE(Sheet2!F738,"/",Sheet2!E738)</f>
        <v>1/Piston</v>
      </c>
      <c r="D738" t="str">
        <f>CONCATENATE(Sheet2!B738,", ",Sheet2!C738)</f>
        <v>AKAFLIEG DARMSTADT, D-39</v>
      </c>
    </row>
    <row r="739" spans="1:4" x14ac:dyDescent="0.2">
      <c r="A739" t="str">
        <f>Sheet2!A739</f>
        <v>D4</v>
      </c>
      <c r="B739" t="str">
        <f ca="1">'Query Example'!D739</f>
        <v>LandPlane</v>
      </c>
      <c r="C739" s="11" t="str">
        <f>CONCATENATE(Sheet2!F739,"/",Sheet2!E739)</f>
        <v>1/Piston</v>
      </c>
      <c r="D739" t="str">
        <f>CONCATENATE(Sheet2!B739,", ",Sheet2!C739)</f>
        <v>AUSTER, D-4</v>
      </c>
    </row>
    <row r="740" spans="1:4" x14ac:dyDescent="0.2">
      <c r="A740" t="str">
        <f>Sheet2!A740</f>
        <v>D5</v>
      </c>
      <c r="B740" t="str">
        <f ca="1">'Query Example'!D740</f>
        <v>LandPlane</v>
      </c>
      <c r="C740" s="11" t="str">
        <f>CONCATENATE(Sheet2!F740,"/",Sheet2!E740)</f>
        <v>1/Piston</v>
      </c>
      <c r="D740" t="str">
        <f>CONCATENATE(Sheet2!B740,", ",Sheet2!C740)</f>
        <v>AUSTER, D-5</v>
      </c>
    </row>
    <row r="741" spans="1:4" x14ac:dyDescent="0.2">
      <c r="A741" t="str">
        <f>Sheet2!A741</f>
        <v>D5TU</v>
      </c>
      <c r="B741" t="str">
        <f ca="1">'Query Example'!D741</f>
        <v>LandPlane</v>
      </c>
      <c r="C741" s="11" t="str">
        <f>CONCATENATE(Sheet2!F741,"/",Sheet2!E741)</f>
        <v>1/Piston</v>
      </c>
      <c r="D741" t="str">
        <f>CONCATENATE(Sheet2!B741,", ",Sheet2!C741)</f>
        <v>DRUINE, D-5 Turbi</v>
      </c>
    </row>
    <row r="742" spans="1:4" x14ac:dyDescent="0.2">
      <c r="A742" t="str">
        <f>Sheet2!A742</f>
        <v>D6</v>
      </c>
      <c r="B742" t="str">
        <f ca="1">'Query Example'!D742</f>
        <v>LandPlane</v>
      </c>
      <c r="C742" s="11" t="str">
        <f>CONCATENATE(Sheet2!F742,"/",Sheet2!E742)</f>
        <v>1/Piston</v>
      </c>
      <c r="D742" t="str">
        <f>CONCATENATE(Sheet2!B742,", ",Sheet2!C742)</f>
        <v>AUSTER, D-6</v>
      </c>
    </row>
    <row r="743" spans="1:4" x14ac:dyDescent="0.2">
      <c r="A743" t="str">
        <f>Sheet2!A743</f>
        <v>D6CR</v>
      </c>
      <c r="B743" t="str">
        <f ca="1">'Query Example'!D743</f>
        <v>LandPlane</v>
      </c>
      <c r="C743" s="11" t="str">
        <f>CONCATENATE(Sheet2!F743,"/",Sheet2!E743)</f>
        <v>1/Piston</v>
      </c>
      <c r="D743" t="str">
        <f>CONCATENATE(Sheet2!B743,", ",Sheet2!C743)</f>
        <v>DRUINE, D-60 Condor</v>
      </c>
    </row>
    <row r="744" spans="1:4" x14ac:dyDescent="0.2">
      <c r="A744" t="str">
        <f>Sheet2!A744</f>
        <v>D7</v>
      </c>
      <c r="B744" t="str">
        <f ca="1">'Query Example'!D744</f>
        <v>LandPlane</v>
      </c>
      <c r="C744" s="11" t="str">
        <f>CONCATENATE(Sheet2!F744,"/",Sheet2!E744)</f>
        <v>1/Piston</v>
      </c>
      <c r="D744" t="str">
        <f>CONCATENATE(Sheet2!B744,", ",Sheet2!C744)</f>
        <v>FOKKER, D-7 Replica</v>
      </c>
    </row>
    <row r="745" spans="1:4" x14ac:dyDescent="0.2">
      <c r="A745" t="str">
        <f>Sheet2!A745</f>
        <v>D8</v>
      </c>
      <c r="B745" t="str">
        <f ca="1">'Query Example'!D745</f>
        <v>LandPlane</v>
      </c>
      <c r="C745" s="11" t="str">
        <f>CONCATENATE(Sheet2!F745,"/",Sheet2!E745)</f>
        <v>1/Piston</v>
      </c>
      <c r="D745" t="str">
        <f>CONCATENATE(Sheet2!B745,", ",Sheet2!C745)</f>
        <v>FOKKER, D-8 Replica</v>
      </c>
    </row>
    <row r="746" spans="1:4" x14ac:dyDescent="0.2">
      <c r="A746" t="str">
        <f>Sheet2!A746</f>
        <v>DA2</v>
      </c>
      <c r="B746" t="str">
        <f ca="1">'Query Example'!D746</f>
        <v>LandPlane</v>
      </c>
      <c r="C746" s="11" t="str">
        <f>CONCATENATE(Sheet2!F746,"/",Sheet2!E746)</f>
        <v>1/Piston</v>
      </c>
      <c r="D746" t="str">
        <f>CONCATENATE(Sheet2!B746,", ",Sheet2!C746)</f>
        <v>DAVIS, DA-2</v>
      </c>
    </row>
    <row r="747" spans="1:4" x14ac:dyDescent="0.2">
      <c r="A747" t="str">
        <f>Sheet2!A747</f>
        <v>DA36</v>
      </c>
      <c r="B747" t="str">
        <f ca="1">'Query Example'!D747</f>
        <v>LandPlane</v>
      </c>
      <c r="C747" s="11" t="str">
        <f>CONCATENATE(Sheet2!F747,"/",Sheet2!E747)</f>
        <v>1/Electric</v>
      </c>
      <c r="D747" t="str">
        <f>CONCATENATE(Sheet2!B747,", ",Sheet2!C747)</f>
        <v>DIAMOND, DA-36 E-Star</v>
      </c>
    </row>
    <row r="748" spans="1:4" x14ac:dyDescent="0.2">
      <c r="A748" t="str">
        <f>Sheet2!A748</f>
        <v>DA40</v>
      </c>
      <c r="B748" t="str">
        <f ca="1">'Query Example'!D748</f>
        <v>LandPlane</v>
      </c>
      <c r="C748" s="11" t="str">
        <f>CONCATENATE(Sheet2!F748,"/",Sheet2!E748)</f>
        <v>1/Piston</v>
      </c>
      <c r="D748" t="str">
        <f>CONCATENATE(Sheet2!B748,", ",Sheet2!C748)</f>
        <v>DIAMOND, DA-40 Diamond Star</v>
      </c>
    </row>
    <row r="749" spans="1:4" x14ac:dyDescent="0.2">
      <c r="A749" t="str">
        <f>Sheet2!A749</f>
        <v>DA42</v>
      </c>
      <c r="B749" t="str">
        <f ca="1">'Query Example'!D749</f>
        <v>LandPlane</v>
      </c>
      <c r="C749" s="11" t="str">
        <f>CONCATENATE(Sheet2!F749,"/",Sheet2!E749)</f>
        <v>2/Piston</v>
      </c>
      <c r="D749" t="str">
        <f>CONCATENATE(Sheet2!B749,", ",Sheet2!C749)</f>
        <v>DIAMOND, DA-42 Twin Star</v>
      </c>
    </row>
    <row r="750" spans="1:4" x14ac:dyDescent="0.2">
      <c r="A750" t="str">
        <f>Sheet2!A750</f>
        <v>DA5</v>
      </c>
      <c r="B750" t="str">
        <f ca="1">'Query Example'!D750</f>
        <v>LandPlane</v>
      </c>
      <c r="C750" s="11" t="str">
        <f>CONCATENATE(Sheet2!F750,"/",Sheet2!E750)</f>
        <v>1/Piston</v>
      </c>
      <c r="D750" t="str">
        <f>CONCATENATE(Sheet2!B750,", ",Sheet2!C750)</f>
        <v>DAVIS, DA-5</v>
      </c>
    </row>
    <row r="751" spans="1:4" x14ac:dyDescent="0.2">
      <c r="A751" t="str">
        <f>Sheet2!A751</f>
        <v>DA50</v>
      </c>
      <c r="B751" t="str">
        <f ca="1">'Query Example'!D751</f>
        <v>LandPlane</v>
      </c>
      <c r="C751" s="11" t="str">
        <f>CONCATENATE(Sheet2!F751,"/",Sheet2!E751)</f>
        <v>1/Piston</v>
      </c>
      <c r="D751" t="str">
        <f>CONCATENATE(Sheet2!B751,", ",Sheet2!C751)</f>
        <v>DIAMOND, DA-50 SuperStar</v>
      </c>
    </row>
    <row r="752" spans="1:4" x14ac:dyDescent="0.2">
      <c r="A752" t="str">
        <f>Sheet2!A752</f>
        <v>DA62</v>
      </c>
      <c r="B752" t="str">
        <f ca="1">'Query Example'!D752</f>
        <v>LandPlane</v>
      </c>
      <c r="C752" s="11" t="str">
        <f>CONCATENATE(Sheet2!F752,"/",Sheet2!E752)</f>
        <v>2/Piston</v>
      </c>
      <c r="D752" t="str">
        <f>CONCATENATE(Sheet2!B752,", ",Sheet2!C752)</f>
        <v>DIAMOND, DA-62</v>
      </c>
    </row>
    <row r="753" spans="1:4" x14ac:dyDescent="0.2">
      <c r="A753" t="str">
        <f>Sheet2!A753</f>
        <v>DAHU</v>
      </c>
      <c r="B753" t="str">
        <f ca="1">'Query Example'!D753</f>
        <v>LandPlane</v>
      </c>
      <c r="C753" s="11" t="str">
        <f>CONCATENATE(Sheet2!F753,"/",Sheet2!E753)</f>
        <v>1/Piston</v>
      </c>
      <c r="D753" t="str">
        <f>CONCATENATE(Sheet2!B753,", ",Sheet2!C753)</f>
        <v>PENA, Dahu</v>
      </c>
    </row>
    <row r="754" spans="1:4" x14ac:dyDescent="0.2">
      <c r="A754" t="str">
        <f>Sheet2!A754</f>
        <v>DAKH</v>
      </c>
      <c r="B754" t="str">
        <f ca="1">'Query Example'!D754</f>
        <v>LandPlane</v>
      </c>
      <c r="C754" s="11" t="str">
        <f>CONCATENATE(Sheet2!F754,"/",Sheet2!E754)</f>
        <v>1/Piston</v>
      </c>
      <c r="D754" t="str">
        <f>CONCATENATE(Sheet2!B754,", ",Sheet2!C754)</f>
        <v>FISHER, Dakota Hawk</v>
      </c>
    </row>
    <row r="755" spans="1:4" x14ac:dyDescent="0.2">
      <c r="A755" t="str">
        <f>Sheet2!A755</f>
        <v>DAL1</v>
      </c>
      <c r="B755" t="str">
        <f ca="1">'Query Example'!D755</f>
        <v>LandPlane</v>
      </c>
      <c r="C755" s="11" t="str">
        <f>CONCATENATE(Sheet2!F755,"/",Sheet2!E755)</f>
        <v>1/Piston</v>
      </c>
      <c r="D755" t="str">
        <f>CONCATENATE(Sheet2!B755,", ",Sheet2!C755)</f>
        <v>SPEZIO, DAL-1 Tuholer</v>
      </c>
    </row>
    <row r="756" spans="1:4" x14ac:dyDescent="0.2">
      <c r="A756" t="str">
        <f>Sheet2!A756</f>
        <v>DAL4</v>
      </c>
      <c r="B756" t="str">
        <f ca="1">'Query Example'!D756</f>
        <v>LandPlane</v>
      </c>
      <c r="C756" s="11" t="str">
        <f>CONCATENATE(Sheet2!F756,"/",Sheet2!E756)</f>
        <v>1/Piston</v>
      </c>
      <c r="D756" t="str">
        <f>CONCATENATE(Sheet2!B756,", ",Sheet2!C756)</f>
        <v>DALLACH, D-4 Fascination</v>
      </c>
    </row>
    <row r="757" spans="1:4" x14ac:dyDescent="0.2">
      <c r="A757" t="str">
        <f>Sheet2!A757</f>
        <v>DAL5</v>
      </c>
      <c r="B757" t="str">
        <f ca="1">'Query Example'!D757</f>
        <v>LandPlane</v>
      </c>
      <c r="C757" s="11" t="str">
        <f>CONCATENATE(Sheet2!F757,"/",Sheet2!E757)</f>
        <v>1/Piston</v>
      </c>
      <c r="D757" t="str">
        <f>CONCATENATE(Sheet2!B757,", ",Sheet2!C757)</f>
        <v>DALLACH, D-5 Evolution</v>
      </c>
    </row>
    <row r="758" spans="1:4" x14ac:dyDescent="0.2">
      <c r="A758" t="str">
        <f>Sheet2!A758</f>
        <v>DART</v>
      </c>
      <c r="B758" t="str">
        <f ca="1">'Query Example'!D758</f>
        <v>LandPlane</v>
      </c>
      <c r="C758" s="11" t="str">
        <f>CONCATENATE(Sheet2!F758,"/",Sheet2!E758)</f>
        <v>1/Piston</v>
      </c>
      <c r="D758" t="str">
        <f>CONCATENATE(Sheet2!B758,", ",Sheet2!C758)</f>
        <v>PARRISH, Dart</v>
      </c>
    </row>
    <row r="759" spans="1:4" x14ac:dyDescent="0.2">
      <c r="A759" t="str">
        <f>Sheet2!A759</f>
        <v>DC10</v>
      </c>
      <c r="B759" t="str">
        <f ca="1">'Query Example'!D759</f>
        <v>LandPlane</v>
      </c>
      <c r="C759" s="11" t="str">
        <f>CONCATENATE(Sheet2!F759,"/",Sheet2!E759)</f>
        <v>3/Jet</v>
      </c>
      <c r="D759" t="str">
        <f>CONCATENATE(Sheet2!B759,", ",Sheet2!C759)</f>
        <v>MCDONNELL DOUGLAS, DC-10</v>
      </c>
    </row>
    <row r="760" spans="1:4" x14ac:dyDescent="0.2">
      <c r="A760" t="str">
        <f>Sheet2!A760</f>
        <v>DC2</v>
      </c>
      <c r="B760" t="str">
        <f ca="1">'Query Example'!D760</f>
        <v>LandPlane</v>
      </c>
      <c r="C760" s="11" t="str">
        <f>CONCATENATE(Sheet2!F760,"/",Sheet2!E760)</f>
        <v>2/Piston</v>
      </c>
      <c r="D760" t="str">
        <f>CONCATENATE(Sheet2!B760,", ",Sheet2!C760)</f>
        <v>DOUGLAS, DC-2</v>
      </c>
    </row>
    <row r="761" spans="1:4" x14ac:dyDescent="0.2">
      <c r="A761" t="str">
        <f>Sheet2!A761</f>
        <v>DC3</v>
      </c>
      <c r="B761" t="str">
        <f ca="1">'Query Example'!D761</f>
        <v>LandPlane</v>
      </c>
      <c r="C761" s="11" t="str">
        <f>CONCATENATE(Sheet2!F761,"/",Sheet2!E761)</f>
        <v>2/Piston</v>
      </c>
      <c r="D761" t="str">
        <f>CONCATENATE(Sheet2!B761,", ",Sheet2!C761)</f>
        <v>DOUGLAS, DC-3</v>
      </c>
    </row>
    <row r="762" spans="1:4" x14ac:dyDescent="0.2">
      <c r="A762" t="str">
        <f>Sheet2!A762</f>
        <v>DC3S</v>
      </c>
      <c r="B762" t="str">
        <f ca="1">'Query Example'!D762</f>
        <v>LandPlane</v>
      </c>
      <c r="C762" s="11" t="str">
        <f>CONCATENATE(Sheet2!F762,"/",Sheet2!E762)</f>
        <v>2/Piston</v>
      </c>
      <c r="D762" t="str">
        <f>CONCATENATE(Sheet2!B762,", ",Sheet2!C762)</f>
        <v>DOUGLAS, Super DC-3</v>
      </c>
    </row>
    <row r="763" spans="1:4" x14ac:dyDescent="0.2">
      <c r="A763" t="str">
        <f>Sheet2!A763</f>
        <v>DC3T</v>
      </c>
      <c r="B763" t="str">
        <f ca="1">'Query Example'!D763</f>
        <v>LandPlane</v>
      </c>
      <c r="C763" s="11" t="str">
        <f>CONCATENATE(Sheet2!F763,"/",Sheet2!E763)</f>
        <v>2/Turboprop/Turboshaft</v>
      </c>
      <c r="D763" t="str">
        <f>CONCATENATE(Sheet2!B763,", ",Sheet2!C763)</f>
        <v>BASLER, BT-67 Turbo 67</v>
      </c>
    </row>
    <row r="764" spans="1:4" x14ac:dyDescent="0.2">
      <c r="A764" t="str">
        <f>Sheet2!A764</f>
        <v>DC4</v>
      </c>
      <c r="B764" t="str">
        <f ca="1">'Query Example'!D764</f>
        <v>LandPlane</v>
      </c>
      <c r="C764" s="11" t="str">
        <f>CONCATENATE(Sheet2!F764,"/",Sheet2!E764)</f>
        <v>4/Piston</v>
      </c>
      <c r="D764" t="str">
        <f>CONCATENATE(Sheet2!B764,", ",Sheet2!C764)</f>
        <v>DOUGLAS, DC-4</v>
      </c>
    </row>
    <row r="765" spans="1:4" x14ac:dyDescent="0.2">
      <c r="A765" t="str">
        <f>Sheet2!A765</f>
        <v>DC6</v>
      </c>
      <c r="B765" t="str">
        <f ca="1">'Query Example'!D765</f>
        <v>LandPlane</v>
      </c>
      <c r="C765" s="11" t="str">
        <f>CONCATENATE(Sheet2!F765,"/",Sheet2!E765)</f>
        <v>4/Piston</v>
      </c>
      <c r="D765" t="str">
        <f>CONCATENATE(Sheet2!B765,", ",Sheet2!C765)</f>
        <v>DOUGLAS, DC-6</v>
      </c>
    </row>
    <row r="766" spans="1:4" x14ac:dyDescent="0.2">
      <c r="A766" t="str">
        <f>Sheet2!A766</f>
        <v>DC7</v>
      </c>
      <c r="B766" t="str">
        <f ca="1">'Query Example'!D766</f>
        <v>LandPlane</v>
      </c>
      <c r="C766" s="11" t="str">
        <f>CONCATENATE(Sheet2!F766,"/",Sheet2!E766)</f>
        <v>4/Piston</v>
      </c>
      <c r="D766" t="str">
        <f>CONCATENATE(Sheet2!B766,", ",Sheet2!C766)</f>
        <v>DOUGLAS, DC-7</v>
      </c>
    </row>
    <row r="767" spans="1:4" x14ac:dyDescent="0.2">
      <c r="A767" t="str">
        <f>Sheet2!A767</f>
        <v>DC85</v>
      </c>
      <c r="B767" t="str">
        <f ca="1">'Query Example'!D767</f>
        <v>LandPlane</v>
      </c>
      <c r="C767" s="11" t="str">
        <f>CONCATENATE(Sheet2!F767,"/",Sheet2!E767)</f>
        <v>4/Jet</v>
      </c>
      <c r="D767" t="str">
        <f>CONCATENATE(Sheet2!B767,", ",Sheet2!C767)</f>
        <v>MCDONNELL DOUGLAS, DC-8-50</v>
      </c>
    </row>
    <row r="768" spans="1:4" x14ac:dyDescent="0.2">
      <c r="A768" t="str">
        <f>Sheet2!A768</f>
        <v>DC86</v>
      </c>
      <c r="B768" t="str">
        <f ca="1">'Query Example'!D768</f>
        <v>LandPlane</v>
      </c>
      <c r="C768" s="11" t="str">
        <f>CONCATENATE(Sheet2!F768,"/",Sheet2!E768)</f>
        <v>4/Jet</v>
      </c>
      <c r="D768" t="str">
        <f>CONCATENATE(Sheet2!B768,", ",Sheet2!C768)</f>
        <v>MCDONNELL DOUGLAS, DC-8-60</v>
      </c>
    </row>
    <row r="769" spans="1:4" x14ac:dyDescent="0.2">
      <c r="A769" t="str">
        <f>Sheet2!A769</f>
        <v>DC87</v>
      </c>
      <c r="B769" t="str">
        <f ca="1">'Query Example'!D769</f>
        <v>LandPlane</v>
      </c>
      <c r="C769" s="11" t="str">
        <f>CONCATENATE(Sheet2!F769,"/",Sheet2!E769)</f>
        <v>4/Jet</v>
      </c>
      <c r="D769" t="str">
        <f>CONCATENATE(Sheet2!B769,", ",Sheet2!C769)</f>
        <v>MCDONNELL DOUGLAS, DC-8-70</v>
      </c>
    </row>
    <row r="770" spans="1:4" x14ac:dyDescent="0.2">
      <c r="A770" t="str">
        <f>Sheet2!A770</f>
        <v>DC91</v>
      </c>
      <c r="B770" t="str">
        <f ca="1">'Query Example'!D770</f>
        <v>LandPlane</v>
      </c>
      <c r="C770" s="11" t="str">
        <f>CONCATENATE(Sheet2!F770,"/",Sheet2!E770)</f>
        <v>2/Jet</v>
      </c>
      <c r="D770" t="str">
        <f>CONCATENATE(Sheet2!B770,", ",Sheet2!C770)</f>
        <v>MCDONNELL DOUGLAS, DC-9-10</v>
      </c>
    </row>
    <row r="771" spans="1:4" x14ac:dyDescent="0.2">
      <c r="A771" t="str">
        <f>Sheet2!A771</f>
        <v>DC92</v>
      </c>
      <c r="B771" t="str">
        <f ca="1">'Query Example'!D771</f>
        <v>LandPlane</v>
      </c>
      <c r="C771" s="11" t="str">
        <f>CONCATENATE(Sheet2!F771,"/",Sheet2!E771)</f>
        <v>2/Jet</v>
      </c>
      <c r="D771" t="str">
        <f>CONCATENATE(Sheet2!B771,", ",Sheet2!C771)</f>
        <v>MCDONNELL DOUGLAS, DC-9-20</v>
      </c>
    </row>
    <row r="772" spans="1:4" x14ac:dyDescent="0.2">
      <c r="A772" t="str">
        <f>Sheet2!A772</f>
        <v>DC93</v>
      </c>
      <c r="B772" t="str">
        <f ca="1">'Query Example'!D772</f>
        <v>LandPlane</v>
      </c>
      <c r="C772" s="11" t="str">
        <f>CONCATENATE(Sheet2!F772,"/",Sheet2!E772)</f>
        <v>2/Jet</v>
      </c>
      <c r="D772" t="str">
        <f>CONCATENATE(Sheet2!B772,", ",Sheet2!C772)</f>
        <v>MCDONNELL DOUGLAS, DC-9-30</v>
      </c>
    </row>
    <row r="773" spans="1:4" x14ac:dyDescent="0.2">
      <c r="A773" t="str">
        <f>Sheet2!A773</f>
        <v>DC94</v>
      </c>
      <c r="B773" t="str">
        <f ca="1">'Query Example'!D773</f>
        <v>LandPlane</v>
      </c>
      <c r="C773" s="11" t="str">
        <f>CONCATENATE(Sheet2!F773,"/",Sheet2!E773)</f>
        <v>2/Jet</v>
      </c>
      <c r="D773" t="str">
        <f>CONCATENATE(Sheet2!B773,", ",Sheet2!C773)</f>
        <v>MCDONNELL DOUGLAS, DC-9-40</v>
      </c>
    </row>
    <row r="774" spans="1:4" x14ac:dyDescent="0.2">
      <c r="A774" t="str">
        <f>Sheet2!A774</f>
        <v>DC95</v>
      </c>
      <c r="B774" t="str">
        <f ca="1">'Query Example'!D774</f>
        <v>LandPlane</v>
      </c>
      <c r="C774" s="11" t="str">
        <f>CONCATENATE(Sheet2!F774,"/",Sheet2!E774)</f>
        <v>2/Jet</v>
      </c>
      <c r="D774" t="str">
        <f>CONCATENATE(Sheet2!B774,", ",Sheet2!C774)</f>
        <v>MCDONNELL DOUGLAS, DC-9-50</v>
      </c>
    </row>
    <row r="775" spans="1:4" x14ac:dyDescent="0.2">
      <c r="A775" t="str">
        <f>Sheet2!A775</f>
        <v>DEAG</v>
      </c>
      <c r="B775" t="str">
        <f ca="1">'Query Example'!D775</f>
        <v>Gyrocopter</v>
      </c>
      <c r="C775" s="11" t="str">
        <f>CONCATENATE(Sheet2!F775,"/",Sheet2!E775)</f>
        <v>1/Piston</v>
      </c>
      <c r="D775" t="str">
        <f>CONCATENATE(Sheet2!B775,", ",Sheet2!C775)</f>
        <v>AMAX, Double Eagle</v>
      </c>
    </row>
    <row r="776" spans="1:4" x14ac:dyDescent="0.2">
      <c r="A776" t="str">
        <f>Sheet2!A776</f>
        <v>DEFI</v>
      </c>
      <c r="B776" t="str">
        <f ca="1">'Query Example'!D776</f>
        <v>LandPlane</v>
      </c>
      <c r="C776" s="11" t="str">
        <f>CONCATENATE(Sheet2!F776,"/",Sheet2!E776)</f>
        <v>2/Piston</v>
      </c>
      <c r="D776" t="str">
        <f>CONCATENATE(Sheet2!B776,", ",Sheet2!C776)</f>
        <v>RUTAN, 40 Defiant</v>
      </c>
    </row>
    <row r="777" spans="1:4" x14ac:dyDescent="0.2">
      <c r="A777" t="str">
        <f>Sheet2!A777</f>
        <v>DELF</v>
      </c>
      <c r="B777" t="str">
        <f ca="1">'Query Example'!D777</f>
        <v>LandPlane</v>
      </c>
      <c r="C777" s="11" t="str">
        <f>CONCATENATE(Sheet2!F777,"/",Sheet2!E777)</f>
        <v>1/Piston</v>
      </c>
      <c r="D777" t="str">
        <f>CONCATENATE(Sheet2!B777,", ",Sheet2!C777)</f>
        <v>LYAVIN, Delfin</v>
      </c>
    </row>
    <row r="778" spans="1:4" x14ac:dyDescent="0.2">
      <c r="A778" t="str">
        <f>Sheet2!A778</f>
        <v>DFL6</v>
      </c>
      <c r="B778" t="str">
        <f ca="1">'Query Example'!D778</f>
        <v>LandPlane</v>
      </c>
      <c r="C778" s="11" t="str">
        <f>CONCATENATE(Sheet2!F778,"/",Sheet2!E778)</f>
        <v>1/Piston</v>
      </c>
      <c r="D778" t="str">
        <f>CONCATENATE(Sheet2!B778,", ",Sheet2!C778)</f>
        <v>DAMOURE-FABRE, DFL-6 Saphir</v>
      </c>
    </row>
    <row r="779" spans="1:4" x14ac:dyDescent="0.2">
      <c r="A779" t="str">
        <f>Sheet2!A779</f>
        <v>DFLY</v>
      </c>
      <c r="B779" t="str">
        <f ca="1">'Query Example'!D779</f>
        <v>LandPlane</v>
      </c>
      <c r="C779" s="11" t="str">
        <f>CONCATENATE(Sheet2!F779,"/",Sheet2!E779)</f>
        <v>1/Piston</v>
      </c>
      <c r="D779" t="str">
        <f>CONCATENATE(Sheet2!B779,", ",Sheet2!C779)</f>
        <v>VIKING (1), Dragonfly</v>
      </c>
    </row>
    <row r="780" spans="1:4" x14ac:dyDescent="0.2">
      <c r="A780" t="str">
        <f>Sheet2!A780</f>
        <v>DG15</v>
      </c>
      <c r="B780" t="str">
        <f ca="1">'Query Example'!D780</f>
        <v>LandPlane</v>
      </c>
      <c r="C780" s="11" t="str">
        <f>CONCATENATE(Sheet2!F780,"/",Sheet2!E780)</f>
        <v>1/Piston</v>
      </c>
      <c r="D780" t="str">
        <f>CONCATENATE(Sheet2!B780,", ",Sheet2!C780)</f>
        <v>HOWARD (1), DGA-15</v>
      </c>
    </row>
    <row r="781" spans="1:4" x14ac:dyDescent="0.2">
      <c r="A781" t="str">
        <f>Sheet2!A781</f>
        <v>DG1T</v>
      </c>
      <c r="B781" t="str">
        <f ca="1">'Query Example'!D781</f>
        <v>LandPlane</v>
      </c>
      <c r="C781" s="11" t="str">
        <f>CONCATENATE(Sheet2!F781,"/",Sheet2!E781)</f>
        <v>1/Piston</v>
      </c>
      <c r="D781" t="str">
        <f>CONCATENATE(Sheet2!B781,", ",Sheet2!C781)</f>
        <v>DG FLUGZEUGBAU, DG-1000T</v>
      </c>
    </row>
    <row r="782" spans="1:4" x14ac:dyDescent="0.2">
      <c r="A782" t="str">
        <f>Sheet2!A782</f>
        <v>DG40</v>
      </c>
      <c r="B782" t="str">
        <f ca="1">'Query Example'!D782</f>
        <v>LandPlane</v>
      </c>
      <c r="C782" s="11" t="str">
        <f>CONCATENATE(Sheet2!F782,"/",Sheet2!E782)</f>
        <v>1/Piston</v>
      </c>
      <c r="D782" t="str">
        <f>CONCATENATE(Sheet2!B782,", ",Sheet2!C782)</f>
        <v>GLASER-DIRKS, DG-400</v>
      </c>
    </row>
    <row r="783" spans="1:4" x14ac:dyDescent="0.2">
      <c r="A783" t="str">
        <f>Sheet2!A783</f>
        <v>DG50</v>
      </c>
      <c r="B783" t="str">
        <f ca="1">'Query Example'!D783</f>
        <v>LandPlane</v>
      </c>
      <c r="C783" s="11" t="str">
        <f>CONCATENATE(Sheet2!F783,"/",Sheet2!E783)</f>
        <v>1/Piston</v>
      </c>
      <c r="D783" t="str">
        <f>CONCATENATE(Sheet2!B783,", ",Sheet2!C783)</f>
        <v>GLASER-DIRKS, DG-500M</v>
      </c>
    </row>
    <row r="784" spans="1:4" x14ac:dyDescent="0.2">
      <c r="A784" t="str">
        <f>Sheet2!A784</f>
        <v>DG60</v>
      </c>
      <c r="B784" t="str">
        <f ca="1">'Query Example'!D784</f>
        <v>LandPlane</v>
      </c>
      <c r="C784" s="11" t="str">
        <f>CONCATENATE(Sheet2!F784,"/",Sheet2!E784)</f>
        <v>1/Piston</v>
      </c>
      <c r="D784" t="str">
        <f>CONCATENATE(Sheet2!B784,", ",Sheet2!C784)</f>
        <v>GLASER-DIRKS, DG-600M</v>
      </c>
    </row>
    <row r="785" spans="1:4" x14ac:dyDescent="0.2">
      <c r="A785" t="str">
        <f>Sheet2!A785</f>
        <v>DG80</v>
      </c>
      <c r="B785" t="str">
        <f ca="1">'Query Example'!D785</f>
        <v>LandPlane</v>
      </c>
      <c r="C785" s="11" t="str">
        <f>CONCATENATE(Sheet2!F785,"/",Sheet2!E785)</f>
        <v>1/Piston</v>
      </c>
      <c r="D785" t="str">
        <f>CONCATENATE(Sheet2!B785,", ",Sheet2!C785)</f>
        <v>DG FLUGZEUGBAU, DG-800</v>
      </c>
    </row>
    <row r="786" spans="1:4" x14ac:dyDescent="0.2">
      <c r="A786" t="str">
        <f>Sheet2!A786</f>
        <v>DH2T</v>
      </c>
      <c r="B786" t="str">
        <f ca="1">'Query Example'!D786</f>
        <v>LandPlane</v>
      </c>
      <c r="C786" s="11" t="str">
        <f>CONCATENATE(Sheet2!F786,"/",Sheet2!E786)</f>
        <v>1/Turboprop/Turboshaft</v>
      </c>
      <c r="D786" t="str">
        <f>CONCATENATE(Sheet2!B786,", ",Sheet2!C786)</f>
        <v>DE HAVILLAND CANADA, DHC-2 Mk3 Turbo Beaver</v>
      </c>
    </row>
    <row r="787" spans="1:4" x14ac:dyDescent="0.2">
      <c r="A787" t="str">
        <f>Sheet2!A787</f>
        <v>DH3T</v>
      </c>
      <c r="B787" t="str">
        <f ca="1">'Query Example'!D787</f>
        <v>LandPlane</v>
      </c>
      <c r="C787" s="11" t="str">
        <f>CONCATENATE(Sheet2!F787,"/",Sheet2!E787)</f>
        <v>1/Turboprop/Turboshaft</v>
      </c>
      <c r="D787" t="str">
        <f>CONCATENATE(Sheet2!B787,", ",Sheet2!C787)</f>
        <v>DE HAVILLAND CANADA, DHC-3 Turbo Otter</v>
      </c>
    </row>
    <row r="788" spans="1:4" x14ac:dyDescent="0.2">
      <c r="A788" t="str">
        <f>Sheet2!A788</f>
        <v>DH4T</v>
      </c>
      <c r="B788" t="str">
        <f ca="1">'Query Example'!D788</f>
        <v>LandPlane</v>
      </c>
      <c r="C788" s="11" t="str">
        <f>CONCATENATE(Sheet2!F788,"/",Sheet2!E788)</f>
        <v>2/Turboprop/Turboshaft</v>
      </c>
      <c r="D788" t="str">
        <f>CONCATENATE(Sheet2!B788,", ",Sheet2!C788)</f>
        <v>DE HAVILLAND CANADA, DHC-4 Turbo Caribou</v>
      </c>
    </row>
    <row r="789" spans="1:4" x14ac:dyDescent="0.2">
      <c r="A789" t="str">
        <f>Sheet2!A789</f>
        <v>DH60</v>
      </c>
      <c r="B789" t="str">
        <f ca="1">'Query Example'!D789</f>
        <v>LandPlane</v>
      </c>
      <c r="C789" s="11" t="str">
        <f>CONCATENATE(Sheet2!F789,"/",Sheet2!E789)</f>
        <v>1/Piston</v>
      </c>
      <c r="D789" t="str">
        <f>CONCATENATE(Sheet2!B789,", ",Sheet2!C789)</f>
        <v>DE HAVILLAND, DH-60 Moth</v>
      </c>
    </row>
    <row r="790" spans="1:4" x14ac:dyDescent="0.2">
      <c r="A790" t="str">
        <f>Sheet2!A790</f>
        <v>DH80</v>
      </c>
      <c r="B790" t="str">
        <f ca="1">'Query Example'!D790</f>
        <v>LandPlane</v>
      </c>
      <c r="C790" s="11" t="str">
        <f>CONCATENATE(Sheet2!F790,"/",Sheet2!E790)</f>
        <v>1/Piston</v>
      </c>
      <c r="D790" t="str">
        <f>CONCATENATE(Sheet2!B790,", ",Sheet2!C790)</f>
        <v>DE HAVILLAND, DH-80 Puss Moth</v>
      </c>
    </row>
    <row r="791" spans="1:4" x14ac:dyDescent="0.2">
      <c r="A791" t="str">
        <f>Sheet2!A791</f>
        <v>DH82</v>
      </c>
      <c r="B791" t="str">
        <f ca="1">'Query Example'!D791</f>
        <v>LandPlane</v>
      </c>
      <c r="C791" s="11" t="str">
        <f>CONCATENATE(Sheet2!F791,"/",Sheet2!E791)</f>
        <v>1/Piston</v>
      </c>
      <c r="D791" t="str">
        <f>CONCATENATE(Sheet2!B791,", ",Sheet2!C791)</f>
        <v>DE HAVILLAND, DH-82 Tiger Moth</v>
      </c>
    </row>
    <row r="792" spans="1:4" x14ac:dyDescent="0.2">
      <c r="A792" t="str">
        <f>Sheet2!A792</f>
        <v>DH83</v>
      </c>
      <c r="B792" t="str">
        <f ca="1">'Query Example'!D792</f>
        <v>LandPlane</v>
      </c>
      <c r="C792" s="11" t="str">
        <f>CONCATENATE(Sheet2!F792,"/",Sheet2!E792)</f>
        <v>1/Piston</v>
      </c>
      <c r="D792" t="str">
        <f>CONCATENATE(Sheet2!B792,", ",Sheet2!C792)</f>
        <v>DE HAVILLAND, DH-83 Fox Moth</v>
      </c>
    </row>
    <row r="793" spans="1:4" x14ac:dyDescent="0.2">
      <c r="A793" t="str">
        <f>Sheet2!A793</f>
        <v>DH84</v>
      </c>
      <c r="B793" t="str">
        <f ca="1">'Query Example'!D793</f>
        <v>LandPlane</v>
      </c>
      <c r="C793" s="11" t="str">
        <f>CONCATENATE(Sheet2!F793,"/",Sheet2!E793)</f>
        <v>2/Piston</v>
      </c>
      <c r="D793" t="str">
        <f>CONCATENATE(Sheet2!B793,", ",Sheet2!C793)</f>
        <v>DE HAVILLAND, DH-84 Dragon</v>
      </c>
    </row>
    <row r="794" spans="1:4" x14ac:dyDescent="0.2">
      <c r="A794" t="str">
        <f>Sheet2!A794</f>
        <v>DH85</v>
      </c>
      <c r="B794" t="str">
        <f ca="1">'Query Example'!D794</f>
        <v>LandPlane</v>
      </c>
      <c r="C794" s="11" t="str">
        <f>CONCATENATE(Sheet2!F794,"/",Sheet2!E794)</f>
        <v>1/Piston</v>
      </c>
      <c r="D794" t="str">
        <f>CONCATENATE(Sheet2!B794,", ",Sheet2!C794)</f>
        <v>DE HAVILLAND, DH-85 Leopard Moth</v>
      </c>
    </row>
    <row r="795" spans="1:4" x14ac:dyDescent="0.2">
      <c r="A795" t="str">
        <f>Sheet2!A795</f>
        <v>DH87</v>
      </c>
      <c r="B795" t="str">
        <f ca="1">'Query Example'!D795</f>
        <v>LandPlane</v>
      </c>
      <c r="C795" s="11" t="str">
        <f>CONCATENATE(Sheet2!F795,"/",Sheet2!E795)</f>
        <v>1/Piston</v>
      </c>
      <c r="D795" t="str">
        <f>CONCATENATE(Sheet2!B795,", ",Sheet2!C795)</f>
        <v>DE HAVILLAND, DH-87 Hornet Moth</v>
      </c>
    </row>
    <row r="796" spans="1:4" x14ac:dyDescent="0.2">
      <c r="A796" t="str">
        <f>Sheet2!A796</f>
        <v>DH88</v>
      </c>
      <c r="B796" t="str">
        <f ca="1">'Query Example'!D796</f>
        <v>LandPlane</v>
      </c>
      <c r="C796" s="11" t="str">
        <f>CONCATENATE(Sheet2!F796,"/",Sheet2!E796)</f>
        <v>2/Piston</v>
      </c>
      <c r="D796" t="str">
        <f>CONCATENATE(Sheet2!B796,", ",Sheet2!C796)</f>
        <v>DE HAVILLAND, DH-88 Comet Replica</v>
      </c>
    </row>
    <row r="797" spans="1:4" x14ac:dyDescent="0.2">
      <c r="A797" t="str">
        <f>Sheet2!A797</f>
        <v>DH89</v>
      </c>
      <c r="B797" t="str">
        <f ca="1">'Query Example'!D797</f>
        <v>LandPlane</v>
      </c>
      <c r="C797" s="11" t="str">
        <f>CONCATENATE(Sheet2!F797,"/",Sheet2!E797)</f>
        <v>2/Piston</v>
      </c>
      <c r="D797" t="str">
        <f>CONCATENATE(Sheet2!B797,", ",Sheet2!C797)</f>
        <v>DE HAVILLAND, DH-89 Dragon Rapide</v>
      </c>
    </row>
    <row r="798" spans="1:4" x14ac:dyDescent="0.2">
      <c r="A798" t="str">
        <f>Sheet2!A798</f>
        <v>DH8A</v>
      </c>
      <c r="B798" t="str">
        <f ca="1">'Query Example'!D798</f>
        <v>LandPlane</v>
      </c>
      <c r="C798" s="11" t="str">
        <f>CONCATENATE(Sheet2!F798,"/",Sheet2!E798)</f>
        <v>2/Turboprop/Turboshaft</v>
      </c>
      <c r="D798" t="str">
        <f>CONCATENATE(Sheet2!B798,", ",Sheet2!C798)</f>
        <v>DE HAVILLAND CANADA, DHC-8-100 Dash 8</v>
      </c>
    </row>
    <row r="799" spans="1:4" x14ac:dyDescent="0.2">
      <c r="A799" t="str">
        <f>Sheet2!A799</f>
        <v>DH8B</v>
      </c>
      <c r="B799" t="str">
        <f ca="1">'Query Example'!D799</f>
        <v>LandPlane</v>
      </c>
      <c r="C799" s="11" t="str">
        <f>CONCATENATE(Sheet2!F799,"/",Sheet2!E799)</f>
        <v>2/Turboprop/Turboshaft</v>
      </c>
      <c r="D799" t="str">
        <f>CONCATENATE(Sheet2!B799,", ",Sheet2!C799)</f>
        <v>DE HAVILLAND CANADA, DHC-8-200 Dash 8</v>
      </c>
    </row>
    <row r="800" spans="1:4" x14ac:dyDescent="0.2">
      <c r="A800" t="str">
        <f>Sheet2!A800</f>
        <v>DH8C</v>
      </c>
      <c r="B800" t="str">
        <f ca="1">'Query Example'!D800</f>
        <v>LandPlane</v>
      </c>
      <c r="C800" s="11" t="str">
        <f>CONCATENATE(Sheet2!F800,"/",Sheet2!E800)</f>
        <v>2/Turboprop/Turboshaft</v>
      </c>
      <c r="D800" t="str">
        <f>CONCATENATE(Sheet2!B800,", ",Sheet2!C800)</f>
        <v>DE HAVILLAND CANADA, DHC-8-300 Dash 8</v>
      </c>
    </row>
    <row r="801" spans="1:4" x14ac:dyDescent="0.2">
      <c r="A801" t="str">
        <f>Sheet2!A801</f>
        <v>DH8D</v>
      </c>
      <c r="B801" t="str">
        <f ca="1">'Query Example'!D801</f>
        <v>LandPlane</v>
      </c>
      <c r="C801" s="11" t="str">
        <f>CONCATENATE(Sheet2!F801,"/",Sheet2!E801)</f>
        <v>2/Turboprop/Turboshaft</v>
      </c>
      <c r="D801" t="str">
        <f>CONCATENATE(Sheet2!B801,", ",Sheet2!C801)</f>
        <v>DE HAVILLAND CANADA, DHC-8-400 Dash 8</v>
      </c>
    </row>
    <row r="802" spans="1:4" x14ac:dyDescent="0.2">
      <c r="A802" t="str">
        <f>Sheet2!A802</f>
        <v>DH90</v>
      </c>
      <c r="B802" t="str">
        <f ca="1">'Query Example'!D802</f>
        <v>LandPlane</v>
      </c>
      <c r="C802" s="11" t="str">
        <f>CONCATENATE(Sheet2!F802,"/",Sheet2!E802)</f>
        <v>2/Piston</v>
      </c>
      <c r="D802" t="str">
        <f>CONCATENATE(Sheet2!B802,", ",Sheet2!C802)</f>
        <v>DE HAVILLAND, DH-90 Dragonfly</v>
      </c>
    </row>
    <row r="803" spans="1:4" x14ac:dyDescent="0.2">
      <c r="A803" t="str">
        <f>Sheet2!A803</f>
        <v>DH94</v>
      </c>
      <c r="B803" t="str">
        <f ca="1">'Query Example'!D803</f>
        <v>LandPlane</v>
      </c>
      <c r="C803" s="11" t="str">
        <f>CONCATENATE(Sheet2!F803,"/",Sheet2!E803)</f>
        <v>1/Piston</v>
      </c>
      <c r="D803" t="str">
        <f>CONCATENATE(Sheet2!B803,", ",Sheet2!C803)</f>
        <v>DE HAVILLAND, DH-94 Moth Minor</v>
      </c>
    </row>
    <row r="804" spans="1:4" x14ac:dyDescent="0.2">
      <c r="A804" t="str">
        <f>Sheet2!A804</f>
        <v>DHA3</v>
      </c>
      <c r="B804" t="str">
        <f ca="1">'Query Example'!D804</f>
        <v>LandPlane</v>
      </c>
      <c r="C804" s="11" t="str">
        <f>CONCATENATE(Sheet2!F804,"/",Sheet2!E804)</f>
        <v>3/Piston</v>
      </c>
      <c r="D804" t="str">
        <f>CONCATENATE(Sheet2!B804,", ",Sheet2!C804)</f>
        <v>DE HAVILLAND AUSTRALIA, DHA-3 Drover</v>
      </c>
    </row>
    <row r="805" spans="1:4" x14ac:dyDescent="0.2">
      <c r="A805" t="str">
        <f>Sheet2!A805</f>
        <v>DHC1</v>
      </c>
      <c r="B805" t="str">
        <f ca="1">'Query Example'!D805</f>
        <v>LandPlane</v>
      </c>
      <c r="C805" s="11" t="str">
        <f>CONCATENATE(Sheet2!F805,"/",Sheet2!E805)</f>
        <v>1/Piston</v>
      </c>
      <c r="D805" t="str">
        <f>CONCATENATE(Sheet2!B805,", ",Sheet2!C805)</f>
        <v>DE HAVILLAND, DHC-1 Chipmunk</v>
      </c>
    </row>
    <row r="806" spans="1:4" x14ac:dyDescent="0.2">
      <c r="A806" t="str">
        <f>Sheet2!A806</f>
        <v>DHC2</v>
      </c>
      <c r="B806" t="str">
        <f ca="1">'Query Example'!D806</f>
        <v>LandPlane</v>
      </c>
      <c r="C806" s="11" t="str">
        <f>CONCATENATE(Sheet2!F806,"/",Sheet2!E806)</f>
        <v>1/Piston</v>
      </c>
      <c r="D806" t="str">
        <f>CONCATENATE(Sheet2!B806,", ",Sheet2!C806)</f>
        <v>DE HAVILLAND CANADA, DHC-2 Mk1 Beaver</v>
      </c>
    </row>
    <row r="807" spans="1:4" x14ac:dyDescent="0.2">
      <c r="A807" t="str">
        <f>Sheet2!A807</f>
        <v>DHC3</v>
      </c>
      <c r="B807" t="str">
        <f ca="1">'Query Example'!D807</f>
        <v>LandPlane</v>
      </c>
      <c r="C807" s="11" t="str">
        <f>CONCATENATE(Sheet2!F807,"/",Sheet2!E807)</f>
        <v>1/Piston</v>
      </c>
      <c r="D807" t="str">
        <f>CONCATENATE(Sheet2!B807,", ",Sheet2!C807)</f>
        <v>DE HAVILLAND CANADA, DHC-3 Otter</v>
      </c>
    </row>
    <row r="808" spans="1:4" x14ac:dyDescent="0.2">
      <c r="A808" t="str">
        <f>Sheet2!A808</f>
        <v>DHC4</v>
      </c>
      <c r="B808" t="str">
        <f ca="1">'Query Example'!D808</f>
        <v>LandPlane</v>
      </c>
      <c r="C808" s="11" t="str">
        <f>CONCATENATE(Sheet2!F808,"/",Sheet2!E808)</f>
        <v>2/Piston</v>
      </c>
      <c r="D808" t="str">
        <f>CONCATENATE(Sheet2!B808,", ",Sheet2!C808)</f>
        <v>DE HAVILLAND CANADA, DHC-4 Caribou</v>
      </c>
    </row>
    <row r="809" spans="1:4" x14ac:dyDescent="0.2">
      <c r="A809" t="str">
        <f>Sheet2!A809</f>
        <v>DHC5</v>
      </c>
      <c r="B809" t="str">
        <f ca="1">'Query Example'!D809</f>
        <v>LandPlane</v>
      </c>
      <c r="C809" s="11" t="str">
        <f>CONCATENATE(Sheet2!F809,"/",Sheet2!E809)</f>
        <v>2/Turboprop/Turboshaft</v>
      </c>
      <c r="D809" t="str">
        <f>CONCATENATE(Sheet2!B809,", ",Sheet2!C809)</f>
        <v>DE HAVILLAND CANADA, DHC-5 Buffalo</v>
      </c>
    </row>
    <row r="810" spans="1:4" x14ac:dyDescent="0.2">
      <c r="A810" t="str">
        <f>Sheet2!A810</f>
        <v>DHC6</v>
      </c>
      <c r="B810" t="str">
        <f ca="1">'Query Example'!D810</f>
        <v>LandPlane</v>
      </c>
      <c r="C810" s="11" t="str">
        <f>CONCATENATE(Sheet2!F810,"/",Sheet2!E810)</f>
        <v>2/Turboprop/Turboshaft</v>
      </c>
      <c r="D810" t="str">
        <f>CONCATENATE(Sheet2!B810,", ",Sheet2!C810)</f>
        <v>DE HAVILLAND CANADA, DHC-6 Twin Otter</v>
      </c>
    </row>
    <row r="811" spans="1:4" x14ac:dyDescent="0.2">
      <c r="A811" t="str">
        <f>Sheet2!A811</f>
        <v>DHC7</v>
      </c>
      <c r="B811" t="str">
        <f ca="1">'Query Example'!D811</f>
        <v>LandPlane</v>
      </c>
      <c r="C811" s="11" t="str">
        <f>CONCATENATE(Sheet2!F811,"/",Sheet2!E811)</f>
        <v>4/Turboprop/Turboshaft</v>
      </c>
      <c r="D811" t="str">
        <f>CONCATENATE(Sheet2!B811,", ",Sheet2!C811)</f>
        <v>DE HAVILLAND CANADA, DHC-7 Dash 7</v>
      </c>
    </row>
    <row r="812" spans="1:4" x14ac:dyDescent="0.2">
      <c r="A812" t="str">
        <f>Sheet2!A812</f>
        <v>DIES</v>
      </c>
      <c r="B812" t="str">
        <f ca="1">'Query Example'!D812</f>
        <v>LandPlane</v>
      </c>
      <c r="C812" s="11" t="str">
        <f>CONCATENATE(Sheet2!F812,"/",Sheet2!E812)</f>
        <v>1/Piston</v>
      </c>
      <c r="D812" t="str">
        <f>CONCATENATE(Sheet2!B812,", ",Sheet2!C812)</f>
        <v>PENNEC-LUCAS, Dieselis</v>
      </c>
    </row>
    <row r="813" spans="1:4" x14ac:dyDescent="0.2">
      <c r="A813" t="str">
        <f>Sheet2!A813</f>
        <v>DIJ3</v>
      </c>
      <c r="B813" t="str">
        <f ca="1">'Query Example'!D813</f>
        <v>LandPlane</v>
      </c>
      <c r="C813" s="11" t="str">
        <f>CONCATENATE(Sheet2!F813,"/",Sheet2!E813)</f>
        <v>1/Piston</v>
      </c>
      <c r="D813" t="str">
        <f>CONCATENATE(Sheet2!B813,", ",Sheet2!C813)</f>
        <v>DIJKMAN-DULKES, Dijkhastar 3</v>
      </c>
    </row>
    <row r="814" spans="1:4" x14ac:dyDescent="0.2">
      <c r="A814" t="str">
        <f>Sheet2!A814</f>
        <v>DIJ4</v>
      </c>
      <c r="B814" t="str">
        <f ca="1">'Query Example'!D814</f>
        <v>Amphibian</v>
      </c>
      <c r="C814" s="11" t="str">
        <f>CONCATENATE(Sheet2!F814,"/",Sheet2!E814)</f>
        <v>1/Piston</v>
      </c>
      <c r="D814" t="str">
        <f>CONCATENATE(Sheet2!B814,", ",Sheet2!C814)</f>
        <v>DIJKMAN-DULKES, Dijkhastar 4</v>
      </c>
    </row>
    <row r="815" spans="1:4" x14ac:dyDescent="0.2">
      <c r="A815" t="str">
        <f>Sheet2!A815</f>
        <v>DIMO</v>
      </c>
      <c r="B815" t="str">
        <f ca="1">'Query Example'!D815</f>
        <v>LandPlane</v>
      </c>
      <c r="C815" s="11" t="str">
        <f>CONCATENATE(Sheet2!F815,"/",Sheet2!E815)</f>
        <v>1/Piston</v>
      </c>
      <c r="D815" t="str">
        <f>CONCATENATE(Sheet2!B815,", ",Sheet2!C815)</f>
        <v>DIAMOND, HK-36 Super Dimona</v>
      </c>
    </row>
    <row r="816" spans="1:4" x14ac:dyDescent="0.2">
      <c r="A816" t="str">
        <f>Sheet2!A816</f>
        <v>DINO</v>
      </c>
      <c r="B816" t="str">
        <f ca="1">'Query Example'!D816</f>
        <v>LandPlane</v>
      </c>
      <c r="C816" s="11" t="str">
        <f>CONCATENATE(Sheet2!F816,"/",Sheet2!E816)</f>
        <v>1/Piston</v>
      </c>
      <c r="D816" t="str">
        <f>CONCATENATE(Sheet2!B816,", ",Sheet2!C816)</f>
        <v>GANZAVIA, GAK-22 Dinó</v>
      </c>
    </row>
    <row r="817" spans="1:4" x14ac:dyDescent="0.2">
      <c r="A817" t="str">
        <f>Sheet2!A817</f>
        <v>DIPR</v>
      </c>
      <c r="B817" t="str">
        <f ca="1">'Query Example'!D817</f>
        <v>Amphibian</v>
      </c>
      <c r="C817" s="11" t="str">
        <f>CONCATENATE(Sheet2!F817,"/",Sheet2!E817)</f>
        <v>1/Piston</v>
      </c>
      <c r="D817" t="str">
        <f>CONCATENATE(Sheet2!B817,", ",Sheet2!C817)</f>
        <v>COLLINS, Dipper</v>
      </c>
    </row>
    <row r="818" spans="1:4" x14ac:dyDescent="0.2">
      <c r="A818" t="str">
        <f>Sheet2!A818</f>
        <v>DISC</v>
      </c>
      <c r="B818" t="str">
        <f ca="1">'Query Example'!D818</f>
        <v>LandPlane</v>
      </c>
      <c r="C818" s="11" t="str">
        <f>CONCATENATE(Sheet2!F818,"/",Sheet2!E818)</f>
        <v>1/Piston</v>
      </c>
      <c r="D818" t="str">
        <f>CONCATENATE(Sheet2!B818,", ",Sheet2!C818)</f>
        <v>SCHEMPP-HIRTH, Discus 2T</v>
      </c>
    </row>
    <row r="819" spans="1:4" x14ac:dyDescent="0.2">
      <c r="A819" t="str">
        <f>Sheet2!A819</f>
        <v>DJET</v>
      </c>
      <c r="B819" t="str">
        <f ca="1">'Query Example'!D819</f>
        <v>LandPlane</v>
      </c>
      <c r="C819" s="11" t="str">
        <f>CONCATENATE(Sheet2!F819,"/",Sheet2!E819)</f>
        <v>1/Jet</v>
      </c>
      <c r="D819" t="str">
        <f>CONCATENATE(Sheet2!B819,", ",Sheet2!C819)</f>
        <v>DIAMOND, DJ-1 D-Jet</v>
      </c>
    </row>
    <row r="820" spans="1:4" x14ac:dyDescent="0.2">
      <c r="A820" t="str">
        <f>Sheet2!A820</f>
        <v>DJIN</v>
      </c>
      <c r="B820" t="str">
        <f ca="1">'Query Example'!D820</f>
        <v>Helicopter</v>
      </c>
      <c r="C820" s="11" t="str">
        <f>CONCATENATE(Sheet2!F820,"/",Sheet2!E820)</f>
        <v>1/Turboprop/Turboshaft</v>
      </c>
      <c r="D820" t="str">
        <f>CONCATENATE(Sheet2!B820,", ",Sheet2!C820)</f>
        <v>SUD-OUEST, SO-1221 Djinn</v>
      </c>
    </row>
    <row r="821" spans="1:4" x14ac:dyDescent="0.2">
      <c r="A821" t="str">
        <f>Sheet2!A821</f>
        <v>DLH2</v>
      </c>
      <c r="B821" t="str">
        <f ca="1">'Query Example'!D821</f>
        <v>LandPlane</v>
      </c>
      <c r="C821" s="11" t="str">
        <f>CONCATENATE(Sheet2!F821,"/",Sheet2!E821)</f>
        <v>1/Electric</v>
      </c>
      <c r="D821" t="str">
        <f>CONCATENATE(Sheet2!B821,", ",Sheet2!C821)</f>
        <v>LANGE, E-1 Antares DLR-H2</v>
      </c>
    </row>
    <row r="822" spans="1:4" x14ac:dyDescent="0.2">
      <c r="A822" t="str">
        <f>Sheet2!A822</f>
        <v>DNGO</v>
      </c>
      <c r="B822" t="str">
        <f ca="1">'Query Example'!D822</f>
        <v>Amphibian</v>
      </c>
      <c r="C822" s="11" t="str">
        <f>CONCATENATE(Sheet2!F822,"/",Sheet2!E822)</f>
        <v>1/Turboprop/Turboshaft</v>
      </c>
      <c r="D822" t="str">
        <f>CONCATENATE(Sheet2!B822,", ",Sheet2!C822)</f>
        <v>AERORIC, Dingo</v>
      </c>
    </row>
    <row r="823" spans="1:4" x14ac:dyDescent="0.2">
      <c r="A823" t="str">
        <f>Sheet2!A823</f>
        <v>DO27</v>
      </c>
      <c r="B823" t="str">
        <f ca="1">'Query Example'!D823</f>
        <v>LandPlane</v>
      </c>
      <c r="C823" s="11" t="str">
        <f>CONCATENATE(Sheet2!F823,"/",Sheet2!E823)</f>
        <v>1/Piston</v>
      </c>
      <c r="D823" t="str">
        <f>CONCATENATE(Sheet2!B823,", ",Sheet2!C823)</f>
        <v>DORNIER, Do-27</v>
      </c>
    </row>
    <row r="824" spans="1:4" x14ac:dyDescent="0.2">
      <c r="A824" t="str">
        <f>Sheet2!A824</f>
        <v>DOCX</v>
      </c>
      <c r="B824" t="str">
        <f ca="1">'Query Example'!D824</f>
        <v>LandPlane</v>
      </c>
      <c r="C824" s="11" t="str">
        <f>CONCATENATE(Sheet2!F824,"/",Sheet2!E824)</f>
        <v>1/Piston</v>
      </c>
      <c r="D824" t="str">
        <f>CONCATENATE(Sheet2!B824,", ",Sheet2!C824)</f>
        <v>KOVACH-ELMENDORF, ES-3 Doc's RX</v>
      </c>
    </row>
    <row r="825" spans="1:4" x14ac:dyDescent="0.2">
      <c r="A825" t="str">
        <f>Sheet2!A825</f>
        <v>DON</v>
      </c>
      <c r="B825" t="str">
        <f ca="1">'Query Example'!D825</f>
        <v>LandPlane</v>
      </c>
      <c r="C825" s="11" t="str">
        <f>CONCATENATE(Sheet2!F825,"/",Sheet2!E825)</f>
        <v>1/Piston</v>
      </c>
      <c r="D825" t="str">
        <f>CONCATENATE(Sheet2!B825,", ",Sheet2!C825)</f>
        <v>UNIKOMTRANSO, Don</v>
      </c>
    </row>
    <row r="826" spans="1:4" x14ac:dyDescent="0.2">
      <c r="A826" t="str">
        <f>Sheet2!A826</f>
        <v>DOVE</v>
      </c>
      <c r="B826" t="str">
        <f ca="1">'Query Example'!D826</f>
        <v>LandPlane</v>
      </c>
      <c r="C826" s="11" t="str">
        <f>CONCATENATE(Sheet2!F826,"/",Sheet2!E826)</f>
        <v>2/Piston</v>
      </c>
      <c r="D826" t="str">
        <f>CONCATENATE(Sheet2!B826,", ",Sheet2!C826)</f>
        <v>DE HAVILLAND, DH-104 Dove</v>
      </c>
    </row>
    <row r="827" spans="1:4" x14ac:dyDescent="0.2">
      <c r="A827" t="str">
        <f>Sheet2!A827</f>
        <v>DR1</v>
      </c>
      <c r="B827" t="str">
        <f ca="1">'Query Example'!D827</f>
        <v>LandPlane</v>
      </c>
      <c r="C827" s="11" t="str">
        <f>CONCATENATE(Sheet2!F827,"/",Sheet2!E827)</f>
        <v>1/Piston</v>
      </c>
      <c r="D827" t="str">
        <f>CONCATENATE(Sheet2!B827,", ",Sheet2!C827)</f>
        <v>FOKKER, Dr-1 Replica</v>
      </c>
    </row>
    <row r="828" spans="1:4" x14ac:dyDescent="0.2">
      <c r="A828" t="str">
        <f>Sheet2!A828</f>
        <v>DR10</v>
      </c>
      <c r="B828" t="str">
        <f ca="1">'Query Example'!D828</f>
        <v>LandPlane</v>
      </c>
      <c r="C828" s="11" t="str">
        <f>CONCATENATE(Sheet2!F828,"/",Sheet2!E828)</f>
        <v>1/Piston</v>
      </c>
      <c r="D828" t="str">
        <f>CONCATENATE(Sheet2!B828,", ",Sheet2!C828)</f>
        <v>CENTRE EST, DR-1050 Ambassadeur</v>
      </c>
    </row>
    <row r="829" spans="1:4" x14ac:dyDescent="0.2">
      <c r="A829" t="str">
        <f>Sheet2!A829</f>
        <v>DR22</v>
      </c>
      <c r="B829" t="str">
        <f ca="1">'Query Example'!D829</f>
        <v>LandPlane</v>
      </c>
      <c r="C829" s="11" t="str">
        <f>CONCATENATE(Sheet2!F829,"/",Sheet2!E829)</f>
        <v>1/Piston</v>
      </c>
      <c r="D829" t="str">
        <f>CONCATENATE(Sheet2!B829,", ",Sheet2!C829)</f>
        <v>CENTRE EST, DR-220 2+2</v>
      </c>
    </row>
    <row r="830" spans="1:4" x14ac:dyDescent="0.2">
      <c r="A830" t="str">
        <f>Sheet2!A830</f>
        <v>DR30</v>
      </c>
      <c r="B830" t="str">
        <f ca="1">'Query Example'!D830</f>
        <v>LandPlane</v>
      </c>
      <c r="C830" s="11" t="str">
        <f>CONCATENATE(Sheet2!F830,"/",Sheet2!E830)</f>
        <v>1/Piston</v>
      </c>
      <c r="D830" t="str">
        <f>CONCATENATE(Sheet2!B830,", ",Sheet2!C830)</f>
        <v>CENTRE EST, DR-315 Petit Prince</v>
      </c>
    </row>
    <row r="831" spans="1:4" x14ac:dyDescent="0.2">
      <c r="A831" t="str">
        <f>Sheet2!A831</f>
        <v>DR30</v>
      </c>
      <c r="B831" t="str">
        <f ca="1">'Query Example'!D831</f>
        <v>LandPlane</v>
      </c>
      <c r="C831" s="11" t="str">
        <f>CONCATENATE(Sheet2!F831,"/",Sheet2!E831)</f>
        <v>1/Piston</v>
      </c>
      <c r="D831" t="str">
        <f>CONCATENATE(Sheet2!B831,", ",Sheet2!C831)</f>
        <v>CENTRE EST, DR-340 Major</v>
      </c>
    </row>
    <row r="832" spans="1:4" x14ac:dyDescent="0.2">
      <c r="A832" t="str">
        <f>Sheet2!A832</f>
        <v>DR30</v>
      </c>
      <c r="B832" t="str">
        <f ca="1">'Query Example'!D832</f>
        <v>LandPlane</v>
      </c>
      <c r="C832" s="11" t="str">
        <f>CONCATENATE(Sheet2!F832,"/",Sheet2!E832)</f>
        <v>1/Piston</v>
      </c>
      <c r="D832" t="str">
        <f>CONCATENATE(Sheet2!B832,", ",Sheet2!C832)</f>
        <v>ROBIN, DR-300</v>
      </c>
    </row>
    <row r="833" spans="1:4" x14ac:dyDescent="0.2">
      <c r="A833" t="str">
        <f>Sheet2!A833</f>
        <v>DR40</v>
      </c>
      <c r="B833" t="str">
        <f ca="1">'Query Example'!D833</f>
        <v>LandPlane</v>
      </c>
      <c r="C833" s="11" t="str">
        <f>CONCATENATE(Sheet2!F833,"/",Sheet2!E833)</f>
        <v>1/Piston</v>
      </c>
      <c r="D833" t="str">
        <f>CONCATENATE(Sheet2!B833,", ",Sheet2!C833)</f>
        <v>ROBIN, DR-400 2+2</v>
      </c>
    </row>
    <row r="834" spans="1:4" x14ac:dyDescent="0.2">
      <c r="A834" t="str">
        <f>Sheet2!A834</f>
        <v>DRAG</v>
      </c>
      <c r="B834" t="str">
        <f ca="1">'Query Example'!D834</f>
        <v>Helicopter</v>
      </c>
      <c r="C834" s="11" t="str">
        <f>CONCATENATE(Sheet2!F834,"/",Sheet2!E834)</f>
        <v>1/Piston</v>
      </c>
      <c r="D834" t="str">
        <f>CONCATENATE(Sheet2!B834,", ",Sheet2!C834)</f>
        <v>DRAGON FLY, Dragon Fly</v>
      </c>
    </row>
    <row r="835" spans="1:4" x14ac:dyDescent="0.2">
      <c r="A835" t="str">
        <f>Sheet2!A835</f>
        <v>DRIF</v>
      </c>
      <c r="B835" t="str">
        <f ca="1">'Query Example'!D835</f>
        <v>LandPlane</v>
      </c>
      <c r="C835" s="11" t="str">
        <f>CONCATENATE(Sheet2!F835,"/",Sheet2!E835)</f>
        <v>1/Piston</v>
      </c>
      <c r="D835" t="str">
        <f>CONCATENATE(Sheet2!B835,", ",Sheet2!C835)</f>
        <v>AUSTFLIGHT, Drifter</v>
      </c>
    </row>
    <row r="836" spans="1:4" x14ac:dyDescent="0.2">
      <c r="A836" t="str">
        <f>Sheet2!A836</f>
        <v>DRTG</v>
      </c>
      <c r="B836" t="str">
        <f ca="1">'Query Example'!D836</f>
        <v>LandPlane</v>
      </c>
      <c r="C836" s="11" t="str">
        <f>CONCATENATE(Sheet2!F836,"/",Sheet2!E836)</f>
        <v>1/Piston</v>
      </c>
      <c r="D836" t="str">
        <f>CONCATENATE(Sheet2!B836,", ",Sheet2!C836)</f>
        <v>DART, G</v>
      </c>
    </row>
    <row r="837" spans="1:4" x14ac:dyDescent="0.2">
      <c r="A837" t="str">
        <f>Sheet2!A837</f>
        <v>DSA1</v>
      </c>
      <c r="B837" t="str">
        <f ca="1">'Query Example'!D837</f>
        <v>LandPlane</v>
      </c>
      <c r="C837" s="11" t="str">
        <f>CONCATENATE(Sheet2!F837,"/",Sheet2!E837)</f>
        <v>1/Piston</v>
      </c>
      <c r="D837" t="str">
        <f>CONCATENATE(Sheet2!B837,", ",Sheet2!C837)</f>
        <v>SMITH (1), DSA-1 Miniplane</v>
      </c>
    </row>
    <row r="838" spans="1:4" x14ac:dyDescent="0.2">
      <c r="A838" t="str">
        <f>Sheet2!A838</f>
        <v>DSK</v>
      </c>
      <c r="B838" t="str">
        <f ca="1">'Query Example'!D838</f>
        <v>LandPlane</v>
      </c>
      <c r="C838" s="11" t="str">
        <f>CONCATENATE(Sheet2!F838,"/",Sheet2!E838)</f>
        <v>1/Piston</v>
      </c>
      <c r="D838" t="str">
        <f>CONCATENATE(Sheet2!B838,", ",Sheet2!C838)</f>
        <v>KILLINGSWORTH, DSK-1 Hawk</v>
      </c>
    </row>
    <row r="839" spans="1:4" x14ac:dyDescent="0.2">
      <c r="A839" t="str">
        <f>Sheet2!A839</f>
        <v>DSLK</v>
      </c>
      <c r="B839" t="str">
        <f ca="1">'Query Example'!D839</f>
        <v>LandPlane</v>
      </c>
      <c r="C839" s="11" t="str">
        <f>CONCATENATE(Sheet2!F839,"/",Sheet2!E839)</f>
        <v>1/Piston</v>
      </c>
      <c r="D839" t="str">
        <f>CONCATENATE(Sheet2!B839,", ",Sheet2!C839)</f>
        <v>DRIGGS, Skylark</v>
      </c>
    </row>
    <row r="840" spans="1:4" x14ac:dyDescent="0.2">
      <c r="A840" t="str">
        <f>Sheet2!A840</f>
        <v>DT45</v>
      </c>
      <c r="B840" t="str">
        <f ca="1">'Query Example'!D840</f>
        <v>LandPlane</v>
      </c>
      <c r="C840" s="11" t="str">
        <f>CONCATENATE(Sheet2!F840,"/",Sheet2!E840)</f>
        <v>1/Turboprop/Turboshaft</v>
      </c>
      <c r="D840" t="str">
        <f>CONCATENATE(Sheet2!B840,", ",Sheet2!C840)</f>
        <v>DIAMOND, DART-450</v>
      </c>
    </row>
    <row r="841" spans="1:4" x14ac:dyDescent="0.2">
      <c r="A841" t="str">
        <f>Sheet2!A841</f>
        <v>DTA1</v>
      </c>
      <c r="B841" t="str">
        <f ca="1">'Query Example'!D841</f>
        <v>LandPlane</v>
      </c>
      <c r="C841" s="11" t="str">
        <f>CONCATENATE(Sheet2!F841,"/",Sheet2!E841)</f>
        <v>1/Piston</v>
      </c>
      <c r="D841" t="str">
        <f>CONCATENATE(Sheet2!B841,", ",Sheet2!C841)</f>
        <v>VERHEES, D-1 Delta</v>
      </c>
    </row>
    <row r="842" spans="1:4" x14ac:dyDescent="0.2">
      <c r="A842" t="str">
        <f>Sheet2!A842</f>
        <v>DTA2</v>
      </c>
      <c r="B842" t="str">
        <f ca="1">'Query Example'!D842</f>
        <v>LandPlane</v>
      </c>
      <c r="C842" s="11" t="str">
        <f>CONCATENATE(Sheet2!F842,"/",Sheet2!E842)</f>
        <v>1/Piston</v>
      </c>
      <c r="D842" t="str">
        <f>CONCATENATE(Sheet2!B842,", ",Sheet2!C842)</f>
        <v>VERHEES, D-2 Delta</v>
      </c>
    </row>
    <row r="843" spans="1:4" x14ac:dyDescent="0.2">
      <c r="A843" t="str">
        <f>Sheet2!A843</f>
        <v>DUB2</v>
      </c>
      <c r="B843" t="str">
        <f ca="1">'Query Example'!D843</f>
        <v>LandPlane</v>
      </c>
      <c r="C843" s="11" t="str">
        <f>CONCATENATE(Sheet2!F843,"/",Sheet2!E843)</f>
        <v>1/Piston</v>
      </c>
      <c r="D843" t="str">
        <f>CONCATENATE(Sheet2!B843,", ",Sheet2!C843)</f>
        <v>DUBNA, 2 Osa</v>
      </c>
    </row>
    <row r="844" spans="1:4" x14ac:dyDescent="0.2">
      <c r="A844" t="str">
        <f>Sheet2!A844</f>
        <v>DUCE</v>
      </c>
      <c r="B844" t="str">
        <f ca="1">'Query Example'!D844</f>
        <v>LandPlane</v>
      </c>
      <c r="C844" s="11" t="str">
        <f>CONCATENATE(Sheet2!F844,"/",Sheet2!E844)</f>
        <v>1/Piston</v>
      </c>
      <c r="D844" t="str">
        <f>CONCATENATE(Sheet2!B844,", ",Sheet2!C844)</f>
        <v>BAKENG, Duce</v>
      </c>
    </row>
    <row r="845" spans="1:4" x14ac:dyDescent="0.2">
      <c r="A845" t="str">
        <f>Sheet2!A845</f>
        <v>DUOD</v>
      </c>
      <c r="B845" t="str">
        <f ca="1">'Query Example'!D845</f>
        <v>LandPlane</v>
      </c>
      <c r="C845" s="11" t="str">
        <f>CONCATENATE(Sheet2!F845,"/",Sheet2!E845)</f>
        <v>1/Piston</v>
      </c>
      <c r="D845" t="str">
        <f>CONCATENATE(Sheet2!B845,", ",Sheet2!C845)</f>
        <v>SCHEMPP-HIRTH, Duo Discus T</v>
      </c>
    </row>
    <row r="846" spans="1:4" x14ac:dyDescent="0.2">
      <c r="A846" t="str">
        <f>Sheet2!A846</f>
        <v>DUR5</v>
      </c>
      <c r="B846" t="str">
        <f ca="1">'Query Example'!D846</f>
        <v>LandPlane</v>
      </c>
      <c r="C846" s="11" t="str">
        <f>CONCATENATE(Sheet2!F846,"/",Sheet2!E846)</f>
        <v>1/Piston</v>
      </c>
      <c r="D846" t="str">
        <f>CONCATENATE(Sheet2!B846,", ",Sheet2!C846)</f>
        <v>DURAND, Mk5</v>
      </c>
    </row>
    <row r="847" spans="1:4" x14ac:dyDescent="0.2">
      <c r="A847" t="str">
        <f>Sheet2!A847</f>
        <v>DV1</v>
      </c>
      <c r="B847" t="str">
        <f ca="1">'Query Example'!D847</f>
        <v>LandPlane</v>
      </c>
      <c r="C847" s="11" t="str">
        <f>CONCATENATE(Sheet2!F847,"/",Sheet2!E847)</f>
        <v>1/Piston</v>
      </c>
      <c r="D847" t="str">
        <f>CONCATENATE(Sheet2!B847,", ",Sheet2!C847)</f>
        <v>DOVA, DV-1 Skylark</v>
      </c>
    </row>
    <row r="848" spans="1:4" x14ac:dyDescent="0.2">
      <c r="A848" t="str">
        <f>Sheet2!A848</f>
        <v>DV2</v>
      </c>
      <c r="B848" t="str">
        <f ca="1">'Query Example'!D848</f>
        <v>LandPlane</v>
      </c>
      <c r="C848" s="11" t="str">
        <f>CONCATENATE(Sheet2!F848,"/",Sheet2!E848)</f>
        <v>1/Piston</v>
      </c>
      <c r="D848" t="str">
        <f>CONCATENATE(Sheet2!B848,", ",Sheet2!C848)</f>
        <v>DOVA, DV-2 Infinity</v>
      </c>
    </row>
    <row r="849" spans="1:4" x14ac:dyDescent="0.2">
      <c r="A849" t="str">
        <f>Sheet2!A849</f>
        <v>DV20</v>
      </c>
      <c r="B849" t="str">
        <f ca="1">'Query Example'!D849</f>
        <v>LandPlane</v>
      </c>
      <c r="C849" s="11" t="str">
        <f>CONCATENATE(Sheet2!F849,"/",Sheet2!E849)</f>
        <v>1/Piston</v>
      </c>
      <c r="D849" t="str">
        <f>CONCATENATE(Sheet2!B849,", ",Sheet2!C849)</f>
        <v>DIAMOND, DV-20 Katana</v>
      </c>
    </row>
    <row r="850" spans="1:4" x14ac:dyDescent="0.2">
      <c r="A850" t="str">
        <f>Sheet2!A850</f>
        <v>DW1</v>
      </c>
      <c r="B850" t="str">
        <f ca="1">'Query Example'!D850</f>
        <v>LandPlane</v>
      </c>
      <c r="C850" s="11" t="str">
        <f>CONCATENATE(Sheet2!F850,"/",Sheet2!E850)</f>
        <v>1/Piston</v>
      </c>
      <c r="D850" t="str">
        <f>CONCATENATE(Sheet2!B850,", ",Sheet2!C850)</f>
        <v>EAGLE, DW-1 Eagle</v>
      </c>
    </row>
    <row r="851" spans="1:4" x14ac:dyDescent="0.2">
      <c r="A851" t="str">
        <f>Sheet2!A851</f>
        <v>DWD2</v>
      </c>
      <c r="B851" t="str">
        <f ca="1">'Query Example'!D851</f>
        <v>LandPlane</v>
      </c>
      <c r="C851" s="11" t="str">
        <f>CONCATENATE(Sheet2!F851,"/",Sheet2!E851)</f>
        <v>1/Piston</v>
      </c>
      <c r="D851" t="str">
        <f>CONCATENATE(Sheet2!B851,", ",Sheet2!C851)</f>
        <v>DEWOITINE, D-26</v>
      </c>
    </row>
    <row r="852" spans="1:4" x14ac:dyDescent="0.2">
      <c r="A852" t="str">
        <f>Sheet2!A852</f>
        <v>DYH2</v>
      </c>
      <c r="B852" t="str">
        <f ca="1">'Query Example'!D852</f>
        <v>Helicopter</v>
      </c>
      <c r="C852" s="11" t="str">
        <f>CONCATENATE(Sheet2!F852,"/",Sheet2!E852)</f>
        <v>1/Piston</v>
      </c>
      <c r="D852" t="str">
        <f>CONCATENATE(Sheet2!B852,", ",Sheet2!C852)</f>
        <v>DYNALI, H-2</v>
      </c>
    </row>
    <row r="853" spans="1:4" x14ac:dyDescent="0.2">
      <c r="A853" t="str">
        <f>Sheet2!A853</f>
        <v>E110</v>
      </c>
      <c r="B853" t="str">
        <f ca="1">'Query Example'!D853</f>
        <v>LandPlane</v>
      </c>
      <c r="C853" s="11" t="str">
        <f>CONCATENATE(Sheet2!F853,"/",Sheet2!E853)</f>
        <v>2/Turboprop/Turboshaft</v>
      </c>
      <c r="D853" t="str">
        <f>CONCATENATE(Sheet2!B853,", ",Sheet2!C853)</f>
        <v>EMBRAER, EMB-110 Bandeirante</v>
      </c>
    </row>
    <row r="854" spans="1:4" x14ac:dyDescent="0.2">
      <c r="A854" t="str">
        <f>Sheet2!A854</f>
        <v>E120</v>
      </c>
      <c r="B854" t="str">
        <f ca="1">'Query Example'!D854</f>
        <v>LandPlane</v>
      </c>
      <c r="C854" s="11" t="str">
        <f>CONCATENATE(Sheet2!F854,"/",Sheet2!E854)</f>
        <v>2/Turboprop/Turboshaft</v>
      </c>
      <c r="D854" t="str">
        <f>CONCATENATE(Sheet2!B854,", ",Sheet2!C854)</f>
        <v>EMBRAER, EMB-120 Brasilia</v>
      </c>
    </row>
    <row r="855" spans="1:4" x14ac:dyDescent="0.2">
      <c r="A855" t="str">
        <f>Sheet2!A855</f>
        <v>E121</v>
      </c>
      <c r="B855" t="str">
        <f ca="1">'Query Example'!D855</f>
        <v>LandPlane</v>
      </c>
      <c r="C855" s="11" t="str">
        <f>CONCATENATE(Sheet2!F855,"/",Sheet2!E855)</f>
        <v>2/Turboprop/Turboshaft</v>
      </c>
      <c r="D855" t="str">
        <f>CONCATENATE(Sheet2!B855,", ",Sheet2!C855)</f>
        <v>EMBRAER, EMB-121 Xingu</v>
      </c>
    </row>
    <row r="856" spans="1:4" x14ac:dyDescent="0.2">
      <c r="A856" t="str">
        <f>Sheet2!A856</f>
        <v>E135</v>
      </c>
      <c r="B856" t="str">
        <f ca="1">'Query Example'!D856</f>
        <v>LandPlane</v>
      </c>
      <c r="C856" s="11" t="str">
        <f>CONCATENATE(Sheet2!F856,"/",Sheet2!E856)</f>
        <v>2/Jet</v>
      </c>
      <c r="D856" t="str">
        <f>CONCATENATE(Sheet2!B856,", ",Sheet2!C856)</f>
        <v>EMBRAER, ERJ-135</v>
      </c>
    </row>
    <row r="857" spans="1:4" x14ac:dyDescent="0.2">
      <c r="A857" t="str">
        <f>Sheet2!A857</f>
        <v>E145</v>
      </c>
      <c r="B857" t="str">
        <f ca="1">'Query Example'!D857</f>
        <v>LandPlane</v>
      </c>
      <c r="C857" s="11" t="str">
        <f>CONCATENATE(Sheet2!F857,"/",Sheet2!E857)</f>
        <v>2/Jet</v>
      </c>
      <c r="D857" t="str">
        <f>CONCATENATE(Sheet2!B857,", ",Sheet2!C857)</f>
        <v>EMBRAER, ERJ-145EP</v>
      </c>
    </row>
    <row r="858" spans="1:4" x14ac:dyDescent="0.2">
      <c r="A858" t="str">
        <f>Sheet2!A858</f>
        <v>E170</v>
      </c>
      <c r="B858" t="str">
        <f ca="1">'Query Example'!D858</f>
        <v>LandPlane</v>
      </c>
      <c r="C858" s="11" t="str">
        <f>CONCATENATE(Sheet2!F858,"/",Sheet2!E858)</f>
        <v>2/Jet</v>
      </c>
      <c r="D858" t="str">
        <f>CONCATENATE(Sheet2!B858,", ",Sheet2!C858)</f>
        <v>EMBRAER, 170</v>
      </c>
    </row>
    <row r="859" spans="1:4" x14ac:dyDescent="0.2">
      <c r="A859" t="str">
        <f>Sheet2!A859</f>
        <v>E170</v>
      </c>
      <c r="B859" t="str">
        <f ca="1">'Query Example'!D859</f>
        <v>LandPlane</v>
      </c>
      <c r="C859" s="11" t="str">
        <f>CONCATENATE(Sheet2!F859,"/",Sheet2!E859)</f>
        <v>2/Jet</v>
      </c>
      <c r="D859" t="str">
        <f>CONCATENATE(Sheet2!B859,", ",Sheet2!C859)</f>
        <v>EMBRAER, ERJ-170-100</v>
      </c>
    </row>
    <row r="860" spans="1:4" x14ac:dyDescent="0.2">
      <c r="A860" t="str">
        <f>Sheet2!A860</f>
        <v>E190</v>
      </c>
      <c r="B860" t="str">
        <f ca="1">'Query Example'!D860</f>
        <v>LandPlane</v>
      </c>
      <c r="C860" s="11" t="str">
        <f>CONCATENATE(Sheet2!F860,"/",Sheet2!E860)</f>
        <v>2/Jet</v>
      </c>
      <c r="D860" t="str">
        <f>CONCATENATE(Sheet2!B860,", ",Sheet2!C860)</f>
        <v>EMBRAER, ERJ-190-100</v>
      </c>
    </row>
    <row r="861" spans="1:4" x14ac:dyDescent="0.2">
      <c r="A861" t="str">
        <f>Sheet2!A861</f>
        <v>E195</v>
      </c>
      <c r="B861" t="str">
        <f ca="1">'Query Example'!D861</f>
        <v>LandPlane</v>
      </c>
      <c r="C861" s="11" t="str">
        <f>CONCATENATE(Sheet2!F861,"/",Sheet2!E861)</f>
        <v>2/Jet</v>
      </c>
      <c r="D861" t="str">
        <f>CONCATENATE(Sheet2!B861,", ",Sheet2!C861)</f>
        <v>EMBRAER, ERJ-190-200</v>
      </c>
    </row>
    <row r="862" spans="1:4" x14ac:dyDescent="0.2">
      <c r="A862" t="str">
        <f>Sheet2!A862</f>
        <v>E2</v>
      </c>
      <c r="B862" t="str">
        <f ca="1">'Query Example'!D862</f>
        <v>LandPlane</v>
      </c>
      <c r="C862" s="11" t="str">
        <f>CONCATENATE(Sheet2!F862,"/",Sheet2!E862)</f>
        <v>2/Turboprop/Turboshaft</v>
      </c>
      <c r="D862" t="str">
        <f>CONCATENATE(Sheet2!B862,", ",Sheet2!C862)</f>
        <v>GRUMMAN, E-2 Hawkeye</v>
      </c>
    </row>
    <row r="863" spans="1:4" x14ac:dyDescent="0.2">
      <c r="A863" t="str">
        <f>Sheet2!A863</f>
        <v>E200</v>
      </c>
      <c r="B863" t="str">
        <f ca="1">'Query Example'!D863</f>
        <v>LandPlane</v>
      </c>
      <c r="C863" s="11" t="str">
        <f>CONCATENATE(Sheet2!F863,"/",Sheet2!E863)</f>
        <v>1/Piston</v>
      </c>
      <c r="D863" t="str">
        <f>CONCATENATE(Sheet2!B863,", ",Sheet2!C863)</f>
        <v>EXTRA, EA-200</v>
      </c>
    </row>
    <row r="864" spans="1:4" x14ac:dyDescent="0.2">
      <c r="A864" t="str">
        <f>Sheet2!A864</f>
        <v>E230</v>
      </c>
      <c r="B864" t="str">
        <f ca="1">'Query Example'!D864</f>
        <v>LandPlane</v>
      </c>
      <c r="C864" s="11" t="str">
        <f>CONCATENATE(Sheet2!F864,"/",Sheet2!E864)</f>
        <v>1/Piston</v>
      </c>
      <c r="D864" t="str">
        <f>CONCATENATE(Sheet2!B864,", ",Sheet2!C864)</f>
        <v>EXTRA, EA-230</v>
      </c>
    </row>
    <row r="865" spans="1:4" x14ac:dyDescent="0.2">
      <c r="A865" t="str">
        <f>Sheet2!A865</f>
        <v>E275</v>
      </c>
      <c r="B865" t="str">
        <f ca="1">'Query Example'!D865</f>
        <v>LandPlane</v>
      </c>
      <c r="C865" s="11" t="str">
        <f>CONCATENATE(Sheet2!F865,"/",Sheet2!E865)</f>
        <v>2/Jet</v>
      </c>
      <c r="D865" t="str">
        <f>CONCATENATE(Sheet2!B865,", ",Sheet2!C865)</f>
        <v>EMBRAER, ERJ-190-500</v>
      </c>
    </row>
    <row r="866" spans="1:4" x14ac:dyDescent="0.2">
      <c r="A866" t="str">
        <f>Sheet2!A866</f>
        <v>E290</v>
      </c>
      <c r="B866" t="str">
        <f ca="1">'Query Example'!D866</f>
        <v>LandPlane</v>
      </c>
      <c r="C866" s="11" t="str">
        <f>CONCATENATE(Sheet2!F866,"/",Sheet2!E866)</f>
        <v>2/Jet</v>
      </c>
      <c r="D866" t="str">
        <f>CONCATENATE(Sheet2!B866,", ",Sheet2!C866)</f>
        <v>EMBRAER, ERJ-190-300</v>
      </c>
    </row>
    <row r="867" spans="1:4" x14ac:dyDescent="0.2">
      <c r="A867" t="str">
        <f>Sheet2!A867</f>
        <v>E295</v>
      </c>
      <c r="B867" t="str">
        <f ca="1">'Query Example'!D867</f>
        <v>LandPlane</v>
      </c>
      <c r="C867" s="11" t="str">
        <f>CONCATENATE(Sheet2!F867,"/",Sheet2!E867)</f>
        <v>2/Jet</v>
      </c>
      <c r="D867" t="str">
        <f>CONCATENATE(Sheet2!B867,", ",Sheet2!C867)</f>
        <v>EMBRAER, ERJ-190-400</v>
      </c>
    </row>
    <row r="868" spans="1:4" x14ac:dyDescent="0.2">
      <c r="A868" t="str">
        <f>Sheet2!A868</f>
        <v>E29E</v>
      </c>
      <c r="B868" t="str">
        <f ca="1">'Query Example'!D868</f>
        <v>LandPlane</v>
      </c>
      <c r="C868" s="11" t="str">
        <f>CONCATENATE(Sheet2!F868,"/",Sheet2!E868)</f>
        <v>1/Electric</v>
      </c>
      <c r="D868" t="str">
        <f>CONCATENATE(Sheet2!B868,", ",Sheet2!C868)</f>
        <v>BINDER (2), EB-29DE</v>
      </c>
    </row>
    <row r="869" spans="1:4" x14ac:dyDescent="0.2">
      <c r="A869" t="str">
        <f>Sheet2!A869</f>
        <v>E2CB</v>
      </c>
      <c r="B869" t="str">
        <f ca="1">'Query Example'!D869</f>
        <v>LandPlane</v>
      </c>
      <c r="C869" s="11" t="str">
        <f>CONCATENATE(Sheet2!F869,"/",Sheet2!E869)</f>
        <v>1/Piston</v>
      </c>
      <c r="D869" t="str">
        <f>CONCATENATE(Sheet2!B869,", ",Sheet2!C869)</f>
        <v>TAYLOR (1), E-2 Cub</v>
      </c>
    </row>
    <row r="870" spans="1:4" x14ac:dyDescent="0.2">
      <c r="A870" t="str">
        <f>Sheet2!A870</f>
        <v>E300</v>
      </c>
      <c r="B870" t="str">
        <f ca="1">'Query Example'!D870</f>
        <v>LandPlane</v>
      </c>
      <c r="C870" s="11" t="str">
        <f>CONCATENATE(Sheet2!F870,"/",Sheet2!E870)</f>
        <v>1/Piston</v>
      </c>
      <c r="D870" t="str">
        <f>CONCATENATE(Sheet2!B870,", ",Sheet2!C870)</f>
        <v>EXTRA, EA-300</v>
      </c>
    </row>
    <row r="871" spans="1:4" x14ac:dyDescent="0.2">
      <c r="A871" t="str">
        <f>Sheet2!A871</f>
        <v>E314</v>
      </c>
      <c r="B871" t="str">
        <f ca="1">'Query Example'!D871</f>
        <v>LandPlane</v>
      </c>
      <c r="C871" s="11" t="str">
        <f>CONCATENATE(Sheet2!F871,"/",Sheet2!E871)</f>
        <v>1/Turboprop/Turboshaft</v>
      </c>
      <c r="D871" t="str">
        <f>CONCATENATE(Sheet2!B871,", ",Sheet2!C871)</f>
        <v>EMBRAER, EMB-314 Super Tucano</v>
      </c>
    </row>
    <row r="872" spans="1:4" x14ac:dyDescent="0.2">
      <c r="A872" t="str">
        <f>Sheet2!A872</f>
        <v>E350</v>
      </c>
      <c r="B872" t="str">
        <f ca="1">'Query Example'!D872</f>
        <v>LandPlane</v>
      </c>
      <c r="C872" s="11" t="str">
        <f>CONCATENATE(Sheet2!F872,"/",Sheet2!E872)</f>
        <v>1/Turboprop/Turboshaft</v>
      </c>
      <c r="D872" t="str">
        <f>CONCATENATE(Sheet2!B872,", ",Sheet2!C872)</f>
        <v>CESSNA, E350</v>
      </c>
    </row>
    <row r="873" spans="1:4" x14ac:dyDescent="0.2">
      <c r="A873" t="str">
        <f>Sheet2!A873</f>
        <v>E35L</v>
      </c>
      <c r="B873" t="str">
        <f ca="1">'Query Example'!D873</f>
        <v>LandPlane</v>
      </c>
      <c r="C873" s="11" t="str">
        <f>CONCATENATE(Sheet2!F873,"/",Sheet2!E873)</f>
        <v>2/Jet</v>
      </c>
      <c r="D873" t="str">
        <f>CONCATENATE(Sheet2!B873,", ",Sheet2!C873)</f>
        <v>EMBRAER, EMB-135BJ Legacy</v>
      </c>
    </row>
    <row r="874" spans="1:4" x14ac:dyDescent="0.2">
      <c r="A874" t="str">
        <f>Sheet2!A874</f>
        <v>E390</v>
      </c>
      <c r="B874" t="str">
        <f ca="1">'Query Example'!D874</f>
        <v>LandPlane</v>
      </c>
      <c r="C874" s="11" t="str">
        <f>CONCATENATE(Sheet2!F874,"/",Sheet2!E874)</f>
        <v>2/Jet</v>
      </c>
      <c r="D874" t="str">
        <f>CONCATENATE(Sheet2!B874,", ",Sheet2!C874)</f>
        <v>EMBRAER, EMB-390</v>
      </c>
    </row>
    <row r="875" spans="1:4" x14ac:dyDescent="0.2">
      <c r="A875" t="str">
        <f>Sheet2!A875</f>
        <v>E3CF</v>
      </c>
      <c r="B875" t="str">
        <f ca="1">'Query Example'!D875</f>
        <v>LandPlane</v>
      </c>
      <c r="C875" s="11" t="str">
        <f>CONCATENATE(Sheet2!F875,"/",Sheet2!E875)</f>
        <v>4/Jet</v>
      </c>
      <c r="D875" t="str">
        <f>CONCATENATE(Sheet2!B875,", ",Sheet2!C875)</f>
        <v>BOEING, E-3A (CFM56) Sentry</v>
      </c>
    </row>
    <row r="876" spans="1:4" x14ac:dyDescent="0.2">
      <c r="A876" t="str">
        <f>Sheet2!A876</f>
        <v>E3TF</v>
      </c>
      <c r="B876" t="str">
        <f ca="1">'Query Example'!D876</f>
        <v>LandPlane</v>
      </c>
      <c r="C876" s="11" t="str">
        <f>CONCATENATE(Sheet2!F876,"/",Sheet2!E876)</f>
        <v>4/Jet</v>
      </c>
      <c r="D876" t="str">
        <f>CONCATENATE(Sheet2!B876,", ",Sheet2!C876)</f>
        <v>BOEING, E-3A (TF33) Sentry</v>
      </c>
    </row>
    <row r="877" spans="1:4" x14ac:dyDescent="0.2">
      <c r="A877" t="str">
        <f>Sheet2!A877</f>
        <v>E400</v>
      </c>
      <c r="B877" t="str">
        <f ca="1">'Query Example'!D877</f>
        <v>LandPlane</v>
      </c>
      <c r="C877" s="11" t="str">
        <f>CONCATENATE(Sheet2!F877,"/",Sheet2!E877)</f>
        <v>1/Piston</v>
      </c>
      <c r="D877" t="str">
        <f>CONCATENATE(Sheet2!B877,", ",Sheet2!C877)</f>
        <v>EXTRA, EA-400</v>
      </c>
    </row>
    <row r="878" spans="1:4" x14ac:dyDescent="0.2">
      <c r="A878" t="str">
        <f>Sheet2!A878</f>
        <v>E45X</v>
      </c>
      <c r="B878" t="str">
        <f ca="1">'Query Example'!D878</f>
        <v>LandPlane</v>
      </c>
      <c r="C878" s="11" t="str">
        <f>CONCATENATE(Sheet2!F878,"/",Sheet2!E878)</f>
        <v>2/Jet</v>
      </c>
      <c r="D878" t="str">
        <f>CONCATENATE(Sheet2!B878,", ",Sheet2!C878)</f>
        <v>EMBRAER, EMB-145XR</v>
      </c>
    </row>
    <row r="879" spans="1:4" x14ac:dyDescent="0.2">
      <c r="A879" t="str">
        <f>Sheet2!A879</f>
        <v>E500</v>
      </c>
      <c r="B879" t="str">
        <f ca="1">'Query Example'!D879</f>
        <v>LandPlane</v>
      </c>
      <c r="C879" s="11" t="str">
        <f>CONCATENATE(Sheet2!F879,"/",Sheet2!E879)</f>
        <v>1/Turboprop/Turboshaft</v>
      </c>
      <c r="D879" t="str">
        <f>CONCATENATE(Sheet2!B879,", ",Sheet2!C879)</f>
        <v>EXTRA, EA-500</v>
      </c>
    </row>
    <row r="880" spans="1:4" x14ac:dyDescent="0.2">
      <c r="A880" t="str">
        <f>Sheet2!A880</f>
        <v>E50P</v>
      </c>
      <c r="B880" t="str">
        <f ca="1">'Query Example'!D880</f>
        <v>LandPlane</v>
      </c>
      <c r="C880" s="11" t="str">
        <f>CONCATENATE(Sheet2!F880,"/",Sheet2!E880)</f>
        <v>2/Jet</v>
      </c>
      <c r="D880" t="str">
        <f>CONCATENATE(Sheet2!B880,", ",Sheet2!C880)</f>
        <v>EMBRAER, EMB-500 Phenom 100</v>
      </c>
    </row>
    <row r="881" spans="1:4" x14ac:dyDescent="0.2">
      <c r="A881" t="str">
        <f>Sheet2!A881</f>
        <v>E530</v>
      </c>
      <c r="B881" t="str">
        <f ca="1">'Query Example'!D881</f>
        <v>LandPlane</v>
      </c>
      <c r="C881" s="11" t="str">
        <f>CONCATENATE(Sheet2!F881,"/",Sheet2!E881)</f>
        <v>2/Jet</v>
      </c>
      <c r="D881" t="str">
        <f>CONCATENATE(Sheet2!B881,", ",Sheet2!C881)</f>
        <v>CESSNA, E530 Scorpion</v>
      </c>
    </row>
    <row r="882" spans="1:4" x14ac:dyDescent="0.2">
      <c r="A882" t="str">
        <f>Sheet2!A882</f>
        <v>E545</v>
      </c>
      <c r="B882" t="str">
        <f ca="1">'Query Example'!D882</f>
        <v>LandPlane</v>
      </c>
      <c r="C882" s="11" t="str">
        <f>CONCATENATE(Sheet2!F882,"/",Sheet2!E882)</f>
        <v>2/Jet</v>
      </c>
      <c r="D882" t="str">
        <f>CONCATENATE(Sheet2!B882,", ",Sheet2!C882)</f>
        <v>EMBRAER, EMB-545 Praetor 500</v>
      </c>
    </row>
    <row r="883" spans="1:4" x14ac:dyDescent="0.2">
      <c r="A883" t="str">
        <f>Sheet2!A883</f>
        <v>E550</v>
      </c>
      <c r="B883" t="str">
        <f ca="1">'Query Example'!D883</f>
        <v>LandPlane</v>
      </c>
      <c r="C883" s="11" t="str">
        <f>CONCATENATE(Sheet2!F883,"/",Sheet2!E883)</f>
        <v>2/Jet</v>
      </c>
      <c r="D883" t="str">
        <f>CONCATENATE(Sheet2!B883,", ",Sheet2!C883)</f>
        <v>EMBRAER, EMB-550 Praetor 600</v>
      </c>
    </row>
    <row r="884" spans="1:4" x14ac:dyDescent="0.2">
      <c r="A884" t="str">
        <f>Sheet2!A884</f>
        <v>E55P</v>
      </c>
      <c r="B884" t="str">
        <f ca="1">'Query Example'!D884</f>
        <v>LandPlane</v>
      </c>
      <c r="C884" s="11" t="str">
        <f>CONCATENATE(Sheet2!F884,"/",Sheet2!E884)</f>
        <v>2/Jet</v>
      </c>
      <c r="D884" t="str">
        <f>CONCATENATE(Sheet2!B884,", ",Sheet2!C884)</f>
        <v>EMBRAER, EMB-505 Phenom 300</v>
      </c>
    </row>
    <row r="885" spans="1:4" x14ac:dyDescent="0.2">
      <c r="A885" t="str">
        <f>Sheet2!A885</f>
        <v>E6</v>
      </c>
      <c r="B885" t="str">
        <f ca="1">'Query Example'!D885</f>
        <v>LandPlane</v>
      </c>
      <c r="C885" s="11" t="str">
        <f>CONCATENATE(Sheet2!F885,"/",Sheet2!E885)</f>
        <v>4/Jet</v>
      </c>
      <c r="D885" t="str">
        <f>CONCATENATE(Sheet2!B885,", ",Sheet2!C885)</f>
        <v>BOEING, E-6 Mercury</v>
      </c>
    </row>
    <row r="886" spans="1:4" x14ac:dyDescent="0.2">
      <c r="A886" t="str">
        <f>Sheet2!A886</f>
        <v>E737</v>
      </c>
      <c r="B886" t="str">
        <f ca="1">'Query Example'!D886</f>
        <v>LandPlane</v>
      </c>
      <c r="C886" s="11" t="str">
        <f>CONCATENATE(Sheet2!F886,"/",Sheet2!E886)</f>
        <v>2/Jet</v>
      </c>
      <c r="D886" t="str">
        <f>CONCATENATE(Sheet2!B886,", ",Sheet2!C886)</f>
        <v>BOEING, 737-700 Wedgetail</v>
      </c>
    </row>
    <row r="887" spans="1:4" x14ac:dyDescent="0.2">
      <c r="A887" t="str">
        <f>Sheet2!A887</f>
        <v>E75L</v>
      </c>
      <c r="B887" t="str">
        <f ca="1">'Query Example'!D887</f>
        <v>LandPlane</v>
      </c>
      <c r="C887" s="11" t="str">
        <f>CONCATENATE(Sheet2!F887,"/",Sheet2!E887)</f>
        <v>2/Jet</v>
      </c>
      <c r="D887" t="str">
        <f>CONCATENATE(Sheet2!B887,", ",Sheet2!C887)</f>
        <v>EMBRAER, ERJ-170-200 (long wing)</v>
      </c>
    </row>
    <row r="888" spans="1:4" x14ac:dyDescent="0.2">
      <c r="A888" t="str">
        <f>Sheet2!A888</f>
        <v>E75S</v>
      </c>
      <c r="B888" t="str">
        <f ca="1">'Query Example'!D888</f>
        <v>LandPlane</v>
      </c>
      <c r="C888" s="11" t="str">
        <f>CONCATENATE(Sheet2!F888,"/",Sheet2!E888)</f>
        <v>2/Jet</v>
      </c>
      <c r="D888" t="str">
        <f>CONCATENATE(Sheet2!B888,", ",Sheet2!C888)</f>
        <v>EMBRAER, ERJ-170-200 (short wing)</v>
      </c>
    </row>
    <row r="889" spans="1:4" x14ac:dyDescent="0.2">
      <c r="A889" t="str">
        <f>Sheet2!A889</f>
        <v>E767</v>
      </c>
      <c r="B889" t="str">
        <f ca="1">'Query Example'!D889</f>
        <v>LandPlane</v>
      </c>
      <c r="C889" s="11" t="str">
        <f>CONCATENATE(Sheet2!F889,"/",Sheet2!E889)</f>
        <v>2/Jet</v>
      </c>
      <c r="D889" t="str">
        <f>CONCATENATE(Sheet2!B889,", ",Sheet2!C889)</f>
        <v>BOEING, E-767</v>
      </c>
    </row>
    <row r="890" spans="1:4" x14ac:dyDescent="0.2">
      <c r="A890" t="str">
        <f>Sheet2!A890</f>
        <v>E7BH</v>
      </c>
      <c r="B890" t="str">
        <f ca="1">'Query Example'!D890</f>
        <v>LandPlane</v>
      </c>
      <c r="C890" s="11" t="str">
        <f>CONCATENATE(Sheet2!F890,"/",Sheet2!E890)</f>
        <v>1/Piston</v>
      </c>
      <c r="D890" t="str">
        <f>CONCATENATE(Sheet2!B890,", ",Sheet2!C890)</f>
        <v>E-7 GROUP, E-7 Bush Hog</v>
      </c>
    </row>
    <row r="891" spans="1:4" x14ac:dyDescent="0.2">
      <c r="A891" t="str">
        <f>Sheet2!A891</f>
        <v>EA40</v>
      </c>
      <c r="B891" t="str">
        <f ca="1">'Query Example'!D891</f>
        <v>LandPlane</v>
      </c>
      <c r="C891" s="11" t="str">
        <f>CONCATENATE(Sheet2!F891,"/",Sheet2!E891)</f>
        <v>1/Jet</v>
      </c>
      <c r="D891" t="str">
        <f>CONCATENATE(Sheet2!B891,", ",Sheet2!C891)</f>
        <v>ECLIPSE, Eclipse 400</v>
      </c>
    </row>
    <row r="892" spans="1:4" x14ac:dyDescent="0.2">
      <c r="A892" t="str">
        <f>Sheet2!A892</f>
        <v>EA50</v>
      </c>
      <c r="B892" t="str">
        <f ca="1">'Query Example'!D892</f>
        <v>LandPlane</v>
      </c>
      <c r="C892" s="11" t="str">
        <f>CONCATENATE(Sheet2!F892,"/",Sheet2!E892)</f>
        <v>2/Jet</v>
      </c>
      <c r="D892" t="str">
        <f>CONCATENATE(Sheet2!B892,", ",Sheet2!C892)</f>
        <v>ECLIPSE, Eclipse 500</v>
      </c>
    </row>
    <row r="893" spans="1:4" x14ac:dyDescent="0.2">
      <c r="A893" t="str">
        <f>Sheet2!A893</f>
        <v>EA50</v>
      </c>
      <c r="B893" t="str">
        <f ca="1">'Query Example'!D893</f>
        <v>LandPlane</v>
      </c>
      <c r="C893" s="11" t="str">
        <f>CONCATENATE(Sheet2!F893,"/",Sheet2!E893)</f>
        <v>2/Jet</v>
      </c>
      <c r="D893" t="str">
        <f>CONCATENATE(Sheet2!B893,", ",Sheet2!C893)</f>
        <v>ECLIPSE, Eclipse 550</v>
      </c>
    </row>
    <row r="894" spans="1:4" x14ac:dyDescent="0.2">
      <c r="A894" t="str">
        <f>Sheet2!A894</f>
        <v>EAEA</v>
      </c>
      <c r="B894" t="str">
        <f ca="1">'Query Example'!D894</f>
        <v>LandPlane</v>
      </c>
      <c r="C894" s="11" t="str">
        <f>CONCATENATE(Sheet2!F894,"/",Sheet2!E894)</f>
        <v>1/Piston</v>
      </c>
      <c r="D894" t="str">
        <f>CONCATENATE(Sheet2!B894,", ",Sheet2!C894)</f>
        <v>GROSSO, Easy Eagle</v>
      </c>
    </row>
    <row r="895" spans="1:4" x14ac:dyDescent="0.2">
      <c r="A895" t="str">
        <f>Sheet2!A895</f>
        <v>EAGL</v>
      </c>
      <c r="B895" t="str">
        <f ca="1">'Query Example'!D895</f>
        <v>LandPlane</v>
      </c>
      <c r="C895" s="11" t="str">
        <f>CONCATENATE(Sheet2!F895,"/",Sheet2!E895)</f>
        <v>1/Piston</v>
      </c>
      <c r="D895" t="str">
        <f>CONCATENATE(Sheet2!B895,", ",Sheet2!C895)</f>
        <v>CHRISTEN, Eagle</v>
      </c>
    </row>
    <row r="896" spans="1:4" x14ac:dyDescent="0.2">
      <c r="A896" t="str">
        <f>Sheet2!A896</f>
        <v>EAGT</v>
      </c>
      <c r="B896" t="str">
        <f ca="1">'Query Example'!D896</f>
        <v>LandPlane</v>
      </c>
      <c r="C896" s="11" t="str">
        <f>CONCATENATE(Sheet2!F896,"/",Sheet2!E896)</f>
        <v>1/Piston</v>
      </c>
      <c r="D896" t="str">
        <f>CONCATENATE(Sheet2!B896,", ",Sheet2!C896)</f>
        <v>AMEAGLE, American Eaglet</v>
      </c>
    </row>
    <row r="897" spans="1:4" x14ac:dyDescent="0.2">
      <c r="A897" t="str">
        <f>Sheet2!A897</f>
        <v>EAGX</v>
      </c>
      <c r="B897" t="str">
        <f ca="1">'Query Example'!D897</f>
        <v>LandPlane</v>
      </c>
      <c r="C897" s="11" t="str">
        <f>CONCATENATE(Sheet2!F897,"/",Sheet2!E897)</f>
        <v>1/Piston</v>
      </c>
      <c r="D897" t="str">
        <f>CONCATENATE(Sheet2!B897,", ",Sheet2!C897)</f>
        <v>CTRM, Eagle 150</v>
      </c>
    </row>
    <row r="898" spans="1:4" x14ac:dyDescent="0.2">
      <c r="A898" t="str">
        <f>Sheet2!A898</f>
        <v>EAGX</v>
      </c>
      <c r="B898" t="str">
        <f ca="1">'Query Example'!D898</f>
        <v>LandPlane</v>
      </c>
      <c r="C898" s="11" t="str">
        <f>CONCATENATE(Sheet2!F898,"/",Sheet2!E898)</f>
        <v>1/Piston</v>
      </c>
      <c r="D898" t="str">
        <f>CONCATENATE(Sheet2!B898,", ",Sheet2!C898)</f>
        <v>EAGLE AIRCRAFT, Eagle 100</v>
      </c>
    </row>
    <row r="899" spans="1:4" x14ac:dyDescent="0.2">
      <c r="A899" t="str">
        <f>Sheet2!A899</f>
        <v>EB29</v>
      </c>
      <c r="B899" t="str">
        <f ca="1">'Query Example'!D899</f>
        <v>LandPlane</v>
      </c>
      <c r="C899" s="11" t="str">
        <f>CONCATENATE(Sheet2!F899,"/",Sheet2!E899)</f>
        <v>1/Piston</v>
      </c>
      <c r="D899" t="str">
        <f>CONCATENATE(Sheet2!B899,", ",Sheet2!C899)</f>
        <v>BINDER (2), EB-29</v>
      </c>
    </row>
    <row r="900" spans="1:4" x14ac:dyDescent="0.2">
      <c r="A900" t="str">
        <f>Sheet2!A900</f>
        <v>EBOY</v>
      </c>
      <c r="B900" t="str">
        <f ca="1">'Query Example'!D900</f>
        <v>LandPlane</v>
      </c>
      <c r="C900" s="11" t="str">
        <f>CONCATENATE(Sheet2!F900,"/",Sheet2!E900)</f>
        <v>1/Piston</v>
      </c>
      <c r="D900" t="str">
        <f>CONCATENATE(Sheet2!B900,", ",Sheet2!C900)</f>
        <v>FMA, 20 El Boyero</v>
      </c>
    </row>
    <row r="901" spans="1:4" x14ac:dyDescent="0.2">
      <c r="A901" t="str">
        <f>Sheet2!A901</f>
        <v>EC20</v>
      </c>
      <c r="B901" t="str">
        <f ca="1">'Query Example'!D901</f>
        <v>Helicopter</v>
      </c>
      <c r="C901" s="11" t="str">
        <f>CONCATENATE(Sheet2!F901,"/",Sheet2!E901)</f>
        <v>1/Turboprop/Turboshaft</v>
      </c>
      <c r="D901" t="str">
        <f>CONCATENATE(Sheet2!B901,", ",Sheet2!C901)</f>
        <v>AIRBUS HELICOPTERS, EC-120 Colibri</v>
      </c>
    </row>
    <row r="902" spans="1:4" x14ac:dyDescent="0.2">
      <c r="A902" t="str">
        <f>Sheet2!A902</f>
        <v>EC25</v>
      </c>
      <c r="B902" t="str">
        <f ca="1">'Query Example'!D902</f>
        <v>Helicopter</v>
      </c>
      <c r="C902" s="11" t="str">
        <f>CONCATENATE(Sheet2!F902,"/",Sheet2!E902)</f>
        <v>2/Turboprop/Turboshaft</v>
      </c>
      <c r="D902" t="str">
        <f>CONCATENATE(Sheet2!B902,", ",Sheet2!C902)</f>
        <v>AIRBUS HELICOPTERS, EC-225 Super Puma Mk2+</v>
      </c>
    </row>
    <row r="903" spans="1:4" x14ac:dyDescent="0.2">
      <c r="A903" t="str">
        <f>Sheet2!A903</f>
        <v>EC30</v>
      </c>
      <c r="B903" t="str">
        <f ca="1">'Query Example'!D903</f>
        <v>Helicopter</v>
      </c>
      <c r="C903" s="11" t="str">
        <f>CONCATENATE(Sheet2!F903,"/",Sheet2!E903)</f>
        <v>1/Turboprop/Turboshaft</v>
      </c>
      <c r="D903" t="str">
        <f>CONCATENATE(Sheet2!B903,", ",Sheet2!C903)</f>
        <v>AIRBUS HELICOPTERS, EC-130</v>
      </c>
    </row>
    <row r="904" spans="1:4" x14ac:dyDescent="0.2">
      <c r="A904" t="str">
        <f>Sheet2!A904</f>
        <v>EC35</v>
      </c>
      <c r="B904" t="str">
        <f ca="1">'Query Example'!D904</f>
        <v>Helicopter</v>
      </c>
      <c r="C904" s="11" t="str">
        <f>CONCATENATE(Sheet2!F904,"/",Sheet2!E904)</f>
        <v>2/Turboprop/Turboshaft</v>
      </c>
      <c r="D904" t="str">
        <f>CONCATENATE(Sheet2!B904,", ",Sheet2!C904)</f>
        <v>AIRBUS HELICOPTERS, EC-135</v>
      </c>
    </row>
    <row r="905" spans="1:4" x14ac:dyDescent="0.2">
      <c r="A905" t="str">
        <f>Sheet2!A905</f>
        <v>EC45</v>
      </c>
      <c r="B905" t="str">
        <f ca="1">'Query Example'!D905</f>
        <v>Helicopter</v>
      </c>
      <c r="C905" s="11" t="str">
        <f>CONCATENATE(Sheet2!F905,"/",Sheet2!E905)</f>
        <v>2/Turboprop/Turboshaft</v>
      </c>
      <c r="D905" t="str">
        <f>CONCATENATE(Sheet2!B905,", ",Sheet2!C905)</f>
        <v>AIRBUS HELICOPTERS-KAWASAKI, EC-145</v>
      </c>
    </row>
    <row r="906" spans="1:4" x14ac:dyDescent="0.2">
      <c r="A906" t="str">
        <f>Sheet2!A906</f>
        <v>EC55</v>
      </c>
      <c r="B906" t="str">
        <f ca="1">'Query Example'!D906</f>
        <v>Helicopter</v>
      </c>
      <c r="C906" s="11" t="str">
        <f>CONCATENATE(Sheet2!F906,"/",Sheet2!E906)</f>
        <v>2/Turboprop/Turboshaft</v>
      </c>
      <c r="D906" t="str">
        <f>CONCATENATE(Sheet2!B906,", ",Sheet2!C906)</f>
        <v>AIRBUS HELICOPTERS, EC-155</v>
      </c>
    </row>
    <row r="907" spans="1:4" x14ac:dyDescent="0.2">
      <c r="A907" t="str">
        <f>Sheet2!A907</f>
        <v>EC6</v>
      </c>
      <c r="B907" t="str">
        <f ca="1">'Query Example'!D907</f>
        <v>LandPlane</v>
      </c>
      <c r="C907" s="11" t="str">
        <f>CONCATENATE(Sheet2!F907,"/",Sheet2!E907)</f>
        <v>1/Piston</v>
      </c>
      <c r="D907" t="str">
        <f>CONCATENATE(Sheet2!B907,", ",Sheet2!C907)</f>
        <v>CROSES, EC-6 Criquet</v>
      </c>
    </row>
    <row r="908" spans="1:4" x14ac:dyDescent="0.2">
      <c r="A908" t="str">
        <f>Sheet2!A908</f>
        <v>EC75</v>
      </c>
      <c r="B908" t="str">
        <f ca="1">'Query Example'!D908</f>
        <v>Helicopter</v>
      </c>
      <c r="C908" s="11" t="str">
        <f>CONCATENATE(Sheet2!F908,"/",Sheet2!E908)</f>
        <v>2/Turboprop/Turboshaft</v>
      </c>
      <c r="D908" t="str">
        <f>CONCATENATE(Sheet2!B908,", ",Sheet2!C908)</f>
        <v>AIRBUS HELICOPTERS-HARBIN, EC-175</v>
      </c>
    </row>
    <row r="909" spans="1:4" x14ac:dyDescent="0.2">
      <c r="A909" t="str">
        <f>Sheet2!A909</f>
        <v>ECHO</v>
      </c>
      <c r="B909" t="str">
        <f ca="1">'Query Example'!D909</f>
        <v>LandPlane</v>
      </c>
      <c r="C909" s="11" t="str">
        <f>CONCATENATE(Sheet2!F909,"/",Sheet2!E909)</f>
        <v>1/Piston</v>
      </c>
      <c r="D909" t="str">
        <f>CONCATENATE(Sheet2!B909,", ",Sheet2!C909)</f>
        <v>TECNAM, P-92 Echo</v>
      </c>
    </row>
    <row r="910" spans="1:4" x14ac:dyDescent="0.2">
      <c r="A910" t="str">
        <f>Sheet2!A910</f>
        <v>EDGE</v>
      </c>
      <c r="B910" t="str">
        <f ca="1">'Query Example'!D910</f>
        <v>LandPlane</v>
      </c>
      <c r="C910" s="11" t="str">
        <f>CONCATENATE(Sheet2!F910,"/",Sheet2!E910)</f>
        <v>1/Piston</v>
      </c>
      <c r="D910" t="str">
        <f>CONCATENATE(Sheet2!B910,", ",Sheet2!C910)</f>
        <v>ZIVKO, Edge 540</v>
      </c>
    </row>
    <row r="911" spans="1:4" x14ac:dyDescent="0.2">
      <c r="A911" t="str">
        <f>Sheet2!A911</f>
        <v>EF2</v>
      </c>
      <c r="B911" t="str">
        <f ca="1">'Query Example'!D911</f>
        <v>LandPlane</v>
      </c>
      <c r="C911" s="11" t="str">
        <f>CONCATENATE(Sheet2!F911,"/",Sheet2!E911)</f>
        <v>1/Electric</v>
      </c>
      <c r="D911" t="str">
        <f>CONCATENATE(Sheet2!B911,", ",Sheet2!C911)</f>
        <v>BYE AEROSPACE, eFlyer 2</v>
      </c>
    </row>
    <row r="912" spans="1:4" x14ac:dyDescent="0.2">
      <c r="A912" t="str">
        <f>Sheet2!A912</f>
        <v>EFAN</v>
      </c>
      <c r="B912" t="str">
        <f ca="1">'Query Example'!D912</f>
        <v>LandPlane</v>
      </c>
      <c r="C912" s="11" t="str">
        <f>CONCATENATE(Sheet2!F912,"/",Sheet2!E912)</f>
        <v>2/Electric</v>
      </c>
      <c r="D912" t="str">
        <f>CONCATENATE(Sheet2!B912,", ",Sheet2!C912)</f>
        <v>AIRBUS, E-Fan</v>
      </c>
    </row>
    <row r="913" spans="1:4" x14ac:dyDescent="0.2">
      <c r="A913" t="str">
        <f>Sheet2!A913</f>
        <v>EFOX</v>
      </c>
      <c r="B913" t="str">
        <f ca="1">'Query Example'!D913</f>
        <v>LandPlane</v>
      </c>
      <c r="C913" s="11" t="str">
        <f>CONCATENATE(Sheet2!F913,"/",Sheet2!E913)</f>
        <v>1/Piston</v>
      </c>
      <c r="D913" t="str">
        <f>CONCATENATE(Sheet2!B913,", ",Sheet2!C913)</f>
        <v>AEROPRO, Eurofox</v>
      </c>
    </row>
    <row r="914" spans="1:4" x14ac:dyDescent="0.2">
      <c r="A914" t="str">
        <f>Sheet2!A914</f>
        <v>EFUS</v>
      </c>
      <c r="B914" t="str">
        <f ca="1">'Query Example'!D914</f>
        <v>LandPlane</v>
      </c>
      <c r="C914" s="11" t="str">
        <f>CONCATENATE(Sheet2!F914,"/",Sheet2!E914)</f>
        <v>1/Electric</v>
      </c>
      <c r="D914" t="str">
        <f>CONCATENATE(Sheet2!B914,", ",Sheet2!C914)</f>
        <v>MAGNUS, MG-11 eFusion</v>
      </c>
    </row>
    <row r="915" spans="1:4" x14ac:dyDescent="0.2">
      <c r="A915" t="str">
        <f>Sheet2!A915</f>
        <v>EGL3</v>
      </c>
      <c r="B915" t="str">
        <f ca="1">'Query Example'!D915</f>
        <v>Helicopter</v>
      </c>
      <c r="C915" s="11" t="str">
        <f>CONCATENATE(Sheet2!F915,"/",Sheet2!E915)</f>
        <v>1/Turboprop/Turboshaft</v>
      </c>
      <c r="D915" t="str">
        <f>CONCATENATE(Sheet2!B915,", ",Sheet2!C915)</f>
        <v>ROTORWAY, Eagle 300T</v>
      </c>
    </row>
    <row r="916" spans="1:4" x14ac:dyDescent="0.2">
      <c r="A916" t="str">
        <f>Sheet2!A916</f>
        <v>EGRT</v>
      </c>
      <c r="B916" t="str">
        <f ca="1">'Query Example'!D916</f>
        <v>LandPlane</v>
      </c>
      <c r="C916" s="11" t="str">
        <f>CONCATENATE(Sheet2!F916,"/",Sheet2!E916)</f>
        <v>1/Turboprop/Turboshaft</v>
      </c>
      <c r="D916" t="str">
        <f>CONCATENATE(Sheet2!B916,", ",Sheet2!C916)</f>
        <v>GROB, D-500 Egrett 2</v>
      </c>
    </row>
    <row r="917" spans="1:4" x14ac:dyDescent="0.2">
      <c r="A917" t="str">
        <f>Sheet2!A917</f>
        <v>EH10</v>
      </c>
      <c r="B917" t="str">
        <f ca="1">'Query Example'!D917</f>
        <v>Helicopter</v>
      </c>
      <c r="C917" s="11" t="str">
        <f>CONCATENATE(Sheet2!F917,"/",Sheet2!E917)</f>
        <v>3/Turboprop/Turboshaft</v>
      </c>
      <c r="D917" t="str">
        <f>CONCATENATE(Sheet2!B917,", ",Sheet2!C917)</f>
        <v>AGUSTAWESTLAND, AW-101</v>
      </c>
    </row>
    <row r="918" spans="1:4" x14ac:dyDescent="0.2">
      <c r="A918" t="str">
        <f>Sheet2!A918</f>
        <v>EL20</v>
      </c>
      <c r="B918" t="str">
        <f ca="1">'Query Example'!D918</f>
        <v>LandPlane</v>
      </c>
      <c r="C918" s="11" t="str">
        <f>CONCATENATE(Sheet2!F918,"/",Sheet2!E918)</f>
        <v>1/Piston</v>
      </c>
      <c r="D918" t="str">
        <f>CONCATENATE(Sheet2!B918,", ",Sheet2!C918)</f>
        <v>ELITAR, IE-202</v>
      </c>
    </row>
    <row r="919" spans="1:4" x14ac:dyDescent="0.2">
      <c r="A919" t="str">
        <f>Sheet2!A919</f>
        <v>ELA7</v>
      </c>
      <c r="B919" t="str">
        <f ca="1">'Query Example'!D919</f>
        <v>Gyrocopter</v>
      </c>
      <c r="C919" s="11" t="str">
        <f>CONCATENATE(Sheet2!F919,"/",Sheet2!E919)</f>
        <v>1/Piston</v>
      </c>
      <c r="D919" t="str">
        <f>CONCATENATE(Sheet2!B919,", ",Sheet2!C919)</f>
        <v>ELA AVIACION, ELA-07</v>
      </c>
    </row>
    <row r="920" spans="1:4" x14ac:dyDescent="0.2">
      <c r="A920" t="str">
        <f>Sheet2!A920</f>
        <v>ELF</v>
      </c>
      <c r="B920" t="str">
        <f ca="1">'Query Example'!D920</f>
        <v>LandPlane</v>
      </c>
      <c r="C920" s="11" t="str">
        <f>CONCATENATE(Sheet2!F920,"/",Sheet2!E920)</f>
        <v>1/Piston</v>
      </c>
      <c r="D920" t="str">
        <f>CONCATENATE(Sheet2!B920,", ",Sheet2!C920)</f>
        <v>PARNALL, Elf</v>
      </c>
    </row>
    <row r="921" spans="1:4" x14ac:dyDescent="0.2">
      <c r="A921" t="str">
        <f>Sheet2!A921</f>
        <v>ELIT</v>
      </c>
      <c r="B921" t="str">
        <f ca="1">'Query Example'!D921</f>
        <v>LandPlane</v>
      </c>
      <c r="C921" s="11" t="str">
        <f>CONCATENATE(Sheet2!F921,"/",Sheet2!E921)</f>
        <v>2/Jet</v>
      </c>
      <c r="D921" t="str">
        <f>CONCATENATE(Sheet2!B921,", ",Sheet2!C921)</f>
        <v>EPIC AIRCRAFT, Epic Elite</v>
      </c>
    </row>
    <row r="922" spans="1:4" x14ac:dyDescent="0.2">
      <c r="A922" t="str">
        <f>Sheet2!A922</f>
        <v>ELPS</v>
      </c>
      <c r="B922" t="str">
        <f ca="1">'Query Example'!D922</f>
        <v>LandPlane</v>
      </c>
      <c r="C922" s="11" t="str">
        <f>CONCATENATE(Sheet2!F922,"/",Sheet2!E922)</f>
        <v>1/Piston</v>
      </c>
      <c r="D922" t="str">
        <f>CONCATENATE(Sheet2!B922,", ",Sheet2!C922)</f>
        <v>EXPLORER (1), Ellipse</v>
      </c>
    </row>
    <row r="923" spans="1:4" x14ac:dyDescent="0.2">
      <c r="A923" t="str">
        <f>Sheet2!A923</f>
        <v>ELSP</v>
      </c>
      <c r="B923" t="str">
        <f ca="1">'Query Example'!D923</f>
        <v>LandPlane</v>
      </c>
      <c r="C923" s="11" t="str">
        <f>CONCATENATE(Sheet2!F923,"/",Sheet2!E923)</f>
        <v>1/Piston</v>
      </c>
      <c r="D923" t="str">
        <f>CONCATENATE(Sheet2!B923,", ",Sheet2!C923)</f>
        <v>A2 CZ, Ellipse Spirit</v>
      </c>
    </row>
    <row r="924" spans="1:4" x14ac:dyDescent="0.2">
      <c r="A924" t="str">
        <f>Sheet2!A924</f>
        <v>ELST</v>
      </c>
      <c r="B924" t="str">
        <f ca="1">'Query Example'!D924</f>
        <v>LandPlane</v>
      </c>
      <c r="C924" s="11" t="str">
        <f>CONCATENATE(Sheet2!F924,"/",Sheet2!E924)</f>
        <v>1/Piston</v>
      </c>
      <c r="D924" t="str">
        <f>CONCATENATE(Sheet2!B924,", ",Sheet2!C924)</f>
        <v>PUTZER, Elster</v>
      </c>
    </row>
    <row r="925" spans="1:4" x14ac:dyDescent="0.2">
      <c r="A925" t="str">
        <f>Sheet2!A925</f>
        <v>ELTO</v>
      </c>
      <c r="B925" t="str">
        <f ca="1">'Query Example'!D925</f>
        <v>Helicopter</v>
      </c>
      <c r="C925" s="11" t="str">
        <f>CONCATENATE(Sheet2!F925,"/",Sheet2!E925)</f>
        <v>1/Piston</v>
      </c>
      <c r="D925" t="str">
        <f>CONCATENATE(Sheet2!B925,", ",Sheet2!C925)</f>
        <v>CONTINENTAL COPTERS, El Tomcat</v>
      </c>
    </row>
    <row r="926" spans="1:4" x14ac:dyDescent="0.2">
      <c r="A926" t="str">
        <f>Sheet2!A926</f>
        <v>ELTR</v>
      </c>
      <c r="B926" t="str">
        <f ca="1">'Query Example'!D926</f>
        <v>LandPlane</v>
      </c>
      <c r="C926" s="11" t="str">
        <f>CONCATENATE(Sheet2!F926,"/",Sheet2!E926)</f>
        <v>1/Piston</v>
      </c>
      <c r="D926" t="str">
        <f>CONCATENATE(Sheet2!B926,", ",Sheet2!C926)</f>
        <v>ELITAR, IE-101 Elitar</v>
      </c>
    </row>
    <row r="927" spans="1:4" x14ac:dyDescent="0.2">
      <c r="A927" t="str">
        <f>Sheet2!A927</f>
        <v>EM10</v>
      </c>
      <c r="B927" t="str">
        <f ca="1">'Query Example'!D927</f>
        <v>LandPlane</v>
      </c>
      <c r="C927" s="11" t="str">
        <f>CONCATENATE(Sheet2!F927,"/",Sheet2!E927)</f>
        <v>1/Jet</v>
      </c>
      <c r="D927" t="str">
        <f>CONCATENATE(Sheet2!B927,", ",Sheet2!C927)</f>
        <v>MARGANSKI, EM-10 Bielik</v>
      </c>
    </row>
    <row r="928" spans="1:4" x14ac:dyDescent="0.2">
      <c r="A928" t="str">
        <f>Sheet2!A928</f>
        <v>EM11</v>
      </c>
      <c r="B928" t="str">
        <f ca="1">'Query Example'!D928</f>
        <v>LandPlane</v>
      </c>
      <c r="C928" s="11" t="str">
        <f>CONCATENATE(Sheet2!F928,"/",Sheet2!E928)</f>
        <v>2/Piston</v>
      </c>
      <c r="D928" t="str">
        <f>CONCATENATE(Sheet2!B928,", ",Sheet2!C928)</f>
        <v>MARGANSKI, EM-11 Orka</v>
      </c>
    </row>
    <row r="929" spans="1:4" x14ac:dyDescent="0.2">
      <c r="A929" t="str">
        <f>Sheet2!A929</f>
        <v>EN28</v>
      </c>
      <c r="B929" t="str">
        <f ca="1">'Query Example'!D929</f>
        <v>Helicopter</v>
      </c>
      <c r="C929" s="11" t="str">
        <f>CONCATENATE(Sheet2!F929,"/",Sheet2!E929)</f>
        <v>1/Piston</v>
      </c>
      <c r="D929" t="str">
        <f>CONCATENATE(Sheet2!B929,", ",Sheet2!C929)</f>
        <v>ENSTROM, 280 Shark</v>
      </c>
    </row>
    <row r="930" spans="1:4" x14ac:dyDescent="0.2">
      <c r="A930" t="str">
        <f>Sheet2!A930</f>
        <v>EN48</v>
      </c>
      <c r="B930" t="str">
        <f ca="1">'Query Example'!D930</f>
        <v>Helicopter</v>
      </c>
      <c r="C930" s="11" t="str">
        <f>CONCATENATE(Sheet2!F930,"/",Sheet2!E930)</f>
        <v>1/Turboprop/Turboshaft</v>
      </c>
      <c r="D930" t="str">
        <f>CONCATENATE(Sheet2!B930,", ",Sheet2!C930)</f>
        <v>ENSTROM, 480</v>
      </c>
    </row>
    <row r="931" spans="1:4" x14ac:dyDescent="0.2">
      <c r="A931" t="str">
        <f>Sheet2!A931</f>
        <v>EP9</v>
      </c>
      <c r="B931" t="str">
        <f ca="1">'Query Example'!D931</f>
        <v>LandPlane</v>
      </c>
      <c r="C931" s="11" t="str">
        <f>CONCATENATE(Sheet2!F931,"/",Sheet2!E931)</f>
        <v>1/Piston</v>
      </c>
      <c r="D931" t="str">
        <f>CONCATENATE(Sheet2!B931,", ",Sheet2!C931)</f>
        <v>LANCASHIRE, EP-9 Prospector</v>
      </c>
    </row>
    <row r="932" spans="1:4" x14ac:dyDescent="0.2">
      <c r="A932" t="str">
        <f>Sheet2!A932</f>
        <v>EPER</v>
      </c>
      <c r="B932" t="str">
        <f ca="1">'Query Example'!D932</f>
        <v>LandPlane</v>
      </c>
      <c r="C932" s="11" t="str">
        <f>CONCATENATE(Sheet2!F932,"/",Sheet2!E932)</f>
        <v>1/Piston</v>
      </c>
      <c r="D932" t="str">
        <f>CONCATENATE(Sheet2!B932,", ",Sheet2!C932)</f>
        <v>EPERVIER (1), Epervier</v>
      </c>
    </row>
    <row r="933" spans="1:4" x14ac:dyDescent="0.2">
      <c r="A933" t="str">
        <f>Sheet2!A933</f>
        <v>EPIC</v>
      </c>
      <c r="B933" t="str">
        <f ca="1">'Query Example'!D933</f>
        <v>LandPlane</v>
      </c>
      <c r="C933" s="11" t="str">
        <f>CONCATENATE(Sheet2!F933,"/",Sheet2!E933)</f>
        <v>1/Turboprop/Turboshaft</v>
      </c>
      <c r="D933" t="str">
        <f>CONCATENATE(Sheet2!B933,", ",Sheet2!C933)</f>
        <v>EPIC AIRCRAFT, E1000</v>
      </c>
    </row>
    <row r="934" spans="1:4" x14ac:dyDescent="0.2">
      <c r="A934" t="str">
        <f>Sheet2!A934</f>
        <v>EPX1</v>
      </c>
      <c r="B934" t="str">
        <f ca="1">'Query Example'!D934</f>
        <v>LandPlane</v>
      </c>
      <c r="C934" s="11" t="str">
        <f>CONCATENATE(Sheet2!F934,"/",Sheet2!E934)</f>
        <v>1/Piston</v>
      </c>
      <c r="D934" t="str">
        <f>CONCATENATE(Sheet2!B934,", ",Sheet2!C934)</f>
        <v>EPERVIER (2), X-1</v>
      </c>
    </row>
    <row r="935" spans="1:4" x14ac:dyDescent="0.2">
      <c r="A935" t="str">
        <f>Sheet2!A935</f>
        <v>ERAC</v>
      </c>
      <c r="B935" t="str">
        <f ca="1">'Query Example'!D935</f>
        <v>LandPlane</v>
      </c>
      <c r="C935" s="11" t="str">
        <f>CONCATENATE(Sheet2!F935,"/",Sheet2!E935)</f>
        <v>1/Piston</v>
      </c>
      <c r="D935" t="str">
        <f>CONCATENATE(Sheet2!B935,", ",Sheet2!C935)</f>
        <v>DICKEY, E-Racer</v>
      </c>
    </row>
    <row r="936" spans="1:4" x14ac:dyDescent="0.2">
      <c r="A936" t="str">
        <f>Sheet2!A936</f>
        <v>ERCO</v>
      </c>
      <c r="B936" t="str">
        <f ca="1">'Query Example'!D936</f>
        <v>LandPlane</v>
      </c>
      <c r="C936" s="11" t="str">
        <f>CONCATENATE(Sheet2!F936,"/",Sheet2!E936)</f>
        <v>1/Piston</v>
      </c>
      <c r="D936" t="str">
        <f>CONCATENATE(Sheet2!B936,", ",Sheet2!C936)</f>
        <v>ERCO, 415 Ercoupe</v>
      </c>
    </row>
    <row r="937" spans="1:4" x14ac:dyDescent="0.2">
      <c r="A937" t="str">
        <f>Sheet2!A937</f>
        <v>ES11</v>
      </c>
      <c r="B937" t="str">
        <f ca="1">'Query Example'!D937</f>
        <v>Helicopter</v>
      </c>
      <c r="C937" s="11" t="str">
        <f>CONCATENATE(Sheet2!F937,"/",Sheet2!E937)</f>
        <v>1/Turboprop/Turboshaft</v>
      </c>
      <c r="D937" t="str">
        <f>CONCATENATE(Sheet2!B937,", ",Sheet2!C937)</f>
        <v>ALPI, AH-130 Syton</v>
      </c>
    </row>
    <row r="938" spans="1:4" x14ac:dyDescent="0.2">
      <c r="A938" t="str">
        <f>Sheet2!A938</f>
        <v>ES13</v>
      </c>
      <c r="B938" t="str">
        <f ca="1">'Query Example'!D938</f>
        <v>LandPlane</v>
      </c>
      <c r="C938" s="11" t="str">
        <f>CONCATENATE(Sheet2!F938,"/",Sheet2!E938)</f>
        <v>1/Piston</v>
      </c>
      <c r="D938" t="str">
        <f>CONCATENATE(Sheet2!B938,", ",Sheet2!C938)</f>
        <v>EARLY BIRD, Spad 13 80%</v>
      </c>
    </row>
    <row r="939" spans="1:4" x14ac:dyDescent="0.2">
      <c r="A939" t="str">
        <f>Sheet2!A939</f>
        <v>ESCA</v>
      </c>
      <c r="B939" t="str">
        <f ca="1">'Query Example'!D939</f>
        <v>LandPlane</v>
      </c>
      <c r="C939" s="11" t="str">
        <f>CONCATENATE(Sheet2!F939,"/",Sheet2!E939)</f>
        <v>1/Turboprop/Turboshaft</v>
      </c>
      <c r="D939" t="str">
        <f>CONCATENATE(Sheet2!B939,", ",Sheet2!C939)</f>
        <v>EPIC AIRCRAFT, Epic Escape</v>
      </c>
    </row>
    <row r="940" spans="1:4" x14ac:dyDescent="0.2">
      <c r="A940" t="str">
        <f>Sheet2!A940</f>
        <v>ESCP</v>
      </c>
      <c r="B940" t="str">
        <f ca="1">'Query Example'!D940</f>
        <v>LandPlane</v>
      </c>
      <c r="C940" s="11" t="str">
        <f>CONCATENATE(Sheet2!F940,"/",Sheet2!E940)</f>
        <v>1/Piston</v>
      </c>
      <c r="D940" t="str">
        <f>CONCATENATE(Sheet2!B940,", ",Sheet2!C940)</f>
        <v>JUST, Escapade</v>
      </c>
    </row>
    <row r="941" spans="1:4" x14ac:dyDescent="0.2">
      <c r="A941" t="str">
        <f>Sheet2!A941</f>
        <v>ESQL</v>
      </c>
      <c r="B941" t="str">
        <f ca="1">'Query Example'!D941</f>
        <v>LandPlane</v>
      </c>
      <c r="C941" s="11" t="str">
        <f>CONCATENATE(Sheet2!F941,"/",Sheet2!E941)</f>
        <v>1/Piston</v>
      </c>
      <c r="D941" t="str">
        <f>CONCATENATE(Sheet2!B941,", ",Sheet2!C941)</f>
        <v>MOURA, Esqualo</v>
      </c>
    </row>
    <row r="942" spans="1:4" x14ac:dyDescent="0.2">
      <c r="A942" t="str">
        <f>Sheet2!A942</f>
        <v>ETA</v>
      </c>
      <c r="B942" t="str">
        <f ca="1">'Query Example'!D942</f>
        <v>LandPlane</v>
      </c>
      <c r="C942" s="11" t="str">
        <f>CONCATENATE(Sheet2!F942,"/",Sheet2!E942)</f>
        <v>1/Piston</v>
      </c>
      <c r="D942" t="str">
        <f>CONCATENATE(Sheet2!B942,", ",Sheet2!C942)</f>
        <v>ETA AIRCRAFT, Eta</v>
      </c>
    </row>
    <row r="943" spans="1:4" x14ac:dyDescent="0.2">
      <c r="A943" t="str">
        <f>Sheet2!A943</f>
        <v>ETAR</v>
      </c>
      <c r="B943" t="str">
        <f ca="1">'Query Example'!D943</f>
        <v>LandPlane</v>
      </c>
      <c r="C943" s="11" t="str">
        <f>CONCATENATE(Sheet2!F943,"/",Sheet2!E943)</f>
        <v>1/Jet</v>
      </c>
      <c r="D943" t="str">
        <f>CONCATENATE(Sheet2!B943,", ",Sheet2!C943)</f>
        <v>DASSAULT, Super Etendard</v>
      </c>
    </row>
    <row r="944" spans="1:4" x14ac:dyDescent="0.2">
      <c r="A944" t="str">
        <f>Sheet2!A944</f>
        <v>EUFI</v>
      </c>
      <c r="B944" t="str">
        <f ca="1">'Query Example'!D944</f>
        <v>LandPlane</v>
      </c>
      <c r="C944" s="11" t="str">
        <f>CONCATENATE(Sheet2!F944,"/",Sheet2!E944)</f>
        <v>2/Jet</v>
      </c>
      <c r="D944" t="str">
        <f>CONCATENATE(Sheet2!B944,", ",Sheet2!C944)</f>
        <v>EUROFIGHTER, Eurofighter 2000</v>
      </c>
    </row>
    <row r="945" spans="1:4" x14ac:dyDescent="0.2">
      <c r="A945" t="str">
        <f>Sheet2!A945</f>
        <v>EUPA</v>
      </c>
      <c r="B945" t="str">
        <f ca="1">'Query Example'!D945</f>
        <v>LandPlane</v>
      </c>
      <c r="C945" s="11" t="str">
        <f>CONCATENATE(Sheet2!F945,"/",Sheet2!E945)</f>
        <v>1/Piston</v>
      </c>
      <c r="D945" t="str">
        <f>CONCATENATE(Sheet2!B945,", ",Sheet2!C945)</f>
        <v>EUROPA, Europa</v>
      </c>
    </row>
    <row r="946" spans="1:4" x14ac:dyDescent="0.2">
      <c r="A946" t="str">
        <f>Sheet2!A946</f>
        <v>EURT</v>
      </c>
      <c r="B946" t="str">
        <f ca="1">'Query Example'!D946</f>
        <v>LandPlane</v>
      </c>
      <c r="C946" s="11" t="str">
        <f>CONCATENATE(Sheet2!F946,"/",Sheet2!E946)</f>
        <v>1/Piston</v>
      </c>
      <c r="D946" t="str">
        <f>CONCATENATE(Sheet2!B946,", ",Sheet2!C946)</f>
        <v>FFT, Eurotrainer 2000</v>
      </c>
    </row>
    <row r="947" spans="1:4" x14ac:dyDescent="0.2">
      <c r="A947" t="str">
        <f>Sheet2!A947</f>
        <v>EV55</v>
      </c>
      <c r="B947" t="str">
        <f ca="1">'Query Example'!D947</f>
        <v>LandPlane</v>
      </c>
      <c r="C947" s="11" t="str">
        <f>CONCATENATE(Sheet2!F947,"/",Sheet2!E947)</f>
        <v>2/Piston</v>
      </c>
      <c r="D947" t="str">
        <f>CONCATENATE(Sheet2!B947,", ",Sheet2!C947)</f>
        <v>EVEKTOR, EV-55 Outback</v>
      </c>
    </row>
    <row r="948" spans="1:4" x14ac:dyDescent="0.2">
      <c r="A948" t="str">
        <f>Sheet2!A948</f>
        <v>EV97</v>
      </c>
      <c r="B948" t="str">
        <f ca="1">'Query Example'!D948</f>
        <v>LandPlane</v>
      </c>
      <c r="C948" s="11" t="str">
        <f>CONCATENATE(Sheet2!F948,"/",Sheet2!E948)</f>
        <v>1/Piston</v>
      </c>
      <c r="D948" t="str">
        <f>CONCATENATE(Sheet2!B948,", ",Sheet2!C948)</f>
        <v>EVEKTOR, EV-97 EuroStar</v>
      </c>
    </row>
    <row r="949" spans="1:4" x14ac:dyDescent="0.2">
      <c r="A949" t="str">
        <f>Sheet2!A949</f>
        <v>EVAN</v>
      </c>
      <c r="B949" t="str">
        <f ca="1">'Query Example'!D949</f>
        <v>LandPlane</v>
      </c>
      <c r="C949" s="11" t="str">
        <f>CONCATENATE(Sheet2!F949,"/",Sheet2!E949)</f>
        <v>2/Piston</v>
      </c>
      <c r="D949" t="str">
        <f>CONCATENATE(Sheet2!B949,", ",Sheet2!C949)</f>
        <v>EVANGEL, 4500 Evangel</v>
      </c>
    </row>
    <row r="950" spans="1:4" x14ac:dyDescent="0.2">
      <c r="A950" t="str">
        <f>Sheet2!A950</f>
        <v>EVIC</v>
      </c>
      <c r="B950" t="str">
        <f ca="1">'Query Example'!D950</f>
        <v>LandPlane</v>
      </c>
      <c r="C950" s="11" t="str">
        <f>CONCATENATE(Sheet2!F950,"/",Sheet2!E950)</f>
        <v>1/Jet</v>
      </c>
      <c r="D950" t="str">
        <f>CONCATENATE(Sheet2!B950,", ",Sheet2!C950)</f>
        <v>EPIC AIRCRAFT, Epic Victory</v>
      </c>
    </row>
    <row r="951" spans="1:4" x14ac:dyDescent="0.2">
      <c r="A951" t="str">
        <f>Sheet2!A951</f>
        <v>EVOP</v>
      </c>
      <c r="B951" t="str">
        <f ca="1">'Query Example'!D951</f>
        <v>LandPlane</v>
      </c>
      <c r="C951" s="11" t="str">
        <f>CONCATENATE(Sheet2!F951,"/",Sheet2!E951)</f>
        <v>1/Piston</v>
      </c>
      <c r="D951" t="str">
        <f>CONCATENATE(Sheet2!B951,", ",Sheet2!C951)</f>
        <v>LANCAIR, Evolution Piston</v>
      </c>
    </row>
    <row r="952" spans="1:4" x14ac:dyDescent="0.2">
      <c r="A952" t="str">
        <f>Sheet2!A952</f>
        <v>EVOT</v>
      </c>
      <c r="B952" t="str">
        <f ca="1">'Query Example'!D952</f>
        <v>LandPlane</v>
      </c>
      <c r="C952" s="11" t="str">
        <f>CONCATENATE(Sheet2!F952,"/",Sheet2!E952)</f>
        <v>1/Turboprop/Turboshaft</v>
      </c>
      <c r="D952" t="str">
        <f>CONCATENATE(Sheet2!B952,", ",Sheet2!C952)</f>
        <v>LANCAIR, Evolution Turbine</v>
      </c>
    </row>
    <row r="953" spans="1:4" x14ac:dyDescent="0.2">
      <c r="A953" t="str">
        <f>Sheet2!A953</f>
        <v>EVSS</v>
      </c>
      <c r="B953" t="str">
        <f ca="1">'Query Example'!D953</f>
        <v>LandPlane</v>
      </c>
      <c r="C953" s="11" t="str">
        <f>CONCATENATE(Sheet2!F953,"/",Sheet2!E953)</f>
        <v>1/Piston</v>
      </c>
      <c r="D953" t="str">
        <f>CONCATENATE(Sheet2!B953,", ",Sheet2!C953)</f>
        <v>EVEKTOR, SportStar</v>
      </c>
    </row>
    <row r="954" spans="1:4" x14ac:dyDescent="0.2">
      <c r="A954" t="str">
        <f>Sheet2!A954</f>
        <v>EX5T</v>
      </c>
      <c r="B954" t="str">
        <f ca="1">'Query Example'!D954</f>
        <v>LandPlane</v>
      </c>
      <c r="C954" s="11" t="str">
        <f>CONCATENATE(Sheet2!F954,"/",Sheet2!E954)</f>
        <v>1/Turboprop/Turboshaft</v>
      </c>
      <c r="D954" t="str">
        <f>CONCATENATE(Sheet2!B954,", ",Sheet2!C954)</f>
        <v>AEA, Explorer 500T</v>
      </c>
    </row>
    <row r="955" spans="1:4" x14ac:dyDescent="0.2">
      <c r="A955" t="str">
        <f>Sheet2!A955</f>
        <v>EXEC</v>
      </c>
      <c r="B955" t="str">
        <f ca="1">'Query Example'!D955</f>
        <v>Helicopter</v>
      </c>
      <c r="C955" s="11" t="str">
        <f>CONCATENATE(Sheet2!F955,"/",Sheet2!E955)</f>
        <v>1/Piston</v>
      </c>
      <c r="D955" t="str">
        <f>CONCATENATE(Sheet2!B955,", ",Sheet2!C955)</f>
        <v>ROTORWAY, Exec</v>
      </c>
    </row>
    <row r="956" spans="1:4" x14ac:dyDescent="0.2">
      <c r="A956" t="str">
        <f>Sheet2!A956</f>
        <v>EXEJ</v>
      </c>
      <c r="B956" t="str">
        <f ca="1">'Query Example'!D956</f>
        <v>Helicopter</v>
      </c>
      <c r="C956" s="11" t="str">
        <f>CONCATENATE(Sheet2!F956,"/",Sheet2!E956)</f>
        <v>1/Turboprop/Turboshaft</v>
      </c>
      <c r="D956" t="str">
        <f>CONCATENATE(Sheet2!B956,", ",Sheet2!C956)</f>
        <v>ROTORWAY, JetExec</v>
      </c>
    </row>
    <row r="957" spans="1:4" x14ac:dyDescent="0.2">
      <c r="A957" t="str">
        <f>Sheet2!A957</f>
        <v>EXNG</v>
      </c>
      <c r="B957" t="str">
        <f ca="1">'Query Example'!D957</f>
        <v>LandPlane</v>
      </c>
      <c r="C957" s="11" t="str">
        <f>CONCATENATE(Sheet2!F957,"/",Sheet2!E957)</f>
        <v>1/Piston</v>
      </c>
      <c r="D957" t="str">
        <f>CONCATENATE(Sheet2!B957,", ",Sheet2!C957)</f>
        <v>EXTRA, NG</v>
      </c>
    </row>
    <row r="958" spans="1:4" x14ac:dyDescent="0.2">
      <c r="A958" t="str">
        <f>Sheet2!A958</f>
        <v>EXPL</v>
      </c>
      <c r="B958" t="str">
        <f ca="1">'Query Example'!D958</f>
        <v>Helicopter</v>
      </c>
      <c r="C958" s="11" t="str">
        <f>CONCATENATE(Sheet2!F958,"/",Sheet2!E958)</f>
        <v>2/Turboprop/Turboshaft</v>
      </c>
      <c r="D958" t="str">
        <f>CONCATENATE(Sheet2!B958,", ",Sheet2!C958)</f>
        <v>MCDONNELL DOUGLAS, MD-900 Explorer</v>
      </c>
    </row>
    <row r="959" spans="1:4" x14ac:dyDescent="0.2">
      <c r="A959" t="str">
        <f>Sheet2!A959</f>
        <v>EXPR</v>
      </c>
      <c r="B959" t="str">
        <f ca="1">'Query Example'!D959</f>
        <v>LandPlane</v>
      </c>
      <c r="C959" s="11" t="str">
        <f>CONCATENATE(Sheet2!F959,"/",Sheet2!E959)</f>
        <v>1/Piston</v>
      </c>
      <c r="D959" t="str">
        <f>CONCATENATE(Sheet2!B959,", ",Sheet2!C959)</f>
        <v>EXPRESS, Express 2000RG</v>
      </c>
    </row>
    <row r="960" spans="1:4" x14ac:dyDescent="0.2">
      <c r="A960" t="str">
        <f>Sheet2!A960</f>
        <v>EZFL</v>
      </c>
      <c r="B960" t="str">
        <f ca="1">'Query Example'!D960</f>
        <v>LandPlane</v>
      </c>
      <c r="C960" s="11" t="str">
        <f>CONCATENATE(Sheet2!F960,"/",Sheet2!E960)</f>
        <v>1/Piston</v>
      </c>
      <c r="D960" t="str">
        <f>CONCATENATE(Sheet2!B960,", ",Sheet2!C960)</f>
        <v>BLUE YONDER, E-Z Flyer</v>
      </c>
    </row>
    <row r="961" spans="1:4" x14ac:dyDescent="0.2">
      <c r="A961" t="str">
        <f>Sheet2!A961</f>
        <v>EZFT</v>
      </c>
      <c r="B961" t="str">
        <f ca="1">'Query Example'!D961</f>
        <v>LandPlane</v>
      </c>
      <c r="C961" s="11" t="str">
        <f>CONCATENATE(Sheet2!F961,"/",Sheet2!E961)</f>
        <v>2/Piston</v>
      </c>
      <c r="D961" t="str">
        <f>CONCATENATE(Sheet2!B961,", ",Sheet2!C961)</f>
        <v>BLUE YONDER, Twin E-Z Flyer</v>
      </c>
    </row>
    <row r="962" spans="1:4" x14ac:dyDescent="0.2">
      <c r="A962" t="str">
        <f>Sheet2!A962</f>
        <v>EZHV</v>
      </c>
      <c r="B962" t="str">
        <f ca="1">'Query Example'!D962</f>
        <v>LandPlane</v>
      </c>
      <c r="C962" s="11" t="str">
        <f>CONCATENATE(Sheet2!F962,"/",Sheet2!E962)</f>
        <v>1/Piston</v>
      </c>
      <c r="D962" t="str">
        <f>CONCATENATE(Sheet2!B962,", ",Sheet2!C962)</f>
        <v>BLUE YONDER, E-Z Harvard</v>
      </c>
    </row>
    <row r="963" spans="1:4" x14ac:dyDescent="0.2">
      <c r="A963" t="str">
        <f>Sheet2!A963</f>
        <v>EZIK</v>
      </c>
      <c r="B963" t="str">
        <f ca="1">'Query Example'!D963</f>
        <v>LandPlane</v>
      </c>
      <c r="C963" s="11" t="str">
        <f>CONCATENATE(Sheet2!F963,"/",Sheet2!E963)</f>
        <v>1/Piston</v>
      </c>
      <c r="D963" t="str">
        <f>CONCATENATE(Sheet2!B963,", ",Sheet2!C963)</f>
        <v>ISTRA, Ezhik</v>
      </c>
    </row>
    <row r="964" spans="1:4" x14ac:dyDescent="0.2">
      <c r="A964" t="str">
        <f>Sheet2!A964</f>
        <v>EZKC</v>
      </c>
      <c r="B964" t="str">
        <f ca="1">'Query Example'!D964</f>
        <v>LandPlane</v>
      </c>
      <c r="C964" s="11" t="str">
        <f>CONCATENATE(Sheet2!F964,"/",Sheet2!E964)</f>
        <v>1/Piston</v>
      </c>
      <c r="D964" t="str">
        <f>CONCATENATE(Sheet2!B964,", ",Sheet2!C964)</f>
        <v>BLUE YONDER, E-Z King Cobra</v>
      </c>
    </row>
    <row r="965" spans="1:4" x14ac:dyDescent="0.2">
      <c r="A965" t="str">
        <f>Sheet2!A965</f>
        <v>F1</v>
      </c>
      <c r="B965" t="str">
        <f ca="1">'Query Example'!D965</f>
        <v>LandPlane</v>
      </c>
      <c r="C965" s="11" t="str">
        <f>CONCATENATE(Sheet2!F965,"/",Sheet2!E965)</f>
        <v>2/Jet</v>
      </c>
      <c r="D965" t="str">
        <f>CONCATENATE(Sheet2!B965,", ",Sheet2!C965)</f>
        <v>MITSUBISHI, F-1</v>
      </c>
    </row>
    <row r="966" spans="1:4" x14ac:dyDescent="0.2">
      <c r="A966" t="str">
        <f>Sheet2!A966</f>
        <v>F100</v>
      </c>
      <c r="B966" t="str">
        <f ca="1">'Query Example'!D966</f>
        <v>LandPlane</v>
      </c>
      <c r="C966" s="11" t="str">
        <f>CONCATENATE(Sheet2!F966,"/",Sheet2!E966)</f>
        <v>2/Jet</v>
      </c>
      <c r="D966" t="str">
        <f>CONCATENATE(Sheet2!B966,", ",Sheet2!C966)</f>
        <v>FOKKER, 100</v>
      </c>
    </row>
    <row r="967" spans="1:4" x14ac:dyDescent="0.2">
      <c r="A967" t="str">
        <f>Sheet2!A967</f>
        <v>F104</v>
      </c>
      <c r="B967" t="str">
        <f ca="1">'Query Example'!D967</f>
        <v>LandPlane</v>
      </c>
      <c r="C967" s="11" t="str">
        <f>CONCATENATE(Sheet2!F967,"/",Sheet2!E967)</f>
        <v>1/Jet</v>
      </c>
      <c r="D967" t="str">
        <f>CONCATENATE(Sheet2!B967,", ",Sheet2!C967)</f>
        <v>LOCKHEED, F-104 Starfighter</v>
      </c>
    </row>
    <row r="968" spans="1:4" x14ac:dyDescent="0.2">
      <c r="A968" t="str">
        <f>Sheet2!A968</f>
        <v>F106</v>
      </c>
      <c r="B968" t="str">
        <f ca="1">'Query Example'!D968</f>
        <v>LandPlane</v>
      </c>
      <c r="C968" s="11" t="str">
        <f>CONCATENATE(Sheet2!F968,"/",Sheet2!E968)</f>
        <v>1/Jet</v>
      </c>
      <c r="D968" t="str">
        <f>CONCATENATE(Sheet2!B968,", ",Sheet2!C968)</f>
        <v>CONVAIR, QF-106 Delta Dart</v>
      </c>
    </row>
    <row r="969" spans="1:4" x14ac:dyDescent="0.2">
      <c r="A969" t="str">
        <f>Sheet2!A969</f>
        <v>F111</v>
      </c>
      <c r="B969" t="str">
        <f ca="1">'Query Example'!D969</f>
        <v>LandPlane</v>
      </c>
      <c r="C969" s="11" t="str">
        <f>CONCATENATE(Sheet2!F969,"/",Sheet2!E969)</f>
        <v>2/Jet</v>
      </c>
      <c r="D969" t="str">
        <f>CONCATENATE(Sheet2!B969,", ",Sheet2!C969)</f>
        <v>GENERAL DYNAMICS, F-111 Aardvark</v>
      </c>
    </row>
    <row r="970" spans="1:4" x14ac:dyDescent="0.2">
      <c r="A970" t="str">
        <f>Sheet2!A970</f>
        <v>F117</v>
      </c>
      <c r="B970" t="str">
        <f ca="1">'Query Example'!D970</f>
        <v>LandPlane</v>
      </c>
      <c r="C970" s="11" t="str">
        <f>CONCATENATE(Sheet2!F970,"/",Sheet2!E970)</f>
        <v>2/Jet</v>
      </c>
      <c r="D970" t="str">
        <f>CONCATENATE(Sheet2!B970,", ",Sheet2!C970)</f>
        <v>LOCKHEED, F-117 Nighthawk</v>
      </c>
    </row>
    <row r="971" spans="1:4" x14ac:dyDescent="0.2">
      <c r="A971" t="str">
        <f>Sheet2!A971</f>
        <v>F13</v>
      </c>
      <c r="B971" t="str">
        <f ca="1">'Query Example'!D971</f>
        <v>LandPlane</v>
      </c>
      <c r="C971" s="11" t="str">
        <f>CONCATENATE(Sheet2!F971,"/",Sheet2!E971)</f>
        <v>1/Piston</v>
      </c>
      <c r="D971" t="str">
        <f>CONCATENATE(Sheet2!B971,", ",Sheet2!C971)</f>
        <v>JUNKERS, F-13 Replica</v>
      </c>
    </row>
    <row r="972" spans="1:4" x14ac:dyDescent="0.2">
      <c r="A972" t="str">
        <f>Sheet2!A972</f>
        <v>F14</v>
      </c>
      <c r="B972" t="str">
        <f ca="1">'Query Example'!D972</f>
        <v>LandPlane</v>
      </c>
      <c r="C972" s="11" t="str">
        <f>CONCATENATE(Sheet2!F972,"/",Sheet2!E972)</f>
        <v>2/Jet</v>
      </c>
      <c r="D972" t="str">
        <f>CONCATENATE(Sheet2!B972,", ",Sheet2!C972)</f>
        <v>GRUMMAN, F-14 Tomcat</v>
      </c>
    </row>
    <row r="973" spans="1:4" x14ac:dyDescent="0.2">
      <c r="A973" t="str">
        <f>Sheet2!A973</f>
        <v>F15</v>
      </c>
      <c r="B973" t="str">
        <f ca="1">'Query Example'!D973</f>
        <v>LandPlane</v>
      </c>
      <c r="C973" s="11" t="str">
        <f>CONCATENATE(Sheet2!F973,"/",Sheet2!E973)</f>
        <v>2/Jet</v>
      </c>
      <c r="D973" t="str">
        <f>CONCATENATE(Sheet2!B973,", ",Sheet2!C973)</f>
        <v>MCDONNELL DOUGLAS, F-15 Eagle</v>
      </c>
    </row>
    <row r="974" spans="1:4" x14ac:dyDescent="0.2">
      <c r="A974" t="str">
        <f>Sheet2!A974</f>
        <v>F156</v>
      </c>
      <c r="B974" t="str">
        <f ca="1">'Query Example'!D974</f>
        <v>LandPlane</v>
      </c>
      <c r="C974" s="11" t="str">
        <f>CONCATENATE(Sheet2!F974,"/",Sheet2!E974)</f>
        <v>1/Piston</v>
      </c>
      <c r="D974" t="str">
        <f>CONCATENATE(Sheet2!B974,", ",Sheet2!C974)</f>
        <v>FIESELER, Fi-156 Storch</v>
      </c>
    </row>
    <row r="975" spans="1:4" x14ac:dyDescent="0.2">
      <c r="A975" t="str">
        <f>Sheet2!A975</f>
        <v>F16</v>
      </c>
      <c r="B975" t="str">
        <f ca="1">'Query Example'!D975</f>
        <v>LandPlane</v>
      </c>
      <c r="C975" s="11" t="str">
        <f>CONCATENATE(Sheet2!F975,"/",Sheet2!E975)</f>
        <v>1/Jet</v>
      </c>
      <c r="D975" t="str">
        <f>CONCATENATE(Sheet2!B975,", ",Sheet2!C975)</f>
        <v>GENERAL DYNAMICS, F-16 Fighting Falcon</v>
      </c>
    </row>
    <row r="976" spans="1:4" x14ac:dyDescent="0.2">
      <c r="A976" t="str">
        <f>Sheet2!A976</f>
        <v>F18H</v>
      </c>
      <c r="B976" t="str">
        <f ca="1">'Query Example'!D976</f>
        <v>LandPlane</v>
      </c>
      <c r="C976" s="11" t="str">
        <f>CONCATENATE(Sheet2!F976,"/",Sheet2!E976)</f>
        <v>2/Jet</v>
      </c>
      <c r="D976" t="str">
        <f>CONCATENATE(Sheet2!B976,", ",Sheet2!C976)</f>
        <v>MCDONNELL DOUGLAS, FA-18C Hornet</v>
      </c>
    </row>
    <row r="977" spans="1:4" x14ac:dyDescent="0.2">
      <c r="A977" t="str">
        <f>Sheet2!A977</f>
        <v>F18S</v>
      </c>
      <c r="B977" t="str">
        <f ca="1">'Query Example'!D977</f>
        <v>LandPlane</v>
      </c>
      <c r="C977" s="11" t="str">
        <f>CONCATENATE(Sheet2!F977,"/",Sheet2!E977)</f>
        <v>2/Jet</v>
      </c>
      <c r="D977" t="str">
        <f>CONCATENATE(Sheet2!B977,", ",Sheet2!C977)</f>
        <v>MCDONNELL DOUGLAS, FA-18E Super Hornet</v>
      </c>
    </row>
    <row r="978" spans="1:4" x14ac:dyDescent="0.2">
      <c r="A978" t="str">
        <f>Sheet2!A978</f>
        <v>F1FV</v>
      </c>
      <c r="B978" t="str">
        <f ca="1">'Query Example'!D978</f>
        <v>LandPlane</v>
      </c>
      <c r="C978" s="11" t="str">
        <f>CONCATENATE(Sheet2!F978,"/",Sheet2!E978)</f>
        <v>1/Piston</v>
      </c>
      <c r="D978" t="str">
        <f>CONCATENATE(Sheet2!B978,", ",Sheet2!C978)</f>
        <v>AVION, F-1 Favorit</v>
      </c>
    </row>
    <row r="979" spans="1:4" x14ac:dyDescent="0.2">
      <c r="A979" t="str">
        <f>Sheet2!A979</f>
        <v>F2</v>
      </c>
      <c r="B979" t="str">
        <f ca="1">'Query Example'!D979</f>
        <v>LandPlane</v>
      </c>
      <c r="C979" s="11" t="str">
        <f>CONCATENATE(Sheet2!F979,"/",Sheet2!E979)</f>
        <v>1/Jet</v>
      </c>
      <c r="D979" t="str">
        <f>CONCATENATE(Sheet2!B979,", ",Sheet2!C979)</f>
        <v>MITSUBISHI, F-2</v>
      </c>
    </row>
    <row r="980" spans="1:4" x14ac:dyDescent="0.2">
      <c r="A980" t="str">
        <f>Sheet2!A980</f>
        <v>F22</v>
      </c>
      <c r="B980" t="str">
        <f ca="1">'Query Example'!D980</f>
        <v>LandPlane</v>
      </c>
      <c r="C980" s="11" t="str">
        <f>CONCATENATE(Sheet2!F980,"/",Sheet2!E980)</f>
        <v>2/Jet</v>
      </c>
      <c r="D980" t="str">
        <f>CONCATENATE(Sheet2!B980,", ",Sheet2!C980)</f>
        <v>LOCKHEED MARTIN, F-22 Raptor</v>
      </c>
    </row>
    <row r="981" spans="1:4" x14ac:dyDescent="0.2">
      <c r="A981" t="str">
        <f>Sheet2!A981</f>
        <v>F260</v>
      </c>
      <c r="B981" t="str">
        <f ca="1">'Query Example'!D981</f>
        <v>LandPlane</v>
      </c>
      <c r="C981" s="11" t="str">
        <f>CONCATENATE(Sheet2!F981,"/",Sheet2!E981)</f>
        <v>1/Piston</v>
      </c>
      <c r="D981" t="str">
        <f>CONCATENATE(Sheet2!B981,", ",Sheet2!C981)</f>
        <v>SIAI-MARCHETTI, SF-260</v>
      </c>
    </row>
    <row r="982" spans="1:4" x14ac:dyDescent="0.2">
      <c r="A982" t="str">
        <f>Sheet2!A982</f>
        <v>F26T</v>
      </c>
      <c r="B982" t="str">
        <f ca="1">'Query Example'!D982</f>
        <v>LandPlane</v>
      </c>
      <c r="C982" s="11" t="str">
        <f>CONCATENATE(Sheet2!F982,"/",Sheet2!E982)</f>
        <v>1/Turboprop/Turboshaft</v>
      </c>
      <c r="D982" t="str">
        <f>CONCATENATE(Sheet2!B982,", ",Sheet2!C982)</f>
        <v>SIAI-MARCHETTI, SF-260T</v>
      </c>
    </row>
    <row r="983" spans="1:4" x14ac:dyDescent="0.2">
      <c r="A983" t="str">
        <f>Sheet2!A983</f>
        <v>F27</v>
      </c>
      <c r="B983" t="str">
        <f ca="1">'Query Example'!D983</f>
        <v>LandPlane</v>
      </c>
      <c r="C983" s="11" t="str">
        <f>CONCATENATE(Sheet2!F983,"/",Sheet2!E983)</f>
        <v>2/Turboprop/Turboshaft</v>
      </c>
      <c r="D983" t="str">
        <f>CONCATENATE(Sheet2!B983,", ",Sheet2!C983)</f>
        <v>FOKKER, F-27 Friendship</v>
      </c>
    </row>
    <row r="984" spans="1:4" x14ac:dyDescent="0.2">
      <c r="A984" t="str">
        <f>Sheet2!A984</f>
        <v>F28</v>
      </c>
      <c r="B984" t="str">
        <f ca="1">'Query Example'!D984</f>
        <v>LandPlane</v>
      </c>
      <c r="C984" s="11" t="str">
        <f>CONCATENATE(Sheet2!F984,"/",Sheet2!E984)</f>
        <v>2/Jet</v>
      </c>
      <c r="D984" t="str">
        <f>CONCATENATE(Sheet2!B984,", ",Sheet2!C984)</f>
        <v>FOKKER, F-28 Fellowship</v>
      </c>
    </row>
    <row r="985" spans="1:4" x14ac:dyDescent="0.2">
      <c r="A985" t="str">
        <f>Sheet2!A985</f>
        <v>F2TH</v>
      </c>
      <c r="B985" t="str">
        <f ca="1">'Query Example'!D985</f>
        <v>LandPlane</v>
      </c>
      <c r="C985" s="11" t="str">
        <f>CONCATENATE(Sheet2!F985,"/",Sheet2!E985)</f>
        <v>2/Jet</v>
      </c>
      <c r="D985" t="str">
        <f>CONCATENATE(Sheet2!B985,", ",Sheet2!C985)</f>
        <v>DASSAULT, Falcon 2000</v>
      </c>
    </row>
    <row r="986" spans="1:4" x14ac:dyDescent="0.2">
      <c r="A986" t="str">
        <f>Sheet2!A986</f>
        <v>F30</v>
      </c>
      <c r="B986" t="str">
        <f ca="1">'Query Example'!D986</f>
        <v>LandPlane</v>
      </c>
      <c r="C986" s="11" t="str">
        <f>CONCATENATE(Sheet2!F986,"/",Sheet2!E986)</f>
        <v>1/Piston</v>
      </c>
      <c r="D986" t="str">
        <f>CONCATENATE(Sheet2!B986,", ",Sheet2!C986)</f>
        <v>GOLDEN CAR, F-30 Brio</v>
      </c>
    </row>
    <row r="987" spans="1:4" x14ac:dyDescent="0.2">
      <c r="A987" t="str">
        <f>Sheet2!A987</f>
        <v>F35</v>
      </c>
      <c r="B987" t="str">
        <f ca="1">'Query Example'!D987</f>
        <v>LandPlane</v>
      </c>
      <c r="C987" s="11" t="str">
        <f>CONCATENATE(Sheet2!F987,"/",Sheet2!E987)</f>
        <v>1/Jet</v>
      </c>
      <c r="D987" t="str">
        <f>CONCATENATE(Sheet2!B987,", ",Sheet2!C987)</f>
        <v>LOCKHEED MARTIN, F-35C Lightning 2</v>
      </c>
    </row>
    <row r="988" spans="1:4" x14ac:dyDescent="0.2">
      <c r="A988" t="str">
        <f>Sheet2!A988</f>
        <v>F3F</v>
      </c>
      <c r="B988" t="str">
        <f ca="1">'Query Example'!D988</f>
        <v>LandPlane</v>
      </c>
      <c r="C988" s="11" t="str">
        <f>CONCATENATE(Sheet2!F988,"/",Sheet2!E988)</f>
        <v>1/Piston</v>
      </c>
      <c r="D988" t="str">
        <f>CONCATENATE(Sheet2!B988,", ",Sheet2!C988)</f>
        <v>GRUMMAN, F3F Replica</v>
      </c>
    </row>
    <row r="989" spans="1:4" x14ac:dyDescent="0.2">
      <c r="A989" t="str">
        <f>Sheet2!A989</f>
        <v>F4</v>
      </c>
      <c r="B989" t="str">
        <f ca="1">'Query Example'!D989</f>
        <v>LandPlane</v>
      </c>
      <c r="C989" s="11" t="str">
        <f>CONCATENATE(Sheet2!F989,"/",Sheet2!E989)</f>
        <v>2/Jet</v>
      </c>
      <c r="D989" t="str">
        <f>CONCATENATE(Sheet2!B989,", ",Sheet2!C989)</f>
        <v>MCDONNELL DOUGLAS, F-4 Phantom 2</v>
      </c>
    </row>
    <row r="990" spans="1:4" x14ac:dyDescent="0.2">
      <c r="A990" t="str">
        <f>Sheet2!A990</f>
        <v>F402</v>
      </c>
      <c r="B990" t="str">
        <f ca="1">'Query Example'!D990</f>
        <v>LandPlane</v>
      </c>
      <c r="C990" s="11" t="str">
        <f>CONCATENATE(Sheet2!F990,"/",Sheet2!E990)</f>
        <v>1/Turboprop/Turboshaft</v>
      </c>
      <c r="D990" t="str">
        <f>CONCATENATE(Sheet2!B990,", ",Sheet2!C990)</f>
        <v>FALCON AIR, Falcon 402</v>
      </c>
    </row>
    <row r="991" spans="1:4" x14ac:dyDescent="0.2">
      <c r="A991" t="str">
        <f>Sheet2!A991</f>
        <v>F406</v>
      </c>
      <c r="B991" t="str">
        <f ca="1">'Query Example'!D991</f>
        <v>LandPlane</v>
      </c>
      <c r="C991" s="11" t="str">
        <f>CONCATENATE(Sheet2!F991,"/",Sheet2!E991)</f>
        <v>2/Turboprop/Turboshaft</v>
      </c>
      <c r="D991" t="str">
        <f>CONCATENATE(Sheet2!B991,", ",Sheet2!C991)</f>
        <v>CESSNA, F406 Caravan 2</v>
      </c>
    </row>
    <row r="992" spans="1:4" x14ac:dyDescent="0.2">
      <c r="A992" t="str">
        <f>Sheet2!A992</f>
        <v>F41E</v>
      </c>
      <c r="B992" t="str">
        <f ca="1">'Query Example'!D992</f>
        <v>LandPlane</v>
      </c>
      <c r="C992" s="11" t="str">
        <f>CONCATENATE(Sheet2!F992,"/",Sheet2!E992)</f>
        <v>2/Piston</v>
      </c>
      <c r="D992" t="str">
        <f>CONCATENATE(Sheet2!B992,", ",Sheet2!C992)</f>
        <v>AEROSAMARA, F-41 El'brus</v>
      </c>
    </row>
    <row r="993" spans="1:4" x14ac:dyDescent="0.2">
      <c r="A993" t="str">
        <f>Sheet2!A993</f>
        <v>F421</v>
      </c>
      <c r="B993" t="str">
        <f ca="1">'Query Example'!D993</f>
        <v>LandPlane</v>
      </c>
      <c r="C993" s="11" t="str">
        <f>CONCATENATE(Sheet2!F993,"/",Sheet2!E993)</f>
        <v>1/Turboprop/Turboshaft</v>
      </c>
      <c r="D993" t="str">
        <f>CONCATENATE(Sheet2!B993,", ",Sheet2!C993)</f>
        <v>FALCON AIR, Falcon 421</v>
      </c>
    </row>
    <row r="994" spans="1:4" x14ac:dyDescent="0.2">
      <c r="A994" t="str">
        <f>Sheet2!A994</f>
        <v>F5</v>
      </c>
      <c r="B994" t="str">
        <f ca="1">'Query Example'!D994</f>
        <v>LandPlane</v>
      </c>
      <c r="C994" s="11" t="str">
        <f>CONCATENATE(Sheet2!F994,"/",Sheet2!E994)</f>
        <v>2/Jet</v>
      </c>
      <c r="D994" t="str">
        <f>CONCATENATE(Sheet2!B994,", ",Sheet2!C994)</f>
        <v>NORTHROP, F-5 Freedom Fighter</v>
      </c>
    </row>
    <row r="995" spans="1:4" x14ac:dyDescent="0.2">
      <c r="A995" t="str">
        <f>Sheet2!A995</f>
        <v>F50</v>
      </c>
      <c r="B995" t="str">
        <f ca="1">'Query Example'!D995</f>
        <v>LandPlane</v>
      </c>
      <c r="C995" s="11" t="str">
        <f>CONCATENATE(Sheet2!F995,"/",Sheet2!E995)</f>
        <v>2/Turboprop/Turboshaft</v>
      </c>
      <c r="D995" t="str">
        <f>CONCATENATE(Sheet2!B995,", ",Sheet2!C995)</f>
        <v>FOKKER, 50</v>
      </c>
    </row>
    <row r="996" spans="1:4" x14ac:dyDescent="0.2">
      <c r="A996" t="str">
        <f>Sheet2!A996</f>
        <v>F5SA</v>
      </c>
      <c r="B996" t="str">
        <f ca="1">'Query Example'!D996</f>
        <v>LandPlane</v>
      </c>
      <c r="C996" s="11" t="str">
        <f>CONCATENATE(Sheet2!F996,"/",Sheet2!E996)</f>
        <v>2/Jet</v>
      </c>
      <c r="D996" t="str">
        <f>CONCATENATE(Sheet2!B996,", ",Sheet2!C996)</f>
        <v>IRIAF, S-100 Saeghe</v>
      </c>
    </row>
    <row r="997" spans="1:4" x14ac:dyDescent="0.2">
      <c r="A997" t="str">
        <f>Sheet2!A997</f>
        <v>F60</v>
      </c>
      <c r="B997" t="str">
        <f ca="1">'Query Example'!D997</f>
        <v>LandPlane</v>
      </c>
      <c r="C997" s="11" t="str">
        <f>CONCATENATE(Sheet2!F997,"/",Sheet2!E997)</f>
        <v>2/Turboprop/Turboshaft</v>
      </c>
      <c r="D997" t="str">
        <f>CONCATENATE(Sheet2!B997,", ",Sheet2!C997)</f>
        <v>FOKKER, 60</v>
      </c>
    </row>
    <row r="998" spans="1:4" x14ac:dyDescent="0.2">
      <c r="A998" t="str">
        <f>Sheet2!A998</f>
        <v>F600</v>
      </c>
      <c r="B998" t="str">
        <f ca="1">'Query Example'!D998</f>
        <v>LandPlane</v>
      </c>
      <c r="C998" s="11" t="str">
        <f>CONCATENATE(Sheet2!F998,"/",Sheet2!E998)</f>
        <v>2/Turboprop/Turboshaft</v>
      </c>
      <c r="D998" t="str">
        <f>CONCATENATE(Sheet2!B998,", ",Sheet2!C998)</f>
        <v>VULCANAIR, SF-600 Canguro</v>
      </c>
    </row>
    <row r="999" spans="1:4" x14ac:dyDescent="0.2">
      <c r="A999" t="str">
        <f>Sheet2!A999</f>
        <v>F70</v>
      </c>
      <c r="B999" t="str">
        <f ca="1">'Query Example'!D999</f>
        <v>LandPlane</v>
      </c>
      <c r="C999" s="11" t="str">
        <f>CONCATENATE(Sheet2!F999,"/",Sheet2!E999)</f>
        <v>2/Jet</v>
      </c>
      <c r="D999" t="str">
        <f>CONCATENATE(Sheet2!B999,", ",Sheet2!C999)</f>
        <v>FOKKER, 70</v>
      </c>
    </row>
    <row r="1000" spans="1:4" x14ac:dyDescent="0.2">
      <c r="A1000" t="str">
        <f>Sheet2!A1000</f>
        <v>F8</v>
      </c>
      <c r="B1000" t="str">
        <f ca="1">'Query Example'!D1000</f>
        <v>LandPlane</v>
      </c>
      <c r="C1000" s="11" t="str">
        <f>CONCATENATE(Sheet2!F1000,"/",Sheet2!E1000)</f>
        <v>1/Jet</v>
      </c>
      <c r="D1000" t="str">
        <f>CONCATENATE(Sheet2!B1000,", ",Sheet2!C1000)</f>
        <v>CHANCE VOUGHT, F8U Crusader</v>
      </c>
    </row>
    <row r="1001" spans="1:4" x14ac:dyDescent="0.2">
      <c r="A1001" t="str">
        <f>Sheet2!A1001</f>
        <v>F86</v>
      </c>
      <c r="B1001" t="str">
        <f ca="1">'Query Example'!D1001</f>
        <v>LandPlane</v>
      </c>
      <c r="C1001" s="11" t="str">
        <f>CONCATENATE(Sheet2!F1001,"/",Sheet2!E1001)</f>
        <v>1/Jet</v>
      </c>
      <c r="D1001" t="str">
        <f>CONCATENATE(Sheet2!B1001,", ",Sheet2!C1001)</f>
        <v>NORTH AMERICAN, F-86 Sabre</v>
      </c>
    </row>
    <row r="1002" spans="1:4" x14ac:dyDescent="0.2">
      <c r="A1002" t="str">
        <f>Sheet2!A1002</f>
        <v>F8L</v>
      </c>
      <c r="B1002" t="str">
        <f ca="1">'Query Example'!D1002</f>
        <v>LandPlane</v>
      </c>
      <c r="C1002" s="11" t="str">
        <f>CONCATENATE(Sheet2!F1002,"/",Sheet2!E1002)</f>
        <v>1/Piston</v>
      </c>
      <c r="D1002" t="str">
        <f>CONCATENATE(Sheet2!B1002,", ",Sheet2!C1002)</f>
        <v>SEQUOIA, F-8L Falco</v>
      </c>
    </row>
    <row r="1003" spans="1:4" x14ac:dyDescent="0.2">
      <c r="A1003" t="str">
        <f>Sheet2!A1003</f>
        <v>F900</v>
      </c>
      <c r="B1003" t="str">
        <f ca="1">'Query Example'!D1003</f>
        <v>LandPlane</v>
      </c>
      <c r="C1003" s="11" t="str">
        <f>CONCATENATE(Sheet2!F1003,"/",Sheet2!E1003)</f>
        <v>3/Jet</v>
      </c>
      <c r="D1003" t="str">
        <f>CONCATENATE(Sheet2!B1003,", ",Sheet2!C1003)</f>
        <v>DASSAULT, Falcon 900</v>
      </c>
    </row>
    <row r="1004" spans="1:4" x14ac:dyDescent="0.2">
      <c r="A1004" t="str">
        <f>Sheet2!A1004</f>
        <v>F9F</v>
      </c>
      <c r="B1004" t="str">
        <f ca="1">'Query Example'!D1004</f>
        <v>LandPlane</v>
      </c>
      <c r="C1004" s="11" t="str">
        <f>CONCATENATE(Sheet2!F1004,"/",Sheet2!E1004)</f>
        <v>1/Jet</v>
      </c>
      <c r="D1004" t="str">
        <f>CONCATENATE(Sheet2!B1004,", ",Sheet2!C1004)</f>
        <v>GRUMMAN, F9F Panther</v>
      </c>
    </row>
    <row r="1005" spans="1:4" x14ac:dyDescent="0.2">
      <c r="A1005" t="str">
        <f>Sheet2!A1005</f>
        <v>FA01</v>
      </c>
      <c r="B1005" t="str">
        <f ca="1">'Query Example'!D1005</f>
        <v>LandPlane</v>
      </c>
      <c r="C1005" s="11" t="str">
        <f>CONCATENATE(Sheet2!F1005,"/",Sheet2!E1005)</f>
        <v>1/Piston</v>
      </c>
      <c r="D1005" t="str">
        <f>CONCATENATE(Sheet2!B1005,", ",Sheet2!C1005)</f>
        <v>FLÄMING AIR, FA-01 Saphir</v>
      </c>
    </row>
    <row r="1006" spans="1:4" x14ac:dyDescent="0.2">
      <c r="A1006" t="str">
        <f>Sheet2!A1006</f>
        <v>FA02</v>
      </c>
      <c r="B1006" t="str">
        <f ca="1">'Query Example'!D1006</f>
        <v>LandPlane</v>
      </c>
      <c r="C1006" s="11" t="str">
        <f>CONCATENATE(Sheet2!F1006,"/",Sheet2!E1006)</f>
        <v>1/Piston</v>
      </c>
      <c r="D1006" t="str">
        <f>CONCATENATE(Sheet2!B1006,", ",Sheet2!C1006)</f>
        <v>FLÄMING AIR, FA-02 Smaragd VLA</v>
      </c>
    </row>
    <row r="1007" spans="1:4" x14ac:dyDescent="0.2">
      <c r="A1007" t="str">
        <f>Sheet2!A1007</f>
        <v>FA03</v>
      </c>
      <c r="B1007" t="str">
        <f ca="1">'Query Example'!D1007</f>
        <v>LandPlane</v>
      </c>
      <c r="C1007" s="11" t="str">
        <f>CONCATENATE(Sheet2!F1007,"/",Sheet2!E1007)</f>
        <v>1/Piston</v>
      </c>
      <c r="D1007" t="str">
        <f>CONCATENATE(Sheet2!B1007,", ",Sheet2!C1007)</f>
        <v>FLÄMING AIR, FA-03 Smaragd TMG</v>
      </c>
    </row>
    <row r="1008" spans="1:4" x14ac:dyDescent="0.2">
      <c r="A1008" t="str">
        <f>Sheet2!A1008</f>
        <v>FA04</v>
      </c>
      <c r="B1008" t="str">
        <f ca="1">'Query Example'!D1008</f>
        <v>LandPlane</v>
      </c>
      <c r="C1008" s="11" t="str">
        <f>CONCATENATE(Sheet2!F1008,"/",Sheet2!E1008)</f>
        <v>1/Piston</v>
      </c>
      <c r="D1008" t="str">
        <f>CONCATENATE(Sheet2!B1008,", ",Sheet2!C1008)</f>
        <v>FLÄMING AIR, FA-04 Peregrine</v>
      </c>
    </row>
    <row r="1009" spans="1:4" x14ac:dyDescent="0.2">
      <c r="A1009" t="str">
        <f>Sheet2!A1009</f>
        <v>FA10</v>
      </c>
      <c r="B1009" t="str">
        <f ca="1">'Query Example'!D1009</f>
        <v>LandPlane</v>
      </c>
      <c r="C1009" s="11" t="str">
        <f>CONCATENATE(Sheet2!F1009,"/",Sheet2!E1009)</f>
        <v>2/Jet</v>
      </c>
      <c r="D1009" t="str">
        <f>CONCATENATE(Sheet2!B1009,", ",Sheet2!C1009)</f>
        <v>DASSAULT, Falcon 10</v>
      </c>
    </row>
    <row r="1010" spans="1:4" x14ac:dyDescent="0.2">
      <c r="A1010" t="str">
        <f>Sheet2!A1010</f>
        <v>FA11</v>
      </c>
      <c r="B1010" t="str">
        <f ca="1">'Query Example'!D1010</f>
        <v>LandPlane</v>
      </c>
      <c r="C1010" s="11" t="str">
        <f>CONCATENATE(Sheet2!F1010,"/",Sheet2!E1010)</f>
        <v>1/Piston</v>
      </c>
      <c r="D1010" t="str">
        <f>CONCATENATE(Sheet2!B1010,", ",Sheet2!C1010)</f>
        <v>FAIRCHILD (2), F-11 Husky</v>
      </c>
    </row>
    <row r="1011" spans="1:4" x14ac:dyDescent="0.2">
      <c r="A1011" t="str">
        <f>Sheet2!A1011</f>
        <v>FA20</v>
      </c>
      <c r="B1011" t="str">
        <f ca="1">'Query Example'!D1011</f>
        <v>LandPlane</v>
      </c>
      <c r="C1011" s="11" t="str">
        <f>CONCATENATE(Sheet2!F1011,"/",Sheet2!E1011)</f>
        <v>2/Jet</v>
      </c>
      <c r="D1011" t="str">
        <f>CONCATENATE(Sheet2!B1011,", ",Sheet2!C1011)</f>
        <v>DASSAULT, Falcon 20</v>
      </c>
    </row>
    <row r="1012" spans="1:4" x14ac:dyDescent="0.2">
      <c r="A1012" t="str">
        <f>Sheet2!A1012</f>
        <v>FA24</v>
      </c>
      <c r="B1012" t="str">
        <f ca="1">'Query Example'!D1012</f>
        <v>LandPlane</v>
      </c>
      <c r="C1012" s="11" t="str">
        <f>CONCATENATE(Sheet2!F1012,"/",Sheet2!E1012)</f>
        <v>1/Piston</v>
      </c>
      <c r="D1012" t="str">
        <f>CONCATENATE(Sheet2!B1012,", ",Sheet2!C1012)</f>
        <v>FAIRCHILD (1), F-24 Argus</v>
      </c>
    </row>
    <row r="1013" spans="1:4" x14ac:dyDescent="0.2">
      <c r="A1013" t="str">
        <f>Sheet2!A1013</f>
        <v>FA50</v>
      </c>
      <c r="B1013" t="str">
        <f ca="1">'Query Example'!D1013</f>
        <v>LandPlane</v>
      </c>
      <c r="C1013" s="11" t="str">
        <f>CONCATENATE(Sheet2!F1013,"/",Sheet2!E1013)</f>
        <v>3/Jet</v>
      </c>
      <c r="D1013" t="str">
        <f>CONCATENATE(Sheet2!B1013,", ",Sheet2!C1013)</f>
        <v>DASSAULT, Falcon 50</v>
      </c>
    </row>
    <row r="1014" spans="1:4" x14ac:dyDescent="0.2">
      <c r="A1014" t="str">
        <f>Sheet2!A1014</f>
        <v>FA62</v>
      </c>
      <c r="B1014" t="str">
        <f ca="1">'Query Example'!D1014</f>
        <v>LandPlane</v>
      </c>
      <c r="C1014" s="11" t="str">
        <f>CONCATENATE(Sheet2!F1014,"/",Sheet2!E1014)</f>
        <v>1/Piston</v>
      </c>
      <c r="D1014" t="str">
        <f>CONCATENATE(Sheet2!B1014,", ",Sheet2!C1014)</f>
        <v>FAIRCHILD (1), PT-19 Cornell</v>
      </c>
    </row>
    <row r="1015" spans="1:4" x14ac:dyDescent="0.2">
      <c r="A1015" t="str">
        <f>Sheet2!A1015</f>
        <v>FA6X</v>
      </c>
      <c r="B1015" t="str">
        <f ca="1">'Query Example'!D1015</f>
        <v>LandPlane</v>
      </c>
      <c r="C1015" s="11" t="str">
        <f>CONCATENATE(Sheet2!F1015,"/",Sheet2!E1015)</f>
        <v>2/Jet</v>
      </c>
      <c r="D1015" t="str">
        <f>CONCATENATE(Sheet2!B1015,", ",Sheet2!C1015)</f>
        <v>DASSAULT, Falcon 6X</v>
      </c>
    </row>
    <row r="1016" spans="1:4" x14ac:dyDescent="0.2">
      <c r="A1016" t="str">
        <f>Sheet2!A1016</f>
        <v>FA7X</v>
      </c>
      <c r="B1016" t="str">
        <f ca="1">'Query Example'!D1016</f>
        <v>LandPlane</v>
      </c>
      <c r="C1016" s="11" t="str">
        <f>CONCATENATE(Sheet2!F1016,"/",Sheet2!E1016)</f>
        <v>3/Jet</v>
      </c>
      <c r="D1016" t="str">
        <f>CONCATENATE(Sheet2!B1016,", ",Sheet2!C1016)</f>
        <v>DASSAULT, Falcon 7X</v>
      </c>
    </row>
    <row r="1017" spans="1:4" x14ac:dyDescent="0.2">
      <c r="A1017" t="str">
        <f>Sheet2!A1017</f>
        <v>FA8X</v>
      </c>
      <c r="B1017" t="str">
        <f ca="1">'Query Example'!D1017</f>
        <v>LandPlane</v>
      </c>
      <c r="C1017" s="11" t="str">
        <f>CONCATENATE(Sheet2!F1017,"/",Sheet2!E1017)</f>
        <v>3/Jet</v>
      </c>
      <c r="D1017" t="str">
        <f>CONCATENATE(Sheet2!B1017,", ",Sheet2!C1017)</f>
        <v>DASSAULT, Falcon 8X</v>
      </c>
    </row>
    <row r="1018" spans="1:4" x14ac:dyDescent="0.2">
      <c r="A1018" t="str">
        <f>Sheet2!A1018</f>
        <v>FAET</v>
      </c>
      <c r="B1018" t="str">
        <f ca="1">'Query Example'!D1018</f>
        <v>LandPlane</v>
      </c>
      <c r="C1018" s="11" t="str">
        <f>CONCATENATE(Sheet2!F1018,"/",Sheet2!E1018)</f>
        <v>1/Piston</v>
      </c>
      <c r="D1018" t="str">
        <f>CONCATENATE(Sheet2!B1018,", ",Sheet2!C1018)</f>
        <v>ATEC, 321 Faeta</v>
      </c>
    </row>
    <row r="1019" spans="1:4" x14ac:dyDescent="0.2">
      <c r="A1019" t="str">
        <f>Sheet2!A1019</f>
        <v>FALC</v>
      </c>
      <c r="B1019" t="str">
        <f ca="1">'Query Example'!D1019</f>
        <v>LandPlane</v>
      </c>
      <c r="C1019" s="11" t="str">
        <f>CONCATENATE(Sheet2!F1019,"/",Sheet2!E1019)</f>
        <v>1/Piston</v>
      </c>
      <c r="D1019" t="str">
        <f>CONCATENATE(Sheet2!B1019,", ",Sheet2!C1019)</f>
        <v>AMERICAN AIRCRAFT, Falcon XP</v>
      </c>
    </row>
    <row r="1020" spans="1:4" x14ac:dyDescent="0.2">
      <c r="A1020" t="str">
        <f>Sheet2!A1020</f>
        <v>FALM</v>
      </c>
      <c r="B1020" t="str">
        <f ca="1">'Query Example'!D1020</f>
        <v>LandPlane</v>
      </c>
      <c r="C1020" s="11" t="str">
        <f>CONCATENATE(Sheet2!F1020,"/",Sheet2!E1020)</f>
        <v>1/Piston</v>
      </c>
      <c r="D1020" t="str">
        <f>CONCATENATE(Sheet2!B1020,", ",Sheet2!C1020)</f>
        <v>MILES, M-3 Falcon Major</v>
      </c>
    </row>
    <row r="1021" spans="1:4" x14ac:dyDescent="0.2">
      <c r="A1021" t="str">
        <f>Sheet2!A1021</f>
        <v>FANL</v>
      </c>
      <c r="B1021" t="str">
        <f ca="1">'Query Example'!D1021</f>
        <v>LandPlane</v>
      </c>
      <c r="C1021" s="11" t="str">
        <f>CONCATENATE(Sheet2!F1021,"/",Sheet2!E1021)</f>
        <v>1/Piston</v>
      </c>
      <c r="D1021" t="str">
        <f>CONCATENATE(Sheet2!B1021,", ",Sheet2!C1021)</f>
        <v>RHEIN, FL-1 Fanliner</v>
      </c>
    </row>
    <row r="1022" spans="1:4" x14ac:dyDescent="0.2">
      <c r="A1022" t="str">
        <f>Sheet2!A1022</f>
        <v>FANT</v>
      </c>
      <c r="B1022" t="str">
        <f ca="1">'Query Example'!D1022</f>
        <v>LandPlane</v>
      </c>
      <c r="C1022" s="11" t="str">
        <f>CONCATENATE(Sheet2!F1022,"/",Sheet2!E1022)</f>
        <v>1/Turboprop/Turboshaft</v>
      </c>
      <c r="D1022" t="str">
        <f>CONCATENATE(Sheet2!B1022,", ",Sheet2!C1022)</f>
        <v>RHEIN, Fantrainer</v>
      </c>
    </row>
    <row r="1023" spans="1:4" x14ac:dyDescent="0.2">
      <c r="A1023" t="str">
        <f>Sheet2!A1023</f>
        <v>FB1A</v>
      </c>
      <c r="B1023" t="str">
        <f ca="1">'Query Example'!D1023</f>
        <v>LandPlane</v>
      </c>
      <c r="C1023" s="11" t="str">
        <f>CONCATENATE(Sheet2!F1023,"/",Sheet2!E1023)</f>
        <v>1/Piston</v>
      </c>
      <c r="D1023" t="str">
        <f>CONCATENATE(Sheet2!B1023,", ",Sheet2!C1023)</f>
        <v>BOWERS, Fly Baby 1A</v>
      </c>
    </row>
    <row r="1024" spans="1:4" x14ac:dyDescent="0.2">
      <c r="A1024" t="str">
        <f>Sheet2!A1024</f>
        <v>FB1B</v>
      </c>
      <c r="B1024" t="str">
        <f ca="1">'Query Example'!D1024</f>
        <v>LandPlane</v>
      </c>
      <c r="C1024" s="11" t="str">
        <f>CONCATENATE(Sheet2!F1024,"/",Sheet2!E1024)</f>
        <v>1/Piston</v>
      </c>
      <c r="D1024" t="str">
        <f>CONCATENATE(Sheet2!B1024,", ",Sheet2!C1024)</f>
        <v>BOWERS, Fly Baby 1B</v>
      </c>
    </row>
    <row r="1025" spans="1:4" x14ac:dyDescent="0.2">
      <c r="A1025" t="str">
        <f>Sheet2!A1025</f>
        <v>FB5</v>
      </c>
      <c r="B1025" t="str">
        <f ca="1">'Query Example'!D1025</f>
        <v>LandPlane</v>
      </c>
      <c r="C1025" s="11" t="str">
        <f>CONCATENATE(Sheet2!F1025,"/",Sheet2!E1025)</f>
        <v>1/Piston</v>
      </c>
      <c r="D1025" t="str">
        <f>CONCATENATE(Sheet2!B1025,", ",Sheet2!C1025)</f>
        <v>EURO-FLY, FB-5 Star Light</v>
      </c>
    </row>
    <row r="1026" spans="1:4" x14ac:dyDescent="0.2">
      <c r="A1026" t="str">
        <f>Sheet2!A1026</f>
        <v>FBA2</v>
      </c>
      <c r="B1026" t="str">
        <f ca="1">'Query Example'!D1026</f>
        <v>LandPlane</v>
      </c>
      <c r="C1026" s="11" t="str">
        <f>CONCATENATE(Sheet2!F1026,"/",Sheet2!E1026)</f>
        <v>1/Piston</v>
      </c>
      <c r="D1026" t="str">
        <f>CONCATENATE(Sheet2!B1026,", ",Sheet2!C1026)</f>
        <v>FOUND, FBA-2 Bush Hawk</v>
      </c>
    </row>
    <row r="1027" spans="1:4" x14ac:dyDescent="0.2">
      <c r="A1027" t="str">
        <f>Sheet2!A1027</f>
        <v>FBIR</v>
      </c>
      <c r="B1027" t="str">
        <f ca="1">'Query Example'!D1027</f>
        <v>LandPlane</v>
      </c>
      <c r="C1027" s="11" t="str">
        <f>CONCATENATE(Sheet2!F1027,"/",Sheet2!E1027)</f>
        <v>1/Piston</v>
      </c>
      <c r="D1027" t="str">
        <f>CONCATENATE(Sheet2!B1027,", ",Sheet2!C1027)</f>
        <v>FREEWING, Freebird Mk5</v>
      </c>
    </row>
    <row r="1028" spans="1:4" x14ac:dyDescent="0.2">
      <c r="A1028" t="str">
        <f>Sheet2!A1028</f>
        <v>FC1</v>
      </c>
      <c r="B1028" t="str">
        <f ca="1">'Query Example'!D1028</f>
        <v>LandPlane</v>
      </c>
      <c r="C1028" s="11" t="str">
        <f>CONCATENATE(Sheet2!F1028,"/",Sheet2!E1028)</f>
        <v>1/Jet</v>
      </c>
      <c r="D1028" t="str">
        <f>CONCATENATE(Sheet2!B1028,", ",Sheet2!C1028)</f>
        <v>CHENGDU, FC-1 Xiaolong</v>
      </c>
    </row>
    <row r="1029" spans="1:4" x14ac:dyDescent="0.2">
      <c r="A1029" t="str">
        <f>Sheet2!A1029</f>
        <v>FD2E</v>
      </c>
      <c r="B1029" t="str">
        <f ca="1">'Query Example'!D1029</f>
        <v>LandPlane</v>
      </c>
      <c r="C1029" s="11" t="str">
        <f>CONCATENATE(Sheet2!F1029,"/",Sheet2!E1029)</f>
        <v>1/Electric</v>
      </c>
      <c r="D1029" t="str">
        <f>CONCATENATE(Sheet2!B1029,", ",Sheet2!C1029)</f>
        <v>FLIGHT DESIGN, F-2e</v>
      </c>
    </row>
    <row r="1030" spans="1:4" x14ac:dyDescent="0.2">
      <c r="A1030" t="str">
        <f>Sheet2!A1030</f>
        <v>FDCT</v>
      </c>
      <c r="B1030" t="str">
        <f ca="1">'Query Example'!D1030</f>
        <v>LandPlane</v>
      </c>
      <c r="C1030" s="11" t="str">
        <f>CONCATENATE(Sheet2!F1030,"/",Sheet2!E1030)</f>
        <v>1/Piston</v>
      </c>
      <c r="D1030" t="str">
        <f>CONCATENATE(Sheet2!B1030,", ",Sheet2!C1030)</f>
        <v>FLIGHT DESIGN, CT</v>
      </c>
    </row>
    <row r="1031" spans="1:4" x14ac:dyDescent="0.2">
      <c r="A1031" t="str">
        <f>Sheet2!A1031</f>
        <v>FDF2</v>
      </c>
      <c r="B1031" t="str">
        <f ca="1">'Query Example'!D1031</f>
        <v>LandPlane</v>
      </c>
      <c r="C1031" s="11" t="str">
        <f>CONCATENATE(Sheet2!F1031,"/",Sheet2!E1031)</f>
        <v>1/Piston</v>
      </c>
      <c r="D1031" t="str">
        <f>CONCATENATE(Sheet2!B1031,", ",Sheet2!C1031)</f>
        <v>FLIGHT DESIGN, F-2</v>
      </c>
    </row>
    <row r="1032" spans="1:4" x14ac:dyDescent="0.2">
      <c r="A1032" t="str">
        <f>Sheet2!A1032</f>
        <v>FDMC</v>
      </c>
      <c r="B1032" t="str">
        <f ca="1">'Query Example'!D1032</f>
        <v>LandPlane</v>
      </c>
      <c r="C1032" s="11" t="str">
        <f>CONCATENATE(Sheet2!F1032,"/",Sheet2!E1032)</f>
        <v>1/Piston</v>
      </c>
      <c r="D1032" t="str">
        <f>CONCATENATE(Sheet2!B1032,", ",Sheet2!C1032)</f>
        <v>FLIGHT DESIGN, MC</v>
      </c>
    </row>
    <row r="1033" spans="1:4" x14ac:dyDescent="0.2">
      <c r="A1033" t="str">
        <f>Sheet2!A1033</f>
        <v>FE51</v>
      </c>
      <c r="B1033" t="str">
        <f ca="1">'Query Example'!D1033</f>
        <v>LandPlane</v>
      </c>
      <c r="C1033" s="11" t="str">
        <f>CONCATENATE(Sheet2!F1033,"/",Sheet2!E1033)</f>
        <v>1/Piston</v>
      </c>
      <c r="D1033" t="str">
        <f>CONCATENATE(Sheet2!B1033,", ",Sheet2!C1033)</f>
        <v>FIGHTER ESCORT WINGS, P-51</v>
      </c>
    </row>
    <row r="1034" spans="1:4" x14ac:dyDescent="0.2">
      <c r="A1034" t="str">
        <f>Sheet2!A1034</f>
        <v>FEST</v>
      </c>
      <c r="B1034" t="str">
        <f ca="1">'Query Example'!D1034</f>
        <v>LandPlane</v>
      </c>
      <c r="C1034" s="11" t="str">
        <f>CONCATENATE(Sheet2!F1034,"/",Sheet2!E1034)</f>
        <v>1/Piston</v>
      </c>
      <c r="D1034" t="str">
        <f>CONCATENATE(Sheet2!B1034,", ",Sheet2!C1034)</f>
        <v>AEROSTAR (2), R40S Festival</v>
      </c>
    </row>
    <row r="1035" spans="1:4" x14ac:dyDescent="0.2">
      <c r="A1035" t="str">
        <f>Sheet2!A1035</f>
        <v>FFLY</v>
      </c>
      <c r="B1035" t="str">
        <f ca="1">'Query Example'!D1035</f>
        <v>LandPlane</v>
      </c>
      <c r="C1035" s="11" t="str">
        <f>CONCATENATE(Sheet2!F1035,"/",Sheet2!E1035)</f>
        <v>1/Piston</v>
      </c>
      <c r="D1035" t="str">
        <f>CONCATENATE(Sheet2!B1035,", ",Sheet2!C1035)</f>
        <v>FAIREY, Firefly</v>
      </c>
    </row>
    <row r="1036" spans="1:4" x14ac:dyDescent="0.2">
      <c r="A1036" t="str">
        <f>Sheet2!A1036</f>
        <v>FG01</v>
      </c>
      <c r="B1036" t="str">
        <f ca="1">'Query Example'!D1036</f>
        <v>LandPlane</v>
      </c>
      <c r="C1036" s="11" t="str">
        <f>CONCATENATE(Sheet2!F1036,"/",Sheet2!E1036)</f>
        <v>1/Piston</v>
      </c>
      <c r="D1036" t="str">
        <f>CONCATENATE(Sheet2!B1036,", ",Sheet2!C1036)</f>
        <v>FARIGOUX, FG-01 Origan</v>
      </c>
    </row>
    <row r="1037" spans="1:4" x14ac:dyDescent="0.2">
      <c r="A1037" t="str">
        <f>Sheet2!A1037</f>
        <v>FGT</v>
      </c>
      <c r="B1037" t="str">
        <f ca="1">'Query Example'!D1037</f>
        <v>LandPlane</v>
      </c>
      <c r="C1037" s="11" t="str">
        <f>CONCATENATE(Sheet2!F1037,"/",Sheet2!E1037)</f>
        <v>1/Piston</v>
      </c>
      <c r="D1037" t="str">
        <f>CONCATENATE(Sheet2!B1037,", ",Sheet2!C1037)</f>
        <v>MIDWEST AEROSPORT, Formula GT</v>
      </c>
    </row>
    <row r="1038" spans="1:4" x14ac:dyDescent="0.2">
      <c r="A1038" t="str">
        <f>Sheet2!A1038</f>
        <v>FH11</v>
      </c>
      <c r="B1038" t="str">
        <f ca="1">'Query Example'!D1038</f>
        <v>Helicopter</v>
      </c>
      <c r="C1038" s="11" t="str">
        <f>CONCATENATE(Sheet2!F1038,"/",Sheet2!E1038)</f>
        <v>1/Turboprop/Turboshaft</v>
      </c>
      <c r="D1038" t="str">
        <f>CONCATENATE(Sheet2!B1038,", ",Sheet2!C1038)</f>
        <v>FAIRCHILD HILLER, FH-1100</v>
      </c>
    </row>
    <row r="1039" spans="1:4" x14ac:dyDescent="0.2">
      <c r="A1039" t="str">
        <f>Sheet2!A1039</f>
        <v>FIBO</v>
      </c>
      <c r="B1039" t="str">
        <f ca="1">'Query Example'!D1039</f>
        <v>LandPlane</v>
      </c>
      <c r="C1039" s="11" t="str">
        <f>CONCATENATE(Sheet2!F1039,"/",Sheet2!E1039)</f>
        <v>1/Piston</v>
      </c>
      <c r="D1039" t="str">
        <f>CONCATENATE(Sheet2!B1039,", ",Sheet2!C1039)</f>
        <v>STARFIRE, Firebolt Convertible</v>
      </c>
    </row>
    <row r="1040" spans="1:4" x14ac:dyDescent="0.2">
      <c r="A1040" t="str">
        <f>Sheet2!A1040</f>
        <v>FIKD</v>
      </c>
      <c r="B1040" t="str">
        <f ca="1">'Query Example'!D1040</f>
        <v>LandPlane</v>
      </c>
      <c r="C1040" s="11" t="str">
        <f>CONCATENATE(Sheet2!F1040,"/",Sheet2!E1040)</f>
        <v>1/Piston</v>
      </c>
      <c r="D1040" t="str">
        <f>CONCATENATE(Sheet2!B1040,", ",Sheet2!C1040)</f>
        <v>FIKE, D</v>
      </c>
    </row>
    <row r="1041" spans="1:4" x14ac:dyDescent="0.2">
      <c r="A1041" t="str">
        <f>Sheet2!A1041</f>
        <v>FIKE</v>
      </c>
      <c r="B1041" t="str">
        <f ca="1">'Query Example'!D1041</f>
        <v>LandPlane</v>
      </c>
      <c r="C1041" s="11" t="str">
        <f>CONCATENATE(Sheet2!F1041,"/",Sheet2!E1041)</f>
        <v>1/Piston</v>
      </c>
      <c r="D1041" t="str">
        <f>CONCATENATE(Sheet2!B1041,", ",Sheet2!C1041)</f>
        <v>FIKE, E</v>
      </c>
    </row>
    <row r="1042" spans="1:4" x14ac:dyDescent="0.2">
      <c r="A1042" t="str">
        <f>Sheet2!A1042</f>
        <v>FINC</v>
      </c>
      <c r="B1042" t="str">
        <f ca="1">'Query Example'!D1042</f>
        <v>LandPlane</v>
      </c>
      <c r="C1042" s="11" t="str">
        <f>CONCATENATE(Sheet2!F1042,"/",Sheet2!E1042)</f>
        <v>1/Piston</v>
      </c>
      <c r="D1042" t="str">
        <f>CONCATENATE(Sheet2!B1042,", ",Sheet2!C1042)</f>
        <v>FLEET, 16 Finch</v>
      </c>
    </row>
    <row r="1043" spans="1:4" x14ac:dyDescent="0.2">
      <c r="A1043" t="str">
        <f>Sheet2!A1043</f>
        <v>FJ10</v>
      </c>
      <c r="B1043" t="str">
        <f ca="1">'Query Example'!D1043</f>
        <v>LandPlane</v>
      </c>
      <c r="C1043" s="11" t="str">
        <f>CONCATENATE(Sheet2!F1043,"/",Sheet2!E1043)</f>
        <v>2/Jet</v>
      </c>
      <c r="D1043" t="str">
        <f>CONCATENATE(Sheet2!B1043,", ",Sheet2!C1043)</f>
        <v>AEROSTAR (1), FJ-100</v>
      </c>
    </row>
    <row r="1044" spans="1:4" x14ac:dyDescent="0.2">
      <c r="A1044" t="str">
        <f>Sheet2!A1044</f>
        <v>FJR3</v>
      </c>
      <c r="B1044" t="str">
        <f ca="1">'Query Example'!D1044</f>
        <v>LandPlane</v>
      </c>
      <c r="C1044" s="11" t="str">
        <f>CONCATENATE(Sheet2!F1044,"/",Sheet2!E1044)</f>
        <v>1/Piston</v>
      </c>
      <c r="D1044" t="str">
        <f>CONCATENATE(Sheet2!B1044,", ",Sheet2!C1044)</f>
        <v>FAJR, F-3</v>
      </c>
    </row>
    <row r="1045" spans="1:4" x14ac:dyDescent="0.2">
      <c r="A1045" t="str">
        <f>Sheet2!A1045</f>
        <v>FK12</v>
      </c>
      <c r="B1045" t="str">
        <f ca="1">'Query Example'!D1045</f>
        <v>LandPlane</v>
      </c>
      <c r="C1045" s="11" t="str">
        <f>CONCATENATE(Sheet2!F1045,"/",Sheet2!E1045)</f>
        <v>1/Piston</v>
      </c>
      <c r="D1045" t="str">
        <f>CONCATENATE(Sheet2!B1045,", ",Sheet2!C1045)</f>
        <v>B &amp; F TECHNIK, FK-12 Comet</v>
      </c>
    </row>
    <row r="1046" spans="1:4" x14ac:dyDescent="0.2">
      <c r="A1046" t="str">
        <f>Sheet2!A1046</f>
        <v>FK14</v>
      </c>
      <c r="B1046" t="str">
        <f ca="1">'Query Example'!D1046</f>
        <v>LandPlane</v>
      </c>
      <c r="C1046" s="11" t="str">
        <f>CONCATENATE(Sheet2!F1046,"/",Sheet2!E1046)</f>
        <v>1/Piston</v>
      </c>
      <c r="D1046" t="str">
        <f>CONCATENATE(Sheet2!B1046,", ",Sheet2!C1046)</f>
        <v>B &amp; F TECHNIK, FK-14 Polaris</v>
      </c>
    </row>
    <row r="1047" spans="1:4" x14ac:dyDescent="0.2">
      <c r="A1047" t="str">
        <f>Sheet2!A1047</f>
        <v>FK9</v>
      </c>
      <c r="B1047" t="str">
        <f ca="1">'Query Example'!D1047</f>
        <v>LandPlane</v>
      </c>
      <c r="C1047" s="11" t="str">
        <f>CONCATENATE(Sheet2!F1047,"/",Sheet2!E1047)</f>
        <v>1/Piston</v>
      </c>
      <c r="D1047" t="str">
        <f>CONCATENATE(Sheet2!B1047,", ",Sheet2!C1047)</f>
        <v>B &amp; F TECHNIK, FK-9</v>
      </c>
    </row>
    <row r="1048" spans="1:4" x14ac:dyDescent="0.2">
      <c r="A1048" t="str">
        <f>Sheet2!A1048</f>
        <v>FL3</v>
      </c>
      <c r="B1048" t="str">
        <f ca="1">'Query Example'!D1048</f>
        <v>LandPlane</v>
      </c>
      <c r="C1048" s="11" t="str">
        <f>CONCATENATE(Sheet2!F1048,"/",Sheet2!E1048)</f>
        <v>1/Piston</v>
      </c>
      <c r="D1048" t="str">
        <f>CONCATENATE(Sheet2!B1048,", ",Sheet2!C1048)</f>
        <v>AVIA (1), L-3 Aviastarlet</v>
      </c>
    </row>
    <row r="1049" spans="1:4" x14ac:dyDescent="0.2">
      <c r="A1049" t="str">
        <f>Sheet2!A1049</f>
        <v>FL53</v>
      </c>
      <c r="B1049" t="str">
        <f ca="1">'Query Example'!D1049</f>
        <v>LandPlane</v>
      </c>
      <c r="C1049" s="11" t="str">
        <f>CONCATENATE(Sheet2!F1049,"/",Sheet2!E1049)</f>
        <v>1/Piston</v>
      </c>
      <c r="D1049" t="str">
        <f>CONCATENATE(Sheet2!B1049,", ",Sheet2!C1049)</f>
        <v>METEOR, FL-53</v>
      </c>
    </row>
    <row r="1050" spans="1:4" x14ac:dyDescent="0.2">
      <c r="A1050" t="str">
        <f>Sheet2!A1050</f>
        <v>FL54</v>
      </c>
      <c r="B1050" t="str">
        <f ca="1">'Query Example'!D1050</f>
        <v>LandPlane</v>
      </c>
      <c r="C1050" s="11" t="str">
        <f>CONCATENATE(Sheet2!F1050,"/",Sheet2!E1050)</f>
        <v>1/Piston</v>
      </c>
      <c r="D1050" t="str">
        <f>CONCATENATE(Sheet2!B1050,", ",Sheet2!C1050)</f>
        <v>METEOR, FL-54</v>
      </c>
    </row>
    <row r="1051" spans="1:4" x14ac:dyDescent="0.2">
      <c r="A1051" t="str">
        <f>Sheet2!A1051</f>
        <v>FL55</v>
      </c>
      <c r="B1051" t="str">
        <f ca="1">'Query Example'!D1051</f>
        <v>LandPlane</v>
      </c>
      <c r="C1051" s="11" t="str">
        <f>CONCATENATE(Sheet2!F1051,"/",Sheet2!E1051)</f>
        <v>1/Piston</v>
      </c>
      <c r="D1051" t="str">
        <f>CONCATENATE(Sheet2!B1051,", ",Sheet2!C1051)</f>
        <v>METEOR, FL-55</v>
      </c>
    </row>
    <row r="1052" spans="1:4" x14ac:dyDescent="0.2">
      <c r="A1052" t="str">
        <f>Sheet2!A1052</f>
        <v>FLAM</v>
      </c>
      <c r="B1052" t="str">
        <f ca="1">'Query Example'!D1052</f>
        <v>LandPlane</v>
      </c>
      <c r="C1052" s="11" t="str">
        <f>CONCATENATE(Sheet2!F1052,"/",Sheet2!E1052)</f>
        <v>2/Piston</v>
      </c>
      <c r="D1052" t="str">
        <f>CONCATENATE(Sheet2!B1052,", ",Sheet2!C1052)</f>
        <v>DASSAULT, MD-311 Flamant</v>
      </c>
    </row>
    <row r="1053" spans="1:4" x14ac:dyDescent="0.2">
      <c r="A1053" t="str">
        <f>Sheet2!A1053</f>
        <v>FLCO</v>
      </c>
      <c r="B1053" t="str">
        <f ca="1">'Query Example'!D1053</f>
        <v>LandPlane</v>
      </c>
      <c r="C1053" s="11" t="str">
        <f>CONCATENATE(Sheet2!F1053,"/",Sheet2!E1053)</f>
        <v>1/Piston</v>
      </c>
      <c r="D1053" t="str">
        <f>CONCATENATE(Sheet2!B1053,", ",Sheet2!C1053)</f>
        <v>SELEX ES, Falco</v>
      </c>
    </row>
    <row r="1054" spans="1:4" x14ac:dyDescent="0.2">
      <c r="A1054" t="str">
        <f>Sheet2!A1054</f>
        <v>FLE2</v>
      </c>
      <c r="B1054" t="str">
        <f ca="1">'Query Example'!D1054</f>
        <v>LandPlane</v>
      </c>
      <c r="C1054" s="11" t="str">
        <f>CONCATENATE(Sheet2!F1054,"/",Sheet2!E1054)</f>
        <v>1/Piston</v>
      </c>
      <c r="D1054" t="str">
        <f>CONCATENATE(Sheet2!B1054,", ",Sheet2!C1054)</f>
        <v>FLEET, 2</v>
      </c>
    </row>
    <row r="1055" spans="1:4" x14ac:dyDescent="0.2">
      <c r="A1055" t="str">
        <f>Sheet2!A1055</f>
        <v>FLE7</v>
      </c>
      <c r="B1055" t="str">
        <f ca="1">'Query Example'!D1055</f>
        <v>LandPlane</v>
      </c>
      <c r="C1055" s="11" t="str">
        <f>CONCATENATE(Sheet2!F1055,"/",Sheet2!E1055)</f>
        <v>1/Piston</v>
      </c>
      <c r="D1055" t="str">
        <f>CONCATENATE(Sheet2!B1055,", ",Sheet2!C1055)</f>
        <v>FLEET, 7 Fawn</v>
      </c>
    </row>
    <row r="1056" spans="1:4" x14ac:dyDescent="0.2">
      <c r="A1056" t="str">
        <f>Sheet2!A1056</f>
        <v>FLIZ</v>
      </c>
      <c r="B1056" t="str">
        <f ca="1">'Query Example'!D1056</f>
        <v>LandPlane</v>
      </c>
      <c r="C1056" s="11" t="str">
        <f>CONCATENATE(Sheet2!F1056,"/",Sheet2!E1056)</f>
        <v>1/Piston</v>
      </c>
      <c r="D1056" t="str">
        <f>CONCATENATE(Sheet2!B1056,", ",Sheet2!C1056)</f>
        <v>FLITZER, Z-1 Flitzer</v>
      </c>
    </row>
    <row r="1057" spans="1:4" x14ac:dyDescent="0.2">
      <c r="A1057" t="str">
        <f>Sheet2!A1057</f>
        <v>FLSH</v>
      </c>
      <c r="B1057" t="str">
        <f ca="1">'Query Example'!D1057</f>
        <v>LandPlane</v>
      </c>
      <c r="C1057" s="11" t="str">
        <f>CONCATENATE(Sheet2!F1057,"/",Sheet2!E1057)</f>
        <v>1/Piston</v>
      </c>
      <c r="D1057" t="str">
        <f>CONCATENATE(Sheet2!B1057,", ",Sheet2!C1057)</f>
        <v>EURO-FLY, Flash</v>
      </c>
    </row>
    <row r="1058" spans="1:4" x14ac:dyDescent="0.2">
      <c r="A1058" t="str">
        <f>Sheet2!A1058</f>
        <v>FLSS</v>
      </c>
      <c r="B1058" t="str">
        <f ca="1">'Query Example'!D1058</f>
        <v>LandPlane</v>
      </c>
      <c r="C1058" s="11" t="str">
        <f>CONCATENATE(Sheet2!F1058,"/",Sheet2!E1058)</f>
        <v>1/Piston</v>
      </c>
      <c r="D1058" t="str">
        <f>CONCATENATE(Sheet2!B1058,", ",Sheet2!C1058)</f>
        <v>KOLB, Flyer SS</v>
      </c>
    </row>
    <row r="1059" spans="1:4" x14ac:dyDescent="0.2">
      <c r="A1059" t="str">
        <f>Sheet2!A1059</f>
        <v>FM25</v>
      </c>
      <c r="B1059" t="str">
        <f ca="1">'Query Example'!D1059</f>
        <v>LandPlane</v>
      </c>
      <c r="C1059" s="11" t="str">
        <f>CONCATENATE(Sheet2!F1059,"/",Sheet2!E1059)</f>
        <v>1/Piston</v>
      </c>
      <c r="D1059" t="str">
        <f>CONCATENATE(Sheet2!B1059,", ",Sheet2!C1059)</f>
        <v>FLYING MACHINES, FM-250 Vampire</v>
      </c>
    </row>
    <row r="1060" spans="1:4" x14ac:dyDescent="0.2">
      <c r="A1060" t="str">
        <f>Sheet2!A1060</f>
        <v>FMGO</v>
      </c>
      <c r="B1060" t="str">
        <f ca="1">'Query Example'!D1060</f>
        <v>LandPlane</v>
      </c>
      <c r="C1060" s="11" t="str">
        <f>CONCATENATE(Sheet2!F1060,"/",Sheet2!E1060)</f>
        <v>1/Piston</v>
      </c>
      <c r="D1060" t="str">
        <f>CONCATENATE(Sheet2!B1060,", ",Sheet2!C1060)</f>
        <v>AAK, Flamingo</v>
      </c>
    </row>
    <row r="1061" spans="1:4" x14ac:dyDescent="0.2">
      <c r="A1061" t="str">
        <f>Sheet2!A1061</f>
        <v>FN33</v>
      </c>
      <c r="B1061" t="str">
        <f ca="1">'Query Example'!D1061</f>
        <v>Amphibian</v>
      </c>
      <c r="C1061" s="11" t="str">
        <f>CONCATENATE(Sheet2!F1061,"/",Sheet2!E1061)</f>
        <v>1/Piston</v>
      </c>
      <c r="D1061" t="str">
        <f>CONCATENATE(Sheet2!B1061,", ",Sheet2!C1061)</f>
        <v>SIAI-MARCHETTI, FN-333 Riviera</v>
      </c>
    </row>
    <row r="1062" spans="1:4" x14ac:dyDescent="0.2">
      <c r="A1062" t="str">
        <f>Sheet2!A1062</f>
        <v>FNKB</v>
      </c>
      <c r="B1062" t="str">
        <f ca="1">'Query Example'!D1062</f>
        <v>LandPlane</v>
      </c>
      <c r="C1062" s="11" t="str">
        <f>CONCATENATE(Sheet2!F1062,"/",Sheet2!E1062)</f>
        <v>1/Piston</v>
      </c>
      <c r="D1062" t="str">
        <f>CONCATENATE(Sheet2!B1062,", ",Sheet2!C1062)</f>
        <v>AKRON, Funk B</v>
      </c>
    </row>
    <row r="1063" spans="1:4" x14ac:dyDescent="0.2">
      <c r="A1063" t="str">
        <f>Sheet2!A1063</f>
        <v>FOOF</v>
      </c>
      <c r="B1063" t="str">
        <f ca="1">'Query Example'!D1063</f>
        <v>LandPlane</v>
      </c>
      <c r="C1063" s="11" t="str">
        <f>CONCATENATE(Sheet2!F1063,"/",Sheet2!E1063)</f>
        <v>1/Piston</v>
      </c>
      <c r="D1063" t="str">
        <f>CONCATENATE(Sheet2!B1063,", ",Sheet2!C1063)</f>
        <v>STEWART (2), JD-2 Foo Fighter</v>
      </c>
    </row>
    <row r="1064" spans="1:4" x14ac:dyDescent="0.2">
      <c r="A1064" t="str">
        <f>Sheet2!A1064</f>
        <v>FORT</v>
      </c>
      <c r="B1064" t="str">
        <f ca="1">'Query Example'!D1064</f>
        <v>LandPlane</v>
      </c>
      <c r="C1064" s="11" t="str">
        <f>CONCATENATE(Sheet2!F1064,"/",Sheet2!E1064)</f>
        <v>1/Piston</v>
      </c>
      <c r="D1064" t="str">
        <f>CONCATENATE(Sheet2!B1064,", ",Sheet2!C1064)</f>
        <v>FLEET, 60 Fort</v>
      </c>
    </row>
    <row r="1065" spans="1:4" x14ac:dyDescent="0.2">
      <c r="A1065" t="str">
        <f>Sheet2!A1065</f>
        <v>FOUG</v>
      </c>
      <c r="B1065" t="str">
        <f ca="1">'Query Example'!D1065</f>
        <v>LandPlane</v>
      </c>
      <c r="C1065" s="11" t="str">
        <f>CONCATENATE(Sheet2!F1065,"/",Sheet2!E1065)</f>
        <v>2/Jet</v>
      </c>
      <c r="D1065" t="str">
        <f>CONCATENATE(Sheet2!B1065,", ",Sheet2!C1065)</f>
        <v>FOUGA, CM-170R Magister</v>
      </c>
    </row>
    <row r="1066" spans="1:4" x14ac:dyDescent="0.2">
      <c r="A1066" t="str">
        <f>Sheet2!A1066</f>
        <v>FOX</v>
      </c>
      <c r="B1066" t="str">
        <f ca="1">'Query Example'!D1066</f>
        <v>LandPlane</v>
      </c>
      <c r="C1066" s="11" t="str">
        <f>CONCATENATE(Sheet2!F1066,"/",Sheet2!E1066)</f>
        <v>1/Piston</v>
      </c>
      <c r="D1066" t="str">
        <f>CONCATENATE(Sheet2!B1066,", ",Sheet2!C1066)</f>
        <v>DENNEY, Kitfox</v>
      </c>
    </row>
    <row r="1067" spans="1:4" x14ac:dyDescent="0.2">
      <c r="A1067" t="str">
        <f>Sheet2!A1067</f>
        <v>FOXT</v>
      </c>
      <c r="B1067" t="str">
        <f ca="1">'Query Example'!D1067</f>
        <v>LandPlane</v>
      </c>
      <c r="C1067" s="11" t="str">
        <f>CONCATENATE(Sheet2!F1067,"/",Sheet2!E1067)</f>
        <v>1/Piston</v>
      </c>
      <c r="D1067" t="str">
        <f>CONCATENATE(Sheet2!B1067,", ",Sheet2!C1067)</f>
        <v>TEAM TANGO, Foxtrot-4</v>
      </c>
    </row>
    <row r="1068" spans="1:4" x14ac:dyDescent="0.2">
      <c r="A1068" t="str">
        <f>Sheet2!A1068</f>
        <v>FRBD</v>
      </c>
      <c r="B1068" t="str">
        <f ca="1">'Query Example'!D1068</f>
        <v>LandPlane</v>
      </c>
      <c r="C1068" s="11" t="str">
        <f>CONCATENATE(Sheet2!F1068,"/",Sheet2!E1068)</f>
        <v>1/Piston</v>
      </c>
      <c r="D1068" t="str">
        <f>CONCATENATE(Sheet2!B1068,", ",Sheet2!C1068)</f>
        <v>NORTHROP GRUMMAN, Firebird</v>
      </c>
    </row>
    <row r="1069" spans="1:4" x14ac:dyDescent="0.2">
      <c r="A1069" t="str">
        <f>Sheet2!A1069</f>
        <v>FREE</v>
      </c>
      <c r="B1069" t="str">
        <f ca="1">'Query Example'!D1069</f>
        <v>LandPlane</v>
      </c>
      <c r="C1069" s="11" t="str">
        <f>CONCATENATE(Sheet2!F1069,"/",Sheet2!E1069)</f>
        <v>1/Piston</v>
      </c>
      <c r="D1069" t="str">
        <f>CONCATENATE(Sheet2!B1069,", ",Sheet2!C1069)</f>
        <v>CABRINHA, RC-412 Free Spirit</v>
      </c>
    </row>
    <row r="1070" spans="1:4" x14ac:dyDescent="0.2">
      <c r="A1070" t="str">
        <f>Sheet2!A1070</f>
        <v>FREL</v>
      </c>
      <c r="B1070" t="str">
        <f ca="1">'Query Example'!D1070</f>
        <v>Helicopter</v>
      </c>
      <c r="C1070" s="11" t="str">
        <f>CONCATENATE(Sheet2!F1070,"/",Sheet2!E1070)</f>
        <v>3/Turboprop/Turboshaft</v>
      </c>
      <c r="D1070" t="str">
        <f>CONCATENATE(Sheet2!B1070,", ",Sheet2!C1070)</f>
        <v>AEROSPATIALE, SA-321 Super Frelon</v>
      </c>
    </row>
    <row r="1071" spans="1:4" x14ac:dyDescent="0.2">
      <c r="A1071" t="str">
        <f>Sheet2!A1071</f>
        <v>FRNT</v>
      </c>
      <c r="B1071" t="str">
        <f ca="1">'Query Example'!D1071</f>
        <v>LandPlane</v>
      </c>
      <c r="C1071" s="11" t="str">
        <f>CONCATENATE(Sheet2!F1071,"/",Sheet2!E1071)</f>
        <v>1/Piston</v>
      </c>
      <c r="D1071" t="str">
        <f>CONCATENATE(Sheet2!B1071,", ",Sheet2!C1071)</f>
        <v>SKY RAIDER, Frontier</v>
      </c>
    </row>
    <row r="1072" spans="1:4" x14ac:dyDescent="0.2">
      <c r="A1072" t="str">
        <f>Sheet2!A1072</f>
        <v>FRON</v>
      </c>
      <c r="B1072" t="str">
        <f ca="1">'Query Example'!D1072</f>
        <v>LandPlane</v>
      </c>
      <c r="C1072" s="11" t="str">
        <f>CONCATENATE(Sheet2!F1072,"/",Sheet2!E1072)</f>
        <v>1/Piston</v>
      </c>
      <c r="D1072" t="str">
        <f>CONCATENATE(Sheet2!B1072,", ",Sheet2!C1072)</f>
        <v>FRONTIER, Frontier MD-2</v>
      </c>
    </row>
    <row r="1073" spans="1:4" x14ac:dyDescent="0.2">
      <c r="A1073" t="str">
        <f>Sheet2!A1073</f>
        <v>FS51</v>
      </c>
      <c r="B1073" t="str">
        <f ca="1">'Query Example'!D1073</f>
        <v>LandPlane</v>
      </c>
      <c r="C1073" s="11" t="str">
        <f>CONCATENATE(Sheet2!F1073,"/",Sheet2!E1073)</f>
        <v>1/Piston</v>
      </c>
      <c r="D1073" t="str">
        <f>CONCATENATE(Sheet2!B1073,", ",Sheet2!C1073)</f>
        <v>FALCONAR, SAL P-51D Mustang</v>
      </c>
    </row>
    <row r="1074" spans="1:4" x14ac:dyDescent="0.2">
      <c r="A1074" t="str">
        <f>Sheet2!A1074</f>
        <v>FT30</v>
      </c>
      <c r="B1074" t="str">
        <f ca="1">'Query Example'!D1074</f>
        <v>LandPlane</v>
      </c>
      <c r="C1074" s="11" t="str">
        <f>CONCATENATE(Sheet2!F1074,"/",Sheet2!E1074)</f>
        <v>1/Piston</v>
      </c>
      <c r="D1074" t="str">
        <f>CONCATENATE(Sheet2!B1074,", ",Sheet2!C1074)</f>
        <v>NAI, FT-300</v>
      </c>
    </row>
    <row r="1075" spans="1:4" x14ac:dyDescent="0.2">
      <c r="A1075" t="str">
        <f>Sheet2!A1075</f>
        <v>FU24</v>
      </c>
      <c r="B1075" t="str">
        <f ca="1">'Query Example'!D1075</f>
        <v>LandPlane</v>
      </c>
      <c r="C1075" s="11" t="str">
        <f>CONCATENATE(Sheet2!F1075,"/",Sheet2!E1075)</f>
        <v>1/Piston</v>
      </c>
      <c r="D1075" t="str">
        <f>CONCATENATE(Sheet2!B1075,", ",Sheet2!C1075)</f>
        <v>FLETCHER, FU-24</v>
      </c>
    </row>
    <row r="1076" spans="1:4" x14ac:dyDescent="0.2">
      <c r="A1076" t="str">
        <f>Sheet2!A1076</f>
        <v>FURY</v>
      </c>
      <c r="B1076" t="str">
        <f ca="1">'Query Example'!D1076</f>
        <v>LandPlane</v>
      </c>
      <c r="C1076" s="11" t="str">
        <f>CONCATENATE(Sheet2!F1076,"/",Sheet2!E1076)</f>
        <v>1/Piston</v>
      </c>
      <c r="D1076" t="str">
        <f>CONCATENATE(Sheet2!B1076,", ",Sheet2!C1076)</f>
        <v>HAWKER, Sea Fury</v>
      </c>
    </row>
    <row r="1077" spans="1:4" x14ac:dyDescent="0.2">
      <c r="A1077" t="str">
        <f>Sheet2!A1077</f>
        <v>FUSI</v>
      </c>
      <c r="B1077" t="str">
        <f ca="1">'Query Example'!D1077</f>
        <v>LandPlane</v>
      </c>
      <c r="C1077" s="11" t="str">
        <f>CONCATENATE(Sheet2!F1077,"/",Sheet2!E1077)</f>
        <v>1/Piston</v>
      </c>
      <c r="D1077" t="str">
        <f>CONCATENATE(Sheet2!B1077,", ",Sheet2!C1077)</f>
        <v>MAGNUS, MG-11 Fusion</v>
      </c>
    </row>
    <row r="1078" spans="1:4" x14ac:dyDescent="0.2">
      <c r="A1078" t="str">
        <f>Sheet2!A1078</f>
        <v>FW02</v>
      </c>
      <c r="B1078" t="str">
        <f ca="1">'Query Example'!D1078</f>
        <v>Amphibian</v>
      </c>
      <c r="C1078" s="11" t="str">
        <f>CONCATENATE(Sheet2!F1078,"/",Sheet2!E1078)</f>
        <v>1/Piston</v>
      </c>
      <c r="D1078" t="str">
        <f>CONCATENATE(Sheet2!B1078,", ",Sheet2!C1078)</f>
        <v>FLYWHALE, FW-02 Flywhale</v>
      </c>
    </row>
    <row r="1079" spans="1:4" x14ac:dyDescent="0.2">
      <c r="A1079" t="str">
        <f>Sheet2!A1079</f>
        <v>FW19</v>
      </c>
      <c r="B1079" t="str">
        <f ca="1">'Query Example'!D1079</f>
        <v>LandPlane</v>
      </c>
      <c r="C1079" s="11" t="str">
        <f>CONCATENATE(Sheet2!F1079,"/",Sheet2!E1079)</f>
        <v>1/Piston</v>
      </c>
      <c r="D1079" t="str">
        <f>CONCATENATE(Sheet2!B1079,", ",Sheet2!C1079)</f>
        <v>FOUR WINDS, 192</v>
      </c>
    </row>
    <row r="1080" spans="1:4" x14ac:dyDescent="0.2">
      <c r="A1080" t="str">
        <f>Sheet2!A1080</f>
        <v>FW21</v>
      </c>
      <c r="B1080" t="str">
        <f ca="1">'Query Example'!D1080</f>
        <v>LandPlane</v>
      </c>
      <c r="C1080" s="11" t="str">
        <f>CONCATENATE(Sheet2!F1080,"/",Sheet2!E1080)</f>
        <v>1/Piston</v>
      </c>
      <c r="D1080" t="str">
        <f>CONCATENATE(Sheet2!B1080,", ",Sheet2!C1080)</f>
        <v>FOUR WINDS, FX-210</v>
      </c>
    </row>
    <row r="1081" spans="1:4" x14ac:dyDescent="0.2">
      <c r="A1081" t="str">
        <f>Sheet2!A1081</f>
        <v>FW44</v>
      </c>
      <c r="B1081" t="str">
        <f ca="1">'Query Example'!D1081</f>
        <v>LandPlane</v>
      </c>
      <c r="C1081" s="11" t="str">
        <f>CONCATENATE(Sheet2!F1081,"/",Sheet2!E1081)</f>
        <v>1/Piston</v>
      </c>
      <c r="D1081" t="str">
        <f>CONCATENATE(Sheet2!B1081,", ",Sheet2!C1081)</f>
        <v>FOCKE-WULF, Fw-44 Stieglitz</v>
      </c>
    </row>
    <row r="1082" spans="1:4" x14ac:dyDescent="0.2">
      <c r="A1082" t="str">
        <f>Sheet2!A1082</f>
        <v>FW90</v>
      </c>
      <c r="B1082" t="str">
        <f ca="1">'Query Example'!D1082</f>
        <v>LandPlane</v>
      </c>
      <c r="C1082" s="11" t="str">
        <f>CONCATENATE(Sheet2!F1082,"/",Sheet2!E1082)</f>
        <v>1/Piston</v>
      </c>
      <c r="D1082" t="str">
        <f>CONCATENATE(Sheet2!B1082,", ",Sheet2!C1082)</f>
        <v>FOCKE-WULF, Fw-190 Replica</v>
      </c>
    </row>
    <row r="1083" spans="1:4" x14ac:dyDescent="0.2">
      <c r="A1083" t="str">
        <f>Sheet2!A1083</f>
        <v>FWSB</v>
      </c>
      <c r="B1083" t="str">
        <f ca="1">'Query Example'!D1083</f>
        <v>Amphibian</v>
      </c>
      <c r="C1083" s="11" t="str">
        <f>CONCATENATE(Sheet2!F1083,"/",Sheet2!E1083)</f>
        <v>1/Piston</v>
      </c>
      <c r="D1083" t="str">
        <f>CONCATENATE(Sheet2!B1083,", ",Sheet2!C1083)</f>
        <v>FLEETWINGS, F-4 Sea Bird</v>
      </c>
    </row>
    <row r="1084" spans="1:4" x14ac:dyDescent="0.2">
      <c r="A1084" t="str">
        <f>Sheet2!A1084</f>
        <v>FX1</v>
      </c>
      <c r="B1084" t="str">
        <f ca="1">'Query Example'!D1084</f>
        <v>LandPlane</v>
      </c>
      <c r="C1084" s="11" t="str">
        <f>CONCATENATE(Sheet2!F1084,"/",Sheet2!E1084)</f>
        <v>1/Piston</v>
      </c>
      <c r="D1084" t="str">
        <f>CONCATENATE(Sheet2!B1084,", ",Sheet2!C1084)</f>
        <v>INNOVAVIATION, FX-1</v>
      </c>
    </row>
    <row r="1085" spans="1:4" x14ac:dyDescent="0.2">
      <c r="A1085" t="str">
        <f>Sheet2!A1085</f>
        <v>G1</v>
      </c>
      <c r="B1085" t="str">
        <f ca="1">'Query Example'!D1085</f>
        <v>LandPlane</v>
      </c>
      <c r="C1085" s="11" t="str">
        <f>CONCATENATE(Sheet2!F1085,"/",Sheet2!E1085)</f>
        <v>1/Piston</v>
      </c>
      <c r="D1085" t="str">
        <f>CONCATENATE(Sheet2!B1085,", ",Sheet2!C1085)</f>
        <v>G1 AVIATION, G-1 Gélinotte</v>
      </c>
    </row>
    <row r="1086" spans="1:4" x14ac:dyDescent="0.2">
      <c r="A1086" t="str">
        <f>Sheet2!A1086</f>
        <v>G103</v>
      </c>
      <c r="B1086" t="str">
        <f ca="1">'Query Example'!D1086</f>
        <v>LandPlane</v>
      </c>
      <c r="C1086" s="11" t="str">
        <f>CONCATENATE(Sheet2!F1086,"/",Sheet2!E1086)</f>
        <v>1/Piston</v>
      </c>
      <c r="D1086" t="str">
        <f>CONCATENATE(Sheet2!B1086,", ",Sheet2!C1086)</f>
        <v>GROB, G-103C Twin 3SL</v>
      </c>
    </row>
    <row r="1087" spans="1:4" x14ac:dyDescent="0.2">
      <c r="A1087" t="str">
        <f>Sheet2!A1087</f>
        <v>G109</v>
      </c>
      <c r="B1087" t="str">
        <f ca="1">'Query Example'!D1087</f>
        <v>LandPlane</v>
      </c>
      <c r="C1087" s="11" t="str">
        <f>CONCATENATE(Sheet2!F1087,"/",Sheet2!E1087)</f>
        <v>1/Piston</v>
      </c>
      <c r="D1087" t="str">
        <f>CONCATENATE(Sheet2!B1087,", ",Sheet2!C1087)</f>
        <v>GROB, G-109 Ranger</v>
      </c>
    </row>
    <row r="1088" spans="1:4" x14ac:dyDescent="0.2">
      <c r="A1088" t="str">
        <f>Sheet2!A1088</f>
        <v>G115</v>
      </c>
      <c r="B1088" t="str">
        <f ca="1">'Query Example'!D1088</f>
        <v>LandPlane</v>
      </c>
      <c r="C1088" s="11" t="str">
        <f>CONCATENATE(Sheet2!F1088,"/",Sheet2!E1088)</f>
        <v>1/Piston</v>
      </c>
      <c r="D1088" t="str">
        <f>CONCATENATE(Sheet2!B1088,", ",Sheet2!C1088)</f>
        <v>GROB, G-115</v>
      </c>
    </row>
    <row r="1089" spans="1:4" x14ac:dyDescent="0.2">
      <c r="A1089" t="str">
        <f>Sheet2!A1089</f>
        <v>G120</v>
      </c>
      <c r="B1089" t="str">
        <f ca="1">'Query Example'!D1089</f>
        <v>LandPlane</v>
      </c>
      <c r="C1089" s="11" t="str">
        <f>CONCATENATE(Sheet2!F1089,"/",Sheet2!E1089)</f>
        <v>1/Piston</v>
      </c>
      <c r="D1089" t="str">
        <f>CONCATENATE(Sheet2!B1089,", ",Sheet2!C1089)</f>
        <v>GROB, G-120 Snunit</v>
      </c>
    </row>
    <row r="1090" spans="1:4" x14ac:dyDescent="0.2">
      <c r="A1090" t="str">
        <f>Sheet2!A1090</f>
        <v>G12T</v>
      </c>
      <c r="B1090" t="str">
        <f ca="1">'Query Example'!D1090</f>
        <v>LandPlane</v>
      </c>
      <c r="C1090" s="11" t="str">
        <f>CONCATENATE(Sheet2!F1090,"/",Sheet2!E1090)</f>
        <v>1/Turboprop/Turboshaft</v>
      </c>
      <c r="D1090" t="str">
        <f>CONCATENATE(Sheet2!B1090,", ",Sheet2!C1090)</f>
        <v>GROB, G-120TP</v>
      </c>
    </row>
    <row r="1091" spans="1:4" x14ac:dyDescent="0.2">
      <c r="A1091" t="str">
        <f>Sheet2!A1091</f>
        <v>G140</v>
      </c>
      <c r="B1091" t="str">
        <f ca="1">'Query Example'!D1091</f>
        <v>LandPlane</v>
      </c>
      <c r="C1091" s="11" t="str">
        <f>CONCATENATE(Sheet2!F1091,"/",Sheet2!E1091)</f>
        <v>1/Turboprop/Turboshaft</v>
      </c>
      <c r="D1091" t="str">
        <f>CONCATENATE(Sheet2!B1091,", ",Sheet2!C1091)</f>
        <v>GROB, G-140TP</v>
      </c>
    </row>
    <row r="1092" spans="1:4" x14ac:dyDescent="0.2">
      <c r="A1092" t="str">
        <f>Sheet2!A1092</f>
        <v>G150</v>
      </c>
      <c r="B1092" t="str">
        <f ca="1">'Query Example'!D1092</f>
        <v>LandPlane</v>
      </c>
      <c r="C1092" s="11" t="str">
        <f>CONCATENATE(Sheet2!F1092,"/",Sheet2!E1092)</f>
        <v>2/Jet</v>
      </c>
      <c r="D1092" t="str">
        <f>CONCATENATE(Sheet2!B1092,", ",Sheet2!C1092)</f>
        <v>GULFSTREAM AEROSPACE, Gulfstream G150</v>
      </c>
    </row>
    <row r="1093" spans="1:4" x14ac:dyDescent="0.2">
      <c r="A1093" t="str">
        <f>Sheet2!A1093</f>
        <v>G159</v>
      </c>
      <c r="B1093" t="str">
        <f ca="1">'Query Example'!D1093</f>
        <v>LandPlane</v>
      </c>
      <c r="C1093" s="11" t="str">
        <f>CONCATENATE(Sheet2!F1093,"/",Sheet2!E1093)</f>
        <v>2/Turboprop/Turboshaft</v>
      </c>
      <c r="D1093" t="str">
        <f>CONCATENATE(Sheet2!B1093,", ",Sheet2!C1093)</f>
        <v>GRUMMAN, G-159 Gulfstream 1</v>
      </c>
    </row>
    <row r="1094" spans="1:4" x14ac:dyDescent="0.2">
      <c r="A1094" t="str">
        <f>Sheet2!A1094</f>
        <v>G15T</v>
      </c>
      <c r="B1094" t="str">
        <f ca="1">'Query Example'!D1094</f>
        <v>LandPlane</v>
      </c>
      <c r="C1094" s="11" t="str">
        <f>CONCATENATE(Sheet2!F1094,"/",Sheet2!E1094)</f>
        <v>1/Piston</v>
      </c>
      <c r="D1094" t="str">
        <f>CONCATENATE(Sheet2!B1094,", ",Sheet2!C1094)</f>
        <v>GROB, G-115T Acro</v>
      </c>
    </row>
    <row r="1095" spans="1:4" x14ac:dyDescent="0.2">
      <c r="A1095" t="str">
        <f>Sheet2!A1095</f>
        <v>G160</v>
      </c>
      <c r="B1095" t="str">
        <f ca="1">'Query Example'!D1095</f>
        <v>LandPlane</v>
      </c>
      <c r="C1095" s="11" t="str">
        <f>CONCATENATE(Sheet2!F1095,"/",Sheet2!E1095)</f>
        <v>1/Turboprop/Turboshaft</v>
      </c>
      <c r="D1095" t="str">
        <f>CONCATENATE(Sheet2!B1095,", ",Sheet2!C1095)</f>
        <v>GROB, G-160 Ranger</v>
      </c>
    </row>
    <row r="1096" spans="1:4" x14ac:dyDescent="0.2">
      <c r="A1096" t="str">
        <f>Sheet2!A1096</f>
        <v>G164</v>
      </c>
      <c r="B1096" t="str">
        <f ca="1">'Query Example'!D1096</f>
        <v>LandPlane</v>
      </c>
      <c r="C1096" s="11" t="str">
        <f>CONCATENATE(Sheet2!F1096,"/",Sheet2!E1096)</f>
        <v>1/Piston</v>
      </c>
      <c r="D1096" t="str">
        <f>CONCATENATE(Sheet2!B1096,", ",Sheet2!C1096)</f>
        <v>GRUMMAN, G-164 Ag-Cat</v>
      </c>
    </row>
    <row r="1097" spans="1:4" x14ac:dyDescent="0.2">
      <c r="A1097" t="str">
        <f>Sheet2!A1097</f>
        <v>G180</v>
      </c>
      <c r="B1097" t="str">
        <f ca="1">'Query Example'!D1097</f>
        <v>LandPlane</v>
      </c>
      <c r="C1097" s="11" t="str">
        <f>CONCATENATE(Sheet2!F1097,"/",Sheet2!E1097)</f>
        <v>1/Piston</v>
      </c>
      <c r="D1097" t="str">
        <f>CONCATENATE(Sheet2!B1097,", ",Sheet2!C1097)</f>
        <v>GENERAL AIRCRAFT, G1-80 Skyfarer</v>
      </c>
    </row>
    <row r="1098" spans="1:4" x14ac:dyDescent="0.2">
      <c r="A1098" t="str">
        <f>Sheet2!A1098</f>
        <v>G200</v>
      </c>
      <c r="B1098" t="str">
        <f ca="1">'Query Example'!D1098</f>
        <v>LandPlane</v>
      </c>
      <c r="C1098" s="11" t="str">
        <f>CONCATENATE(Sheet2!F1098,"/",Sheet2!E1098)</f>
        <v>1/Piston</v>
      </c>
      <c r="D1098" t="str">
        <f>CONCATENATE(Sheet2!B1098,", ",Sheet2!C1098)</f>
        <v>GILES, G-200</v>
      </c>
    </row>
    <row r="1099" spans="1:4" x14ac:dyDescent="0.2">
      <c r="A1099" t="str">
        <f>Sheet2!A1099</f>
        <v>G202</v>
      </c>
      <c r="B1099" t="str">
        <f ca="1">'Query Example'!D1099</f>
        <v>LandPlane</v>
      </c>
      <c r="C1099" s="11" t="str">
        <f>CONCATENATE(Sheet2!F1099,"/",Sheet2!E1099)</f>
        <v>1/Piston</v>
      </c>
      <c r="D1099" t="str">
        <f>CONCATENATE(Sheet2!B1099,", ",Sheet2!C1099)</f>
        <v>GILES, G-202</v>
      </c>
    </row>
    <row r="1100" spans="1:4" x14ac:dyDescent="0.2">
      <c r="A1100" t="str">
        <f>Sheet2!A1100</f>
        <v>G21</v>
      </c>
      <c r="B1100" t="str">
        <f ca="1">'Query Example'!D1100</f>
        <v>Amphibian</v>
      </c>
      <c r="C1100" s="11" t="str">
        <f>CONCATENATE(Sheet2!F1100,"/",Sheet2!E1100)</f>
        <v>2/Piston</v>
      </c>
      <c r="D1100" t="str">
        <f>CONCATENATE(Sheet2!B1100,", ",Sheet2!C1100)</f>
        <v>GRUMMAN, G-21A Goose</v>
      </c>
    </row>
    <row r="1101" spans="1:4" x14ac:dyDescent="0.2">
      <c r="A1101" t="str">
        <f>Sheet2!A1101</f>
        <v>G21M</v>
      </c>
      <c r="B1101" t="str">
        <f ca="1">'Query Example'!D1101</f>
        <v>Amphibian</v>
      </c>
      <c r="C1101" s="11" t="str">
        <f>CONCATENATE(Sheet2!F1101,"/",Sheet2!E1101)</f>
        <v>4/Piston</v>
      </c>
      <c r="D1101" t="str">
        <f>CONCATENATE(Sheet2!B1101,", ",Sheet2!C1101)</f>
        <v>MCKINNON, G-21C Goose</v>
      </c>
    </row>
    <row r="1102" spans="1:4" x14ac:dyDescent="0.2">
      <c r="A1102" t="str">
        <f>Sheet2!A1102</f>
        <v>G21T</v>
      </c>
      <c r="B1102" t="str">
        <f ca="1">'Query Example'!D1102</f>
        <v>Amphibian</v>
      </c>
      <c r="C1102" s="11" t="str">
        <f>CONCATENATE(Sheet2!F1102,"/",Sheet2!E1102)</f>
        <v>2/Turboprop/Turboshaft</v>
      </c>
      <c r="D1102" t="str">
        <f>CONCATENATE(Sheet2!B1102,", ",Sheet2!C1102)</f>
        <v>MCKINNON, G-21E Turbo Goose</v>
      </c>
    </row>
    <row r="1103" spans="1:4" x14ac:dyDescent="0.2">
      <c r="A1103" t="str">
        <f>Sheet2!A1103</f>
        <v>G222</v>
      </c>
      <c r="B1103" t="str">
        <f ca="1">'Query Example'!D1103</f>
        <v>LandPlane</v>
      </c>
      <c r="C1103" s="11" t="str">
        <f>CONCATENATE(Sheet2!F1103,"/",Sheet2!E1103)</f>
        <v>2/Turboprop/Turboshaft</v>
      </c>
      <c r="D1103" t="str">
        <f>CONCATENATE(Sheet2!B1103,", ",Sheet2!C1103)</f>
        <v>ALENIA, G-222</v>
      </c>
    </row>
    <row r="1104" spans="1:4" x14ac:dyDescent="0.2">
      <c r="A1104" t="str">
        <f>Sheet2!A1104</f>
        <v>G250</v>
      </c>
      <c r="B1104" t="str">
        <f ca="1">'Query Example'!D1104</f>
        <v>LandPlane</v>
      </c>
      <c r="C1104" s="11" t="str">
        <f>CONCATENATE(Sheet2!F1104,"/",Sheet2!E1104)</f>
        <v>2/Jet</v>
      </c>
      <c r="D1104" t="str">
        <f>CONCATENATE(Sheet2!B1104,", ",Sheet2!C1104)</f>
        <v>GULFSTREAM AEROSPACE, Gulfstream G250</v>
      </c>
    </row>
    <row r="1105" spans="1:4" x14ac:dyDescent="0.2">
      <c r="A1105" t="str">
        <f>Sheet2!A1105</f>
        <v>G280</v>
      </c>
      <c r="B1105" t="str">
        <f ca="1">'Query Example'!D1105</f>
        <v>LandPlane</v>
      </c>
      <c r="C1105" s="11" t="str">
        <f>CONCATENATE(Sheet2!F1105,"/",Sheet2!E1105)</f>
        <v>2/Jet</v>
      </c>
      <c r="D1105" t="str">
        <f>CONCATENATE(Sheet2!B1105,", ",Sheet2!C1105)</f>
        <v>GULFSTREAM AEROSPACE, Gulfstream G280</v>
      </c>
    </row>
    <row r="1106" spans="1:4" x14ac:dyDescent="0.2">
      <c r="A1106" t="str">
        <f>Sheet2!A1106</f>
        <v>G2CA</v>
      </c>
      <c r="B1106" t="str">
        <f ca="1">'Query Example'!D1106</f>
        <v>Helicopter</v>
      </c>
      <c r="C1106" s="11" t="str">
        <f>CONCATENATE(Sheet2!F1106,"/",Sheet2!E1106)</f>
        <v>1/Piston</v>
      </c>
      <c r="D1106" t="str">
        <f>CONCATENATE(Sheet2!B1106,", ",Sheet2!C1106)</f>
        <v>GUIMBAL, G-2 Cabri</v>
      </c>
    </row>
    <row r="1107" spans="1:4" x14ac:dyDescent="0.2">
      <c r="A1107" t="str">
        <f>Sheet2!A1107</f>
        <v>G2GL</v>
      </c>
      <c r="B1107" t="str">
        <f ca="1">'Query Example'!D1107</f>
        <v>LandPlane</v>
      </c>
      <c r="C1107" s="11" t="str">
        <f>CONCATENATE(Sheet2!F1107,"/",Sheet2!E1107)</f>
        <v>1/Jet</v>
      </c>
      <c r="D1107" t="str">
        <f>CONCATENATE(Sheet2!B1107,", ",Sheet2!C1107)</f>
        <v>SOKO, G-2 Galeb</v>
      </c>
    </row>
    <row r="1108" spans="1:4" x14ac:dyDescent="0.2">
      <c r="A1108" t="str">
        <f>Sheet2!A1108</f>
        <v>G2T1</v>
      </c>
      <c r="B1108" t="str">
        <f ca="1">'Query Example'!D1108</f>
        <v>LandPlane</v>
      </c>
      <c r="C1108" s="11" t="str">
        <f>CONCATENATE(Sheet2!F1108,"/",Sheet2!E1108)</f>
        <v>1/Piston</v>
      </c>
      <c r="D1108" t="str">
        <f>CONCATENATE(Sheet2!B1108,", ",Sheet2!C1108)</f>
        <v>GREAT LAKES, 2T-1 Sport</v>
      </c>
    </row>
    <row r="1109" spans="1:4" x14ac:dyDescent="0.2">
      <c r="A1109" t="str">
        <f>Sheet2!A1109</f>
        <v>G3</v>
      </c>
      <c r="B1109" t="str">
        <f ca="1">'Query Example'!D1109</f>
        <v>LandPlane</v>
      </c>
      <c r="C1109" s="11" t="str">
        <f>CONCATENATE(Sheet2!F1109,"/",Sheet2!E1109)</f>
        <v>1/Piston</v>
      </c>
      <c r="D1109" t="str">
        <f>CONCATENATE(Sheet2!B1109,", ",Sheet2!C1109)</f>
        <v>REMOS, G-3 Mirage</v>
      </c>
    </row>
    <row r="1110" spans="1:4" x14ac:dyDescent="0.2">
      <c r="A1110" t="str">
        <f>Sheet2!A1110</f>
        <v>G300</v>
      </c>
      <c r="B1110" t="str">
        <f ca="1">'Query Example'!D1110</f>
        <v>LandPlane</v>
      </c>
      <c r="C1110" s="11" t="str">
        <f>CONCATENATE(Sheet2!F1110,"/",Sheet2!E1110)</f>
        <v>1/Piston</v>
      </c>
      <c r="D1110" t="str">
        <f>CONCATENATE(Sheet2!B1110,", ",Sheet2!C1110)</f>
        <v>GILES, G-300</v>
      </c>
    </row>
    <row r="1111" spans="1:4" x14ac:dyDescent="0.2">
      <c r="A1111" t="str">
        <f>Sheet2!A1111</f>
        <v>G44</v>
      </c>
      <c r="B1111" t="str">
        <f ca="1">'Query Example'!D1111</f>
        <v>Amphibian</v>
      </c>
      <c r="C1111" s="11" t="str">
        <f>CONCATENATE(Sheet2!F1111,"/",Sheet2!E1111)</f>
        <v>2/Piston</v>
      </c>
      <c r="D1111" t="str">
        <f>CONCATENATE(Sheet2!B1111,", ",Sheet2!C1111)</f>
        <v>GRUMMAN, G-44 Widgeon</v>
      </c>
    </row>
    <row r="1112" spans="1:4" x14ac:dyDescent="0.2">
      <c r="A1112" t="str">
        <f>Sheet2!A1112</f>
        <v>G46</v>
      </c>
      <c r="B1112" t="str">
        <f ca="1">'Query Example'!D1112</f>
        <v>LandPlane</v>
      </c>
      <c r="C1112" s="11" t="str">
        <f>CONCATENATE(Sheet2!F1112,"/",Sheet2!E1112)</f>
        <v>1/Piston</v>
      </c>
      <c r="D1112" t="str">
        <f>CONCATENATE(Sheet2!B1112,", ",Sheet2!C1112)</f>
        <v>FIAT, G-46</v>
      </c>
    </row>
    <row r="1113" spans="1:4" x14ac:dyDescent="0.2">
      <c r="A1113" t="str">
        <f>Sheet2!A1113</f>
        <v>G4SG</v>
      </c>
      <c r="B1113" t="str">
        <f ca="1">'Query Example'!D1113</f>
        <v>LandPlane</v>
      </c>
      <c r="C1113" s="11" t="str">
        <f>CONCATENATE(Sheet2!F1113,"/",Sheet2!E1113)</f>
        <v>1/Jet</v>
      </c>
      <c r="D1113" t="str">
        <f>CONCATENATE(Sheet2!B1113,", ",Sheet2!C1113)</f>
        <v>SOKO, G-4 Super Galeb</v>
      </c>
    </row>
    <row r="1114" spans="1:4" x14ac:dyDescent="0.2">
      <c r="A1114" t="str">
        <f>Sheet2!A1114</f>
        <v>G59</v>
      </c>
      <c r="B1114" t="str">
        <f ca="1">'Query Example'!D1114</f>
        <v>LandPlane</v>
      </c>
      <c r="C1114" s="11" t="str">
        <f>CONCATENATE(Sheet2!F1114,"/",Sheet2!E1114)</f>
        <v>1/Piston</v>
      </c>
      <c r="D1114" t="str">
        <f>CONCATENATE(Sheet2!B1114,", ",Sheet2!C1114)</f>
        <v>FIAT, G-59</v>
      </c>
    </row>
    <row r="1115" spans="1:4" x14ac:dyDescent="0.2">
      <c r="A1115" t="str">
        <f>Sheet2!A1115</f>
        <v>G64T</v>
      </c>
      <c r="B1115" t="str">
        <f ca="1">'Query Example'!D1115</f>
        <v>LandPlane</v>
      </c>
      <c r="C1115" s="11" t="str">
        <f>CONCATENATE(Sheet2!F1115,"/",Sheet2!E1115)</f>
        <v>1/Turboprop/Turboshaft</v>
      </c>
      <c r="D1115" t="str">
        <f>CONCATENATE(Sheet2!B1115,", ",Sheet2!C1115)</f>
        <v>GRUMMAN, G-164 Turbo Ag-Cat</v>
      </c>
    </row>
    <row r="1116" spans="1:4" x14ac:dyDescent="0.2">
      <c r="A1116" t="str">
        <f>Sheet2!A1116</f>
        <v>G70</v>
      </c>
      <c r="B1116" t="str">
        <f ca="1">'Query Example'!D1116</f>
        <v>LandPlane</v>
      </c>
      <c r="C1116" s="11" t="str">
        <f>CONCATENATE(Sheet2!F1116,"/",Sheet2!E1116)</f>
        <v>1/Piston</v>
      </c>
      <c r="D1116" t="str">
        <f>CONCATENATE(Sheet2!B1116,", ",Sheet2!C1116)</f>
        <v>GROPPO, G-70</v>
      </c>
    </row>
    <row r="1117" spans="1:4" x14ac:dyDescent="0.2">
      <c r="A1117" t="str">
        <f>Sheet2!A1117</f>
        <v>G73</v>
      </c>
      <c r="B1117" t="str">
        <f ca="1">'Query Example'!D1117</f>
        <v>Amphibian</v>
      </c>
      <c r="C1117" s="11" t="str">
        <f>CONCATENATE(Sheet2!F1117,"/",Sheet2!E1117)</f>
        <v>2/Piston</v>
      </c>
      <c r="D1117" t="str">
        <f>CONCATENATE(Sheet2!B1117,", ",Sheet2!C1117)</f>
        <v>GRUMMAN, G-73 Mallard</v>
      </c>
    </row>
    <row r="1118" spans="1:4" x14ac:dyDescent="0.2">
      <c r="A1118" t="str">
        <f>Sheet2!A1118</f>
        <v>G73T</v>
      </c>
      <c r="B1118" t="str">
        <f ca="1">'Query Example'!D1118</f>
        <v>Amphibian</v>
      </c>
      <c r="C1118" s="11" t="str">
        <f>CONCATENATE(Sheet2!F1118,"/",Sheet2!E1118)</f>
        <v>2/Turboprop/Turboshaft</v>
      </c>
      <c r="D1118" t="str">
        <f>CONCATENATE(Sheet2!B1118,", ",Sheet2!C1118)</f>
        <v>GRUMMAN, G-73T Turbo Mallard</v>
      </c>
    </row>
    <row r="1119" spans="1:4" x14ac:dyDescent="0.2">
      <c r="A1119" t="str">
        <f>Sheet2!A1119</f>
        <v>G800</v>
      </c>
      <c r="B1119" t="str">
        <f ca="1">'Query Example'!D1119</f>
        <v>LandPlane</v>
      </c>
      <c r="C1119" s="11" t="str">
        <f>CONCATENATE(Sheet2!F1119,"/",Sheet2!E1119)</f>
        <v>1/Piston</v>
      </c>
      <c r="D1119" t="str">
        <f>CONCATENATE(Sheet2!B1119,", ",Sheet2!C1119)</f>
        <v>GRINVALDS, G-801 Orion</v>
      </c>
    </row>
    <row r="1120" spans="1:4" x14ac:dyDescent="0.2">
      <c r="A1120" t="str">
        <f>Sheet2!A1120</f>
        <v>G850</v>
      </c>
      <c r="B1120" t="str">
        <f ca="1">'Query Example'!D1120</f>
        <v>LandPlane</v>
      </c>
      <c r="C1120" s="11" t="str">
        <f>CONCATENATE(Sheet2!F1120,"/",Sheet2!E1120)</f>
        <v>2/Piston</v>
      </c>
      <c r="D1120" t="str">
        <f>CONCATENATE(Sheet2!B1120,", ",Sheet2!C1120)</f>
        <v>GROB, G-850 Strato 2C</v>
      </c>
    </row>
    <row r="1121" spans="1:4" x14ac:dyDescent="0.2">
      <c r="A1121" t="str">
        <f>Sheet2!A1121</f>
        <v>G96</v>
      </c>
      <c r="B1121" t="str">
        <f ca="1">'Query Example'!D1121</f>
        <v>LandPlane</v>
      </c>
      <c r="C1121" s="11" t="str">
        <f>CONCATENATE(Sheet2!F1121,"/",Sheet2!E1121)</f>
        <v>2/Piston</v>
      </c>
      <c r="D1121" t="str">
        <f>CONCATENATE(Sheet2!B1121,", ",Sheet2!C1121)</f>
        <v>GRUMMAN, G-96 Trader</v>
      </c>
    </row>
    <row r="1122" spans="1:4" x14ac:dyDescent="0.2">
      <c r="A1122" t="str">
        <f>Sheet2!A1122</f>
        <v>G97</v>
      </c>
      <c r="B1122" t="str">
        <f ca="1">'Query Example'!D1122</f>
        <v>LandPlane</v>
      </c>
      <c r="C1122" s="11" t="str">
        <f>CONCATENATE(Sheet2!F1122,"/",Sheet2!E1122)</f>
        <v>1/Piston</v>
      </c>
      <c r="D1122" t="str">
        <f>CONCATENATE(Sheet2!B1122,", ",Sheet2!C1122)</f>
        <v>SAI (2), G-97 Spotter</v>
      </c>
    </row>
    <row r="1123" spans="1:4" x14ac:dyDescent="0.2">
      <c r="A1123" t="str">
        <f>Sheet2!A1123</f>
        <v>GA10</v>
      </c>
      <c r="B1123" t="str">
        <f ca="1">'Query Example'!D1123</f>
        <v>LandPlane</v>
      </c>
      <c r="C1123" s="11" t="str">
        <f>CONCATENATE(Sheet2!F1123,"/",Sheet2!E1123)</f>
        <v>1/Turboprop/Turboshaft</v>
      </c>
      <c r="D1123" t="str">
        <f>CONCATENATE(Sheet2!B1123,", ",Sheet2!C1123)</f>
        <v>GIPPSAERO, GA-10</v>
      </c>
    </row>
    <row r="1124" spans="1:4" x14ac:dyDescent="0.2">
      <c r="A1124" t="str">
        <f>Sheet2!A1124</f>
        <v>GA20</v>
      </c>
      <c r="B1124" t="str">
        <f ca="1">'Query Example'!D1124</f>
        <v>LandPlane</v>
      </c>
      <c r="C1124" s="11" t="str">
        <f>CONCATENATE(Sheet2!F1124,"/",Sheet2!E1124)</f>
        <v>1/Piston</v>
      </c>
      <c r="D1124" t="str">
        <f>CONCATENATE(Sheet2!B1124,", ",Sheet2!C1124)</f>
        <v>GIPPSLAND, GA-200 Fatman</v>
      </c>
    </row>
    <row r="1125" spans="1:4" x14ac:dyDescent="0.2">
      <c r="A1125" t="str">
        <f>Sheet2!A1125</f>
        <v>GA5C</v>
      </c>
      <c r="B1125" t="str">
        <f ca="1">'Query Example'!D1125</f>
        <v>LandPlane</v>
      </c>
      <c r="C1125" s="11" t="str">
        <f>CONCATENATE(Sheet2!F1125,"/",Sheet2!E1125)</f>
        <v>2/Jet</v>
      </c>
      <c r="D1125" t="str">
        <f>CONCATENATE(Sheet2!B1125,", ",Sheet2!C1125)</f>
        <v>GULFSTREAM AEROSPACE, G-7 Gulfstream G500</v>
      </c>
    </row>
    <row r="1126" spans="1:4" x14ac:dyDescent="0.2">
      <c r="A1126" t="str">
        <f>Sheet2!A1126</f>
        <v>GA6C</v>
      </c>
      <c r="B1126" t="str">
        <f ca="1">'Query Example'!D1126</f>
        <v>LandPlane</v>
      </c>
      <c r="C1126" s="11" t="str">
        <f>CONCATENATE(Sheet2!F1126,"/",Sheet2!E1126)</f>
        <v>2/Jet</v>
      </c>
      <c r="D1126" t="str">
        <f>CONCATENATE(Sheet2!B1126,", ",Sheet2!C1126)</f>
        <v>GULFSTREAM AEROSPACE, G-7 Gulfstream G600</v>
      </c>
    </row>
    <row r="1127" spans="1:4" x14ac:dyDescent="0.2">
      <c r="A1127" t="str">
        <f>Sheet2!A1127</f>
        <v>GA7</v>
      </c>
      <c r="B1127" t="str">
        <f ca="1">'Query Example'!D1127</f>
        <v>LandPlane</v>
      </c>
      <c r="C1127" s="11" t="str">
        <f>CONCATENATE(Sheet2!F1127,"/",Sheet2!E1127)</f>
        <v>2/Piston</v>
      </c>
      <c r="D1127" t="str">
        <f>CONCATENATE(Sheet2!B1127,", ",Sheet2!C1127)</f>
        <v>GRUMMAN AMERICAN, GA-7 Cougar</v>
      </c>
    </row>
    <row r="1128" spans="1:4" x14ac:dyDescent="0.2">
      <c r="A1128" t="str">
        <f>Sheet2!A1128</f>
        <v>GA7C</v>
      </c>
      <c r="B1128" t="str">
        <f ca="1">'Query Example'!D1128</f>
        <v>LandPlane</v>
      </c>
      <c r="C1128" s="11" t="str">
        <f>CONCATENATE(Sheet2!F1128,"/",Sheet2!E1128)</f>
        <v>2/Jet</v>
      </c>
      <c r="D1128" t="str">
        <f>CONCATENATE(Sheet2!B1128,", ",Sheet2!C1128)</f>
        <v>GULFSTREAM AEROSPACE, G-8 Gulfstream G700</v>
      </c>
    </row>
    <row r="1129" spans="1:4" x14ac:dyDescent="0.2">
      <c r="A1129" t="str">
        <f>Sheet2!A1129</f>
        <v>GA8</v>
      </c>
      <c r="B1129" t="str">
        <f ca="1">'Query Example'!D1129</f>
        <v>LandPlane</v>
      </c>
      <c r="C1129" s="11" t="str">
        <f>CONCATENATE(Sheet2!F1129,"/",Sheet2!E1129)</f>
        <v>1/Piston</v>
      </c>
      <c r="D1129" t="str">
        <f>CONCATENATE(Sheet2!B1129,", ",Sheet2!C1129)</f>
        <v>GIPPSLAND, GA-8 Airvan</v>
      </c>
    </row>
    <row r="1130" spans="1:4" x14ac:dyDescent="0.2">
      <c r="A1130" t="str">
        <f>Sheet2!A1130</f>
        <v>GABR</v>
      </c>
      <c r="B1130" t="str">
        <f ca="1">'Query Example'!D1130</f>
        <v>LandPlane</v>
      </c>
      <c r="C1130" s="11" t="str">
        <f>CONCATENATE(Sheet2!F1130,"/",Sheet2!E1130)</f>
        <v>1/Piston</v>
      </c>
      <c r="D1130" t="str">
        <f>CONCATENATE(Sheet2!B1130,", ",Sheet2!C1130)</f>
        <v>BLACKSHAPE, Bk-160 Gabriel</v>
      </c>
    </row>
    <row r="1131" spans="1:4" x14ac:dyDescent="0.2">
      <c r="A1131" t="str">
        <f>Sheet2!A1131</f>
        <v>GALX</v>
      </c>
      <c r="B1131" t="str">
        <f ca="1">'Query Example'!D1131</f>
        <v>LandPlane</v>
      </c>
      <c r="C1131" s="11" t="str">
        <f>CONCATENATE(Sheet2!F1131,"/",Sheet2!E1131)</f>
        <v>2/Jet</v>
      </c>
      <c r="D1131" t="str">
        <f>CONCATENATE(Sheet2!B1131,", ",Sheet2!C1131)</f>
        <v>GULFSTREAM AEROSPACE, Gulfstream G200</v>
      </c>
    </row>
    <row r="1132" spans="1:4" x14ac:dyDescent="0.2">
      <c r="A1132" t="str">
        <f>Sheet2!A1132</f>
        <v>GANT</v>
      </c>
      <c r="B1132" t="str">
        <f ca="1">'Query Example'!D1132</f>
        <v>LandPlane</v>
      </c>
      <c r="C1132" s="11" t="str">
        <f>CONCATENATE(Sheet2!F1132,"/",Sheet2!E1132)</f>
        <v>/Turboprop/Turboshaft</v>
      </c>
      <c r="D1132" t="str">
        <f>CONCATENATE(Sheet2!B1132,", ",Sheet2!C1132)</f>
        <v>FAIREY, Gannet</v>
      </c>
    </row>
    <row r="1133" spans="1:4" x14ac:dyDescent="0.2">
      <c r="A1133" t="str">
        <f>Sheet2!A1133</f>
        <v>GAUN</v>
      </c>
      <c r="B1133" t="str">
        <f ca="1">'Query Example'!D1133</f>
        <v>LandPlane</v>
      </c>
      <c r="C1133" s="11" t="str">
        <f>CONCATENATE(Sheet2!F1133,"/",Sheet2!E1133)</f>
        <v>1/Piston</v>
      </c>
      <c r="D1133" t="str">
        <f>CONCATENATE(Sheet2!B1133,", ",Sheet2!C1133)</f>
        <v>GLOSTER, Gauntlet</v>
      </c>
    </row>
    <row r="1134" spans="1:4" x14ac:dyDescent="0.2">
      <c r="A1134" t="str">
        <f>Sheet2!A1134</f>
        <v>GAVI</v>
      </c>
      <c r="B1134" t="str">
        <f ca="1">'Query Example'!D1134</f>
        <v>LandPlane</v>
      </c>
      <c r="C1134" s="11" t="str">
        <f>CONCATENATE(Sheet2!F1134,"/",Sheet2!E1134)</f>
        <v>1/Piston</v>
      </c>
      <c r="D1134" t="str">
        <f>CONCATENATE(Sheet2!B1134,", ",Sheet2!C1134)</f>
        <v>GAVILAN, EL-1 Gavilan 358</v>
      </c>
    </row>
    <row r="1135" spans="1:4" x14ac:dyDescent="0.2">
      <c r="A1135" t="str">
        <f>Sheet2!A1135</f>
        <v>GB1</v>
      </c>
      <c r="B1135" t="str">
        <f ca="1">'Query Example'!D1135</f>
        <v>LandPlane</v>
      </c>
      <c r="C1135" s="11" t="str">
        <f>CONCATENATE(Sheet2!F1135,"/",Sheet2!E1135)</f>
        <v>1/Piston</v>
      </c>
      <c r="D1135" t="str">
        <f>CONCATENATE(Sheet2!B1135,", ",Sheet2!C1135)</f>
        <v>GAME COMPOSITES, GB-1 GameBird</v>
      </c>
    </row>
    <row r="1136" spans="1:4" x14ac:dyDescent="0.2">
      <c r="A1136" t="str">
        <f>Sheet2!A1136</f>
        <v>GBSP</v>
      </c>
      <c r="B1136" t="str">
        <f ca="1">'Query Example'!D1136</f>
        <v>LandPlane</v>
      </c>
      <c r="C1136" s="11" t="str">
        <f>CONCATENATE(Sheet2!F1136,"/",Sheet2!E1136)</f>
        <v>1/Piston</v>
      </c>
      <c r="D1136" t="str">
        <f>CONCATENATE(Sheet2!B1136,", ",Sheet2!C1136)</f>
        <v>BEETS, GB Special</v>
      </c>
    </row>
    <row r="1137" spans="1:4" x14ac:dyDescent="0.2">
      <c r="A1137" t="str">
        <f>Sheet2!A1137</f>
        <v>GC1</v>
      </c>
      <c r="B1137" t="str">
        <f ca="1">'Query Example'!D1137</f>
        <v>LandPlane</v>
      </c>
      <c r="C1137" s="11" t="str">
        <f>CONCATENATE(Sheet2!F1137,"/",Sheet2!E1137)</f>
        <v>1/Piston</v>
      </c>
      <c r="D1137" t="str">
        <f>CONCATENATE(Sheet2!B1137,", ",Sheet2!C1137)</f>
        <v>GLOBE, GC-1 Swift</v>
      </c>
    </row>
    <row r="1138" spans="1:4" x14ac:dyDescent="0.2">
      <c r="A1138" t="str">
        <f>Sheet2!A1138</f>
        <v>GDUK</v>
      </c>
      <c r="B1138" t="str">
        <f ca="1">'Query Example'!D1138</f>
        <v>Amphibian</v>
      </c>
      <c r="C1138" s="11" t="str">
        <f>CONCATENATE(Sheet2!F1138,"/",Sheet2!E1138)</f>
        <v>2/Piston</v>
      </c>
      <c r="D1138" t="str">
        <f>CONCATENATE(Sheet2!B1138,", ",Sheet2!C1138)</f>
        <v>ELLISON-MAHON, Gweduck</v>
      </c>
    </row>
    <row r="1139" spans="1:4" x14ac:dyDescent="0.2">
      <c r="A1139" t="str">
        <f>Sheet2!A1139</f>
        <v>GEMI</v>
      </c>
      <c r="B1139" t="str">
        <f ca="1">'Query Example'!D1139</f>
        <v>LandPlane</v>
      </c>
      <c r="C1139" s="11" t="str">
        <f>CONCATENATE(Sheet2!F1139,"/",Sheet2!E1139)</f>
        <v>2/Piston</v>
      </c>
      <c r="D1139" t="str">
        <f>CONCATENATE(Sheet2!B1139,", ",Sheet2!C1139)</f>
        <v>MILES, M-65 Gemini</v>
      </c>
    </row>
    <row r="1140" spans="1:4" x14ac:dyDescent="0.2">
      <c r="A1140" t="str">
        <f>Sheet2!A1140</f>
        <v>GENI</v>
      </c>
      <c r="B1140" t="str">
        <f ca="1">'Query Example'!D1140</f>
        <v>LandPlane</v>
      </c>
      <c r="C1140" s="11" t="str">
        <f>CONCATENATE(Sheet2!F1140,"/",Sheet2!E1140)</f>
        <v>1/Electric</v>
      </c>
      <c r="D1140" t="str">
        <f>CONCATENATE(Sheet2!B1140,", ",Sheet2!C1140)</f>
        <v>IFB, E-Genius</v>
      </c>
    </row>
    <row r="1141" spans="1:4" x14ac:dyDescent="0.2">
      <c r="A1141" t="str">
        <f>Sheet2!A1141</f>
        <v>GEPE</v>
      </c>
      <c r="B1141" t="str">
        <f ca="1">'Query Example'!D1141</f>
        <v>LandPlane</v>
      </c>
      <c r="C1141" s="11" t="str">
        <f>CONCATENATE(Sheet2!F1141,"/",Sheet2!E1141)</f>
        <v>1/Piston</v>
      </c>
      <c r="D1141" t="str">
        <f>CONCATENATE(Sheet2!B1141,", ",Sheet2!C1141)</f>
        <v>AERO SERVICES, Guêpe</v>
      </c>
    </row>
    <row r="1142" spans="1:4" x14ac:dyDescent="0.2">
      <c r="A1142" t="str">
        <f>Sheet2!A1142</f>
        <v>GF20</v>
      </c>
      <c r="B1142" t="str">
        <f ca="1">'Query Example'!D1142</f>
        <v>LandPlane</v>
      </c>
      <c r="C1142" s="11" t="str">
        <f>CONCATENATE(Sheet2!F1142,"/",Sheet2!E1142)</f>
        <v>1/Piston</v>
      </c>
      <c r="D1142" t="str">
        <f>CONCATENATE(Sheet2!B1142,", ",Sheet2!C1142)</f>
        <v>GROB, GF-200</v>
      </c>
    </row>
    <row r="1143" spans="1:4" x14ac:dyDescent="0.2">
      <c r="A1143" t="str">
        <f>Sheet2!A1143</f>
        <v>GFLY</v>
      </c>
      <c r="B1143" t="str">
        <f ca="1">'Query Example'!D1143</f>
        <v>LandPlane</v>
      </c>
      <c r="C1143" s="11" t="str">
        <f>CONCATENATE(Sheet2!F1143,"/",Sheet2!E1143)</f>
        <v>1/Jet</v>
      </c>
      <c r="D1143" t="str">
        <f>CONCATENATE(Sheet2!B1143,", ",Sheet2!C1143)</f>
        <v>SCALED, 311 Global Flyer</v>
      </c>
    </row>
    <row r="1144" spans="1:4" x14ac:dyDescent="0.2">
      <c r="A1144" t="str">
        <f>Sheet2!A1144</f>
        <v>GL5T</v>
      </c>
      <c r="B1144" t="str">
        <f ca="1">'Query Example'!D1144</f>
        <v>LandPlane</v>
      </c>
      <c r="C1144" s="11" t="str">
        <f>CONCATENATE(Sheet2!F1144,"/",Sheet2!E1144)</f>
        <v>2/Jet</v>
      </c>
      <c r="D1144" t="str">
        <f>CONCATENATE(Sheet2!B1144,", ",Sheet2!C1144)</f>
        <v>BOMBARDIER, Global 5000</v>
      </c>
    </row>
    <row r="1145" spans="1:4" x14ac:dyDescent="0.2">
      <c r="A1145" t="str">
        <f>Sheet2!A1145</f>
        <v>GL7T</v>
      </c>
      <c r="B1145" t="str">
        <f ca="1">'Query Example'!D1145</f>
        <v>LandPlane</v>
      </c>
      <c r="C1145" s="11" t="str">
        <f>CONCATENATE(Sheet2!F1145,"/",Sheet2!E1145)</f>
        <v>2/Jet</v>
      </c>
      <c r="D1145" t="str">
        <f>CONCATENATE(Sheet2!B1145,", ",Sheet2!C1145)</f>
        <v>BOMBARDIER, Global 7000</v>
      </c>
    </row>
    <row r="1146" spans="1:4" x14ac:dyDescent="0.2">
      <c r="A1146" t="str">
        <f>Sheet2!A1146</f>
        <v>GLAD</v>
      </c>
      <c r="B1146" t="str">
        <f ca="1">'Query Example'!D1146</f>
        <v>LandPlane</v>
      </c>
      <c r="C1146" s="11" t="str">
        <f>CONCATENATE(Sheet2!F1146,"/",Sheet2!E1146)</f>
        <v>1/Piston</v>
      </c>
      <c r="D1146" t="str">
        <f>CONCATENATE(Sheet2!B1146,", ",Sheet2!C1146)</f>
        <v>GLOSTER, Gladiator</v>
      </c>
    </row>
    <row r="1147" spans="1:4" x14ac:dyDescent="0.2">
      <c r="A1147" t="str">
        <f>Sheet2!A1147</f>
        <v>GLAS</v>
      </c>
      <c r="B1147" t="str">
        <f ca="1">'Query Example'!D1147</f>
        <v>LandPlane</v>
      </c>
      <c r="C1147" s="11" t="str">
        <f>CONCATENATE(Sheet2!F1147,"/",Sheet2!E1147)</f>
        <v>1/Piston</v>
      </c>
      <c r="D1147" t="str">
        <f>CONCATENATE(Sheet2!B1147,", ",Sheet2!C1147)</f>
        <v>STODDARD-HAMILTON, Glasair</v>
      </c>
    </row>
    <row r="1148" spans="1:4" x14ac:dyDescent="0.2">
      <c r="A1148" t="str">
        <f>Sheet2!A1148</f>
        <v>GLEX</v>
      </c>
      <c r="B1148" t="str">
        <f ca="1">'Query Example'!D1148</f>
        <v>LandPlane</v>
      </c>
      <c r="C1148" s="11" t="str">
        <f>CONCATENATE(Sheet2!F1148,"/",Sheet2!E1148)</f>
        <v>2/Jet</v>
      </c>
      <c r="D1148" t="str">
        <f>CONCATENATE(Sheet2!B1148,", ",Sheet2!C1148)</f>
        <v>BOMBARDIER, Global Express</v>
      </c>
    </row>
    <row r="1149" spans="1:4" x14ac:dyDescent="0.2">
      <c r="A1149" t="str">
        <f>Sheet2!A1149</f>
        <v>GLF2</v>
      </c>
      <c r="B1149" t="str">
        <f ca="1">'Query Example'!D1149</f>
        <v>LandPlane</v>
      </c>
      <c r="C1149" s="11" t="str">
        <f>CONCATENATE(Sheet2!F1149,"/",Sheet2!E1149)</f>
        <v>2/Jet</v>
      </c>
      <c r="D1149" t="str">
        <f>CONCATENATE(Sheet2!B1149,", ",Sheet2!C1149)</f>
        <v>GRUMMAN, Gulfstream 2</v>
      </c>
    </row>
    <row r="1150" spans="1:4" x14ac:dyDescent="0.2">
      <c r="A1150" t="str">
        <f>Sheet2!A1150</f>
        <v>GLF3</v>
      </c>
      <c r="B1150" t="str">
        <f ca="1">'Query Example'!D1150</f>
        <v>LandPlane</v>
      </c>
      <c r="C1150" s="11" t="str">
        <f>CONCATENATE(Sheet2!F1150,"/",Sheet2!E1150)</f>
        <v>2/Jet</v>
      </c>
      <c r="D1150" t="str">
        <f>CONCATENATE(Sheet2!B1150,", ",Sheet2!C1150)</f>
        <v>GULFSTREAM AEROSPACE, Gulfstream 3</v>
      </c>
    </row>
    <row r="1151" spans="1:4" x14ac:dyDescent="0.2">
      <c r="A1151" t="str">
        <f>Sheet2!A1151</f>
        <v>GLF4</v>
      </c>
      <c r="B1151" t="str">
        <f ca="1">'Query Example'!D1151</f>
        <v>LandPlane</v>
      </c>
      <c r="C1151" s="11" t="str">
        <f>CONCATENATE(Sheet2!F1151,"/",Sheet2!E1151)</f>
        <v>2/Jet</v>
      </c>
      <c r="D1151" t="str">
        <f>CONCATENATE(Sheet2!B1151,", ",Sheet2!C1151)</f>
        <v>GULFSTREAM AEROSPACE, Gulfstream 4</v>
      </c>
    </row>
    <row r="1152" spans="1:4" x14ac:dyDescent="0.2">
      <c r="A1152" t="str">
        <f>Sheet2!A1152</f>
        <v>GLF5</v>
      </c>
      <c r="B1152" t="str">
        <f ca="1">'Query Example'!D1152</f>
        <v>LandPlane</v>
      </c>
      <c r="C1152" s="11" t="str">
        <f>CONCATENATE(Sheet2!F1152,"/",Sheet2!E1152)</f>
        <v>2/Jet</v>
      </c>
      <c r="D1152" t="str">
        <f>CONCATENATE(Sheet2!B1152,", ",Sheet2!C1152)</f>
        <v>GULFSTREAM AEROSPACE, Gulfstream 5</v>
      </c>
    </row>
    <row r="1153" spans="1:4" x14ac:dyDescent="0.2">
      <c r="A1153" t="str">
        <f>Sheet2!A1153</f>
        <v>GLF6</v>
      </c>
      <c r="B1153" t="str">
        <f ca="1">'Query Example'!D1153</f>
        <v>LandPlane</v>
      </c>
      <c r="C1153" s="11" t="str">
        <f>CONCATENATE(Sheet2!F1153,"/",Sheet2!E1153)</f>
        <v>2/Jet</v>
      </c>
      <c r="D1153" t="str">
        <f>CONCATENATE(Sheet2!B1153,", ",Sheet2!C1153)</f>
        <v>GULFSTREAM AEROSPACE, Gulfstream G650</v>
      </c>
    </row>
    <row r="1154" spans="1:4" x14ac:dyDescent="0.2">
      <c r="A1154" t="str">
        <f>Sheet2!A1154</f>
        <v>GLSP</v>
      </c>
      <c r="B1154" t="str">
        <f ca="1">'Query Example'!D1154</f>
        <v>LandPlane</v>
      </c>
      <c r="C1154" s="11" t="str">
        <f>CONCATENATE(Sheet2!F1154,"/",Sheet2!E1154)</f>
        <v>1/Piston</v>
      </c>
      <c r="D1154" t="str">
        <f>CONCATENATE(Sheet2!B1154,", ",Sheet2!C1154)</f>
        <v>NEW GLASTAR, Sportsman 2+2</v>
      </c>
    </row>
    <row r="1155" spans="1:4" x14ac:dyDescent="0.2">
      <c r="A1155" t="str">
        <f>Sheet2!A1155</f>
        <v>GLST</v>
      </c>
      <c r="B1155" t="str">
        <f ca="1">'Query Example'!D1155</f>
        <v>LandPlane</v>
      </c>
      <c r="C1155" s="11" t="str">
        <f>CONCATENATE(Sheet2!F1155,"/",Sheet2!E1155)</f>
        <v>1/Piston</v>
      </c>
      <c r="D1155" t="str">
        <f>CONCATENATE(Sheet2!B1155,", ",Sheet2!C1155)</f>
        <v>STODDARD-HAMILTON, SH-4 GlaStar</v>
      </c>
    </row>
    <row r="1156" spans="1:4" x14ac:dyDescent="0.2">
      <c r="A1156" t="str">
        <f>Sheet2!A1156</f>
        <v>GM01</v>
      </c>
      <c r="B1156" t="str">
        <f ca="1">'Query Example'!D1156</f>
        <v>LandPlane</v>
      </c>
      <c r="C1156" s="11" t="str">
        <f>CONCATENATE(Sheet2!F1156,"/",Sheet2!E1156)</f>
        <v>1/Piston</v>
      </c>
      <c r="D1156" t="str">
        <f>CONCATENATE(Sheet2!B1156,", ",Sheet2!C1156)</f>
        <v>YALO, GM-01 Gniady</v>
      </c>
    </row>
    <row r="1157" spans="1:4" x14ac:dyDescent="0.2">
      <c r="A1157" t="str">
        <f>Sheet2!A1157</f>
        <v>GM17</v>
      </c>
      <c r="B1157" t="str">
        <f ca="1">'Query Example'!D1157</f>
        <v>LandPlane</v>
      </c>
      <c r="C1157" s="11" t="str">
        <f>CONCATENATE(Sheet2!F1157,"/",Sheet2!E1157)</f>
        <v>1/Turboprop/Turboshaft</v>
      </c>
      <c r="D1157" t="str">
        <f>CONCATENATE(Sheet2!B1157,", ",Sheet2!C1157)</f>
        <v>INTRACOM, GM-17  Viper</v>
      </c>
    </row>
    <row r="1158" spans="1:4" x14ac:dyDescent="0.2">
      <c r="A1158" t="str">
        <f>Sheet2!A1158</f>
        <v>GMGC</v>
      </c>
      <c r="B1158" t="str">
        <f ca="1">'Query Example'!D1158</f>
        <v>LandPlane</v>
      </c>
      <c r="C1158" s="11" t="str">
        <f>CONCATENATE(Sheet2!F1158,"/",Sheet2!E1158)</f>
        <v>1/Piston</v>
      </c>
      <c r="D1158" t="str">
        <f>CONCATENATE(Sheet2!B1158,", ",Sheet2!C1158)</f>
        <v>IBIS (2), Grand Magic</v>
      </c>
    </row>
    <row r="1159" spans="1:4" x14ac:dyDescent="0.2">
      <c r="A1159" t="str">
        <f>Sheet2!A1159</f>
        <v>GNAT</v>
      </c>
      <c r="B1159" t="str">
        <f ca="1">'Query Example'!D1159</f>
        <v>LandPlane</v>
      </c>
      <c r="C1159" s="11" t="str">
        <f>CONCATENATE(Sheet2!F1159,"/",Sheet2!E1159)</f>
        <v>1/Jet</v>
      </c>
      <c r="D1159" t="str">
        <f>CONCATENATE(Sheet2!B1159,", ",Sheet2!C1159)</f>
        <v>FOLLAND, Fo-144 Gnat</v>
      </c>
    </row>
    <row r="1160" spans="1:4" x14ac:dyDescent="0.2">
      <c r="A1160" t="str">
        <f>Sheet2!A1160</f>
        <v>GOBU</v>
      </c>
      <c r="B1160" t="str">
        <f ca="1">'Query Example'!D1160</f>
        <v>Gyrocopter</v>
      </c>
      <c r="C1160" s="11" t="str">
        <f>CONCATENATE(Sheet2!F1160,"/",Sheet2!E1160)</f>
        <v>1/Piston</v>
      </c>
      <c r="D1160" t="str">
        <f>CONCATENATE(Sheet2!B1160,", ",Sheet2!C1160)</f>
        <v>BUTTERFLY, Golden Butterfly</v>
      </c>
    </row>
    <row r="1161" spans="1:4" x14ac:dyDescent="0.2">
      <c r="A1161" t="str">
        <f>Sheet2!A1161</f>
        <v>GOLF</v>
      </c>
      <c r="B1161" t="str">
        <f ca="1">'Query Example'!D1161</f>
        <v>LandPlane</v>
      </c>
      <c r="C1161" s="11" t="str">
        <f>CONCATENATE(Sheet2!F1161,"/",Sheet2!E1161)</f>
        <v>1/Piston</v>
      </c>
      <c r="D1161" t="str">
        <f>CONCATENATE(Sheet2!B1161,", ",Sheet2!C1161)</f>
        <v>TECNAM, P-96 Golf</v>
      </c>
    </row>
    <row r="1162" spans="1:4" x14ac:dyDescent="0.2">
      <c r="A1162" t="str">
        <f>Sheet2!A1162</f>
        <v>GOOS</v>
      </c>
      <c r="B1162" t="str">
        <f ca="1">'Query Example'!D1162</f>
        <v>Amphibian</v>
      </c>
      <c r="C1162" s="11" t="str">
        <f>CONCATENATE(Sheet2!F1162,"/",Sheet2!E1162)</f>
        <v>1/Piston</v>
      </c>
      <c r="D1162" t="str">
        <f>CONCATENATE(Sheet2!B1162,", ",Sheet2!C1162)</f>
        <v>QUIKKIT, Glass Goose</v>
      </c>
    </row>
    <row r="1163" spans="1:4" x14ac:dyDescent="0.2">
      <c r="A1163" t="str">
        <f>Sheet2!A1163</f>
        <v>GOTR</v>
      </c>
      <c r="B1163" t="str">
        <f ca="1">'Query Example'!D1163</f>
        <v>LandPlane</v>
      </c>
      <c r="C1163" s="11" t="str">
        <f>CONCATENATE(Sheet2!F1163,"/",Sheet2!E1163)</f>
        <v>1/Piston</v>
      </c>
      <c r="D1163" t="str">
        <f>CONCATENATE(Sheet2!B1163,", ",Sheet2!C1163)</f>
        <v>GOAIR, GT-1 Trainer</v>
      </c>
    </row>
    <row r="1164" spans="1:4" x14ac:dyDescent="0.2">
      <c r="A1164" t="str">
        <f>Sheet2!A1164</f>
        <v>GP1</v>
      </c>
      <c r="B1164" t="str">
        <f ca="1">'Query Example'!D1164</f>
        <v>LandPlane</v>
      </c>
      <c r="C1164" s="11" t="str">
        <f>CONCATENATE(Sheet2!F1164,"/",Sheet2!E1164)</f>
        <v>1/Piston</v>
      </c>
      <c r="D1164" t="str">
        <f>CONCATENATE(Sheet2!B1164,", ",Sheet2!C1164)</f>
        <v>JIHLAVAN, Skyleader GP One</v>
      </c>
    </row>
    <row r="1165" spans="1:4" x14ac:dyDescent="0.2">
      <c r="A1165" t="str">
        <f>Sheet2!A1165</f>
        <v>GP3</v>
      </c>
      <c r="B1165" t="str">
        <f ca="1">'Query Example'!D1165</f>
        <v>Amphibian</v>
      </c>
      <c r="C1165" s="11" t="str">
        <f>CONCATENATE(Sheet2!F1165,"/",Sheet2!E1165)</f>
        <v>1/Piston</v>
      </c>
      <c r="D1165" t="str">
        <f>CONCATENATE(Sheet2!B1165,", ",Sheet2!C1165)</f>
        <v>PEREIRA, GP-3 Osprey 2</v>
      </c>
    </row>
    <row r="1166" spans="1:4" x14ac:dyDescent="0.2">
      <c r="A1166" t="str">
        <f>Sheet2!A1166</f>
        <v>GP4</v>
      </c>
      <c r="B1166" t="str">
        <f ca="1">'Query Example'!D1166</f>
        <v>LandPlane</v>
      </c>
      <c r="C1166" s="11" t="str">
        <f>CONCATENATE(Sheet2!F1166,"/",Sheet2!E1166)</f>
        <v>1/Piston</v>
      </c>
      <c r="D1166" t="str">
        <f>CONCATENATE(Sheet2!B1166,", ",Sheet2!C1166)</f>
        <v>PEREIRA, GP-4</v>
      </c>
    </row>
    <row r="1167" spans="1:4" x14ac:dyDescent="0.2">
      <c r="A1167" t="str">
        <f>Sheet2!A1167</f>
        <v>GPRO</v>
      </c>
      <c r="B1167" t="str">
        <f ca="1">'Query Example'!D1167</f>
        <v>LandPlane</v>
      </c>
      <c r="C1167" s="11" t="str">
        <f>CONCATENATE(Sheet2!F1167,"/",Sheet2!E1167)</f>
        <v>1/Piston</v>
      </c>
      <c r="D1167" t="str">
        <f>CONCATENATE(Sheet2!B1167,", ",Sheet2!C1167)</f>
        <v>GENEVATION, GenPro</v>
      </c>
    </row>
    <row r="1168" spans="1:4" x14ac:dyDescent="0.2">
      <c r="A1168" t="str">
        <f>Sheet2!A1168</f>
        <v>GR51</v>
      </c>
      <c r="B1168" t="str">
        <f ca="1">'Query Example'!D1168</f>
        <v>LandPlane</v>
      </c>
      <c r="C1168" s="11" t="str">
        <f>CONCATENATE(Sheet2!F1168,"/",Sheet2!E1168)</f>
        <v>1/Turboprop/Turboshaft</v>
      </c>
      <c r="D1168" t="str">
        <f>CONCATENATE(Sheet2!B1168,", ",Sheet2!C1168)</f>
        <v>CAMERON, P-51G Grand 51</v>
      </c>
    </row>
    <row r="1169" spans="1:4" x14ac:dyDescent="0.2">
      <c r="A1169" t="str">
        <f>Sheet2!A1169</f>
        <v>GRAF</v>
      </c>
      <c r="B1169" t="str">
        <f ca="1">'Query Example'!D1169</f>
        <v>LandPlane</v>
      </c>
      <c r="C1169" s="11" t="str">
        <f>CONCATENATE(Sheet2!F1169,"/",Sheet2!E1169)</f>
        <v>1/Piston</v>
      </c>
      <c r="D1169" t="str">
        <f>CONCATENATE(Sheet2!B1169,", ",Sheet2!C1169)</f>
        <v>LUNDY, Graflite</v>
      </c>
    </row>
    <row r="1170" spans="1:4" x14ac:dyDescent="0.2">
      <c r="A1170" t="str">
        <f>Sheet2!A1170</f>
        <v>GRFN</v>
      </c>
      <c r="B1170" t="str">
        <f ca="1">'Query Example'!D1170</f>
        <v>LandPlane</v>
      </c>
      <c r="C1170" s="11" t="str">
        <f>CONCATENATE(Sheet2!F1170,"/",Sheet2!E1170)</f>
        <v>1/Piston</v>
      </c>
      <c r="D1170" t="str">
        <f>CONCATENATE(Sheet2!B1170,", ",Sheet2!C1170)</f>
        <v>GRIFFON AERO, Griffon</v>
      </c>
    </row>
    <row r="1171" spans="1:4" x14ac:dyDescent="0.2">
      <c r="A1171" t="str">
        <f>Sheet2!A1171</f>
        <v>GRIF</v>
      </c>
      <c r="B1171" t="str">
        <f ca="1">'Query Example'!D1171</f>
        <v>LandPlane</v>
      </c>
      <c r="C1171" s="11" t="str">
        <f>CONCATENATE(Sheet2!F1171,"/",Sheet2!E1171)</f>
        <v>1/Piston</v>
      </c>
      <c r="D1171" t="str">
        <f>CONCATENATE(Sheet2!B1171,", ",Sheet2!C1171)</f>
        <v>CANADA AIR RV, Griffin</v>
      </c>
    </row>
    <row r="1172" spans="1:4" x14ac:dyDescent="0.2">
      <c r="A1172" t="str">
        <f>Sheet2!A1172</f>
        <v>GRIZ</v>
      </c>
      <c r="B1172" t="str">
        <f ca="1">'Query Example'!D1172</f>
        <v>LandPlane</v>
      </c>
      <c r="C1172" s="11" t="str">
        <f>CONCATENATE(Sheet2!F1172,"/",Sheet2!E1172)</f>
        <v>1/Turboprop/Turboshaft</v>
      </c>
      <c r="D1172" t="str">
        <f>CONCATENATE(Sheet2!B1172,", ",Sheet2!C1172)</f>
        <v>AEROTEK (3), Turbo Grizzly</v>
      </c>
    </row>
    <row r="1173" spans="1:4" x14ac:dyDescent="0.2">
      <c r="A1173" t="str">
        <f>Sheet2!A1173</f>
        <v>GSIS</v>
      </c>
      <c r="B1173" t="str">
        <f ca="1">'Query Example'!D1173</f>
        <v>LandPlane</v>
      </c>
      <c r="C1173" s="11" t="str">
        <f>CONCATENATE(Sheet2!F1173,"/",Sheet2!E1173)</f>
        <v>1/Piston</v>
      </c>
      <c r="D1173" t="str">
        <f>CONCATENATE(Sheet2!B1173,", ",Sheet2!C1173)</f>
        <v>SLIPSTREAM, Ultra Sport</v>
      </c>
    </row>
    <row r="1174" spans="1:4" x14ac:dyDescent="0.2">
      <c r="A1174" t="str">
        <f>Sheet2!A1174</f>
        <v>GSPN</v>
      </c>
      <c r="B1174" t="str">
        <f ca="1">'Query Example'!D1174</f>
        <v>LandPlane</v>
      </c>
      <c r="C1174" s="11" t="str">
        <f>CONCATENATE(Sheet2!F1174,"/",Sheet2!E1174)</f>
        <v>2/Jet</v>
      </c>
      <c r="D1174" t="str">
        <f>CONCATENATE(Sheet2!B1174,", ",Sheet2!C1174)</f>
        <v>GROB, G-180 SPn Utility Jet</v>
      </c>
    </row>
    <row r="1175" spans="1:4" x14ac:dyDescent="0.2">
      <c r="A1175" t="str">
        <f>Sheet2!A1175</f>
        <v>GUEP</v>
      </c>
      <c r="B1175" t="str">
        <f ca="1">'Query Example'!D1175</f>
        <v>LandPlane</v>
      </c>
      <c r="C1175" s="11" t="str">
        <f>CONCATENATE(Sheet2!F1175,"/",Sheet2!E1175)</f>
        <v>1/Piston</v>
      </c>
      <c r="D1175" t="str">
        <f>CONCATENATE(Sheet2!B1175,", ",Sheet2!C1175)</f>
        <v>AERO SERVICES, Guepard</v>
      </c>
    </row>
    <row r="1176" spans="1:4" x14ac:dyDescent="0.2">
      <c r="A1176" t="str">
        <f>Sheet2!A1176</f>
        <v>GURI</v>
      </c>
      <c r="B1176" t="str">
        <f ca="1">'Query Example'!D1176</f>
        <v>LandPlane</v>
      </c>
      <c r="C1176" s="11" t="str">
        <f>CONCATENATE(Sheet2!F1176,"/",Sheet2!E1176)</f>
        <v>1/Piston</v>
      </c>
      <c r="D1176" t="str">
        <f>CONCATENATE(Sheet2!B1176,", ",Sheet2!C1176)</f>
        <v>AEROMOT, AMT-600 Guri</v>
      </c>
    </row>
    <row r="1177" spans="1:4" x14ac:dyDescent="0.2">
      <c r="A1177" t="str">
        <f>Sheet2!A1177</f>
        <v>GX</v>
      </c>
      <c r="B1177" t="str">
        <f ca="1">'Query Example'!D1177</f>
        <v>LandPlane</v>
      </c>
      <c r="C1177" s="11" t="str">
        <f>CONCATENATE(Sheet2!F1177,"/",Sheet2!E1177)</f>
        <v>1/Piston</v>
      </c>
      <c r="D1177" t="str">
        <f>CONCATENATE(Sheet2!B1177,", ",Sheet2!C1177)</f>
        <v>STEMME, Remos GX</v>
      </c>
    </row>
    <row r="1178" spans="1:4" x14ac:dyDescent="0.2">
      <c r="A1178" t="str">
        <f>Sheet2!A1178</f>
        <v>GY10</v>
      </c>
      <c r="B1178" t="str">
        <f ca="1">'Query Example'!D1178</f>
        <v>LandPlane</v>
      </c>
      <c r="C1178" s="11" t="str">
        <f>CONCATENATE(Sheet2!F1178,"/",Sheet2!E1178)</f>
        <v>1/Piston</v>
      </c>
      <c r="D1178" t="str">
        <f>CONCATENATE(Sheet2!B1178,", ",Sheet2!C1178)</f>
        <v>GARDAN, GY-100 Bagheera</v>
      </c>
    </row>
    <row r="1179" spans="1:4" x14ac:dyDescent="0.2">
      <c r="A1179" t="str">
        <f>Sheet2!A1179</f>
        <v>GY20</v>
      </c>
      <c r="B1179" t="str">
        <f ca="1">'Query Example'!D1179</f>
        <v>LandPlane</v>
      </c>
      <c r="C1179" s="11" t="str">
        <f>CONCATENATE(Sheet2!F1179,"/",Sheet2!E1179)</f>
        <v>1/Piston</v>
      </c>
      <c r="D1179" t="str">
        <f>CONCATENATE(Sheet2!B1179,", ",Sheet2!C1179)</f>
        <v>CAB, GY-20 Minicab</v>
      </c>
    </row>
    <row r="1180" spans="1:4" x14ac:dyDescent="0.2">
      <c r="A1180" t="str">
        <f>Sheet2!A1180</f>
        <v>GY30</v>
      </c>
      <c r="B1180" t="str">
        <f ca="1">'Query Example'!D1180</f>
        <v>LandPlane</v>
      </c>
      <c r="C1180" s="11" t="str">
        <f>CONCATENATE(Sheet2!F1180,"/",Sheet2!E1180)</f>
        <v>1/Piston</v>
      </c>
      <c r="D1180" t="str">
        <f>CONCATENATE(Sheet2!B1180,", ",Sheet2!C1180)</f>
        <v>CAB, GY-30 Supercab</v>
      </c>
    </row>
    <row r="1181" spans="1:4" x14ac:dyDescent="0.2">
      <c r="A1181" t="str">
        <f>Sheet2!A1181</f>
        <v>GY80</v>
      </c>
      <c r="B1181" t="str">
        <f ca="1">'Query Example'!D1181</f>
        <v>LandPlane</v>
      </c>
      <c r="C1181" s="11" t="str">
        <f>CONCATENATE(Sheet2!F1181,"/",Sheet2!E1181)</f>
        <v>1/Piston</v>
      </c>
      <c r="D1181" t="str">
        <f>CONCATENATE(Sheet2!B1181,", ",Sheet2!C1181)</f>
        <v>SOCATA, GY-80 Horizon</v>
      </c>
    </row>
    <row r="1182" spans="1:4" x14ac:dyDescent="0.2">
      <c r="A1182" t="str">
        <f>Sheet2!A1182</f>
        <v>H111</v>
      </c>
      <c r="B1182" t="str">
        <f ca="1">'Query Example'!D1182</f>
        <v>LandPlane</v>
      </c>
      <c r="C1182" s="11" t="str">
        <f>CONCATENATE(Sheet2!F1182,"/",Sheet2!E1182)</f>
        <v>2/Piston</v>
      </c>
      <c r="D1182" t="str">
        <f>CONCATENATE(Sheet2!B1182,", ",Sheet2!C1182)</f>
        <v>HEINKEL, He-111</v>
      </c>
    </row>
    <row r="1183" spans="1:4" x14ac:dyDescent="0.2">
      <c r="A1183" t="str">
        <f>Sheet2!A1183</f>
        <v>H12T</v>
      </c>
      <c r="B1183" t="str">
        <f ca="1">'Query Example'!D1183</f>
        <v>Helicopter</v>
      </c>
      <c r="C1183" s="11" t="str">
        <f>CONCATENATE(Sheet2!F1183,"/",Sheet2!E1183)</f>
        <v>1/Turboprop/Turboshaft</v>
      </c>
      <c r="D1183" t="str">
        <f>CONCATENATE(Sheet2!B1183,", ",Sheet2!C1183)</f>
        <v>HILLER, UH-12E3T</v>
      </c>
    </row>
    <row r="1184" spans="1:4" x14ac:dyDescent="0.2">
      <c r="A1184" t="str">
        <f>Sheet2!A1184</f>
        <v>H160</v>
      </c>
      <c r="B1184" t="str">
        <f ca="1">'Query Example'!D1184</f>
        <v>Helicopter</v>
      </c>
      <c r="C1184" s="11" t="str">
        <f>CONCATENATE(Sheet2!F1184,"/",Sheet2!E1184)</f>
        <v>2/Turboprop/Turboshaft</v>
      </c>
      <c r="D1184" t="str">
        <f>CONCATENATE(Sheet2!B1184,", ",Sheet2!C1184)</f>
        <v>AIRBUS HELICOPTERS, H-160</v>
      </c>
    </row>
    <row r="1185" spans="1:4" x14ac:dyDescent="0.2">
      <c r="A1185" t="str">
        <f>Sheet2!A1185</f>
        <v>H2</v>
      </c>
      <c r="B1185" t="str">
        <f ca="1">'Query Example'!D1185</f>
        <v>Helicopter</v>
      </c>
      <c r="C1185" s="11" t="str">
        <f>CONCATENATE(Sheet2!F1185,"/",Sheet2!E1185)</f>
        <v>2/Turboprop/Turboshaft</v>
      </c>
      <c r="D1185" t="str">
        <f>CONCATENATE(Sheet2!B1185,", ",Sheet2!C1185)</f>
        <v>KAMAN, SH-2 Seasprite</v>
      </c>
    </row>
    <row r="1186" spans="1:4" x14ac:dyDescent="0.2">
      <c r="A1186" t="str">
        <f>Sheet2!A1186</f>
        <v>H202</v>
      </c>
      <c r="B1186" t="str">
        <f ca="1">'Query Example'!D1186</f>
        <v>LandPlane</v>
      </c>
      <c r="C1186" s="11" t="str">
        <f>CONCATENATE(Sheet2!F1186,"/",Sheet2!E1186)</f>
        <v>1/Piston</v>
      </c>
      <c r="D1186" t="str">
        <f>CONCATENATE(Sheet2!B1186,", ",Sheet2!C1186)</f>
        <v>HB-AIRCRAFT, HB-202 Fledger</v>
      </c>
    </row>
    <row r="1187" spans="1:4" x14ac:dyDescent="0.2">
      <c r="A1187" t="str">
        <f>Sheet2!A1187</f>
        <v>H204</v>
      </c>
      <c r="B1187" t="str">
        <f ca="1">'Query Example'!D1187</f>
        <v>LandPlane</v>
      </c>
      <c r="C1187" s="11" t="str">
        <f>CONCATENATE(Sheet2!F1187,"/",Sheet2!E1187)</f>
        <v>1/Piston</v>
      </c>
      <c r="D1187" t="str">
        <f>CONCATENATE(Sheet2!B1187,", ",Sheet2!C1187)</f>
        <v>HB-FLUGTECHNIK, HB-204 Tornado</v>
      </c>
    </row>
    <row r="1188" spans="1:4" x14ac:dyDescent="0.2">
      <c r="A1188" t="str">
        <f>Sheet2!A1188</f>
        <v>H207</v>
      </c>
      <c r="B1188" t="str">
        <f ca="1">'Query Example'!D1188</f>
        <v>LandPlane</v>
      </c>
      <c r="C1188" s="11" t="str">
        <f>CONCATENATE(Sheet2!F1188,"/",Sheet2!E1188)</f>
        <v>1/Piston</v>
      </c>
      <c r="D1188" t="str">
        <f>CONCATENATE(Sheet2!B1188,", ",Sheet2!C1188)</f>
        <v>HB-FLUGTECHNIK, HB-207 Alfa</v>
      </c>
    </row>
    <row r="1189" spans="1:4" x14ac:dyDescent="0.2">
      <c r="A1189" t="str">
        <f>Sheet2!A1189</f>
        <v>H21</v>
      </c>
      <c r="B1189" t="str">
        <f ca="1">'Query Example'!D1189</f>
        <v>Helicopter</v>
      </c>
      <c r="C1189" s="11" t="str">
        <f>CONCATENATE(Sheet2!F1189,"/",Sheet2!E1189)</f>
        <v>1/Piston</v>
      </c>
      <c r="D1189" t="str">
        <f>CONCATENATE(Sheet2!B1189,", ",Sheet2!C1189)</f>
        <v>VERTOL, CH-21 Work horse</v>
      </c>
    </row>
    <row r="1190" spans="1:4" x14ac:dyDescent="0.2">
      <c r="A1190" t="str">
        <f>Sheet2!A1190</f>
        <v>H25A</v>
      </c>
      <c r="B1190" t="str">
        <f ca="1">'Query Example'!D1190</f>
        <v>LandPlane</v>
      </c>
      <c r="C1190" s="11" t="str">
        <f>CONCATENATE(Sheet2!F1190,"/",Sheet2!E1190)</f>
        <v>2/Jet</v>
      </c>
      <c r="D1190" t="str">
        <f>CONCATENATE(Sheet2!B1190,", ",Sheet2!C1190)</f>
        <v>HAWKER SIDDELEY, HS-125-1</v>
      </c>
    </row>
    <row r="1191" spans="1:4" x14ac:dyDescent="0.2">
      <c r="A1191" t="str">
        <f>Sheet2!A1191</f>
        <v>H25B</v>
      </c>
      <c r="B1191" t="str">
        <f ca="1">'Query Example'!D1191</f>
        <v>LandPlane</v>
      </c>
      <c r="C1191" s="11" t="str">
        <f>CONCATENATE(Sheet2!F1191,"/",Sheet2!E1191)</f>
        <v>2/Jet</v>
      </c>
      <c r="D1191" t="str">
        <f>CONCATENATE(Sheet2!B1191,", ",Sheet2!C1191)</f>
        <v>RAYTHEON, Hawker 850</v>
      </c>
    </row>
    <row r="1192" spans="1:4" x14ac:dyDescent="0.2">
      <c r="A1192" t="str">
        <f>Sheet2!A1192</f>
        <v>H25C</v>
      </c>
      <c r="B1192" t="str">
        <f ca="1">'Query Example'!D1192</f>
        <v>LandPlane</v>
      </c>
      <c r="C1192" s="11" t="str">
        <f>CONCATENATE(Sheet2!F1192,"/",Sheet2!E1192)</f>
        <v>2/Jet</v>
      </c>
      <c r="D1192" t="str">
        <f>CONCATENATE(Sheet2!B1192,", ",Sheet2!C1192)</f>
        <v>RAYTHEON, Hawker 1000</v>
      </c>
    </row>
    <row r="1193" spans="1:4" x14ac:dyDescent="0.2">
      <c r="A1193" t="str">
        <f>Sheet2!A1193</f>
        <v>H269</v>
      </c>
      <c r="B1193" t="str">
        <f ca="1">'Query Example'!D1193</f>
        <v>Helicopter</v>
      </c>
      <c r="C1193" s="11" t="str">
        <f>CONCATENATE(Sheet2!F1193,"/",Sheet2!E1193)</f>
        <v>1/Piston</v>
      </c>
      <c r="D1193" t="str">
        <f>CONCATENATE(Sheet2!B1193,", ",Sheet2!C1193)</f>
        <v>HUGHES, 269 Sky Knight</v>
      </c>
    </row>
    <row r="1194" spans="1:4" x14ac:dyDescent="0.2">
      <c r="A1194" t="str">
        <f>Sheet2!A1194</f>
        <v>H40</v>
      </c>
      <c r="B1194" t="str">
        <f ca="1">'Query Example'!D1194</f>
        <v>LandPlane</v>
      </c>
      <c r="C1194" s="11" t="str">
        <f>CONCATENATE(Sheet2!F1194,"/",Sheet2!E1194)</f>
        <v>1/Piston</v>
      </c>
      <c r="D1194" t="str">
        <f>CONCATENATE(Sheet2!B1194,", ",Sheet2!C1194)</f>
        <v>HOFFMANN, H-40</v>
      </c>
    </row>
    <row r="1195" spans="1:4" x14ac:dyDescent="0.2">
      <c r="A1195" t="str">
        <f>Sheet2!A1195</f>
        <v>H43A</v>
      </c>
      <c r="B1195" t="str">
        <f ca="1">'Query Example'!D1195</f>
        <v>Helicopter</v>
      </c>
      <c r="C1195" s="11" t="str">
        <f>CONCATENATE(Sheet2!F1195,"/",Sheet2!E1195)</f>
        <v>1/Piston</v>
      </c>
      <c r="D1195" t="str">
        <f>CONCATENATE(Sheet2!B1195,", ",Sheet2!C1195)</f>
        <v>KAMAN, H-43A</v>
      </c>
    </row>
    <row r="1196" spans="1:4" x14ac:dyDescent="0.2">
      <c r="A1196" t="str">
        <f>Sheet2!A1196</f>
        <v>H46</v>
      </c>
      <c r="B1196" t="str">
        <f ca="1">'Query Example'!D1196</f>
        <v>Helicopter</v>
      </c>
      <c r="C1196" s="11" t="str">
        <f>CONCATENATE(Sheet2!F1196,"/",Sheet2!E1196)</f>
        <v>2/Turboprop/Turboshaft</v>
      </c>
      <c r="D1196" t="str">
        <f>CONCATENATE(Sheet2!B1196,", ",Sheet2!C1196)</f>
        <v>BOEING VERTOL, CH-46 Sea Knight</v>
      </c>
    </row>
    <row r="1197" spans="1:4" x14ac:dyDescent="0.2">
      <c r="A1197" t="str">
        <f>Sheet2!A1197</f>
        <v>H47</v>
      </c>
      <c r="B1197" t="str">
        <f ca="1">'Query Example'!D1197</f>
        <v>Helicopter</v>
      </c>
      <c r="C1197" s="11" t="str">
        <f>CONCATENATE(Sheet2!F1197,"/",Sheet2!E1197)</f>
        <v>2/Turboprop/Turboshaft</v>
      </c>
      <c r="D1197" t="str">
        <f>CONCATENATE(Sheet2!B1197,", ",Sheet2!C1197)</f>
        <v>BOEING VERTOL, CH-47 Chinook</v>
      </c>
    </row>
    <row r="1198" spans="1:4" x14ac:dyDescent="0.2">
      <c r="A1198" t="str">
        <f>Sheet2!A1198</f>
        <v>H500</v>
      </c>
      <c r="B1198" t="str">
        <f ca="1">'Query Example'!D1198</f>
        <v>Helicopter</v>
      </c>
      <c r="C1198" s="11" t="str">
        <f>CONCATENATE(Sheet2!F1198,"/",Sheet2!E1198)</f>
        <v>1/Turboprop/Turboshaft</v>
      </c>
      <c r="D1198" t="str">
        <f>CONCATENATE(Sheet2!B1198,", ",Sheet2!C1198)</f>
        <v>HUGHES, 500</v>
      </c>
    </row>
    <row r="1199" spans="1:4" x14ac:dyDescent="0.2">
      <c r="A1199" t="str">
        <f>Sheet2!A1199</f>
        <v>H53</v>
      </c>
      <c r="B1199" t="str">
        <f ca="1">'Query Example'!D1199</f>
        <v>Helicopter</v>
      </c>
      <c r="C1199" s="11" t="str">
        <f>CONCATENATE(Sheet2!F1199,"/",Sheet2!E1199)</f>
        <v>2/Turboprop/Turboshaft</v>
      </c>
      <c r="D1199" t="str">
        <f>CONCATENATE(Sheet2!B1199,", ",Sheet2!C1199)</f>
        <v>SIKORSKY, CH-53D Sea Stallion</v>
      </c>
    </row>
    <row r="1200" spans="1:4" x14ac:dyDescent="0.2">
      <c r="A1200" t="str">
        <f>Sheet2!A1200</f>
        <v>H53S</v>
      </c>
      <c r="B1200" t="str">
        <f ca="1">'Query Example'!D1200</f>
        <v>Helicopter</v>
      </c>
      <c r="C1200" s="11" t="str">
        <f>CONCATENATE(Sheet2!F1200,"/",Sheet2!E1200)</f>
        <v>3/Turboprop/Turboshaft</v>
      </c>
      <c r="D1200" t="str">
        <f>CONCATENATE(Sheet2!B1200,", ",Sheet2!C1200)</f>
        <v>SIKORSKY, CH-53E Super Stallion</v>
      </c>
    </row>
    <row r="1201" spans="1:4" x14ac:dyDescent="0.2">
      <c r="A1201" t="str">
        <f>Sheet2!A1201</f>
        <v>H60</v>
      </c>
      <c r="B1201" t="str">
        <f ca="1">'Query Example'!D1201</f>
        <v>Helicopter</v>
      </c>
      <c r="C1201" s="11" t="str">
        <f>CONCATENATE(Sheet2!F1201,"/",Sheet2!E1201)</f>
        <v>2/Turboprop/Turboshaft</v>
      </c>
      <c r="D1201" t="str">
        <f>CONCATENATE(Sheet2!B1201,", ",Sheet2!C1201)</f>
        <v>SIKORSKY, MH-60 Black Hawk</v>
      </c>
    </row>
    <row r="1202" spans="1:4" x14ac:dyDescent="0.2">
      <c r="A1202" t="str">
        <f>Sheet2!A1202</f>
        <v>H64</v>
      </c>
      <c r="B1202" t="str">
        <f ca="1">'Query Example'!D1202</f>
        <v>Helicopter</v>
      </c>
      <c r="C1202" s="11" t="str">
        <f>CONCATENATE(Sheet2!F1202,"/",Sheet2!E1202)</f>
        <v>2/Turboprop/Turboshaft</v>
      </c>
      <c r="D1202" t="str">
        <f>CONCATENATE(Sheet2!B1202,", ",Sheet2!C1202)</f>
        <v>MCDONNELL DOUGLAS, AH-64 Apache</v>
      </c>
    </row>
    <row r="1203" spans="1:4" x14ac:dyDescent="0.2">
      <c r="A1203" t="str">
        <f>Sheet2!A1203</f>
        <v>HA2</v>
      </c>
      <c r="B1203" t="str">
        <f ca="1">'Query Example'!D1203</f>
        <v>Gyrocopter</v>
      </c>
      <c r="C1203" s="11" t="str">
        <f>CONCATENATE(Sheet2!F1203,"/",Sheet2!E1203)</f>
        <v>1/Piston</v>
      </c>
      <c r="D1203" t="str">
        <f>CONCATENATE(Sheet2!B1203,", ",Sheet2!C1203)</f>
        <v>HOLLMANN, HA-2 Sportster</v>
      </c>
    </row>
    <row r="1204" spans="1:4" x14ac:dyDescent="0.2">
      <c r="A1204" t="str">
        <f>Sheet2!A1204</f>
        <v>HA31</v>
      </c>
      <c r="B1204" t="str">
        <f ca="1">'Query Example'!D1204</f>
        <v>LandPlane</v>
      </c>
      <c r="C1204" s="11" t="str">
        <f>CONCATENATE(Sheet2!F1204,"/",Sheet2!E1204)</f>
        <v>1/Piston</v>
      </c>
      <c r="D1204" t="str">
        <f>CONCATENATE(Sheet2!B1204,", ",Sheet2!C1204)</f>
        <v>HINDUSTAN, HA-31 Basant</v>
      </c>
    </row>
    <row r="1205" spans="1:4" x14ac:dyDescent="0.2">
      <c r="A1205" t="str">
        <f>Sheet2!A1205</f>
        <v>HA4T</v>
      </c>
      <c r="B1205" t="str">
        <f ca="1">'Query Example'!D1205</f>
        <v>LandPlane</v>
      </c>
      <c r="C1205" s="11" t="str">
        <f>CONCATENATE(Sheet2!F1205,"/",Sheet2!E1205)</f>
        <v>2/Jet</v>
      </c>
      <c r="D1205" t="str">
        <f>CONCATENATE(Sheet2!B1205,", ",Sheet2!C1205)</f>
        <v>RAYTHEON, Hawker 4000</v>
      </c>
    </row>
    <row r="1206" spans="1:4" x14ac:dyDescent="0.2">
      <c r="A1206" t="str">
        <f>Sheet2!A1206</f>
        <v>HAHU</v>
      </c>
      <c r="B1206" t="str">
        <f ca="1">'Query Example'!D1206</f>
        <v>LandPlane</v>
      </c>
      <c r="C1206" s="11" t="str">
        <f>CONCATENATE(Sheet2!F1206,"/",Sheet2!E1206)</f>
        <v>1/Piston</v>
      </c>
      <c r="D1206" t="str">
        <f>CONCATENATE(Sheet2!B1206,", ",Sheet2!C1206)</f>
        <v>SINDLINGER, HH-1 Hawker Hurricane</v>
      </c>
    </row>
    <row r="1207" spans="1:4" x14ac:dyDescent="0.2">
      <c r="A1207" t="str">
        <f>Sheet2!A1207</f>
        <v>HAR</v>
      </c>
      <c r="B1207" t="str">
        <f ca="1">'Query Example'!D1207</f>
        <v>LandPlane</v>
      </c>
      <c r="C1207" s="11" t="str">
        <f>CONCATENATE(Sheet2!F1207,"/",Sheet2!E1207)</f>
        <v>1/Jet</v>
      </c>
      <c r="D1207" t="str">
        <f>CONCATENATE(Sheet2!B1207,", ",Sheet2!C1207)</f>
        <v>MCDONNELL DOUGLAS, AV-8 Harrier</v>
      </c>
    </row>
    <row r="1208" spans="1:4" x14ac:dyDescent="0.2">
      <c r="A1208" t="str">
        <f>Sheet2!A1208</f>
        <v>HAW3</v>
      </c>
      <c r="B1208" t="str">
        <f ca="1">'Query Example'!D1208</f>
        <v>Gyrocopter</v>
      </c>
      <c r="C1208" s="11" t="str">
        <f>CONCATENATE(Sheet2!F1208,"/",Sheet2!E1208)</f>
        <v>1/Piston</v>
      </c>
      <c r="D1208" t="str">
        <f>CONCATENATE(Sheet2!B1208,", ",Sheet2!C1208)</f>
        <v>GROEN, H2X Hawk 3</v>
      </c>
    </row>
    <row r="1209" spans="1:4" x14ac:dyDescent="0.2">
      <c r="A1209" t="str">
        <f>Sheet2!A1209</f>
        <v>HAWK</v>
      </c>
      <c r="B1209" t="str">
        <f ca="1">'Query Example'!D1209</f>
        <v>LandPlane</v>
      </c>
      <c r="C1209" s="11" t="str">
        <f>CONCATENATE(Sheet2!F1209,"/",Sheet2!E1209)</f>
        <v>1/Jet</v>
      </c>
      <c r="D1209" t="str">
        <f>CONCATENATE(Sheet2!B1209,", ",Sheet2!C1209)</f>
        <v>BAE SYSTEMS, Hawk</v>
      </c>
    </row>
    <row r="1210" spans="1:4" x14ac:dyDescent="0.2">
      <c r="A1210" t="str">
        <f>Sheet2!A1210</f>
        <v>HB21</v>
      </c>
      <c r="B1210" t="str">
        <f ca="1">'Query Example'!D1210</f>
        <v>LandPlane</v>
      </c>
      <c r="C1210" s="11" t="str">
        <f>CONCATENATE(Sheet2!F1210,"/",Sheet2!E1210)</f>
        <v>1/Piston</v>
      </c>
      <c r="D1210" t="str">
        <f>CONCATENATE(Sheet2!B1210,", ",Sheet2!C1210)</f>
        <v>BRDITSCHKA, HB-21 Hobbylifter</v>
      </c>
    </row>
    <row r="1211" spans="1:4" x14ac:dyDescent="0.2">
      <c r="A1211" t="str">
        <f>Sheet2!A1211</f>
        <v>HB23</v>
      </c>
      <c r="B1211" t="str">
        <f ca="1">'Query Example'!D1211</f>
        <v>LandPlane</v>
      </c>
      <c r="C1211" s="11" t="str">
        <f>CONCATENATE(Sheet2!F1211,"/",Sheet2!E1211)</f>
        <v>1/Piston</v>
      </c>
      <c r="D1211" t="str">
        <f>CONCATENATE(Sheet2!B1211,", ",Sheet2!C1211)</f>
        <v>BRDITSCHKA, HB-23 Hobbyliner</v>
      </c>
    </row>
    <row r="1212" spans="1:4" x14ac:dyDescent="0.2">
      <c r="A1212" t="str">
        <f>Sheet2!A1212</f>
        <v>HB3</v>
      </c>
      <c r="B1212" t="str">
        <f ca="1">'Query Example'!D1212</f>
        <v>LandPlane</v>
      </c>
      <c r="C1212" s="11" t="str">
        <f>CONCATENATE(Sheet2!F1212,"/",Sheet2!E1212)</f>
        <v>1/Piston</v>
      </c>
      <c r="D1212" t="str">
        <f>CONCATENATE(Sheet2!B1212,", ",Sheet2!C1212)</f>
        <v>BRDITSCHKA, HB-3</v>
      </c>
    </row>
    <row r="1213" spans="1:4" x14ac:dyDescent="0.2">
      <c r="A1213" t="str">
        <f>Sheet2!A1213</f>
        <v>HCAT</v>
      </c>
      <c r="B1213" t="str">
        <f ca="1">'Query Example'!D1213</f>
        <v>LandPlane</v>
      </c>
      <c r="C1213" s="11" t="str">
        <f>CONCATENATE(Sheet2!F1213,"/",Sheet2!E1213)</f>
        <v>1/Piston</v>
      </c>
      <c r="D1213" t="str">
        <f>CONCATENATE(Sheet2!B1213,", ",Sheet2!C1213)</f>
        <v>GRUMMAN, F6F Hellcat</v>
      </c>
    </row>
    <row r="1214" spans="1:4" x14ac:dyDescent="0.2">
      <c r="A1214" t="str">
        <f>Sheet2!A1214</f>
        <v>HD34</v>
      </c>
      <c r="B1214" t="str">
        <f ca="1">'Query Example'!D1214</f>
        <v>LandPlane</v>
      </c>
      <c r="C1214" s="11" t="str">
        <f>CONCATENATE(Sheet2!F1214,"/",Sheet2!E1214)</f>
        <v>2/Piston</v>
      </c>
      <c r="D1214" t="str">
        <f>CONCATENATE(Sheet2!B1214,", ",Sheet2!C1214)</f>
        <v>HUREL-DUBOIS, HD-34</v>
      </c>
    </row>
    <row r="1215" spans="1:4" x14ac:dyDescent="0.2">
      <c r="A1215" t="str">
        <f>Sheet2!A1215</f>
        <v>HDJT</v>
      </c>
      <c r="B1215" t="str">
        <f ca="1">'Query Example'!D1215</f>
        <v>LandPlane</v>
      </c>
      <c r="C1215" s="11" t="str">
        <f>CONCATENATE(Sheet2!F1215,"/",Sheet2!E1215)</f>
        <v>2/Jet</v>
      </c>
      <c r="D1215" t="str">
        <f>CONCATENATE(Sheet2!B1215,", ",Sheet2!C1215)</f>
        <v>HONDA, HA-420 HondaJet</v>
      </c>
    </row>
    <row r="1216" spans="1:4" x14ac:dyDescent="0.2">
      <c r="A1216" t="str">
        <f>Sheet2!A1216</f>
        <v>HEAD</v>
      </c>
      <c r="B1216" t="str">
        <f ca="1">'Query Example'!D1216</f>
        <v>LandPlane</v>
      </c>
      <c r="C1216" s="11" t="str">
        <f>CONCATENATE(Sheet2!F1216,"/",Sheet2!E1216)</f>
        <v>1/Piston</v>
      </c>
      <c r="D1216" t="str">
        <f>CONCATENATE(Sheet2!B1216,", ",Sheet2!C1216)</f>
        <v>STEWART (2), JD-1 Headwind</v>
      </c>
    </row>
    <row r="1217" spans="1:4" x14ac:dyDescent="0.2">
      <c r="A1217" t="str">
        <f>Sheet2!A1217</f>
        <v>HERN</v>
      </c>
      <c r="B1217" t="str">
        <f ca="1">'Query Example'!D1217</f>
        <v>LandPlane</v>
      </c>
      <c r="C1217" s="11" t="str">
        <f>CONCATENATE(Sheet2!F1217,"/",Sheet2!E1217)</f>
        <v>4/Piston</v>
      </c>
      <c r="D1217" t="str">
        <f>CONCATENATE(Sheet2!B1217,", ",Sheet2!C1217)</f>
        <v>DE HAVILLAND, DH-114 Heron</v>
      </c>
    </row>
    <row r="1218" spans="1:4" x14ac:dyDescent="0.2">
      <c r="A1218" t="str">
        <f>Sheet2!A1218</f>
        <v>HF20</v>
      </c>
      <c r="B1218" t="str">
        <f ca="1">'Query Example'!D1218</f>
        <v>LandPlane</v>
      </c>
      <c r="C1218" s="11" t="str">
        <f>CONCATENATE(Sheet2!F1218,"/",Sheet2!E1218)</f>
        <v>2/Jet</v>
      </c>
      <c r="D1218" t="str">
        <f>CONCATENATE(Sheet2!B1218,", ",Sheet2!C1218)</f>
        <v>HFB, HFB-320 Hansa</v>
      </c>
    </row>
    <row r="1219" spans="1:4" x14ac:dyDescent="0.2">
      <c r="A1219" t="str">
        <f>Sheet2!A1219</f>
        <v>HI27</v>
      </c>
      <c r="B1219" t="str">
        <f ca="1">'Query Example'!D1219</f>
        <v>LandPlane</v>
      </c>
      <c r="C1219" s="11" t="str">
        <f>CONCATENATE(Sheet2!F1219,"/",Sheet2!E1219)</f>
        <v>1/Piston</v>
      </c>
      <c r="D1219" t="str">
        <f>CONCATENATE(Sheet2!B1219,", ",Sheet2!C1219)</f>
        <v>HIRTH, Hi-27 Acrostar</v>
      </c>
    </row>
    <row r="1220" spans="1:4" x14ac:dyDescent="0.2">
      <c r="A1220" t="str">
        <f>Sheet2!A1220</f>
        <v>HIGH</v>
      </c>
      <c r="B1220" t="str">
        <f ca="1">'Query Example'!D1220</f>
        <v>LandPlane</v>
      </c>
      <c r="C1220" s="11" t="str">
        <f>CONCATENATE(Sheet2!F1220,"/",Sheet2!E1220)</f>
        <v>1/Piston</v>
      </c>
      <c r="D1220" t="str">
        <f>CONCATENATE(Sheet2!B1220,", ",Sheet2!C1220)</f>
        <v>JUST, Highlander</v>
      </c>
    </row>
    <row r="1221" spans="1:4" x14ac:dyDescent="0.2">
      <c r="A1221" t="str">
        <f>Sheet2!A1221</f>
        <v>HIND</v>
      </c>
      <c r="B1221" t="str">
        <f ca="1">'Query Example'!D1221</f>
        <v>LandPlane</v>
      </c>
      <c r="C1221" s="11" t="str">
        <f>CONCATENATE(Sheet2!F1221,"/",Sheet2!E1221)</f>
        <v>1/Piston</v>
      </c>
      <c r="D1221" t="str">
        <f>CONCATENATE(Sheet2!B1221,", ",Sheet2!C1221)</f>
        <v>HAWKER, Hind</v>
      </c>
    </row>
    <row r="1222" spans="1:4" x14ac:dyDescent="0.2">
      <c r="A1222" t="str">
        <f>Sheet2!A1222</f>
        <v>HL2</v>
      </c>
      <c r="B1222" t="str">
        <f ca="1">'Query Example'!D1222</f>
        <v>LandPlane</v>
      </c>
      <c r="C1222" s="11" t="str">
        <f>CONCATENATE(Sheet2!F1222,"/",Sheet2!E1222)</f>
        <v>1/Piston</v>
      </c>
      <c r="D1222" t="str">
        <f>CONCATENATE(Sheet2!B1222,", ",Sheet2!C1222)</f>
        <v>LAMBACH, HL-2 Replica</v>
      </c>
    </row>
    <row r="1223" spans="1:4" x14ac:dyDescent="0.2">
      <c r="A1223" t="str">
        <f>Sheet2!A1223</f>
        <v>HLD4</v>
      </c>
      <c r="B1223" t="str">
        <f ca="1">'Query Example'!D1223</f>
        <v>LandPlane</v>
      </c>
      <c r="C1223" s="11" t="str">
        <f>CONCATENATE(Sheet2!F1223,"/",Sheet2!E1223)</f>
        <v>1/Piston</v>
      </c>
      <c r="D1223" t="str">
        <f>CONCATENATE(Sheet2!B1223,", ",Sheet2!C1223)</f>
        <v>HALBERSTADT, D-4 Replica</v>
      </c>
    </row>
    <row r="1224" spans="1:4" x14ac:dyDescent="0.2">
      <c r="A1224" t="str">
        <f>Sheet2!A1224</f>
        <v>HM38</v>
      </c>
      <c r="B1224" t="str">
        <f ca="1">'Query Example'!D1224</f>
        <v>LandPlane</v>
      </c>
      <c r="C1224" s="11" t="str">
        <f>CONCATENATE(Sheet2!F1224,"/",Sheet2!E1224)</f>
        <v>1/Piston</v>
      </c>
      <c r="D1224" t="str">
        <f>CONCATENATE(Sheet2!B1224,", ",Sheet2!C1224)</f>
        <v>FALCONAR, HM-380 Ladybug</v>
      </c>
    </row>
    <row r="1225" spans="1:4" x14ac:dyDescent="0.2">
      <c r="A1225" t="str">
        <f>Sheet2!A1225</f>
        <v>HN70</v>
      </c>
      <c r="B1225" t="str">
        <f ca="1">'Query Example'!D1225</f>
        <v>LandPlane</v>
      </c>
      <c r="C1225" s="11" t="str">
        <f>CONCATENATE(Sheet2!F1225,"/",Sheet2!E1225)</f>
        <v>1/Piston</v>
      </c>
      <c r="D1225" t="str">
        <f>CONCATENATE(Sheet2!B1225,", ",Sheet2!C1225)</f>
        <v>NICOLLIER, HN-700 Menestrel 2</v>
      </c>
    </row>
    <row r="1226" spans="1:4" x14ac:dyDescent="0.2">
      <c r="A1226" t="str">
        <f>Sheet2!A1226</f>
        <v>HORN</v>
      </c>
      <c r="B1226" t="str">
        <f ca="1">'Query Example'!D1226</f>
        <v>LandPlane</v>
      </c>
      <c r="C1226" s="11" t="str">
        <f>CONCATENATE(Sheet2!F1226,"/",Sheet2!E1226)</f>
        <v>1/Piston</v>
      </c>
      <c r="D1226" t="str">
        <f>CONCATENATE(Sheet2!B1226,", ",Sheet2!C1226)</f>
        <v>WALLERKOWSKI, Hornisse</v>
      </c>
    </row>
    <row r="1227" spans="1:4" x14ac:dyDescent="0.2">
      <c r="A1227" t="str">
        <f>Sheet2!A1227</f>
        <v>HORZ</v>
      </c>
      <c r="B1227" t="str">
        <f ca="1">'Query Example'!D1227</f>
        <v>LandPlane</v>
      </c>
      <c r="C1227" s="11" t="str">
        <f>CONCATENATE(Sheet2!F1227,"/",Sheet2!E1227)</f>
        <v>1/Piston</v>
      </c>
      <c r="D1227" t="str">
        <f>CONCATENATE(Sheet2!B1227,", ",Sheet2!C1227)</f>
        <v>FISHER AERO, Horizon</v>
      </c>
    </row>
    <row r="1228" spans="1:4" x14ac:dyDescent="0.2">
      <c r="A1228" t="str">
        <f>Sheet2!A1228</f>
        <v>HPTR</v>
      </c>
      <c r="B1228" t="str">
        <f ca="1">'Query Example'!D1228</f>
        <v>Amphibian</v>
      </c>
      <c r="C1228" s="11" t="str">
        <f>CONCATENATE(Sheet2!F1228,"/",Sheet2!E1228)</f>
        <v>1/Piston</v>
      </c>
      <c r="D1228" t="str">
        <f>CONCATENATE(Sheet2!B1228,", ",Sheet2!C1228)</f>
        <v>IDEA, Hydropteron</v>
      </c>
    </row>
    <row r="1229" spans="1:4" x14ac:dyDescent="0.2">
      <c r="A1229" t="str">
        <f>Sheet2!A1229</f>
        <v>HPZL</v>
      </c>
      <c r="B1229" t="str">
        <f ca="1">'Query Example'!D1229</f>
        <v>LandPlane</v>
      </c>
      <c r="C1229" s="11" t="str">
        <f>CONCATENATE(Sheet2!F1229,"/",Sheet2!E1229)</f>
        <v>1/Piston</v>
      </c>
      <c r="D1229" t="str">
        <f>CONCATENATE(Sheet2!B1229,", ",Sheet2!C1229)</f>
        <v>HISTORICAL AIRCRAFT, PZL P-11C</v>
      </c>
    </row>
    <row r="1230" spans="1:4" x14ac:dyDescent="0.2">
      <c r="A1230" t="str">
        <f>Sheet2!A1230</f>
        <v>HR10</v>
      </c>
      <c r="B1230" t="str">
        <f ca="1">'Query Example'!D1230</f>
        <v>LandPlane</v>
      </c>
      <c r="C1230" s="11" t="str">
        <f>CONCATENATE(Sheet2!F1230,"/",Sheet2!E1230)</f>
        <v>1/Piston</v>
      </c>
      <c r="D1230" t="str">
        <f>CONCATENATE(Sheet2!B1230,", ",Sheet2!C1230)</f>
        <v>ROBIN, HR-100 President</v>
      </c>
    </row>
    <row r="1231" spans="1:4" x14ac:dyDescent="0.2">
      <c r="A1231" t="str">
        <f>Sheet2!A1231</f>
        <v>HR20</v>
      </c>
      <c r="B1231" t="str">
        <f ca="1">'Query Example'!D1231</f>
        <v>LandPlane</v>
      </c>
      <c r="C1231" s="11" t="str">
        <f>CONCATENATE(Sheet2!F1231,"/",Sheet2!E1231)</f>
        <v>1/Piston</v>
      </c>
      <c r="D1231" t="str">
        <f>CONCATENATE(Sheet2!B1231,", ",Sheet2!C1231)</f>
        <v>ROBIN, HR-200 Acrobin</v>
      </c>
    </row>
    <row r="1232" spans="1:4" x14ac:dyDescent="0.2">
      <c r="A1232" t="str">
        <f>Sheet2!A1232</f>
        <v>HRM9</v>
      </c>
      <c r="B1232" t="str">
        <f ca="1">'Query Example'!D1232</f>
        <v>LandPlane</v>
      </c>
      <c r="C1232" s="11" t="str">
        <f>CONCATENATE(Sheet2!F1232,"/",Sheet2!E1232)</f>
        <v>1/Piston</v>
      </c>
      <c r="D1232" t="str">
        <f>CONCATENATE(Sheet2!B1232,", ",Sheet2!C1232)</f>
        <v>ELBIT, Hermes 900</v>
      </c>
    </row>
    <row r="1233" spans="1:4" x14ac:dyDescent="0.2">
      <c r="A1233" t="str">
        <f>Sheet2!A1233</f>
        <v>HRNT</v>
      </c>
      <c r="B1233" t="str">
        <f ca="1">'Query Example'!D1233</f>
        <v>LandPlane</v>
      </c>
      <c r="C1233" s="11" t="str">
        <f>CONCATENATE(Sheet2!F1233,"/",Sheet2!E1233)</f>
        <v>1/Piston</v>
      </c>
      <c r="D1233" t="str">
        <f>CONCATENATE(Sheet2!B1233,", ",Sheet2!C1233)</f>
        <v>AAK, Hornet</v>
      </c>
    </row>
    <row r="1234" spans="1:4" x14ac:dyDescent="0.2">
      <c r="A1234" t="str">
        <f>Sheet2!A1234</f>
        <v>HROC</v>
      </c>
      <c r="B1234" t="str">
        <f ca="1">'Query Example'!D1234</f>
        <v>LandPlane</v>
      </c>
      <c r="C1234" s="11" t="str">
        <f>CONCATENATE(Sheet2!F1234,"/",Sheet2!E1234)</f>
        <v>1/Piston</v>
      </c>
      <c r="D1234" t="str">
        <f>CONCATENATE(Sheet2!B1234,", ",Sheet2!C1234)</f>
        <v>HARMON (2), Rocket</v>
      </c>
    </row>
    <row r="1235" spans="1:4" x14ac:dyDescent="0.2">
      <c r="A1235" t="str">
        <f>Sheet2!A1235</f>
        <v>HRON</v>
      </c>
      <c r="B1235" t="str">
        <f ca="1">'Query Example'!D1235</f>
        <v>LandPlane</v>
      </c>
      <c r="C1235" s="11" t="str">
        <f>CONCATENATE(Sheet2!F1235,"/",Sheet2!E1235)</f>
        <v>1/Piston</v>
      </c>
      <c r="D1235" t="str">
        <f>CONCATENATE(Sheet2!B1235,", ",Sheet2!C1235)</f>
        <v>IAI, Heron</v>
      </c>
    </row>
    <row r="1236" spans="1:4" x14ac:dyDescent="0.2">
      <c r="A1236" t="str">
        <f>Sheet2!A1236</f>
        <v>HRYA</v>
      </c>
      <c r="B1236" t="str">
        <f ca="1">'Query Example'!D1236</f>
        <v>LandPlane</v>
      </c>
      <c r="C1236" s="11" t="str">
        <f>CONCATENATE(Sheet2!F1236,"/",Sheet2!E1236)</f>
        <v>1/Piston</v>
      </c>
      <c r="D1236" t="str">
        <f>CONCATENATE(Sheet2!B1236,", ",Sheet2!C1236)</f>
        <v>HISTORICAL AIRCRAFT, Ryan Trainer</v>
      </c>
    </row>
    <row r="1237" spans="1:4" x14ac:dyDescent="0.2">
      <c r="A1237" t="str">
        <f>Sheet2!A1237</f>
        <v>HSMT</v>
      </c>
      <c r="B1237" t="str">
        <f ca="1">'Query Example'!D1237</f>
        <v>Helicopter</v>
      </c>
      <c r="C1237" s="11" t="str">
        <f>CONCATENATE(Sheet2!F1237,"/",Sheet2!E1237)</f>
        <v>1/Piston</v>
      </c>
      <c r="D1237" t="str">
        <f>CONCATENATE(Sheet2!B1237,", ",Sheet2!C1237)</f>
        <v>ROTORSMART, HeliSmart</v>
      </c>
    </row>
    <row r="1238" spans="1:4" x14ac:dyDescent="0.2">
      <c r="A1238" t="str">
        <f>Sheet2!A1238</f>
        <v>HT16</v>
      </c>
      <c r="B1238" t="str">
        <f ca="1">'Query Example'!D1238</f>
        <v>LandPlane</v>
      </c>
      <c r="C1238" s="11" t="str">
        <f>CONCATENATE(Sheet2!F1238,"/",Sheet2!E1238)</f>
        <v>1/Jet</v>
      </c>
      <c r="D1238" t="str">
        <f>CONCATENATE(Sheet2!B1238,", ",Sheet2!C1238)</f>
        <v>HINDUSTAN, HJT-16 Kiran</v>
      </c>
    </row>
    <row r="1239" spans="1:4" x14ac:dyDescent="0.2">
      <c r="A1239" t="str">
        <f>Sheet2!A1239</f>
        <v>HT2</v>
      </c>
      <c r="B1239" t="str">
        <f ca="1">'Query Example'!D1239</f>
        <v>LandPlane</v>
      </c>
      <c r="C1239" s="11" t="str">
        <f>CONCATENATE(Sheet2!F1239,"/",Sheet2!E1239)</f>
        <v>1/Piston</v>
      </c>
      <c r="D1239" t="str">
        <f>CONCATENATE(Sheet2!B1239,", ",Sheet2!C1239)</f>
        <v>HINDUSTAN, HT-2</v>
      </c>
    </row>
    <row r="1240" spans="1:4" x14ac:dyDescent="0.2">
      <c r="A1240" t="str">
        <f>Sheet2!A1240</f>
        <v>HT32</v>
      </c>
      <c r="B1240" t="str">
        <f ca="1">'Query Example'!D1240</f>
        <v>LandPlane</v>
      </c>
      <c r="C1240" s="11" t="str">
        <f>CONCATENATE(Sheet2!F1240,"/",Sheet2!E1240)</f>
        <v>1/Piston</v>
      </c>
      <c r="D1240" t="str">
        <f>CONCATENATE(Sheet2!B1240,", ",Sheet2!C1240)</f>
        <v>HINDUSTAN, HPT-32 Deepak</v>
      </c>
    </row>
    <row r="1241" spans="1:4" x14ac:dyDescent="0.2">
      <c r="A1241" t="str">
        <f>Sheet2!A1241</f>
        <v>HT34</v>
      </c>
      <c r="B1241" t="str">
        <f ca="1">'Query Example'!D1241</f>
        <v>LandPlane</v>
      </c>
      <c r="C1241" s="11" t="str">
        <f>CONCATENATE(Sheet2!F1241,"/",Sheet2!E1241)</f>
        <v>1/Turboprop/Turboshaft</v>
      </c>
      <c r="D1241" t="str">
        <f>CONCATENATE(Sheet2!B1241,", ",Sheet2!C1241)</f>
        <v>HINDUSTAN, HTT-34</v>
      </c>
    </row>
    <row r="1242" spans="1:4" x14ac:dyDescent="0.2">
      <c r="A1242" t="str">
        <f>Sheet2!A1242</f>
        <v>HT36</v>
      </c>
      <c r="B1242" t="str">
        <f ca="1">'Query Example'!D1242</f>
        <v>LandPlane</v>
      </c>
      <c r="C1242" s="11" t="str">
        <f>CONCATENATE(Sheet2!F1242,"/",Sheet2!E1242)</f>
        <v>1/Jet</v>
      </c>
      <c r="D1242" t="str">
        <f>CONCATENATE(Sheet2!B1242,", ",Sheet2!C1242)</f>
        <v>HINDUSTAN, HJT-36 Sitara</v>
      </c>
    </row>
    <row r="1243" spans="1:4" x14ac:dyDescent="0.2">
      <c r="A1243" t="str">
        <f>Sheet2!A1243</f>
        <v>HT40</v>
      </c>
      <c r="B1243" t="str">
        <f ca="1">'Query Example'!D1243</f>
        <v>LandPlane</v>
      </c>
      <c r="C1243" s="11" t="str">
        <f>CONCATENATE(Sheet2!F1243,"/",Sheet2!E1243)</f>
        <v>1/Turboprop/Turboshaft</v>
      </c>
      <c r="D1243" t="str">
        <f>CONCATENATE(Sheet2!B1243,", ",Sheet2!C1243)</f>
        <v>HINDUSTAN, HTT-40</v>
      </c>
    </row>
    <row r="1244" spans="1:4" x14ac:dyDescent="0.2">
      <c r="A1244" t="str">
        <f>Sheet2!A1244</f>
        <v>HU1</v>
      </c>
      <c r="B1244" t="str">
        <f ca="1">'Query Example'!D1244</f>
        <v>LandPlane</v>
      </c>
      <c r="C1244" s="11" t="str">
        <f>CONCATENATE(Sheet2!F1244,"/",Sheet2!E1244)</f>
        <v>1/Piston</v>
      </c>
      <c r="D1244" t="str">
        <f>CONCATENATE(Sheet2!B1244,", ",Sheet2!C1244)</f>
        <v>SHENYANG SAILPLANE, HU-1 Seagull</v>
      </c>
    </row>
    <row r="1245" spans="1:4" x14ac:dyDescent="0.2">
      <c r="A1245" t="str">
        <f>Sheet2!A1245</f>
        <v>HU2</v>
      </c>
      <c r="B1245" t="str">
        <f ca="1">'Query Example'!D1245</f>
        <v>LandPlane</v>
      </c>
      <c r="C1245" s="11" t="str">
        <f>CONCATENATE(Sheet2!F1245,"/",Sheet2!E1245)</f>
        <v>1/Piston</v>
      </c>
      <c r="D1245" t="str">
        <f>CONCATENATE(Sheet2!B1245,", ",Sheet2!C1245)</f>
        <v>SHENYANG SAILPLANE, HU-2 Petrel</v>
      </c>
    </row>
    <row r="1246" spans="1:4" x14ac:dyDescent="0.2">
      <c r="A1246" t="str">
        <f>Sheet2!A1246</f>
        <v>HUCO</v>
      </c>
      <c r="B1246" t="str">
        <f ca="1">'Query Example'!D1246</f>
        <v>Helicopter</v>
      </c>
      <c r="C1246" s="11" t="str">
        <f>CONCATENATE(Sheet2!F1246,"/",Sheet2!E1246)</f>
        <v>1/Turboprop/Turboshaft</v>
      </c>
      <c r="D1246" t="str">
        <f>CONCATENATE(Sheet2!B1246,", ",Sheet2!C1246)</f>
        <v>BELL, AH-1S HueyCobra</v>
      </c>
    </row>
    <row r="1247" spans="1:4" x14ac:dyDescent="0.2">
      <c r="A1247" t="str">
        <f>Sheet2!A1247</f>
        <v>HUML</v>
      </c>
      <c r="B1247" t="str">
        <f ca="1">'Query Example'!D1247</f>
        <v>LandPlane</v>
      </c>
      <c r="C1247" s="11" t="str">
        <f>CONCATENATE(Sheet2!F1247,"/",Sheet2!E1247)</f>
        <v>1/Piston</v>
      </c>
      <c r="D1247" t="str">
        <f>CONCATENATE(Sheet2!B1247,", ",Sheet2!C1247)</f>
        <v>HUMMEL, Hummel Bird</v>
      </c>
    </row>
    <row r="1248" spans="1:4" x14ac:dyDescent="0.2">
      <c r="A1248" t="str">
        <f>Sheet2!A1248</f>
        <v>HUMM</v>
      </c>
      <c r="B1248" t="str">
        <f ca="1">'Query Example'!D1248</f>
        <v>LandPlane</v>
      </c>
      <c r="C1248" s="11" t="str">
        <f>CONCATENATE(Sheet2!F1248,"/",Sheet2!E1248)</f>
        <v>1/Piston</v>
      </c>
      <c r="D1248" t="str">
        <f>CONCATENATE(Sheet2!B1248,", ",Sheet2!C1248)</f>
        <v>AEROTEK (2), Hummingbird</v>
      </c>
    </row>
    <row r="1249" spans="1:4" x14ac:dyDescent="0.2">
      <c r="A1249" t="str">
        <f>Sheet2!A1249</f>
        <v>HUNT</v>
      </c>
      <c r="B1249" t="str">
        <f ca="1">'Query Example'!D1249</f>
        <v>LandPlane</v>
      </c>
      <c r="C1249" s="11" t="str">
        <f>CONCATENATE(Sheet2!F1249,"/",Sheet2!E1249)</f>
        <v>1/Jet</v>
      </c>
      <c r="D1249" t="str">
        <f>CONCATENATE(Sheet2!B1249,", ",Sheet2!C1249)</f>
        <v>HAWKER, Hunter</v>
      </c>
    </row>
    <row r="1250" spans="1:4" x14ac:dyDescent="0.2">
      <c r="A1250" t="str">
        <f>Sheet2!A1250</f>
        <v>HURI</v>
      </c>
      <c r="B1250" t="str">
        <f ca="1">'Query Example'!D1250</f>
        <v>LandPlane</v>
      </c>
      <c r="C1250" s="11" t="str">
        <f>CONCATENATE(Sheet2!F1250,"/",Sheet2!E1250)</f>
        <v>1/Piston</v>
      </c>
      <c r="D1250" t="str">
        <f>CONCATENATE(Sheet2!B1250,", ",Sheet2!C1250)</f>
        <v>HAWKER, Hurricane</v>
      </c>
    </row>
    <row r="1251" spans="1:4" x14ac:dyDescent="0.2">
      <c r="A1251" t="str">
        <f>Sheet2!A1251</f>
        <v>HURK</v>
      </c>
      <c r="B1251" t="str">
        <f ca="1">'Query Example'!D1251</f>
        <v>LandPlane</v>
      </c>
      <c r="C1251" s="11" t="str">
        <f>CONCATENATE(Sheet2!F1251,"/",Sheet2!E1251)</f>
        <v>1/Turboprop/Turboshaft</v>
      </c>
      <c r="D1251" t="str">
        <f>CONCATENATE(Sheet2!B1251,", ",Sheet2!C1251)</f>
        <v>TAI, TT-32 Hürkuş</v>
      </c>
    </row>
    <row r="1252" spans="1:4" x14ac:dyDescent="0.2">
      <c r="A1252" t="str">
        <f>Sheet2!A1252</f>
        <v>HUSK</v>
      </c>
      <c r="B1252" t="str">
        <f ca="1">'Query Example'!D1252</f>
        <v>LandPlane</v>
      </c>
      <c r="C1252" s="11" t="str">
        <f>CONCATENATE(Sheet2!F1252,"/",Sheet2!E1252)</f>
        <v>1/Piston</v>
      </c>
      <c r="D1252" t="str">
        <f>CONCATENATE(Sheet2!B1252,", ",Sheet2!C1252)</f>
        <v>AVIAT, A-1 Husky</v>
      </c>
    </row>
    <row r="1253" spans="1:4" x14ac:dyDescent="0.2">
      <c r="A1253" t="str">
        <f>Sheet2!A1253</f>
        <v>HW4P</v>
      </c>
      <c r="B1253" t="str">
        <f ca="1">'Query Example'!D1253</f>
        <v>Gyrocopter</v>
      </c>
      <c r="C1253" s="11" t="str">
        <f>CONCATENATE(Sheet2!F1253,"/",Sheet2!E1253)</f>
        <v>1/Piston</v>
      </c>
      <c r="D1253" t="str">
        <f>CONCATENATE(Sheet2!B1253,", ",Sheet2!C1253)</f>
        <v>GROEN, Hawk 4</v>
      </c>
    </row>
    <row r="1254" spans="1:4" x14ac:dyDescent="0.2">
      <c r="A1254" t="str">
        <f>Sheet2!A1254</f>
        <v>HW4T</v>
      </c>
      <c r="B1254" t="str">
        <f ca="1">'Query Example'!D1254</f>
        <v>Gyrocopter</v>
      </c>
      <c r="C1254" s="11" t="str">
        <f>CONCATENATE(Sheet2!F1254,"/",Sheet2!E1254)</f>
        <v>1/Turboprop/Turboshaft</v>
      </c>
      <c r="D1254" t="str">
        <f>CONCATENATE(Sheet2!B1254,", ",Sheet2!C1254)</f>
        <v>GROEN, Jet Hawk 4T</v>
      </c>
    </row>
    <row r="1255" spans="1:4" x14ac:dyDescent="0.2">
      <c r="A1255" t="str">
        <f>Sheet2!A1255</f>
        <v>HX2</v>
      </c>
      <c r="B1255" t="str">
        <f ca="1">'Query Example'!D1255</f>
        <v>Helicopter</v>
      </c>
      <c r="C1255" s="11" t="str">
        <f>CONCATENATE(Sheet2!F1255,"/",Sheet2!E1255)</f>
        <v>1/Turboprop/Turboshaft</v>
      </c>
      <c r="D1255" t="str">
        <f>CONCATENATE(Sheet2!B1255,", ",Sheet2!C1255)</f>
        <v>HELOWERKS, HX-2 Wasp</v>
      </c>
    </row>
    <row r="1256" spans="1:4" x14ac:dyDescent="0.2">
      <c r="A1256" t="str">
        <f>Sheet2!A1256</f>
        <v>HYPR</v>
      </c>
      <c r="B1256" t="str">
        <f ca="1">'Query Example'!D1256</f>
        <v>LandPlane</v>
      </c>
      <c r="C1256" s="11" t="str">
        <f>CONCATENATE(Sheet2!F1256,"/",Sheet2!E1256)</f>
        <v>1/Piston</v>
      </c>
      <c r="D1256" t="str">
        <f>CONCATENATE(Sheet2!B1256,", ",Sheet2!C1256)</f>
        <v>P&amp;M AVIATION, HypR</v>
      </c>
    </row>
    <row r="1257" spans="1:4" x14ac:dyDescent="0.2">
      <c r="A1257" t="str">
        <f>Sheet2!A1257</f>
        <v>I103</v>
      </c>
      <c r="B1257" t="str">
        <f ca="1">'Query Example'!D1257</f>
        <v>LandPlane</v>
      </c>
      <c r="C1257" s="11" t="str">
        <f>CONCATENATE(Sheet2!F1257,"/",Sheet2!E1257)</f>
        <v>1/Piston</v>
      </c>
      <c r="D1257" t="str">
        <f>CONCATENATE(Sheet2!B1257,", ",Sheet2!C1257)</f>
        <v>ILYUSHIN, Il-103</v>
      </c>
    </row>
    <row r="1258" spans="1:4" x14ac:dyDescent="0.2">
      <c r="A1258" t="str">
        <f>Sheet2!A1258</f>
        <v>I114</v>
      </c>
      <c r="B1258" t="str">
        <f ca="1">'Query Example'!D1258</f>
        <v>LandPlane</v>
      </c>
      <c r="C1258" s="11" t="str">
        <f>CONCATENATE(Sheet2!F1258,"/",Sheet2!E1258)</f>
        <v>2/Turboprop/Turboshaft</v>
      </c>
      <c r="D1258" t="str">
        <f>CONCATENATE(Sheet2!B1258,", ",Sheet2!C1258)</f>
        <v>ILYUSHIN, Il-114</v>
      </c>
    </row>
    <row r="1259" spans="1:4" x14ac:dyDescent="0.2">
      <c r="A1259" t="str">
        <f>Sheet2!A1259</f>
        <v>I115</v>
      </c>
      <c r="B1259" t="str">
        <f ca="1">'Query Example'!D1259</f>
        <v>LandPlane</v>
      </c>
      <c r="C1259" s="11" t="str">
        <f>CONCATENATE(Sheet2!F1259,"/",Sheet2!E1259)</f>
        <v>1/Piston</v>
      </c>
      <c r="D1259" t="str">
        <f>CONCATENATE(Sheet2!B1259,", ",Sheet2!C1259)</f>
        <v>AISA, I-115</v>
      </c>
    </row>
    <row r="1260" spans="1:4" x14ac:dyDescent="0.2">
      <c r="A1260" t="str">
        <f>Sheet2!A1260</f>
        <v>I11B</v>
      </c>
      <c r="B1260" t="str">
        <f ca="1">'Query Example'!D1260</f>
        <v>LandPlane</v>
      </c>
      <c r="C1260" s="11" t="str">
        <f>CONCATENATE(Sheet2!F1260,"/",Sheet2!E1260)</f>
        <v>1/Piston</v>
      </c>
      <c r="D1260" t="str">
        <f>CONCATENATE(Sheet2!B1260,", ",Sheet2!C1260)</f>
        <v>AISA, I-11B Peque</v>
      </c>
    </row>
    <row r="1261" spans="1:4" x14ac:dyDescent="0.2">
      <c r="A1261" t="str">
        <f>Sheet2!A1261</f>
        <v>I153</v>
      </c>
      <c r="B1261" t="str">
        <f ca="1">'Query Example'!D1261</f>
        <v>LandPlane</v>
      </c>
      <c r="C1261" s="11" t="str">
        <f>CONCATENATE(Sheet2!F1261,"/",Sheet2!E1261)</f>
        <v>1/Piston</v>
      </c>
      <c r="D1261" t="str">
        <f>CONCATENATE(Sheet2!B1261,", ",Sheet2!C1261)</f>
        <v>POLIKARPOV, I-153</v>
      </c>
    </row>
    <row r="1262" spans="1:4" x14ac:dyDescent="0.2">
      <c r="A1262" t="str">
        <f>Sheet2!A1262</f>
        <v>I15B</v>
      </c>
      <c r="B1262" t="str">
        <f ca="1">'Query Example'!D1262</f>
        <v>LandPlane</v>
      </c>
      <c r="C1262" s="11" t="str">
        <f>CONCATENATE(Sheet2!F1262,"/",Sheet2!E1262)</f>
        <v>1/Piston</v>
      </c>
      <c r="D1262" t="str">
        <f>CONCATENATE(Sheet2!B1262,", ",Sheet2!C1262)</f>
        <v>POLIKARPOV, I-15bis</v>
      </c>
    </row>
    <row r="1263" spans="1:4" x14ac:dyDescent="0.2">
      <c r="A1263" t="str">
        <f>Sheet2!A1263</f>
        <v>I16</v>
      </c>
      <c r="B1263" t="str">
        <f ca="1">'Query Example'!D1263</f>
        <v>LandPlane</v>
      </c>
      <c r="C1263" s="11" t="str">
        <f>CONCATENATE(Sheet2!F1263,"/",Sheet2!E1263)</f>
        <v>1/Piston</v>
      </c>
      <c r="D1263" t="str">
        <f>CONCATENATE(Sheet2!B1263,", ",Sheet2!C1263)</f>
        <v>POLIKARPOV, I-16</v>
      </c>
    </row>
    <row r="1264" spans="1:4" x14ac:dyDescent="0.2">
      <c r="A1264" t="str">
        <f>Sheet2!A1264</f>
        <v>I22</v>
      </c>
      <c r="B1264" t="str">
        <f ca="1">'Query Example'!D1264</f>
        <v>LandPlane</v>
      </c>
      <c r="C1264" s="11" t="str">
        <f>CONCATENATE(Sheet2!F1264,"/",Sheet2!E1264)</f>
        <v>1/Jet</v>
      </c>
      <c r="D1264" t="str">
        <f>CONCATENATE(Sheet2!B1264,", ",Sheet2!C1264)</f>
        <v>PZL-MIELEC, I-22 Iryda</v>
      </c>
    </row>
    <row r="1265" spans="1:4" x14ac:dyDescent="0.2">
      <c r="A1265" t="str">
        <f>Sheet2!A1265</f>
        <v>I23</v>
      </c>
      <c r="B1265" t="str">
        <f ca="1">'Query Example'!D1265</f>
        <v>LandPlane</v>
      </c>
      <c r="C1265" s="11" t="str">
        <f>CONCATENATE(Sheet2!F1265,"/",Sheet2!E1265)</f>
        <v>1/Piston</v>
      </c>
      <c r="D1265" t="str">
        <f>CONCATENATE(Sheet2!B1265,", ",Sheet2!C1265)</f>
        <v>PZL-SWIDNIK, I-23 Manager</v>
      </c>
    </row>
    <row r="1266" spans="1:4" x14ac:dyDescent="0.2">
      <c r="A1266" t="str">
        <f>Sheet2!A1266</f>
        <v>I3</v>
      </c>
      <c r="B1266" t="str">
        <f ca="1">'Query Example'!D1266</f>
        <v>LandPlane</v>
      </c>
      <c r="C1266" s="11" t="str">
        <f>CONCATENATE(Sheet2!F1266,"/",Sheet2!E1266)</f>
        <v>1/Piston</v>
      </c>
      <c r="D1266" t="str">
        <f>CONCATENATE(Sheet2!B1266,", ",Sheet2!C1266)</f>
        <v>INTERAVIA, I-3</v>
      </c>
    </row>
    <row r="1267" spans="1:4" x14ac:dyDescent="0.2">
      <c r="A1267" t="str">
        <f>Sheet2!A1267</f>
        <v>I66</v>
      </c>
      <c r="B1267" t="str">
        <f ca="1">'Query Example'!D1267</f>
        <v>LandPlane</v>
      </c>
      <c r="C1267" s="11" t="str">
        <f>CONCATENATE(Sheet2!F1267,"/",Sheet2!E1267)</f>
        <v>1/Piston</v>
      </c>
      <c r="D1267" t="str">
        <f>CONCATENATE(Sheet2!B1267,", ",Sheet2!C1267)</f>
        <v>IANNOTTA, I-66 San Francisco</v>
      </c>
    </row>
    <row r="1268" spans="1:4" x14ac:dyDescent="0.2">
      <c r="A1268" t="str">
        <f>Sheet2!A1268</f>
        <v>I828</v>
      </c>
      <c r="B1268" t="str">
        <f ca="1">'Query Example'!D1268</f>
        <v>LandPlane</v>
      </c>
      <c r="C1268" s="11" t="str">
        <f>CONCATENATE(Sheet2!F1268,"/",Sheet2!E1268)</f>
        <v>1/Turboprop/Turboshaft</v>
      </c>
      <c r="D1268" t="str">
        <f>CONCATENATE(Sheet2!B1268,", ",Sheet2!C1268)</f>
        <v>ICA, IAR-828</v>
      </c>
    </row>
    <row r="1269" spans="1:4" x14ac:dyDescent="0.2">
      <c r="A1269" t="str">
        <f>Sheet2!A1269</f>
        <v>IA46</v>
      </c>
      <c r="B1269" t="str">
        <f ca="1">'Query Example'!D1269</f>
        <v>LandPlane</v>
      </c>
      <c r="C1269" s="11" t="str">
        <f>CONCATENATE(Sheet2!F1269,"/",Sheet2!E1269)</f>
        <v>1/Piston</v>
      </c>
      <c r="D1269" t="str">
        <f>CONCATENATE(Sheet2!B1269,", ",Sheet2!C1269)</f>
        <v>DINFIA, IA-46 Ranquel</v>
      </c>
    </row>
    <row r="1270" spans="1:4" x14ac:dyDescent="0.2">
      <c r="A1270" t="str">
        <f>Sheet2!A1270</f>
        <v>IA50</v>
      </c>
      <c r="B1270" t="str">
        <f ca="1">'Query Example'!D1270</f>
        <v>LandPlane</v>
      </c>
      <c r="C1270" s="11" t="str">
        <f>CONCATENATE(Sheet2!F1270,"/",Sheet2!E1270)</f>
        <v>2/Turboprop/Turboshaft</v>
      </c>
      <c r="D1270" t="str">
        <f>CONCATENATE(Sheet2!B1270,", ",Sheet2!C1270)</f>
        <v>DINFIA, IA-50 Guarani 2</v>
      </c>
    </row>
    <row r="1271" spans="1:4" x14ac:dyDescent="0.2">
      <c r="A1271" t="str">
        <f>Sheet2!A1271</f>
        <v>IA51</v>
      </c>
      <c r="B1271" t="str">
        <f ca="1">'Query Example'!D1271</f>
        <v>LandPlane</v>
      </c>
      <c r="C1271" s="11" t="str">
        <f>CONCATENATE(Sheet2!F1271,"/",Sheet2!E1271)</f>
        <v>1/Piston</v>
      </c>
      <c r="D1271" t="str">
        <f>CONCATENATE(Sheet2!B1271,", ",Sheet2!C1271)</f>
        <v>DINFIA, IA-51 Tehuelche</v>
      </c>
    </row>
    <row r="1272" spans="1:4" x14ac:dyDescent="0.2">
      <c r="A1272" t="str">
        <f>Sheet2!A1272</f>
        <v>IA58</v>
      </c>
      <c r="B1272" t="str">
        <f ca="1">'Query Example'!D1272</f>
        <v>LandPlane</v>
      </c>
      <c r="C1272" s="11" t="str">
        <f>CONCATENATE(Sheet2!F1272,"/",Sheet2!E1272)</f>
        <v>2/Turboprop/Turboshaft</v>
      </c>
      <c r="D1272" t="str">
        <f>CONCATENATE(Sheet2!B1272,", ",Sheet2!C1272)</f>
        <v>FMA, IA-58 Pucará</v>
      </c>
    </row>
    <row r="1273" spans="1:4" x14ac:dyDescent="0.2">
      <c r="A1273" t="str">
        <f>Sheet2!A1273</f>
        <v>IA63</v>
      </c>
      <c r="B1273" t="str">
        <f ca="1">'Query Example'!D1273</f>
        <v>LandPlane</v>
      </c>
      <c r="C1273" s="11" t="str">
        <f>CONCATENATE(Sheet2!F1273,"/",Sheet2!E1273)</f>
        <v>1/Jet</v>
      </c>
      <c r="D1273" t="str">
        <f>CONCATENATE(Sheet2!B1273,", ",Sheet2!C1273)</f>
        <v>FMA, IA-63 Pampa</v>
      </c>
    </row>
    <row r="1274" spans="1:4" x14ac:dyDescent="0.2">
      <c r="A1274" t="str">
        <f>Sheet2!A1274</f>
        <v>IFUR</v>
      </c>
      <c r="B1274" t="str">
        <f ca="1">'Query Example'!D1274</f>
        <v>LandPlane</v>
      </c>
      <c r="C1274" s="11" t="str">
        <f>CONCATENATE(Sheet2!F1274,"/",Sheet2!E1274)</f>
        <v>1/Piston</v>
      </c>
      <c r="D1274" t="str">
        <f>CONCATENATE(Sheet2!B1274,", ",Sheet2!C1274)</f>
        <v>ISAACS, Fury</v>
      </c>
    </row>
    <row r="1275" spans="1:4" x14ac:dyDescent="0.2">
      <c r="A1275" t="str">
        <f>Sheet2!A1275</f>
        <v>IL14</v>
      </c>
      <c r="B1275" t="str">
        <f ca="1">'Query Example'!D1275</f>
        <v>LandPlane</v>
      </c>
      <c r="C1275" s="11" t="str">
        <f>CONCATENATE(Sheet2!F1275,"/",Sheet2!E1275)</f>
        <v>2/Piston</v>
      </c>
      <c r="D1275" t="str">
        <f>CONCATENATE(Sheet2!B1275,", ",Sheet2!C1275)</f>
        <v>ILYUSHIN, Il-14</v>
      </c>
    </row>
    <row r="1276" spans="1:4" x14ac:dyDescent="0.2">
      <c r="A1276" t="str">
        <f>Sheet2!A1276</f>
        <v>IL18</v>
      </c>
      <c r="B1276" t="str">
        <f ca="1">'Query Example'!D1276</f>
        <v>LandPlane</v>
      </c>
      <c r="C1276" s="11" t="str">
        <f>CONCATENATE(Sheet2!F1276,"/",Sheet2!E1276)</f>
        <v>4/Turboprop/Turboshaft</v>
      </c>
      <c r="D1276" t="str">
        <f>CONCATENATE(Sheet2!B1276,", ",Sheet2!C1276)</f>
        <v>ILYUSHIN, Bizon</v>
      </c>
    </row>
    <row r="1277" spans="1:4" x14ac:dyDescent="0.2">
      <c r="A1277" t="str">
        <f>Sheet2!A1277</f>
        <v>IL18</v>
      </c>
      <c r="B1277" t="str">
        <f ca="1">'Query Example'!D1277</f>
        <v>LandPlane</v>
      </c>
      <c r="C1277" s="11" t="str">
        <f>CONCATENATE(Sheet2!F1277,"/",Sheet2!E1277)</f>
        <v>4/Turboprop/Turboshaft</v>
      </c>
      <c r="D1277" t="str">
        <f>CONCATENATE(Sheet2!B1277,", ",Sheet2!C1277)</f>
        <v>ILYUSHIN, Il-18 Bizon</v>
      </c>
    </row>
    <row r="1278" spans="1:4" x14ac:dyDescent="0.2">
      <c r="A1278" t="str">
        <f>Sheet2!A1278</f>
        <v>IL28</v>
      </c>
      <c r="B1278" t="str">
        <f ca="1">'Query Example'!D1278</f>
        <v>LandPlane</v>
      </c>
      <c r="C1278" s="11" t="str">
        <f>CONCATENATE(Sheet2!F1278,"/",Sheet2!E1278)</f>
        <v>2/Jet</v>
      </c>
      <c r="D1278" t="str">
        <f>CONCATENATE(Sheet2!B1278,", ",Sheet2!C1278)</f>
        <v>ILYUSHIN, Il-28</v>
      </c>
    </row>
    <row r="1279" spans="1:4" x14ac:dyDescent="0.2">
      <c r="A1279" t="str">
        <f>Sheet2!A1279</f>
        <v>IL38</v>
      </c>
      <c r="B1279" t="str">
        <f ca="1">'Query Example'!D1279</f>
        <v>LandPlane</v>
      </c>
      <c r="C1279" s="11" t="str">
        <f>CONCATENATE(Sheet2!F1279,"/",Sheet2!E1279)</f>
        <v>4/Turboprop/Turboshaft</v>
      </c>
      <c r="D1279" t="str">
        <f>CONCATENATE(Sheet2!B1279,", ",Sheet2!C1279)</f>
        <v>ILYUSHIN, Il-38</v>
      </c>
    </row>
    <row r="1280" spans="1:4" x14ac:dyDescent="0.2">
      <c r="A1280" t="str">
        <f>Sheet2!A1280</f>
        <v>IL62</v>
      </c>
      <c r="B1280" t="str">
        <f ca="1">'Query Example'!D1280</f>
        <v>LandPlane</v>
      </c>
      <c r="C1280" s="11" t="str">
        <f>CONCATENATE(Sheet2!F1280,"/",Sheet2!E1280)</f>
        <v>4/Jet</v>
      </c>
      <c r="D1280" t="str">
        <f>CONCATENATE(Sheet2!B1280,", ",Sheet2!C1280)</f>
        <v>ILYUSHIN, Il-62</v>
      </c>
    </row>
    <row r="1281" spans="1:4" x14ac:dyDescent="0.2">
      <c r="A1281" t="str">
        <f>Sheet2!A1281</f>
        <v>IL76</v>
      </c>
      <c r="B1281" t="str">
        <f ca="1">'Query Example'!D1281</f>
        <v>LandPlane</v>
      </c>
      <c r="C1281" s="11" t="str">
        <f>CONCATENATE(Sheet2!F1281,"/",Sheet2!E1281)</f>
        <v>4/Jet</v>
      </c>
      <c r="D1281" t="str">
        <f>CONCATENATE(Sheet2!B1281,", ",Sheet2!C1281)</f>
        <v>ILYUSHIN, Il-76</v>
      </c>
    </row>
    <row r="1282" spans="1:4" x14ac:dyDescent="0.2">
      <c r="A1282" t="str">
        <f>Sheet2!A1282</f>
        <v>IL86</v>
      </c>
      <c r="B1282" t="str">
        <f ca="1">'Query Example'!D1282</f>
        <v>LandPlane</v>
      </c>
      <c r="C1282" s="11" t="str">
        <f>CONCATENATE(Sheet2!F1282,"/",Sheet2!E1282)</f>
        <v>4/Jet</v>
      </c>
      <c r="D1282" t="str">
        <f>CONCATENATE(Sheet2!B1282,", ",Sheet2!C1282)</f>
        <v>ILYUSHIN, Il-86</v>
      </c>
    </row>
    <row r="1283" spans="1:4" x14ac:dyDescent="0.2">
      <c r="A1283" t="str">
        <f>Sheet2!A1283</f>
        <v>IL96</v>
      </c>
      <c r="B1283" t="str">
        <f ca="1">'Query Example'!D1283</f>
        <v>LandPlane</v>
      </c>
      <c r="C1283" s="11" t="str">
        <f>CONCATENATE(Sheet2!F1283,"/",Sheet2!E1283)</f>
        <v>4/Jet</v>
      </c>
      <c r="D1283" t="str">
        <f>CONCATENATE(Sheet2!B1283,", ",Sheet2!C1283)</f>
        <v>ILYUSHIN, Il-96</v>
      </c>
    </row>
    <row r="1284" spans="1:4" x14ac:dyDescent="0.2">
      <c r="A1284" t="str">
        <f>Sheet2!A1284</f>
        <v>IMPU</v>
      </c>
      <c r="B1284" t="str">
        <f ca="1">'Query Example'!D1284</f>
        <v>LandPlane</v>
      </c>
      <c r="C1284" s="11" t="str">
        <f>CONCATENATE(Sheet2!F1284,"/",Sheet2!E1284)</f>
        <v>1/Piston</v>
      </c>
      <c r="D1284" t="str">
        <f>CONCATENATE(Sheet2!B1284,", ",Sheet2!C1284)</f>
        <v>IMPULSE, Impulse</v>
      </c>
    </row>
    <row r="1285" spans="1:4" x14ac:dyDescent="0.2">
      <c r="A1285" t="str">
        <f>Sheet2!A1285</f>
        <v>INCQ</v>
      </c>
      <c r="B1285" t="str">
        <f ca="1">'Query Example'!D1285</f>
        <v>LandPlane</v>
      </c>
      <c r="C1285" s="11" t="str">
        <f>CONCATENATE(Sheet2!F1285,"/",Sheet2!E1285)</f>
        <v>1/Piston</v>
      </c>
      <c r="D1285" t="str">
        <f>CONCATENATE(Sheet2!B1285,", ",Sheet2!C1285)</f>
        <v>INPAER, Conquest</v>
      </c>
    </row>
    <row r="1286" spans="1:4" x14ac:dyDescent="0.2">
      <c r="A1286" t="str">
        <f>Sheet2!A1286</f>
        <v>INEC</v>
      </c>
      <c r="B1286" t="str">
        <f ca="1">'Query Example'!D1286</f>
        <v>LandPlane</v>
      </c>
      <c r="C1286" s="11" t="str">
        <f>CONCATENATE(Sheet2!F1286,"/",Sheet2!E1286)</f>
        <v>1/Piston</v>
      </c>
      <c r="D1286" t="str">
        <f>CONCATENATE(Sheet2!B1286,", ",Sheet2!C1286)</f>
        <v>INPAER, Excel</v>
      </c>
    </row>
    <row r="1287" spans="1:4" x14ac:dyDescent="0.2">
      <c r="A1287" t="str">
        <f>Sheet2!A1287</f>
        <v>INEX</v>
      </c>
      <c r="B1287" t="str">
        <f ca="1">'Query Example'!D1287</f>
        <v>LandPlane</v>
      </c>
      <c r="C1287" s="11" t="str">
        <f>CONCATENATE(Sheet2!F1287,"/",Sheet2!E1287)</f>
        <v>1/Piston</v>
      </c>
      <c r="D1287" t="str">
        <f>CONCATENATE(Sheet2!B1287,", ",Sheet2!C1287)</f>
        <v>INPAER, Explorer</v>
      </c>
    </row>
    <row r="1288" spans="1:4" x14ac:dyDescent="0.2">
      <c r="A1288" t="str">
        <f>Sheet2!A1288</f>
        <v>ION</v>
      </c>
      <c r="B1288" t="str">
        <f ca="1">'Query Example'!D1288</f>
        <v>LandPlane</v>
      </c>
      <c r="C1288" s="11" t="str">
        <f>CONCATENATE(Sheet2!F1288,"/",Sheet2!E1288)</f>
        <v>1/Piston</v>
      </c>
      <c r="D1288" t="str">
        <f>CONCATENATE(Sheet2!B1288,", ",Sheet2!C1288)</f>
        <v>ION, Ion</v>
      </c>
    </row>
    <row r="1289" spans="1:4" x14ac:dyDescent="0.2">
      <c r="A1289" t="str">
        <f>Sheet2!A1289</f>
        <v>IP06</v>
      </c>
      <c r="B1289" t="str">
        <f ca="1">'Query Example'!D1289</f>
        <v>LandPlane</v>
      </c>
      <c r="C1289" s="11" t="str">
        <f>CONCATENATE(Sheet2!F1289,"/",Sheet2!E1289)</f>
        <v>1/Piston</v>
      </c>
      <c r="D1289" t="str">
        <f>CONCATENATE(Sheet2!B1289,", ",Sheet2!C1289)</f>
        <v>IPE, IPE-06 Curucaca</v>
      </c>
    </row>
    <row r="1290" spans="1:4" x14ac:dyDescent="0.2">
      <c r="A1290" t="str">
        <f>Sheet2!A1290</f>
        <v>IP10</v>
      </c>
      <c r="B1290" t="str">
        <f ca="1">'Query Example'!D1290</f>
        <v>LandPlane</v>
      </c>
      <c r="C1290" s="11" t="str">
        <f>CONCATENATE(Sheet2!F1290,"/",Sheet2!E1290)</f>
        <v>1/Piston</v>
      </c>
      <c r="D1290" t="str">
        <f>CONCATENATE(Sheet2!B1290,", ",Sheet2!C1290)</f>
        <v>IPE, IPE-010</v>
      </c>
    </row>
    <row r="1291" spans="1:4" x14ac:dyDescent="0.2">
      <c r="A1291" t="str">
        <f>Sheet2!A1291</f>
        <v>IP26</v>
      </c>
      <c r="B1291" t="str">
        <f ca="1">'Query Example'!D1291</f>
        <v>LandPlane</v>
      </c>
      <c r="C1291" s="11" t="str">
        <f>CONCATENATE(Sheet2!F1291,"/",Sheet2!E1291)</f>
        <v>1/Piston</v>
      </c>
      <c r="D1291" t="str">
        <f>CONCATENATE(Sheet2!B1291,", ",Sheet2!C1291)</f>
        <v>IPAI, IPAI-26 Tuca</v>
      </c>
    </row>
    <row r="1292" spans="1:4" x14ac:dyDescent="0.2">
      <c r="A1292" t="str">
        <f>Sheet2!A1292</f>
        <v>IP6A</v>
      </c>
      <c r="B1292" t="str">
        <f ca="1">'Query Example'!D1292</f>
        <v>LandPlane</v>
      </c>
      <c r="C1292" s="11" t="str">
        <f>CONCATENATE(Sheet2!F1292,"/",Sheet2!E1292)</f>
        <v>1/Piston</v>
      </c>
      <c r="D1292" t="str">
        <f>CONCATENATE(Sheet2!B1292,", ",Sheet2!C1292)</f>
        <v>IPE, IPE-06A</v>
      </c>
    </row>
    <row r="1293" spans="1:4" x14ac:dyDescent="0.2">
      <c r="A1293" t="str">
        <f>Sheet2!A1293</f>
        <v>IPAN</v>
      </c>
      <c r="B1293" t="str">
        <f ca="1">'Query Example'!D1293</f>
        <v>LandPlane</v>
      </c>
      <c r="C1293" s="11" t="str">
        <f>CONCATENATE(Sheet2!F1293,"/",Sheet2!E1293)</f>
        <v>1/Piston</v>
      </c>
      <c r="D1293" t="str">
        <f>CONCATENATE(Sheet2!B1293,", ",Sheet2!C1293)</f>
        <v>EMBRAER, EMB-202 Ipanema</v>
      </c>
    </row>
    <row r="1294" spans="1:4" x14ac:dyDescent="0.2">
      <c r="A1294" t="str">
        <f>Sheet2!A1294</f>
        <v>IR21</v>
      </c>
      <c r="B1294" t="str">
        <f ca="1">'Query Example'!D1294</f>
        <v>LandPlane</v>
      </c>
      <c r="C1294" s="11" t="str">
        <f>CONCATENATE(Sheet2!F1294,"/",Sheet2!E1294)</f>
        <v>1/Piston</v>
      </c>
      <c r="D1294" t="str">
        <f>CONCATENATE(Sheet2!B1294,", ",Sheet2!C1294)</f>
        <v>ICA, IAR-821</v>
      </c>
    </row>
    <row r="1295" spans="1:4" x14ac:dyDescent="0.2">
      <c r="A1295" t="str">
        <f>Sheet2!A1295</f>
        <v>IR22</v>
      </c>
      <c r="B1295" t="str">
        <f ca="1">'Query Example'!D1295</f>
        <v>LandPlane</v>
      </c>
      <c r="C1295" s="11" t="str">
        <f>CONCATENATE(Sheet2!F1295,"/",Sheet2!E1295)</f>
        <v>1/Piston</v>
      </c>
      <c r="D1295" t="str">
        <f>CONCATENATE(Sheet2!B1295,", ",Sheet2!C1295)</f>
        <v>ICA, IAR-822</v>
      </c>
    </row>
    <row r="1296" spans="1:4" x14ac:dyDescent="0.2">
      <c r="A1296" t="str">
        <f>Sheet2!A1296</f>
        <v>IR23</v>
      </c>
      <c r="B1296" t="str">
        <f ca="1">'Query Example'!D1296</f>
        <v>LandPlane</v>
      </c>
      <c r="C1296" s="11" t="str">
        <f>CONCATENATE(Sheet2!F1296,"/",Sheet2!E1296)</f>
        <v>1/Piston</v>
      </c>
      <c r="D1296" t="str">
        <f>CONCATENATE(Sheet2!B1296,", ",Sheet2!C1296)</f>
        <v>ICA, IAR-823</v>
      </c>
    </row>
    <row r="1297" spans="1:4" x14ac:dyDescent="0.2">
      <c r="A1297" t="str">
        <f>Sheet2!A1297</f>
        <v>IR24</v>
      </c>
      <c r="B1297" t="str">
        <f ca="1">'Query Example'!D1297</f>
        <v>LandPlane</v>
      </c>
      <c r="C1297" s="11" t="str">
        <f>CONCATENATE(Sheet2!F1297,"/",Sheet2!E1297)</f>
        <v>1/Piston</v>
      </c>
      <c r="D1297" t="str">
        <f>CONCATENATE(Sheet2!B1297,", ",Sheet2!C1297)</f>
        <v>ICA, IAR-824</v>
      </c>
    </row>
    <row r="1298" spans="1:4" x14ac:dyDescent="0.2">
      <c r="A1298" t="str">
        <f>Sheet2!A1298</f>
        <v>IR25</v>
      </c>
      <c r="B1298" t="str">
        <f ca="1">'Query Example'!D1298</f>
        <v>LandPlane</v>
      </c>
      <c r="C1298" s="11" t="str">
        <f>CONCATENATE(Sheet2!F1298,"/",Sheet2!E1298)</f>
        <v>1/Turboprop/Turboshaft</v>
      </c>
      <c r="D1298" t="str">
        <f>CONCATENATE(Sheet2!B1298,", ",Sheet2!C1298)</f>
        <v>ICA, IAR-825TP Triumf</v>
      </c>
    </row>
    <row r="1299" spans="1:4" x14ac:dyDescent="0.2">
      <c r="A1299" t="str">
        <f>Sheet2!A1299</f>
        <v>IR27</v>
      </c>
      <c r="B1299" t="str">
        <f ca="1">'Query Example'!D1299</f>
        <v>LandPlane</v>
      </c>
      <c r="C1299" s="11" t="str">
        <f>CONCATENATE(Sheet2!F1299,"/",Sheet2!E1299)</f>
        <v>1/Piston</v>
      </c>
      <c r="D1299" t="str">
        <f>CONCATENATE(Sheet2!B1299,", ",Sheet2!C1299)</f>
        <v>ICA, IAR-827 Dacic</v>
      </c>
    </row>
    <row r="1300" spans="1:4" x14ac:dyDescent="0.2">
      <c r="A1300" t="str">
        <f>Sheet2!A1300</f>
        <v>IR28</v>
      </c>
      <c r="B1300" t="str">
        <f ca="1">'Query Example'!D1300</f>
        <v>LandPlane</v>
      </c>
      <c r="C1300" s="11" t="str">
        <f>CONCATENATE(Sheet2!F1300,"/",Sheet2!E1300)</f>
        <v>1/Piston</v>
      </c>
      <c r="D1300" t="str">
        <f>CONCATENATE(Sheet2!B1300,", ",Sheet2!C1300)</f>
        <v>ICA, IAR-28MA</v>
      </c>
    </row>
    <row r="1301" spans="1:4" x14ac:dyDescent="0.2">
      <c r="A1301" t="str">
        <f>Sheet2!A1301</f>
        <v>IR31</v>
      </c>
      <c r="B1301" t="str">
        <f ca="1">'Query Example'!D1301</f>
        <v>LandPlane</v>
      </c>
      <c r="C1301" s="11" t="str">
        <f>CONCATENATE(Sheet2!F1301,"/",Sheet2!E1301)</f>
        <v>1/Piston</v>
      </c>
      <c r="D1301" t="str">
        <f>CONCATENATE(Sheet2!B1301,", ",Sheet2!C1301)</f>
        <v>ICA, IAR-831 Pelican</v>
      </c>
    </row>
    <row r="1302" spans="1:4" x14ac:dyDescent="0.2">
      <c r="A1302" t="str">
        <f>Sheet2!A1302</f>
        <v>IR46</v>
      </c>
      <c r="B1302" t="str">
        <f ca="1">'Query Example'!D1302</f>
        <v>LandPlane</v>
      </c>
      <c r="C1302" s="11" t="str">
        <f>CONCATENATE(Sheet2!F1302,"/",Sheet2!E1302)</f>
        <v>1/Piston</v>
      </c>
      <c r="D1302" t="str">
        <f>CONCATENATE(Sheet2!B1302,", ",Sheet2!C1302)</f>
        <v>IAR, IAR-46 Katty</v>
      </c>
    </row>
    <row r="1303" spans="1:4" x14ac:dyDescent="0.2">
      <c r="A1303" t="str">
        <f>Sheet2!A1303</f>
        <v>IR99</v>
      </c>
      <c r="B1303" t="str">
        <f ca="1">'Query Example'!D1303</f>
        <v>LandPlane</v>
      </c>
      <c r="C1303" s="11" t="str">
        <f>CONCATENATE(Sheet2!F1303,"/",Sheet2!E1303)</f>
        <v>1/Jet</v>
      </c>
      <c r="D1303" t="str">
        <f>CONCATENATE(Sheet2!B1303,", ",Sheet2!C1303)</f>
        <v>AVIOANE, IAR-99 Soim</v>
      </c>
    </row>
    <row r="1304" spans="1:4" x14ac:dyDescent="0.2">
      <c r="A1304" t="str">
        <f>Sheet2!A1304</f>
        <v>IS2</v>
      </c>
      <c r="B1304" t="str">
        <f ca="1">'Query Example'!D1304</f>
        <v>Helicopter</v>
      </c>
      <c r="C1304" s="11" t="str">
        <f>CONCATENATE(Sheet2!F1304,"/",Sheet2!E1304)</f>
        <v>1/Piston</v>
      </c>
      <c r="D1304" t="str">
        <f>CONCATENATE(Sheet2!B1304,", ",Sheet2!C1304)</f>
        <v>INSTYTUT LOTNICTWA, IS-2</v>
      </c>
    </row>
    <row r="1305" spans="1:4" x14ac:dyDescent="0.2">
      <c r="A1305" t="str">
        <f>Sheet2!A1305</f>
        <v>IS28</v>
      </c>
      <c r="B1305" t="str">
        <f ca="1">'Query Example'!D1305</f>
        <v>LandPlane</v>
      </c>
      <c r="C1305" s="11" t="str">
        <f>CONCATENATE(Sheet2!F1305,"/",Sheet2!E1305)</f>
        <v>1/Piston</v>
      </c>
      <c r="D1305" t="str">
        <f>CONCATENATE(Sheet2!B1305,", ",Sheet2!C1305)</f>
        <v>IAR, IS-28M2</v>
      </c>
    </row>
    <row r="1306" spans="1:4" x14ac:dyDescent="0.2">
      <c r="A1306" t="str">
        <f>Sheet2!A1306</f>
        <v>ISAT</v>
      </c>
      <c r="B1306" t="str">
        <f ca="1">'Query Example'!D1306</f>
        <v>LandPlane</v>
      </c>
      <c r="C1306" s="11" t="str">
        <f>CONCATENATE(Sheet2!F1306,"/",Sheet2!E1306)</f>
        <v>1/Piston</v>
      </c>
      <c r="D1306" t="str">
        <f>CONCATENATE(Sheet2!B1306,", ",Sheet2!C1306)</f>
        <v>AEROJAMES, 01 Isatis</v>
      </c>
    </row>
    <row r="1307" spans="1:4" x14ac:dyDescent="0.2">
      <c r="A1307" t="str">
        <f>Sheet2!A1307</f>
        <v>ISPT</v>
      </c>
      <c r="B1307" t="str">
        <f ca="1">'Query Example'!D1307</f>
        <v>LandPlane</v>
      </c>
      <c r="C1307" s="11" t="str">
        <f>CONCATENATE(Sheet2!F1307,"/",Sheet2!E1307)</f>
        <v>1/Piston</v>
      </c>
      <c r="D1307" t="str">
        <f>CONCATENATE(Sheet2!B1307,", ",Sheet2!C1307)</f>
        <v>ISAACS, Spitfire</v>
      </c>
    </row>
    <row r="1308" spans="1:4" x14ac:dyDescent="0.2">
      <c r="A1308" t="str">
        <f>Sheet2!A1308</f>
        <v>J1</v>
      </c>
      <c r="B1308" t="str">
        <f ca="1">'Query Example'!D1308</f>
        <v>LandPlane</v>
      </c>
      <c r="C1308" s="11" t="str">
        <f>CONCATENATE(Sheet2!F1308,"/",Sheet2!E1308)</f>
        <v>1/Piston</v>
      </c>
      <c r="D1308" t="str">
        <f>CONCATENATE(Sheet2!B1308,", ",Sheet2!C1308)</f>
        <v>AUSTER, J-1 Aiglet</v>
      </c>
    </row>
    <row r="1309" spans="1:4" x14ac:dyDescent="0.2">
      <c r="A1309" t="str">
        <f>Sheet2!A1309</f>
        <v>J10</v>
      </c>
      <c r="B1309" t="str">
        <f ca="1">'Query Example'!D1309</f>
        <v>LandPlane</v>
      </c>
      <c r="C1309" s="11" t="str">
        <f>CONCATENATE(Sheet2!F1309,"/",Sheet2!E1309)</f>
        <v>1/Jet</v>
      </c>
      <c r="D1309" t="str">
        <f>CONCATENATE(Sheet2!B1309,", ",Sheet2!C1309)</f>
        <v>CHENGDU, J-10</v>
      </c>
    </row>
    <row r="1310" spans="1:4" x14ac:dyDescent="0.2">
      <c r="A1310" t="str">
        <f>Sheet2!A1310</f>
        <v>J177</v>
      </c>
      <c r="B1310" t="str">
        <f ca="1">'Query Example'!D1310</f>
        <v>LandPlane</v>
      </c>
      <c r="C1310" s="11" t="str">
        <f>CONCATENATE(Sheet2!F1310,"/",Sheet2!E1310)</f>
        <v>1/Piston</v>
      </c>
      <c r="D1310" t="str">
        <f>CONCATENATE(Sheet2!B1310,", ",Sheet2!C1310)</f>
        <v>AERODYNOS, JA-177 Evolution</v>
      </c>
    </row>
    <row r="1311" spans="1:4" x14ac:dyDescent="0.2">
      <c r="A1311" t="str">
        <f>Sheet2!A1311</f>
        <v>J2</v>
      </c>
      <c r="B1311" t="str">
        <f ca="1">'Query Example'!D1311</f>
        <v>LandPlane</v>
      </c>
      <c r="C1311" s="11" t="str">
        <f>CONCATENATE(Sheet2!F1311,"/",Sheet2!E1311)</f>
        <v>1/Piston</v>
      </c>
      <c r="D1311" t="str">
        <f>CONCATENATE(Sheet2!B1311,", ",Sheet2!C1311)</f>
        <v>PIPER, J-2 Cub</v>
      </c>
    </row>
    <row r="1312" spans="1:4" x14ac:dyDescent="0.2">
      <c r="A1312" t="str">
        <f>Sheet2!A1312</f>
        <v>J20</v>
      </c>
      <c r="B1312" t="str">
        <f ca="1">'Query Example'!D1312</f>
        <v>LandPlane</v>
      </c>
      <c r="C1312" s="11" t="str">
        <f>CONCATENATE(Sheet2!F1312,"/",Sheet2!E1312)</f>
        <v>2/Jet</v>
      </c>
      <c r="D1312" t="str">
        <f>CONCATENATE(Sheet2!B1312,", ",Sheet2!C1312)</f>
        <v>CHENGDU, J-20</v>
      </c>
    </row>
    <row r="1313" spans="1:4" x14ac:dyDescent="0.2">
      <c r="A1313" t="str">
        <f>Sheet2!A1313</f>
        <v>J3</v>
      </c>
      <c r="B1313" t="str">
        <f ca="1">'Query Example'!D1313</f>
        <v>LandPlane</v>
      </c>
      <c r="C1313" s="11" t="str">
        <f>CONCATENATE(Sheet2!F1313,"/",Sheet2!E1313)</f>
        <v>1/Piston</v>
      </c>
      <c r="D1313" t="str">
        <f>CONCATENATE(Sheet2!B1313,", ",Sheet2!C1313)</f>
        <v>PIPER, J-3 Cub</v>
      </c>
    </row>
    <row r="1314" spans="1:4" x14ac:dyDescent="0.2">
      <c r="A1314" t="str">
        <f>Sheet2!A1314</f>
        <v>J300</v>
      </c>
      <c r="B1314" t="str">
        <f ca="1">'Query Example'!D1314</f>
        <v>LandPlane</v>
      </c>
      <c r="C1314" s="11" t="str">
        <f>CONCATENATE(Sheet2!F1314,"/",Sheet2!E1314)</f>
        <v>1/Piston</v>
      </c>
      <c r="D1314" t="str">
        <f>CONCATENATE(Sheet2!B1314,", ",Sheet2!C1314)</f>
        <v>SAUPER, J-300 Joker</v>
      </c>
    </row>
    <row r="1315" spans="1:4" x14ac:dyDescent="0.2">
      <c r="A1315" t="str">
        <f>Sheet2!A1315</f>
        <v>J328</v>
      </c>
      <c r="B1315" t="str">
        <f ca="1">'Query Example'!D1315</f>
        <v>LandPlane</v>
      </c>
      <c r="C1315" s="11" t="str">
        <f>CONCATENATE(Sheet2!F1315,"/",Sheet2!E1315)</f>
        <v>2/Jet</v>
      </c>
      <c r="D1315" t="str">
        <f>CONCATENATE(Sheet2!B1315,", ",Sheet2!C1315)</f>
        <v>FAIRCHILD DORNIER, 328JET</v>
      </c>
    </row>
    <row r="1316" spans="1:4" x14ac:dyDescent="0.2">
      <c r="A1316" t="str">
        <f>Sheet2!A1316</f>
        <v>J4</v>
      </c>
      <c r="B1316" t="str">
        <f ca="1">'Query Example'!D1316</f>
        <v>LandPlane</v>
      </c>
      <c r="C1316" s="11" t="str">
        <f>CONCATENATE(Sheet2!F1316,"/",Sheet2!E1316)</f>
        <v>1/Piston</v>
      </c>
      <c r="D1316" t="str">
        <f>CONCATENATE(Sheet2!B1316,", ",Sheet2!C1316)</f>
        <v>PIPER, J-4 Cub Coupe</v>
      </c>
    </row>
    <row r="1317" spans="1:4" x14ac:dyDescent="0.2">
      <c r="A1317" t="str">
        <f>Sheet2!A1317</f>
        <v>J5</v>
      </c>
      <c r="B1317" t="str">
        <f ca="1">'Query Example'!D1317</f>
        <v>LandPlane</v>
      </c>
      <c r="C1317" s="11" t="str">
        <f>CONCATENATE(Sheet2!F1317,"/",Sheet2!E1317)</f>
        <v>1/Piston</v>
      </c>
      <c r="D1317" t="str">
        <f>CONCATENATE(Sheet2!B1317,", ",Sheet2!C1317)</f>
        <v>PIPER, J-5 Cub Cruiser</v>
      </c>
    </row>
    <row r="1318" spans="1:4" x14ac:dyDescent="0.2">
      <c r="A1318" t="str">
        <f>Sheet2!A1318</f>
        <v>J8A</v>
      </c>
      <c r="B1318" t="str">
        <f ca="1">'Query Example'!D1318</f>
        <v>LandPlane</v>
      </c>
      <c r="C1318" s="11" t="str">
        <f>CONCATENATE(Sheet2!F1318,"/",Sheet2!E1318)</f>
        <v>2/Jet</v>
      </c>
      <c r="D1318" t="str">
        <f>CONCATENATE(Sheet2!B1318,", ",Sheet2!C1318)</f>
        <v>SHENYANG, J-8A</v>
      </c>
    </row>
    <row r="1319" spans="1:4" x14ac:dyDescent="0.2">
      <c r="A1319" t="str">
        <f>Sheet2!A1319</f>
        <v>J8B</v>
      </c>
      <c r="B1319" t="str">
        <f ca="1">'Query Example'!D1319</f>
        <v>LandPlane</v>
      </c>
      <c r="C1319" s="11" t="str">
        <f>CONCATENATE(Sheet2!F1319,"/",Sheet2!E1319)</f>
        <v>2/Jet</v>
      </c>
      <c r="D1319" t="str">
        <f>CONCATENATE(Sheet2!B1319,", ",Sheet2!C1319)</f>
        <v>SHENYANG, J-8B</v>
      </c>
    </row>
    <row r="1320" spans="1:4" x14ac:dyDescent="0.2">
      <c r="A1320" t="str">
        <f>Sheet2!A1320</f>
        <v>JAB2</v>
      </c>
      <c r="B1320" t="str">
        <f ca="1">'Query Example'!D1320</f>
        <v>LandPlane</v>
      </c>
      <c r="C1320" s="11" t="str">
        <f>CONCATENATE(Sheet2!F1320,"/",Sheet2!E1320)</f>
        <v>1/Piston</v>
      </c>
      <c r="D1320" t="str">
        <f>CONCATENATE(Sheet2!B1320,", ",Sheet2!C1320)</f>
        <v>JABIRU, Jabiru J160</v>
      </c>
    </row>
    <row r="1321" spans="1:4" x14ac:dyDescent="0.2">
      <c r="A1321" t="str">
        <f>Sheet2!A1321</f>
        <v>JAB4</v>
      </c>
      <c r="B1321" t="str">
        <f ca="1">'Query Example'!D1321</f>
        <v>LandPlane</v>
      </c>
      <c r="C1321" s="11" t="str">
        <f>CONCATENATE(Sheet2!F1321,"/",Sheet2!E1321)</f>
        <v>1/Piston</v>
      </c>
      <c r="D1321" t="str">
        <f>CONCATENATE(Sheet2!B1321,", ",Sheet2!C1321)</f>
        <v>JABIRU, Jabiru J400</v>
      </c>
    </row>
    <row r="1322" spans="1:4" x14ac:dyDescent="0.2">
      <c r="A1322" t="str">
        <f>Sheet2!A1322</f>
        <v>JABI</v>
      </c>
      <c r="B1322" t="str">
        <f ca="1">'Query Example'!D1322</f>
        <v>LandPlane</v>
      </c>
      <c r="C1322" s="11" t="str">
        <f>CONCATENATE(Sheet2!F1322,"/",Sheet2!E1322)</f>
        <v>1/Piston</v>
      </c>
      <c r="D1322" t="str">
        <f>CONCATENATE(Sheet2!B1322,", ",Sheet2!C1322)</f>
        <v>JABIRU, Jabiru J120</v>
      </c>
    </row>
    <row r="1323" spans="1:4" x14ac:dyDescent="0.2">
      <c r="A1323" t="str">
        <f>Sheet2!A1323</f>
        <v>JACE</v>
      </c>
      <c r="B1323" t="str">
        <f ca="1">'Query Example'!D1323</f>
        <v>LandPlane</v>
      </c>
      <c r="C1323" s="11" t="str">
        <f>CONCATENATE(Sheet2!F1323,"/",Sheet2!E1323)</f>
        <v>1/Piston</v>
      </c>
      <c r="D1323" t="str">
        <f>CONCATENATE(Sheet2!B1323,", ",Sheet2!C1323)</f>
        <v>ACRO SPORT, Junior Ace</v>
      </c>
    </row>
    <row r="1324" spans="1:4" x14ac:dyDescent="0.2">
      <c r="A1324" t="str">
        <f>Sheet2!A1324</f>
        <v>JAG2</v>
      </c>
      <c r="B1324" t="str">
        <f ca="1">'Query Example'!D1324</f>
        <v>Helicopter</v>
      </c>
      <c r="C1324" s="11" t="str">
        <f>CONCATENATE(Sheet2!F1324,"/",Sheet2!E1324)</f>
        <v>1/Turboprop/Turboshaft</v>
      </c>
      <c r="D1324" t="str">
        <f>CONCATENATE(Sheet2!B1324,", ",Sheet2!C1324)</f>
        <v>JAG HELICOPTER, JAG</v>
      </c>
    </row>
    <row r="1325" spans="1:4" x14ac:dyDescent="0.2">
      <c r="A1325" t="str">
        <f>Sheet2!A1325</f>
        <v>JAGR</v>
      </c>
      <c r="B1325" t="str">
        <f ca="1">'Query Example'!D1325</f>
        <v>LandPlane</v>
      </c>
      <c r="C1325" s="11" t="str">
        <f>CONCATENATE(Sheet2!F1325,"/",Sheet2!E1325)</f>
        <v>2/Jet</v>
      </c>
      <c r="D1325" t="str">
        <f>CONCATENATE(Sheet2!B1325,", ",Sheet2!C1325)</f>
        <v>SEPECAT, Jaguar</v>
      </c>
    </row>
    <row r="1326" spans="1:4" x14ac:dyDescent="0.2">
      <c r="A1326" t="str">
        <f>Sheet2!A1326</f>
        <v>JAJ5</v>
      </c>
      <c r="B1326" t="str">
        <f ca="1">'Query Example'!D1326</f>
        <v>LandPlane</v>
      </c>
      <c r="C1326" s="11" t="str">
        <f>CONCATENATE(Sheet2!F1326,"/",Sheet2!E1326)</f>
        <v>1/Piston</v>
      </c>
      <c r="D1326" t="str">
        <f>CONCATENATE(Sheet2!B1326,", ",Sheet2!C1326)</f>
        <v>JANOWSKI, J-5 Marco</v>
      </c>
    </row>
    <row r="1327" spans="1:4" x14ac:dyDescent="0.2">
      <c r="A1327" t="str">
        <f>Sheet2!A1327</f>
        <v>JAJ6</v>
      </c>
      <c r="B1327" t="str">
        <f ca="1">'Query Example'!D1327</f>
        <v>LandPlane</v>
      </c>
      <c r="C1327" s="11" t="str">
        <f>CONCATENATE(Sheet2!F1327,"/",Sheet2!E1327)</f>
        <v>1/Piston</v>
      </c>
      <c r="D1327" t="str">
        <f>CONCATENATE(Sheet2!B1327,", ",Sheet2!C1327)</f>
        <v>J &amp; AS, J-6 Fregata</v>
      </c>
    </row>
    <row r="1328" spans="1:4" x14ac:dyDescent="0.2">
      <c r="A1328" t="str">
        <f>Sheet2!A1328</f>
        <v>JANU</v>
      </c>
      <c r="B1328" t="str">
        <f ca="1">'Query Example'!D1328</f>
        <v>LandPlane</v>
      </c>
      <c r="C1328" s="11" t="str">
        <f>CONCATENATE(Sheet2!F1328,"/",Sheet2!E1328)</f>
        <v>1/Piston</v>
      </c>
      <c r="D1328" t="str">
        <f>CONCATENATE(Sheet2!B1328,", ",Sheet2!C1328)</f>
        <v>SCHEMPP-HIRTH, Janus BM</v>
      </c>
    </row>
    <row r="1329" spans="1:4" x14ac:dyDescent="0.2">
      <c r="A1329" t="str">
        <f>Sheet2!A1329</f>
        <v>JARO</v>
      </c>
      <c r="B1329" t="str">
        <f ca="1">'Query Example'!D1329</f>
        <v>LandPlane</v>
      </c>
      <c r="C1329" s="11" t="str">
        <f>CONCATENATE(Sheet2!F1329,"/",Sheet2!E1329)</f>
        <v>1/Piston</v>
      </c>
      <c r="D1329" t="str">
        <f>CONCATENATE(Sheet2!B1329,", ",Sheet2!C1329)</f>
        <v>JACKAROO, Thruxton Jackaroo</v>
      </c>
    </row>
    <row r="1330" spans="1:4" x14ac:dyDescent="0.2">
      <c r="A1330" t="str">
        <f>Sheet2!A1330</f>
        <v>JAST</v>
      </c>
      <c r="B1330" t="str">
        <f ca="1">'Query Example'!D1330</f>
        <v>LandPlane</v>
      </c>
      <c r="C1330" s="11" t="str">
        <f>CONCATENATE(Sheet2!F1330,"/",Sheet2!E1330)</f>
        <v>1/Jet</v>
      </c>
      <c r="D1330" t="str">
        <f>CONCATENATE(Sheet2!B1330,", ",Sheet2!C1330)</f>
        <v>SOKO, J-21 Jastreb</v>
      </c>
    </row>
    <row r="1331" spans="1:4" x14ac:dyDescent="0.2">
      <c r="A1331" t="str">
        <f>Sheet2!A1331</f>
        <v>JB1</v>
      </c>
      <c r="B1331" t="str">
        <f ca="1">'Query Example'!D1331</f>
        <v>Amphibian</v>
      </c>
      <c r="C1331" s="11" t="str">
        <f>CONCATENATE(Sheet2!F1331,"/",Sheet2!E1331)</f>
        <v>1/Piston</v>
      </c>
      <c r="D1331" t="str">
        <f>CONCATENATE(Sheet2!B1331,", ",Sheet2!C1331)</f>
        <v>INDEPENDENT, X-JB-1 SeaDragon</v>
      </c>
    </row>
    <row r="1332" spans="1:4" x14ac:dyDescent="0.2">
      <c r="A1332" t="str">
        <f>Sheet2!A1332</f>
        <v>JB15</v>
      </c>
      <c r="B1332" t="str">
        <f ca="1">'Query Example'!D1332</f>
        <v>LandPlane</v>
      </c>
      <c r="C1332" s="11" t="str">
        <f>CONCATENATE(Sheet2!F1332,"/",Sheet2!E1332)</f>
        <v>1/Piston</v>
      </c>
      <c r="D1332" t="str">
        <f>CONCATENATE(Sheet2!B1332,", ",Sheet2!C1332)</f>
        <v>OBERLERCHNER, JOB-15</v>
      </c>
    </row>
    <row r="1333" spans="1:4" x14ac:dyDescent="0.2">
      <c r="A1333" t="str">
        <f>Sheet2!A1333</f>
        <v>JC01</v>
      </c>
      <c r="B1333" t="str">
        <f ca="1">'Query Example'!D1333</f>
        <v>LandPlane</v>
      </c>
      <c r="C1333" s="11" t="str">
        <f>CONCATENATE(Sheet2!F1333,"/",Sheet2!E1333)</f>
        <v>1/Piston</v>
      </c>
      <c r="D1333" t="str">
        <f>CONCATENATE(Sheet2!B1333,", ",Sheet2!C1333)</f>
        <v>COUPE, JC-01</v>
      </c>
    </row>
    <row r="1334" spans="1:4" x14ac:dyDescent="0.2">
      <c r="A1334" t="str">
        <f>Sheet2!A1334</f>
        <v>JC02</v>
      </c>
      <c r="B1334" t="str">
        <f ca="1">'Query Example'!D1334</f>
        <v>LandPlane</v>
      </c>
      <c r="C1334" s="11" t="str">
        <f>CONCATENATE(Sheet2!F1334,"/",Sheet2!E1334)</f>
        <v>1/Piston</v>
      </c>
      <c r="D1334" t="str">
        <f>CONCATENATE(Sheet2!B1334,", ",Sheet2!C1334)</f>
        <v>COUPE, JC-02</v>
      </c>
    </row>
    <row r="1335" spans="1:4" x14ac:dyDescent="0.2">
      <c r="A1335" t="str">
        <f>Sheet2!A1335</f>
        <v>JCOM</v>
      </c>
      <c r="B1335" t="str">
        <f ca="1">'Query Example'!D1335</f>
        <v>LandPlane</v>
      </c>
      <c r="C1335" s="11" t="str">
        <f>CONCATENATE(Sheet2!F1335,"/",Sheet2!E1335)</f>
        <v>2/Jet</v>
      </c>
      <c r="D1335" t="str">
        <f>CONCATENATE(Sheet2!B1335,", ",Sheet2!C1335)</f>
        <v>AERO COMMANDER, 1121 Jet Commander</v>
      </c>
    </row>
    <row r="1336" spans="1:4" x14ac:dyDescent="0.2">
      <c r="A1336" t="str">
        <f>Sheet2!A1336</f>
        <v>JCRU</v>
      </c>
      <c r="B1336" t="str">
        <f ca="1">'Query Example'!D1336</f>
        <v>LandPlane</v>
      </c>
      <c r="C1336" s="11" t="str">
        <f>CONCATENATE(Sheet2!F1336,"/",Sheet2!E1336)</f>
        <v>1/Turboprop/Turboshaft</v>
      </c>
      <c r="D1336" t="str">
        <f>CONCATENATE(Sheet2!B1336,", ",Sheet2!C1336)</f>
        <v>AASI, Jetcruzer</v>
      </c>
    </row>
    <row r="1337" spans="1:4" x14ac:dyDescent="0.2">
      <c r="A1337" t="str">
        <f>Sheet2!A1337</f>
        <v>JD2</v>
      </c>
      <c r="B1337" t="str">
        <f ca="1">'Query Example'!D1337</f>
        <v>LandPlane</v>
      </c>
      <c r="C1337" s="11" t="str">
        <f>CONCATENATE(Sheet2!F1337,"/",Sheet2!E1337)</f>
        <v>1/Piston</v>
      </c>
      <c r="D1337" t="str">
        <f>CONCATENATE(Sheet2!B1337,", ",Sheet2!C1337)</f>
        <v>DYKE, JD-2 Delta</v>
      </c>
    </row>
    <row r="1338" spans="1:4" x14ac:dyDescent="0.2">
      <c r="A1338" t="str">
        <f>Sheet2!A1338</f>
        <v>JDOE</v>
      </c>
      <c r="B1338" t="str">
        <f ca="1">'Query Example'!D1338</f>
        <v>LandPlane</v>
      </c>
      <c r="C1338" s="11" t="str">
        <f>CONCATENATE(Sheet2!F1338,"/",Sheet2!E1338)</f>
        <v>1/Piston</v>
      </c>
      <c r="D1338" t="str">
        <f>CONCATENATE(Sheet2!B1338,", ",Sheet2!C1338)</f>
        <v>AMERICAN HOMEBUILTS, John Doe</v>
      </c>
    </row>
    <row r="1339" spans="1:4" x14ac:dyDescent="0.2">
      <c r="A1339" t="str">
        <f>Sheet2!A1339</f>
        <v>JE2</v>
      </c>
      <c r="B1339" t="str">
        <f ca="1">'Query Example'!D1339</f>
        <v>Gyrocopter</v>
      </c>
      <c r="C1339" s="11" t="str">
        <f>CONCATENATE(Sheet2!F1339,"/",Sheet2!E1339)</f>
        <v>1/Piston</v>
      </c>
      <c r="D1339" t="str">
        <f>CONCATENATE(Sheet2!B1339,", ",Sheet2!C1339)</f>
        <v>EICH, JE-2 Gyroplane</v>
      </c>
    </row>
    <row r="1340" spans="1:4" x14ac:dyDescent="0.2">
      <c r="A1340" t="str">
        <f>Sheet2!A1340</f>
        <v>JFOX</v>
      </c>
      <c r="B1340" t="str">
        <f ca="1">'Query Example'!D1340</f>
        <v>LandPlane</v>
      </c>
      <c r="C1340" s="11" t="str">
        <f>CONCATENATE(Sheet2!F1340,"/",Sheet2!E1340)</f>
        <v>1/Piston</v>
      </c>
      <c r="D1340" t="str">
        <f>CONCATENATE(Sheet2!B1340,", ",Sheet2!C1340)</f>
        <v>EUROALA, Jet Fox</v>
      </c>
    </row>
    <row r="1341" spans="1:4" x14ac:dyDescent="0.2">
      <c r="A1341" t="str">
        <f>Sheet2!A1341</f>
        <v>JH7</v>
      </c>
      <c r="B1341" t="str">
        <f ca="1">'Query Example'!D1341</f>
        <v>LandPlane</v>
      </c>
      <c r="C1341" s="11" t="str">
        <f>CONCATENATE(Sheet2!F1341,"/",Sheet2!E1341)</f>
        <v>2/Jet</v>
      </c>
      <c r="D1341" t="str">
        <f>CONCATENATE(Sheet2!B1341,", ",Sheet2!C1341)</f>
        <v>XIAN, JH-7</v>
      </c>
    </row>
    <row r="1342" spans="1:4" x14ac:dyDescent="0.2">
      <c r="A1342" t="str">
        <f>Sheet2!A1342</f>
        <v>JK05</v>
      </c>
      <c r="B1342" t="str">
        <f ca="1">'Query Example'!D1342</f>
        <v>LandPlane</v>
      </c>
      <c r="C1342" s="11" t="str">
        <f>CONCATENATE(Sheet2!F1342,"/",Sheet2!E1342)</f>
        <v>1/Piston</v>
      </c>
      <c r="D1342" t="str">
        <f>CONCATENATE(Sheet2!B1342,", ",Sheet2!C1342)</f>
        <v>EKOLOT, JK-05 Beetle</v>
      </c>
    </row>
    <row r="1343" spans="1:4" x14ac:dyDescent="0.2">
      <c r="A1343" t="str">
        <f>Sheet2!A1343</f>
        <v>JL9</v>
      </c>
      <c r="B1343" t="str">
        <f ca="1">'Query Example'!D1343</f>
        <v>LandPlane</v>
      </c>
      <c r="C1343" s="11" t="str">
        <f>CONCATENATE(Sheet2!F1343,"/",Sheet2!E1343)</f>
        <v>1/Jet</v>
      </c>
      <c r="D1343" t="str">
        <f>CONCATENATE(Sheet2!B1343,", ",Sheet2!C1343)</f>
        <v>GUIZHOU, JL-9 Shanying</v>
      </c>
    </row>
    <row r="1344" spans="1:4" x14ac:dyDescent="0.2">
      <c r="A1344" t="str">
        <f>Sheet2!A1344</f>
        <v>JN76</v>
      </c>
      <c r="B1344" t="str">
        <f ca="1">'Query Example'!D1344</f>
        <v>LandPlane</v>
      </c>
      <c r="C1344" s="11" t="str">
        <f>CONCATENATE(Sheet2!F1344,"/",Sheet2!E1344)</f>
        <v>1/Piston</v>
      </c>
      <c r="D1344" t="str">
        <f>CONCATENATE(Sheet2!B1344,", ",Sheet2!C1344)</f>
        <v>CAUDRON, JN-760 Cyclone Replica</v>
      </c>
    </row>
    <row r="1345" spans="1:4" x14ac:dyDescent="0.2">
      <c r="A1345" t="str">
        <f>Sheet2!A1345</f>
        <v>JPM1</v>
      </c>
      <c r="B1345" t="str">
        <f ca="1">'Query Example'!D1345</f>
        <v>LandPlane</v>
      </c>
      <c r="C1345" s="11" t="str">
        <f>CONCATENATE(Sheet2!F1345,"/",Sheet2!E1345)</f>
        <v>1/Piston</v>
      </c>
      <c r="D1345" t="str">
        <f>CONCATENATE(Sheet2!B1345,", ",Sheet2!C1345)</f>
        <v>MARIE, JPM-01 Medoc</v>
      </c>
    </row>
    <row r="1346" spans="1:4" x14ac:dyDescent="0.2">
      <c r="A1346" t="str">
        <f>Sheet2!A1346</f>
        <v>JPRO</v>
      </c>
      <c r="B1346" t="str">
        <f ca="1">'Query Example'!D1346</f>
        <v>LandPlane</v>
      </c>
      <c r="C1346" s="11" t="str">
        <f>CONCATENATE(Sheet2!F1346,"/",Sheet2!E1346)</f>
        <v>1/Jet</v>
      </c>
      <c r="D1346" t="str">
        <f>CONCATENATE(Sheet2!B1346,", ",Sheet2!C1346)</f>
        <v>BAC, 145 Jet Provost</v>
      </c>
    </row>
    <row r="1347" spans="1:4" x14ac:dyDescent="0.2">
      <c r="A1347" t="str">
        <f>Sheet2!A1347</f>
        <v>JRC1</v>
      </c>
      <c r="B1347" t="str">
        <f ca="1">'Query Example'!D1347</f>
        <v>LandPlane</v>
      </c>
      <c r="C1347" s="11" t="str">
        <f>CONCATENATE(Sheet2!F1347,"/",Sheet2!E1347)</f>
        <v>1/Piston</v>
      </c>
      <c r="D1347" t="str">
        <f>CONCATENATE(Sheet2!B1347,", ",Sheet2!C1347)</f>
        <v>CHALARD, JRC-01 Julcar</v>
      </c>
    </row>
    <row r="1348" spans="1:4" x14ac:dyDescent="0.2">
      <c r="A1348" t="str">
        <f>Sheet2!A1348</f>
        <v>JS1</v>
      </c>
      <c r="B1348" t="str">
        <f ca="1">'Query Example'!D1348</f>
        <v>LandPlane</v>
      </c>
      <c r="C1348" s="11" t="str">
        <f>CONCATENATE(Sheet2!F1348,"/",Sheet2!E1348)</f>
        <v>2/Turboprop/Turboshaft</v>
      </c>
      <c r="D1348" t="str">
        <f>CONCATENATE(Sheet2!B1348,", ",Sheet2!C1348)</f>
        <v>JETSTREAM, Jetstream 1</v>
      </c>
    </row>
    <row r="1349" spans="1:4" x14ac:dyDescent="0.2">
      <c r="A1349" t="str">
        <f>Sheet2!A1349</f>
        <v>JS20</v>
      </c>
      <c r="B1349" t="str">
        <f ca="1">'Query Example'!D1349</f>
        <v>LandPlane</v>
      </c>
      <c r="C1349" s="11" t="str">
        <f>CONCATENATE(Sheet2!F1349,"/",Sheet2!E1349)</f>
        <v>2/Turboprop/Turboshaft</v>
      </c>
      <c r="D1349" t="str">
        <f>CONCATENATE(Sheet2!B1349,", ",Sheet2!C1349)</f>
        <v>JETSTREAM, Jetstream 200</v>
      </c>
    </row>
    <row r="1350" spans="1:4" x14ac:dyDescent="0.2">
      <c r="A1350" t="str">
        <f>Sheet2!A1350</f>
        <v>JS3</v>
      </c>
      <c r="B1350" t="str">
        <f ca="1">'Query Example'!D1350</f>
        <v>LandPlane</v>
      </c>
      <c r="C1350" s="11" t="str">
        <f>CONCATENATE(Sheet2!F1350,"/",Sheet2!E1350)</f>
        <v>2/Turboprop/Turboshaft</v>
      </c>
      <c r="D1350" t="str">
        <f>CONCATENATE(Sheet2!B1350,", ",Sheet2!C1350)</f>
        <v>CENTURY, Jetstream 3</v>
      </c>
    </row>
    <row r="1351" spans="1:4" x14ac:dyDescent="0.2">
      <c r="A1351" t="str">
        <f>Sheet2!A1351</f>
        <v>JS31</v>
      </c>
      <c r="B1351" t="str">
        <f ca="1">'Query Example'!D1351</f>
        <v>LandPlane</v>
      </c>
      <c r="C1351" s="11" t="str">
        <f>CONCATENATE(Sheet2!F1351,"/",Sheet2!E1351)</f>
        <v>2/Turboprop/Turboshaft</v>
      </c>
      <c r="D1351" t="str">
        <f>CONCATENATE(Sheet2!B1351,", ",Sheet2!C1351)</f>
        <v>BRITISH AEROSPACE, Jetstream 31</v>
      </c>
    </row>
    <row r="1352" spans="1:4" x14ac:dyDescent="0.2">
      <c r="A1352" t="str">
        <f>Sheet2!A1352</f>
        <v>JS32</v>
      </c>
      <c r="B1352" t="str">
        <f ca="1">'Query Example'!D1352</f>
        <v>LandPlane</v>
      </c>
      <c r="C1352" s="11" t="str">
        <f>CONCATENATE(Sheet2!F1352,"/",Sheet2!E1352)</f>
        <v>2/Turboprop/Turboshaft</v>
      </c>
      <c r="D1352" t="str">
        <f>CONCATENATE(Sheet2!B1352,", ",Sheet2!C1352)</f>
        <v>BRITISH AEROSPACE, Jetstream Super 31</v>
      </c>
    </row>
    <row r="1353" spans="1:4" x14ac:dyDescent="0.2">
      <c r="A1353" t="str">
        <f>Sheet2!A1353</f>
        <v>JS41</v>
      </c>
      <c r="B1353" t="str">
        <f ca="1">'Query Example'!D1353</f>
        <v>LandPlane</v>
      </c>
      <c r="C1353" s="11" t="str">
        <f>CONCATENATE(Sheet2!F1353,"/",Sheet2!E1353)</f>
        <v>2/Turboprop/Turboshaft</v>
      </c>
      <c r="D1353" t="str">
        <f>CONCATENATE(Sheet2!B1353,", ",Sheet2!C1353)</f>
        <v>BRITISH AEROSPACE, Jetstream 41</v>
      </c>
    </row>
    <row r="1354" spans="1:4" x14ac:dyDescent="0.2">
      <c r="A1354" t="str">
        <f>Sheet2!A1354</f>
        <v>JSQA</v>
      </c>
      <c r="B1354" t="str">
        <f ca="1">'Query Example'!D1354</f>
        <v>LandPlane</v>
      </c>
      <c r="C1354" s="11" t="str">
        <f>CONCATENATE(Sheet2!F1354,"/",Sheet2!E1354)</f>
        <v>1/Jet</v>
      </c>
      <c r="D1354" t="str">
        <f>CONCATENATE(Sheet2!B1354,", ",Sheet2!C1354)</f>
        <v>PROMAVIA, F-1300 Jet Squalus</v>
      </c>
    </row>
    <row r="1355" spans="1:4" x14ac:dyDescent="0.2">
      <c r="A1355" t="str">
        <f>Sheet2!A1355</f>
        <v>JSX</v>
      </c>
      <c r="B1355" t="str">
        <f ca="1">'Query Example'!D1355</f>
        <v>LandPlane</v>
      </c>
      <c r="C1355" s="11" t="str">
        <f>CONCATENATE(Sheet2!F1355,"/",Sheet2!E1355)</f>
        <v>1/Jet</v>
      </c>
      <c r="D1355" t="str">
        <f>CONCATENATE(Sheet2!B1355,", ",Sheet2!C1355)</f>
        <v>SONEX, JSX SubSonex</v>
      </c>
    </row>
    <row r="1356" spans="1:4" x14ac:dyDescent="0.2">
      <c r="A1356" t="str">
        <f>Sheet2!A1356</f>
        <v>JT2</v>
      </c>
      <c r="B1356" t="str">
        <f ca="1">'Query Example'!D1356</f>
        <v>LandPlane</v>
      </c>
      <c r="C1356" s="11" t="str">
        <f>CONCATENATE(Sheet2!F1356,"/",Sheet2!E1356)</f>
        <v>1/Piston</v>
      </c>
      <c r="D1356" t="str">
        <f>CONCATENATE(Sheet2!B1356,", ",Sheet2!C1356)</f>
        <v>TAYLOR (4), JT-2 Titch</v>
      </c>
    </row>
    <row r="1357" spans="1:4" x14ac:dyDescent="0.2">
      <c r="A1357" t="str">
        <f>Sheet2!A1357</f>
        <v>JU52</v>
      </c>
      <c r="B1357" t="str">
        <f ca="1">'Query Example'!D1357</f>
        <v>LandPlane</v>
      </c>
      <c r="C1357" s="11" t="str">
        <f>CONCATENATE(Sheet2!F1357,"/",Sheet2!E1357)</f>
        <v>3/Piston</v>
      </c>
      <c r="D1357" t="str">
        <f>CONCATENATE(Sheet2!B1357,", ",Sheet2!C1357)</f>
        <v>JUNKERS, Ju-52/3m</v>
      </c>
    </row>
    <row r="1358" spans="1:4" x14ac:dyDescent="0.2">
      <c r="A1358" t="str">
        <f>Sheet2!A1358</f>
        <v>JUN1</v>
      </c>
      <c r="B1358" t="str">
        <f ca="1">'Query Example'!D1358</f>
        <v>LandPlane</v>
      </c>
      <c r="C1358" s="11" t="str">
        <f>CONCATENATE(Sheet2!F1358,"/",Sheet2!E1358)</f>
        <v>1/Piston</v>
      </c>
      <c r="D1358" t="str">
        <f>CONCATENATE(Sheet2!B1358,", ",Sheet2!C1358)</f>
        <v>KAMINSKAS, RK-1 Jungster 1</v>
      </c>
    </row>
    <row r="1359" spans="1:4" x14ac:dyDescent="0.2">
      <c r="A1359" t="str">
        <f>Sheet2!A1359</f>
        <v>JUN2</v>
      </c>
      <c r="B1359" t="str">
        <f ca="1">'Query Example'!D1359</f>
        <v>LandPlane</v>
      </c>
      <c r="C1359" s="11" t="str">
        <f>CONCATENATE(Sheet2!F1359,"/",Sheet2!E1359)</f>
        <v>1/Piston</v>
      </c>
      <c r="D1359" t="str">
        <f>CONCATENATE(Sheet2!B1359,", ",Sheet2!C1359)</f>
        <v>KAMINSKAS, RK-2 Jungster 2</v>
      </c>
    </row>
    <row r="1360" spans="1:4" x14ac:dyDescent="0.2">
      <c r="A1360" t="str">
        <f>Sheet2!A1360</f>
        <v>JUNR</v>
      </c>
      <c r="B1360" t="str">
        <f ca="1">'Query Example'!D1360</f>
        <v>LandPlane</v>
      </c>
      <c r="C1360" s="11" t="str">
        <f>CONCATENATE(Sheet2!F1360,"/",Sheet2!E1360)</f>
        <v>1/Piston</v>
      </c>
      <c r="D1360" t="str">
        <f>CONCATENATE(Sheet2!B1360,", ",Sheet2!C1360)</f>
        <v>BOLKOW, BO-208 Junior</v>
      </c>
    </row>
    <row r="1361" spans="1:4" x14ac:dyDescent="0.2">
      <c r="A1361" t="str">
        <f>Sheet2!A1361</f>
        <v>JUPI</v>
      </c>
      <c r="B1361" t="str">
        <f ca="1">'Query Example'!D1361</f>
        <v>LandPlane</v>
      </c>
      <c r="C1361" s="11" t="str">
        <f>CONCATENATE(Sheet2!F1361,"/",Sheet2!E1361)</f>
        <v>1/Piston</v>
      </c>
      <c r="D1361" t="str">
        <f>CONCATENATE(Sheet2!B1361,", ",Sheet2!C1361)</f>
        <v>LAMMER GEYER, Jupiter</v>
      </c>
    </row>
    <row r="1362" spans="1:4" x14ac:dyDescent="0.2">
      <c r="A1362" t="str">
        <f>Sheet2!A1362</f>
        <v>K100</v>
      </c>
      <c r="B1362" t="str">
        <f ca="1">'Query Example'!D1362</f>
        <v>LandPlane</v>
      </c>
      <c r="C1362" s="11" t="str">
        <f>CONCATENATE(Sheet2!F1362,"/",Sheet2!E1362)</f>
        <v>1/Turboprop/Turboshaft</v>
      </c>
      <c r="D1362" t="str">
        <f>CONCATENATE(Sheet2!B1362,", ",Sheet2!C1362)</f>
        <v>DAHER, Kodiak 100</v>
      </c>
    </row>
    <row r="1363" spans="1:4" x14ac:dyDescent="0.2">
      <c r="A1363" t="str">
        <f>Sheet2!A1363</f>
        <v>K126</v>
      </c>
      <c r="B1363" t="str">
        <f ca="1">'Query Example'!D1363</f>
        <v>Helicopter</v>
      </c>
      <c r="C1363" s="11" t="str">
        <f>CONCATENATE(Sheet2!F1363,"/",Sheet2!E1363)</f>
        <v>1/Turboprop/Turboshaft</v>
      </c>
      <c r="D1363" t="str">
        <f>CONCATENATE(Sheet2!B1363,", ",Sheet2!C1363)</f>
        <v>KAMOV, Ka-126</v>
      </c>
    </row>
    <row r="1364" spans="1:4" x14ac:dyDescent="0.2">
      <c r="A1364" t="str">
        <f>Sheet2!A1364</f>
        <v>K200</v>
      </c>
      <c r="B1364" t="str">
        <f ca="1">'Query Example'!D1364</f>
        <v>LandPlane</v>
      </c>
      <c r="C1364" s="11" t="str">
        <f>CONCATENATE(Sheet2!F1364,"/",Sheet2!E1364)</f>
        <v>1/Turboprop/Turboshaft</v>
      </c>
      <c r="D1364" t="str">
        <f>CONCATENATE(Sheet2!B1364,", ",Sheet2!C1364)</f>
        <v>DAHER, Kodiak 200</v>
      </c>
    </row>
    <row r="1365" spans="1:4" x14ac:dyDescent="0.2">
      <c r="A1365" t="str">
        <f>Sheet2!A1365</f>
        <v>K209</v>
      </c>
      <c r="B1365" t="str">
        <f ca="1">'Query Example'!D1365</f>
        <v>Helicopter</v>
      </c>
      <c r="C1365" s="11" t="str">
        <f>CONCATENATE(Sheet2!F1365,"/",Sheet2!E1365)</f>
        <v>1/Turboprop/Turboshaft</v>
      </c>
      <c r="D1365" t="str">
        <f>CONCATENATE(Sheet2!B1365,", ",Sheet2!C1365)</f>
        <v>FAMA, K-209 KISS</v>
      </c>
    </row>
    <row r="1366" spans="1:4" x14ac:dyDescent="0.2">
      <c r="A1366" t="str">
        <f>Sheet2!A1366</f>
        <v>K226</v>
      </c>
      <c r="B1366" t="str">
        <f ca="1">'Query Example'!D1366</f>
        <v>Helicopter</v>
      </c>
      <c r="C1366" s="11" t="str">
        <f>CONCATENATE(Sheet2!F1366,"/",Sheet2!E1366)</f>
        <v>2/Turboprop/Turboshaft</v>
      </c>
      <c r="D1366" t="str">
        <f>CONCATENATE(Sheet2!B1366,", ",Sheet2!C1366)</f>
        <v>KAMOV, Ka-226 Sergei</v>
      </c>
    </row>
    <row r="1367" spans="1:4" x14ac:dyDescent="0.2">
      <c r="A1367" t="str">
        <f>Sheet2!A1367</f>
        <v>K250</v>
      </c>
      <c r="B1367" t="str">
        <f ca="1">'Query Example'!D1367</f>
        <v>LandPlane</v>
      </c>
      <c r="C1367" s="11" t="str">
        <f>CONCATENATE(Sheet2!F1367,"/",Sheet2!E1367)</f>
        <v>1/Piston</v>
      </c>
      <c r="D1367" t="str">
        <f>CONCATENATE(Sheet2!B1367,", ",Sheet2!C1367)</f>
        <v>KESTREL (1), K-250</v>
      </c>
    </row>
    <row r="1368" spans="1:4" x14ac:dyDescent="0.2">
      <c r="A1368" t="str">
        <f>Sheet2!A1368</f>
        <v>K35E</v>
      </c>
      <c r="B1368" t="str">
        <f ca="1">'Query Example'!D1368</f>
        <v>LandPlane</v>
      </c>
      <c r="C1368" s="11" t="str">
        <f>CONCATENATE(Sheet2!F1368,"/",Sheet2!E1368)</f>
        <v>4/Jet</v>
      </c>
      <c r="D1368" t="str">
        <f>CONCATENATE(Sheet2!B1368,", ",Sheet2!C1368)</f>
        <v>BOEING, KC-135E Stratotanker</v>
      </c>
    </row>
    <row r="1369" spans="1:4" x14ac:dyDescent="0.2">
      <c r="A1369" t="str">
        <f>Sheet2!A1369</f>
        <v>K35R</v>
      </c>
      <c r="B1369" t="str">
        <f ca="1">'Query Example'!D1369</f>
        <v>LandPlane</v>
      </c>
      <c r="C1369" s="11" t="str">
        <f>CONCATENATE(Sheet2!F1369,"/",Sheet2!E1369)</f>
        <v>4/Jet</v>
      </c>
      <c r="D1369" t="str">
        <f>CONCATENATE(Sheet2!B1369,", ",Sheet2!C1369)</f>
        <v>BOEING, KC-135R Stratotanker</v>
      </c>
    </row>
    <row r="1370" spans="1:4" x14ac:dyDescent="0.2">
      <c r="A1370" t="str">
        <f>Sheet2!A1370</f>
        <v>K50</v>
      </c>
      <c r="B1370" t="str">
        <f ca="1">'Query Example'!D1370</f>
        <v>LandPlane</v>
      </c>
      <c r="C1370" s="11" t="str">
        <f>CONCATENATE(Sheet2!F1370,"/",Sheet2!E1370)</f>
        <v>1/Jet</v>
      </c>
      <c r="D1370" t="str">
        <f>CONCATENATE(Sheet2!B1370,", ",Sheet2!C1370)</f>
        <v>KOREA AEROSPACE, A-50 Golden Eagle</v>
      </c>
    </row>
    <row r="1371" spans="1:4" x14ac:dyDescent="0.2">
      <c r="A1371" t="str">
        <f>Sheet2!A1371</f>
        <v>K51</v>
      </c>
      <c r="B1371" t="str">
        <f ca="1">'Query Example'!D1371</f>
        <v>LandPlane</v>
      </c>
      <c r="C1371" s="11" t="str">
        <f>CONCATENATE(Sheet2!F1371,"/",Sheet2!E1371)</f>
        <v>1/Piston</v>
      </c>
      <c r="D1371" t="str">
        <f>CONCATENATE(Sheet2!B1371,", ",Sheet2!C1371)</f>
        <v>KOVACS, K-51 Peregrino</v>
      </c>
    </row>
    <row r="1372" spans="1:4" x14ac:dyDescent="0.2">
      <c r="A1372" t="str">
        <f>Sheet2!A1372</f>
        <v>K8</v>
      </c>
      <c r="B1372" t="str">
        <f ca="1">'Query Example'!D1372</f>
        <v>LandPlane</v>
      </c>
      <c r="C1372" s="11" t="str">
        <f>CONCATENATE(Sheet2!F1372,"/",Sheet2!E1372)</f>
        <v>1/Jet</v>
      </c>
      <c r="D1372" t="str">
        <f>CONCATENATE(Sheet2!B1372,", ",Sheet2!C1372)</f>
        <v>HONGDU, K-8 Karakorum</v>
      </c>
    </row>
    <row r="1373" spans="1:4" x14ac:dyDescent="0.2">
      <c r="A1373" t="str">
        <f>Sheet2!A1373</f>
        <v>KA25</v>
      </c>
      <c r="B1373" t="str">
        <f ca="1">'Query Example'!D1373</f>
        <v>Helicopter</v>
      </c>
      <c r="C1373" s="11" t="str">
        <f>CONCATENATE(Sheet2!F1373,"/",Sheet2!E1373)</f>
        <v>2/Turboprop/Turboshaft</v>
      </c>
      <c r="D1373" t="str">
        <f>CONCATENATE(Sheet2!B1373,", ",Sheet2!C1373)</f>
        <v>KAMOV, Ka-25</v>
      </c>
    </row>
    <row r="1374" spans="1:4" x14ac:dyDescent="0.2">
      <c r="A1374" t="str">
        <f>Sheet2!A1374</f>
        <v>KA26</v>
      </c>
      <c r="B1374" t="str">
        <f ca="1">'Query Example'!D1374</f>
        <v>Helicopter</v>
      </c>
      <c r="C1374" s="11" t="str">
        <f>CONCATENATE(Sheet2!F1374,"/",Sheet2!E1374)</f>
        <v>2/Piston</v>
      </c>
      <c r="D1374" t="str">
        <f>CONCATENATE(Sheet2!B1374,", ",Sheet2!C1374)</f>
        <v>KAMOV, Ka-26</v>
      </c>
    </row>
    <row r="1375" spans="1:4" x14ac:dyDescent="0.2">
      <c r="A1375" t="str">
        <f>Sheet2!A1375</f>
        <v>KA27</v>
      </c>
      <c r="B1375" t="str">
        <f ca="1">'Query Example'!D1375</f>
        <v>Helicopter</v>
      </c>
      <c r="C1375" s="11" t="str">
        <f>CONCATENATE(Sheet2!F1375,"/",Sheet2!E1375)</f>
        <v>2/Turboprop/Turboshaft</v>
      </c>
      <c r="D1375" t="str">
        <f>CONCATENATE(Sheet2!B1375,", ",Sheet2!C1375)</f>
        <v>KAMOV, Ka-27</v>
      </c>
    </row>
    <row r="1376" spans="1:4" x14ac:dyDescent="0.2">
      <c r="A1376" t="str">
        <f>Sheet2!A1376</f>
        <v>KA50</v>
      </c>
      <c r="B1376" t="str">
        <f ca="1">'Query Example'!D1376</f>
        <v>Helicopter</v>
      </c>
      <c r="C1376" s="11" t="str">
        <f>CONCATENATE(Sheet2!F1376,"/",Sheet2!E1376)</f>
        <v>2/Turboprop/Turboshaft</v>
      </c>
      <c r="D1376" t="str">
        <f>CONCATENATE(Sheet2!B1376,", ",Sheet2!C1376)</f>
        <v>KAMOV, Ka-50 Werewolf</v>
      </c>
    </row>
    <row r="1377" spans="1:4" x14ac:dyDescent="0.2">
      <c r="A1377" t="str">
        <f>Sheet2!A1377</f>
        <v>KA52</v>
      </c>
      <c r="B1377" t="str">
        <f ca="1">'Query Example'!D1377</f>
        <v>Helicopter</v>
      </c>
      <c r="C1377" s="11" t="str">
        <f>CONCATENATE(Sheet2!F1377,"/",Sheet2!E1377)</f>
        <v>2/Turboprop/Turboshaft</v>
      </c>
      <c r="D1377" t="str">
        <f>CONCATENATE(Sheet2!B1377,", ",Sheet2!C1377)</f>
        <v>KAMOV, Ka-52 Alligator</v>
      </c>
    </row>
    <row r="1378" spans="1:4" x14ac:dyDescent="0.2">
      <c r="A1378" t="str">
        <f>Sheet2!A1378</f>
        <v>KA62</v>
      </c>
      <c r="B1378" t="str">
        <f ca="1">'Query Example'!D1378</f>
        <v>Helicopter</v>
      </c>
      <c r="C1378" s="11" t="str">
        <f>CONCATENATE(Sheet2!F1378,"/",Sheet2!E1378)</f>
        <v>2/Turboprop/Turboshaft</v>
      </c>
      <c r="D1378" t="str">
        <f>CONCATENATE(Sheet2!B1378,", ",Sheet2!C1378)</f>
        <v>KAMOV, Ka-60 Kasatka</v>
      </c>
    </row>
    <row r="1379" spans="1:4" x14ac:dyDescent="0.2">
      <c r="A1379" t="str">
        <f>Sheet2!A1379</f>
        <v>KAFI</v>
      </c>
      <c r="B1379" t="str">
        <f ca="1">'Query Example'!D1379</f>
        <v>LandPlane</v>
      </c>
      <c r="C1379" s="11" t="str">
        <f>CONCATENATE(Sheet2!F1379,"/",Sheet2!E1379)</f>
        <v>1/Piston</v>
      </c>
      <c r="D1379" t="str">
        <f>CONCATENATE(Sheet2!B1379,", ",Sheet2!C1379)</f>
        <v>KARI, Firefly</v>
      </c>
    </row>
    <row r="1380" spans="1:4" x14ac:dyDescent="0.2">
      <c r="A1380" t="str">
        <f>Sheet2!A1380</f>
        <v>KAK1</v>
      </c>
      <c r="B1380" t="str">
        <f ca="1">'Query Example'!D1380</f>
        <v>LandPlane</v>
      </c>
      <c r="C1380" s="11" t="str">
        <f>CONCATENATE(Sheet2!F1380,"/",Sheet2!E1380)</f>
        <v>1/Piston</v>
      </c>
      <c r="D1380" t="str">
        <f>CONCATENATE(Sheet2!B1380,", ",Sheet2!C1380)</f>
        <v>KIEGER, AK-1</v>
      </c>
    </row>
    <row r="1381" spans="1:4" x14ac:dyDescent="0.2">
      <c r="A1381" t="str">
        <f>Sheet2!A1381</f>
        <v>KAK3</v>
      </c>
      <c r="B1381" t="str">
        <f ca="1">'Query Example'!D1381</f>
        <v>LandPlane</v>
      </c>
      <c r="C1381" s="11" t="str">
        <f>CONCATENATE(Sheet2!F1381,"/",Sheet2!E1381)</f>
        <v>1/Piston</v>
      </c>
      <c r="D1381" t="str">
        <f>CONCATENATE(Sheet2!B1381,", ",Sheet2!C1381)</f>
        <v>KIEGER, AK-3</v>
      </c>
    </row>
    <row r="1382" spans="1:4" x14ac:dyDescent="0.2">
      <c r="A1382" t="str">
        <f>Sheet2!A1382</f>
        <v>KAT3</v>
      </c>
      <c r="B1382" t="str">
        <f ca="1">'Query Example'!D1382</f>
        <v>LandPlane</v>
      </c>
      <c r="C1382" s="11" t="str">
        <f>CONCATENATE(Sheet2!F1382,"/",Sheet2!E1382)</f>
        <v>1/Turboprop/Turboshaft</v>
      </c>
      <c r="D1382" t="str">
        <f>CONCATENATE(Sheet2!B1382,", ",Sheet2!C1382)</f>
        <v>KHRUNICHEV, AT-3</v>
      </c>
    </row>
    <row r="1383" spans="1:4" x14ac:dyDescent="0.2">
      <c r="A1383" t="str">
        <f>Sheet2!A1383</f>
        <v>KATB</v>
      </c>
      <c r="B1383" t="str">
        <f ca="1">'Query Example'!D1383</f>
        <v>LandPlane</v>
      </c>
      <c r="C1383" s="11" t="str">
        <f>CONCATENATE(Sheet2!F1383,"/",Sheet2!E1383)</f>
        <v>2/Piston</v>
      </c>
      <c r="D1383" t="str">
        <f>CONCATENATE(Sheet2!B1383,", ",Sheet2!C1383)</f>
        <v>KARI, Twinbee</v>
      </c>
    </row>
    <row r="1384" spans="1:4" x14ac:dyDescent="0.2">
      <c r="A1384" t="str">
        <f>Sheet2!A1384</f>
        <v>KATR</v>
      </c>
      <c r="B1384" t="str">
        <f ca="1">'Query Example'!D1384</f>
        <v>LandPlane</v>
      </c>
      <c r="C1384" s="11" t="str">
        <f>CONCATENATE(Sheet2!F1384,"/",Sheet2!E1384)</f>
        <v>1/Piston</v>
      </c>
      <c r="D1384" t="str">
        <f>CONCATENATE(Sheet2!B1384,", ",Sheet2!C1384)</f>
        <v>AEROSAMARA, Katran</v>
      </c>
    </row>
    <row r="1385" spans="1:4" x14ac:dyDescent="0.2">
      <c r="A1385" t="str">
        <f>Sheet2!A1385</f>
        <v>KC2</v>
      </c>
      <c r="B1385" t="str">
        <f ca="1">'Query Example'!D1385</f>
        <v>LandPlane</v>
      </c>
      <c r="C1385" s="11" t="str">
        <f>CONCATENATE(Sheet2!F1385,"/",Sheet2!E1385)</f>
        <v>2/Jet</v>
      </c>
      <c r="D1385" t="str">
        <f>CONCATENATE(Sheet2!B1385,", ",Sheet2!C1385)</f>
        <v>KAWASAKI, C-2</v>
      </c>
    </row>
    <row r="1386" spans="1:4" x14ac:dyDescent="0.2">
      <c r="A1386" t="str">
        <f>Sheet2!A1386</f>
        <v>KE3</v>
      </c>
      <c r="B1386" t="str">
        <f ca="1">'Query Example'!D1386</f>
        <v>LandPlane</v>
      </c>
      <c r="C1386" s="11" t="str">
        <f>CONCATENATE(Sheet2!F1386,"/",Sheet2!E1386)</f>
        <v>4/Jet</v>
      </c>
      <c r="D1386" t="str">
        <f>CONCATENATE(Sheet2!B1386,", ",Sheet2!C1386)</f>
        <v>BOEING, KE-3</v>
      </c>
    </row>
    <row r="1387" spans="1:4" x14ac:dyDescent="0.2">
      <c r="A1387" t="str">
        <f>Sheet2!A1387</f>
        <v>KELA</v>
      </c>
      <c r="B1387" t="str">
        <f ca="1">'Query Example'!D1387</f>
        <v>LandPlane</v>
      </c>
      <c r="C1387" s="11" t="str">
        <f>CONCATENATE(Sheet2!F1387,"/",Sheet2!E1387)</f>
        <v>1/Piston</v>
      </c>
      <c r="D1387" t="str">
        <f>CONCATENATE(Sheet2!B1387,", ",Sheet2!C1387)</f>
        <v>KELEHER, Lark</v>
      </c>
    </row>
    <row r="1388" spans="1:4" x14ac:dyDescent="0.2">
      <c r="A1388" t="str">
        <f>Sheet2!A1388</f>
        <v>KELD</v>
      </c>
      <c r="B1388" t="str">
        <f ca="1">'Query Example'!D1388</f>
        <v>LandPlane</v>
      </c>
      <c r="C1388" s="11" t="str">
        <f>CONCATENATE(Sheet2!F1388,"/",Sheet2!E1388)</f>
        <v>1/Piston</v>
      </c>
      <c r="D1388" t="str">
        <f>CONCATENATE(Sheet2!B1388,", ",Sheet2!C1388)</f>
        <v>KELLY, D</v>
      </c>
    </row>
    <row r="1389" spans="1:4" x14ac:dyDescent="0.2">
      <c r="A1389" t="str">
        <f>Sheet2!A1389</f>
        <v>KERO</v>
      </c>
      <c r="B1389" t="str">
        <f ca="1">'Query Example'!D1389</f>
        <v>LandPlane</v>
      </c>
      <c r="C1389" s="11" t="str">
        <f>CONCATENATE(Sheet2!F1389,"/",Sheet2!E1389)</f>
        <v>1/Piston</v>
      </c>
      <c r="D1389" t="str">
        <f>CONCATENATE(Sheet2!B1389,", ",Sheet2!C1389)</f>
        <v>REARWIN, 2000 Ken-Royce</v>
      </c>
    </row>
    <row r="1390" spans="1:4" x14ac:dyDescent="0.2">
      <c r="A1390" t="str">
        <f>Sheet2!A1390</f>
        <v>KEST</v>
      </c>
      <c r="B1390" t="str">
        <f ca="1">'Query Example'!D1390</f>
        <v>LandPlane</v>
      </c>
      <c r="C1390" s="11" t="str">
        <f>CONCATENATE(Sheet2!F1390,"/",Sheet2!E1390)</f>
        <v>1/Turboprop/Turboshaft</v>
      </c>
      <c r="D1390" t="str">
        <f>CONCATENATE(Sheet2!B1390,", ",Sheet2!C1390)</f>
        <v>FARNBOROUGH, F-1 Kestrel</v>
      </c>
    </row>
    <row r="1391" spans="1:4" x14ac:dyDescent="0.2">
      <c r="A1391" t="str">
        <f>Sheet2!A1391</f>
        <v>KFAB</v>
      </c>
      <c r="B1391" t="str">
        <f ca="1">'Query Example'!D1391</f>
        <v>LandPlane</v>
      </c>
      <c r="C1391" s="11" t="str">
        <f>CONCATENATE(Sheet2!F1391,"/",Sheet2!E1391)</f>
        <v>1/Piston</v>
      </c>
      <c r="D1391" t="str">
        <f>CONCATENATE(Sheet2!B1391,", ",Sheet2!C1391)</f>
        <v>KITPLANES FOR AFRICA, Bushbaby</v>
      </c>
    </row>
    <row r="1392" spans="1:4" x14ac:dyDescent="0.2">
      <c r="A1392" t="str">
        <f>Sheet2!A1392</f>
        <v>KFAS</v>
      </c>
      <c r="B1392" t="str">
        <f ca="1">'Query Example'!D1392</f>
        <v>LandPlane</v>
      </c>
      <c r="C1392" s="11" t="str">
        <f>CONCATENATE(Sheet2!F1392,"/",Sheet2!E1392)</f>
        <v>1/Piston</v>
      </c>
      <c r="D1392" t="str">
        <f>CONCATENATE(Sheet2!B1392,", ",Sheet2!C1392)</f>
        <v>KITPLANES FOR AFRICA, Safari</v>
      </c>
    </row>
    <row r="1393" spans="1:4" x14ac:dyDescent="0.2">
      <c r="A1393" t="str">
        <f>Sheet2!A1393</f>
        <v>KFIR</v>
      </c>
      <c r="B1393" t="str">
        <f ca="1">'Query Example'!D1393</f>
        <v>LandPlane</v>
      </c>
      <c r="C1393" s="11" t="str">
        <f>CONCATENATE(Sheet2!F1393,"/",Sheet2!E1393)</f>
        <v>1/Jet</v>
      </c>
      <c r="D1393" t="str">
        <f>CONCATENATE(Sheet2!B1393,", ",Sheet2!C1393)</f>
        <v>IAI, Kfir</v>
      </c>
    </row>
    <row r="1394" spans="1:4" x14ac:dyDescent="0.2">
      <c r="A1394" t="str">
        <f>Sheet2!A1394</f>
        <v>KFIS</v>
      </c>
      <c r="B1394" t="str">
        <f ca="1">'Query Example'!D1394</f>
        <v>Amphibian</v>
      </c>
      <c r="C1394" s="11" t="str">
        <f>CONCATENATE(Sheet2!F1394,"/",Sheet2!E1394)</f>
        <v>1/Piston</v>
      </c>
      <c r="D1394" t="str">
        <f>CONCATENATE(Sheet2!B1394,", ",Sheet2!C1394)</f>
        <v>ANDERSON, EA-1 Kingfisher</v>
      </c>
    </row>
    <row r="1395" spans="1:4" x14ac:dyDescent="0.2">
      <c r="A1395" t="str">
        <f>Sheet2!A1395</f>
        <v>KH4</v>
      </c>
      <c r="B1395" t="str">
        <f ca="1">'Query Example'!D1395</f>
        <v>Helicopter</v>
      </c>
      <c r="C1395" s="11" t="str">
        <f>CONCATENATE(Sheet2!F1395,"/",Sheet2!E1395)</f>
        <v>1/Piston</v>
      </c>
      <c r="D1395" t="str">
        <f>CONCATENATE(Sheet2!B1395,", ",Sheet2!C1395)</f>
        <v>KAWASAKI, KH-4</v>
      </c>
    </row>
    <row r="1396" spans="1:4" x14ac:dyDescent="0.2">
      <c r="A1396" t="str">
        <f>Sheet2!A1396</f>
        <v>KIS2</v>
      </c>
      <c r="B1396" t="str">
        <f ca="1">'Query Example'!D1396</f>
        <v>LandPlane</v>
      </c>
      <c r="C1396" s="11" t="str">
        <f>CONCATENATE(Sheet2!F1396,"/",Sheet2!E1396)</f>
        <v>1/Piston</v>
      </c>
      <c r="D1396" t="str">
        <f>CONCATENATE(Sheet2!B1396,", ",Sheet2!C1396)</f>
        <v>TRI-R, KIS TR-1</v>
      </c>
    </row>
    <row r="1397" spans="1:4" x14ac:dyDescent="0.2">
      <c r="A1397" t="str">
        <f>Sheet2!A1397</f>
        <v>KIS4</v>
      </c>
      <c r="B1397" t="str">
        <f ca="1">'Query Example'!D1397</f>
        <v>LandPlane</v>
      </c>
      <c r="C1397" s="11" t="str">
        <f>CONCATENATE(Sheet2!F1397,"/",Sheet2!E1397)</f>
        <v>1/Piston</v>
      </c>
      <c r="D1397" t="str">
        <f>CONCATENATE(Sheet2!B1397,", ",Sheet2!C1397)</f>
        <v>TRI-R, KIS TR-4 Cruiser</v>
      </c>
    </row>
    <row r="1398" spans="1:4" x14ac:dyDescent="0.2">
      <c r="A1398" t="str">
        <f>Sheet2!A1398</f>
        <v>KITH</v>
      </c>
      <c r="B1398" t="str">
        <f ca="1">'Query Example'!D1398</f>
        <v>LandPlane</v>
      </c>
      <c r="C1398" s="11" t="str">
        <f>CONCATENATE(Sheet2!F1398,"/",Sheet2!E1398)</f>
        <v>1/Piston</v>
      </c>
      <c r="D1398" t="str">
        <f>CONCATENATE(Sheet2!B1398,", ",Sheet2!C1398)</f>
        <v>BOURDON, Kitty Hawk</v>
      </c>
    </row>
    <row r="1399" spans="1:4" x14ac:dyDescent="0.2">
      <c r="A1399" t="str">
        <f>Sheet2!A1399</f>
        <v>KITI</v>
      </c>
      <c r="B1399" t="str">
        <f ca="1">'Query Example'!D1399</f>
        <v>LandPlane</v>
      </c>
      <c r="C1399" s="11" t="str">
        <f>CONCATENATE(Sheet2!F1399,"/",Sheet2!E1399)</f>
        <v>1/Piston</v>
      </c>
      <c r="D1399" t="str">
        <f>CONCATENATE(Sheet2!B1399,", ",Sheet2!C1399)</f>
        <v>MITCHELL-PROCTER, Kittiwake</v>
      </c>
    </row>
    <row r="1400" spans="1:4" x14ac:dyDescent="0.2">
      <c r="A1400" t="str">
        <f>Sheet2!A1400</f>
        <v>KIWI</v>
      </c>
      <c r="B1400" t="str">
        <f ca="1">'Query Example'!D1400</f>
        <v>LandPlane</v>
      </c>
      <c r="C1400" s="11" t="str">
        <f>CONCATENATE(Sheet2!F1400,"/",Sheet2!E1400)</f>
        <v>1/Piston</v>
      </c>
      <c r="D1400" t="str">
        <f>CONCATENATE(Sheet2!B1400,", ",Sheet2!C1400)</f>
        <v>VALENTIN, Kiwi</v>
      </c>
    </row>
    <row r="1401" spans="1:4" x14ac:dyDescent="0.2">
      <c r="A1401" t="str">
        <f>Sheet2!A1401</f>
        <v>KK60</v>
      </c>
      <c r="B1401" t="str">
        <f ca="1">'Query Example'!D1401</f>
        <v>LandPlane</v>
      </c>
      <c r="C1401" s="11" t="str">
        <f>CONCATENATE(Sheet2!F1401,"/",Sheet2!E1401)</f>
        <v>1/Piston</v>
      </c>
      <c r="D1401" t="str">
        <f>CONCATENATE(Sheet2!B1401,", ",Sheet2!C1401)</f>
        <v>KARI-KEEN, 60 Coupe</v>
      </c>
    </row>
    <row r="1402" spans="1:4" x14ac:dyDescent="0.2">
      <c r="A1402" t="str">
        <f>Sheet2!A1402</f>
        <v>KL07</v>
      </c>
      <c r="B1402" t="str">
        <f ca="1">'Query Example'!D1402</f>
        <v>LandPlane</v>
      </c>
      <c r="C1402" s="11" t="str">
        <f>CONCATENATE(Sheet2!F1402,"/",Sheet2!E1402)</f>
        <v>1/Piston</v>
      </c>
      <c r="D1402" t="str">
        <f>CONCATENATE(Sheet2!B1402,", ",Sheet2!C1402)</f>
        <v>KLEMM, Kl-107</v>
      </c>
    </row>
    <row r="1403" spans="1:4" x14ac:dyDescent="0.2">
      <c r="A1403" t="str">
        <f>Sheet2!A1403</f>
        <v>KL10</v>
      </c>
      <c r="B1403" t="str">
        <f ca="1">'Query Example'!D1403</f>
        <v>LandPlane</v>
      </c>
      <c r="C1403" s="11" t="str">
        <f>CONCATENATE(Sheet2!F1403,"/",Sheet2!E1403)</f>
        <v>1/Piston</v>
      </c>
      <c r="D1403" t="str">
        <f>CONCATENATE(Sheet2!B1403,", ",Sheet2!C1403)</f>
        <v>FLIGHT DESIGN-VESSEL, KLA-100</v>
      </c>
    </row>
    <row r="1404" spans="1:4" x14ac:dyDescent="0.2">
      <c r="A1404" t="str">
        <f>Sheet2!A1404</f>
        <v>KL25</v>
      </c>
      <c r="B1404" t="str">
        <f ca="1">'Query Example'!D1404</f>
        <v>LandPlane</v>
      </c>
      <c r="C1404" s="11" t="str">
        <f>CONCATENATE(Sheet2!F1404,"/",Sheet2!E1404)</f>
        <v>1/Piston</v>
      </c>
      <c r="D1404" t="str">
        <f>CONCATENATE(Sheet2!B1404,", ",Sheet2!C1404)</f>
        <v>KLEMM, L-25</v>
      </c>
    </row>
    <row r="1405" spans="1:4" x14ac:dyDescent="0.2">
      <c r="A1405" t="str">
        <f>Sheet2!A1405</f>
        <v>KL35</v>
      </c>
      <c r="B1405" t="str">
        <f ca="1">'Query Example'!D1405</f>
        <v>LandPlane</v>
      </c>
      <c r="C1405" s="11" t="str">
        <f>CONCATENATE(Sheet2!F1405,"/",Sheet2!E1405)</f>
        <v>1/Piston</v>
      </c>
      <c r="D1405" t="str">
        <f>CONCATENATE(Sheet2!B1405,", ",Sheet2!C1405)</f>
        <v>KLEMM, Kl-35</v>
      </c>
    </row>
    <row r="1406" spans="1:4" x14ac:dyDescent="0.2">
      <c r="A1406" t="str">
        <f>Sheet2!A1406</f>
        <v>KLBR</v>
      </c>
      <c r="B1406" t="str">
        <f ca="1">'Query Example'!D1406</f>
        <v>LandPlane</v>
      </c>
      <c r="C1406" s="11" t="str">
        <f>CONCATENATE(Sheet2!F1406,"/",Sheet2!E1406)</f>
        <v>1/Piston</v>
      </c>
      <c r="D1406" t="str">
        <f>CONCATENATE(Sheet2!B1406,", ",Sheet2!C1406)</f>
        <v>KOLB, King Colbra</v>
      </c>
    </row>
    <row r="1407" spans="1:4" x14ac:dyDescent="0.2">
      <c r="A1407" t="str">
        <f>Sheet2!A1407</f>
        <v>KM2</v>
      </c>
      <c r="B1407" t="str">
        <f ca="1">'Query Example'!D1407</f>
        <v>LandPlane</v>
      </c>
      <c r="C1407" s="11" t="str">
        <f>CONCATENATE(Sheet2!F1407,"/",Sheet2!E1407)</f>
        <v>1/Piston</v>
      </c>
      <c r="D1407" t="str">
        <f>CONCATENATE(Sheet2!B1407,", ",Sheet2!C1407)</f>
        <v>FUJI, KM-2</v>
      </c>
    </row>
    <row r="1408" spans="1:4" x14ac:dyDescent="0.2">
      <c r="A1408" t="str">
        <f>Sheet2!A1408</f>
        <v>KMAX</v>
      </c>
      <c r="B1408" t="str">
        <f ca="1">'Query Example'!D1408</f>
        <v>Helicopter</v>
      </c>
      <c r="C1408" s="11" t="str">
        <f>CONCATENATE(Sheet2!F1408,"/",Sheet2!E1408)</f>
        <v>1/Turboprop/Turboshaft</v>
      </c>
      <c r="D1408" t="str">
        <f>CONCATENATE(Sheet2!B1408,", ",Sheet2!C1408)</f>
        <v>KAMAN, K-1200 K-Max</v>
      </c>
    </row>
    <row r="1409" spans="1:4" x14ac:dyDescent="0.2">
      <c r="A1409" t="str">
        <f>Sheet2!A1409</f>
        <v>KNTW</v>
      </c>
      <c r="B1409" t="str">
        <f ca="1">'Query Example'!D1409</f>
        <v>LandPlane</v>
      </c>
      <c r="C1409" s="11" t="str">
        <f>CONCATENATE(Sheet2!F1409,"/",Sheet2!E1409)</f>
        <v>1/Piston</v>
      </c>
      <c r="D1409" t="str">
        <f>CONCATENATE(Sheet2!B1409,", ",Sheet2!C1409)</f>
        <v>PAYNE, Knight Twister</v>
      </c>
    </row>
    <row r="1410" spans="1:4" x14ac:dyDescent="0.2">
      <c r="A1410" t="str">
        <f>Sheet2!A1410</f>
        <v>KOLL</v>
      </c>
      <c r="B1410" t="str">
        <f ca="1">'Query Example'!D1410</f>
        <v>LandPlane</v>
      </c>
      <c r="C1410" s="11" t="str">
        <f>CONCATENATE(Sheet2!F1410,"/",Sheet2!E1410)</f>
        <v>1/Piston</v>
      </c>
      <c r="D1410" t="str">
        <f>CONCATENATE(Sheet2!B1410,", ",Sheet2!C1410)</f>
        <v>KOLB, Laser</v>
      </c>
    </row>
    <row r="1411" spans="1:4" x14ac:dyDescent="0.2">
      <c r="A1411" t="str">
        <f>Sheet2!A1411</f>
        <v>KP2</v>
      </c>
      <c r="B1411" t="str">
        <f ca="1">'Query Example'!D1411</f>
        <v>LandPlane</v>
      </c>
      <c r="C1411" s="11" t="str">
        <f>CONCATENATE(Sheet2!F1411,"/",Sheet2!E1411)</f>
        <v>1/Piston</v>
      </c>
      <c r="D1411" t="str">
        <f>CONCATENATE(Sheet2!B1411,", ",Sheet2!C1411)</f>
        <v>JIHLAVAN, KP-2 Rapid 200</v>
      </c>
    </row>
    <row r="1412" spans="1:4" x14ac:dyDescent="0.2">
      <c r="A1412" t="str">
        <f>Sheet2!A1412</f>
        <v>KP5</v>
      </c>
      <c r="B1412" t="str">
        <f ca="1">'Query Example'!D1412</f>
        <v>LandPlane</v>
      </c>
      <c r="C1412" s="11" t="str">
        <f>CONCATENATE(Sheet2!F1412,"/",Sheet2!E1412)</f>
        <v>1/Piston</v>
      </c>
      <c r="D1412" t="str">
        <f>CONCATENATE(Sheet2!B1412,", ",Sheet2!C1412)</f>
        <v>JIHLAVAN, KP-5 Rapid 500</v>
      </c>
    </row>
    <row r="1413" spans="1:4" x14ac:dyDescent="0.2">
      <c r="A1413" t="str">
        <f>Sheet2!A1413</f>
        <v>KR1</v>
      </c>
      <c r="B1413" t="str">
        <f ca="1">'Query Example'!D1413</f>
        <v>LandPlane</v>
      </c>
      <c r="C1413" s="11" t="str">
        <f>CONCATENATE(Sheet2!F1413,"/",Sheet2!E1413)</f>
        <v>1/Piston</v>
      </c>
      <c r="D1413" t="str">
        <f>CONCATENATE(Sheet2!B1413,", ",Sheet2!C1413)</f>
        <v>RAND, KR-1</v>
      </c>
    </row>
    <row r="1414" spans="1:4" x14ac:dyDescent="0.2">
      <c r="A1414" t="str">
        <f>Sheet2!A1414</f>
        <v>KR2</v>
      </c>
      <c r="B1414" t="str">
        <f ca="1">'Query Example'!D1414</f>
        <v>LandPlane</v>
      </c>
      <c r="C1414" s="11" t="str">
        <f>CONCATENATE(Sheet2!F1414,"/",Sheet2!E1414)</f>
        <v>1/Piston</v>
      </c>
      <c r="D1414" t="str">
        <f>CONCATENATE(Sheet2!B1414,", ",Sheet2!C1414)</f>
        <v>RAND, KR-2</v>
      </c>
    </row>
    <row r="1415" spans="1:4" x14ac:dyDescent="0.2">
      <c r="A1415" t="str">
        <f>Sheet2!A1415</f>
        <v>KR21</v>
      </c>
      <c r="B1415" t="str">
        <f ca="1">'Query Example'!D1415</f>
        <v>LandPlane</v>
      </c>
      <c r="C1415" s="11" t="str">
        <f>CONCATENATE(Sheet2!F1415,"/",Sheet2!E1415)</f>
        <v>1/Piston</v>
      </c>
      <c r="D1415" t="str">
        <f>CONCATENATE(Sheet2!B1415,", ",Sheet2!C1415)</f>
        <v>FAIRCHILD (1), KR-21</v>
      </c>
    </row>
    <row r="1416" spans="1:4" x14ac:dyDescent="0.2">
      <c r="A1416" t="str">
        <f>Sheet2!A1416</f>
        <v>KR30</v>
      </c>
      <c r="B1416" t="str">
        <f ca="1">'Query Example'!D1416</f>
        <v>LandPlane</v>
      </c>
      <c r="C1416" s="11" t="str">
        <f>CONCATENATE(Sheet2!F1416,"/",Sheet2!E1416)</f>
        <v>1/Piston</v>
      </c>
      <c r="D1416" t="str">
        <f>CONCATENATE(Sheet2!B1416,", ",Sheet2!C1416)</f>
        <v>EKOLOT, KR-030 Topaz</v>
      </c>
    </row>
    <row r="1417" spans="1:4" x14ac:dyDescent="0.2">
      <c r="A1417" t="str">
        <f>Sheet2!A1417</f>
        <v>KR31</v>
      </c>
      <c r="B1417" t="str">
        <f ca="1">'Query Example'!D1417</f>
        <v>LandPlane</v>
      </c>
      <c r="C1417" s="11" t="str">
        <f>CONCATENATE(Sheet2!F1417,"/",Sheet2!E1417)</f>
        <v>1/Piston</v>
      </c>
      <c r="D1417" t="str">
        <f>CONCATENATE(Sheet2!B1417,", ",Sheet2!C1417)</f>
        <v>KREIDER-REISNER, C-2 Challenger</v>
      </c>
    </row>
    <row r="1418" spans="1:4" x14ac:dyDescent="0.2">
      <c r="A1418" t="str">
        <f>Sheet2!A1418</f>
        <v>KR34</v>
      </c>
      <c r="B1418" t="str">
        <f ca="1">'Query Example'!D1418</f>
        <v>LandPlane</v>
      </c>
      <c r="C1418" s="11" t="str">
        <f>CONCATENATE(Sheet2!F1418,"/",Sheet2!E1418)</f>
        <v>1/Piston</v>
      </c>
      <c r="D1418" t="str">
        <f>CONCATENATE(Sheet2!B1418,", ",Sheet2!C1418)</f>
        <v>KREIDER-REISNER, C-4 Challenger</v>
      </c>
    </row>
    <row r="1419" spans="1:4" x14ac:dyDescent="0.2">
      <c r="A1419" t="str">
        <f>Sheet2!A1419</f>
        <v>KRAG</v>
      </c>
      <c r="B1419" t="str">
        <f ca="1">'Query Example'!D1419</f>
        <v>LandPlane</v>
      </c>
      <c r="C1419" s="11" t="str">
        <f>CONCATENATE(Sheet2!F1419,"/",Sheet2!E1419)</f>
        <v>1/Piston</v>
      </c>
      <c r="D1419" t="str">
        <f>CONCATENATE(Sheet2!B1419,", ",Sheet2!C1419)</f>
        <v>SOKO, P-2 Kraguj</v>
      </c>
    </row>
    <row r="1420" spans="1:4" x14ac:dyDescent="0.2">
      <c r="A1420" t="str">
        <f>Sheet2!A1420</f>
        <v>KRAH</v>
      </c>
      <c r="B1420" t="str">
        <f ca="1">'Query Example'!D1420</f>
        <v>LandPlane</v>
      </c>
      <c r="C1420" s="11" t="str">
        <f>CONCATENATE(Sheet2!F1420,"/",Sheet2!E1420)</f>
        <v>1/Piston</v>
      </c>
      <c r="D1420" t="str">
        <f>CONCATENATE(Sheet2!B1420,", ",Sheet2!C1420)</f>
        <v>ROCK, Krähe</v>
      </c>
    </row>
    <row r="1421" spans="1:4" x14ac:dyDescent="0.2">
      <c r="A1421" t="str">
        <f>Sheet2!A1421</f>
        <v>KRIC</v>
      </c>
      <c r="B1421" t="str">
        <f ca="1">'Query Example'!D1421</f>
        <v>LandPlane</v>
      </c>
      <c r="C1421" s="11" t="str">
        <f>CONCATENATE(Sheet2!F1421,"/",Sheet2!E1421)</f>
        <v>1/Piston</v>
      </c>
      <c r="D1421" t="str">
        <f>CONCATENATE(Sheet2!B1421,", ",Sheet2!C1421)</f>
        <v>FLSZ, DK-1 Der Kricket</v>
      </c>
    </row>
    <row r="1422" spans="1:4" x14ac:dyDescent="0.2">
      <c r="A1422" t="str">
        <f>Sheet2!A1422</f>
        <v>KSTK</v>
      </c>
      <c r="B1422" t="str">
        <f ca="1">'Query Example'!D1422</f>
        <v>LandPlane</v>
      </c>
      <c r="C1422" s="11" t="str">
        <f>CONCATENATE(Sheet2!F1422,"/",Sheet2!E1422)</f>
        <v>2/Piston</v>
      </c>
      <c r="D1422" t="str">
        <f>CONCATENATE(Sheet2!B1422,", ",Sheet2!C1422)</f>
        <v>PHOENIX-AVIACOR, M-12 Kasatik</v>
      </c>
    </row>
    <row r="1423" spans="1:4" x14ac:dyDescent="0.2">
      <c r="A1423" t="str">
        <f>Sheet2!A1423</f>
        <v>KT1</v>
      </c>
      <c r="B1423" t="str">
        <f ca="1">'Query Example'!D1423</f>
        <v>LandPlane</v>
      </c>
      <c r="C1423" s="11" t="str">
        <f>CONCATENATE(Sheet2!F1423,"/",Sheet2!E1423)</f>
        <v>1/Turboprop/Turboshaft</v>
      </c>
      <c r="D1423" t="str">
        <f>CONCATENATE(Sheet2!B1423,", ",Sheet2!C1423)</f>
        <v>DAEWOO, KT-1 Woong-Bee</v>
      </c>
    </row>
    <row r="1424" spans="1:4" x14ac:dyDescent="0.2">
      <c r="A1424" t="str">
        <f>Sheet2!A1424</f>
        <v>KTOO</v>
      </c>
      <c r="B1424" t="str">
        <f ca="1">'Query Example'!D1424</f>
        <v>LandPlane</v>
      </c>
      <c r="C1424" s="11" t="str">
        <f>CONCATENATE(Sheet2!F1424,"/",Sheet2!E1424)</f>
        <v>1/Piston</v>
      </c>
      <c r="D1424" t="str">
        <f>CONCATENATE(Sheet2!B1424,", ",Sheet2!C1424)</f>
        <v>ANGLIN, J-6 Karatoo</v>
      </c>
    </row>
    <row r="1425" spans="1:4" x14ac:dyDescent="0.2">
      <c r="A1425" t="str">
        <f>Sheet2!A1425</f>
        <v>KZ2</v>
      </c>
      <c r="B1425" t="str">
        <f ca="1">'Query Example'!D1425</f>
        <v>LandPlane</v>
      </c>
      <c r="C1425" s="11" t="str">
        <f>CONCATENATE(Sheet2!F1425,"/",Sheet2!E1425)</f>
        <v>1/Piston</v>
      </c>
      <c r="D1425" t="str">
        <f>CONCATENATE(Sheet2!B1425,", ",Sheet2!C1425)</f>
        <v>SAI (1), KZ-2 Kupe</v>
      </c>
    </row>
    <row r="1426" spans="1:4" x14ac:dyDescent="0.2">
      <c r="A1426" t="str">
        <f>Sheet2!A1426</f>
        <v>KZ3</v>
      </c>
      <c r="B1426" t="str">
        <f ca="1">'Query Example'!D1426</f>
        <v>LandPlane</v>
      </c>
      <c r="C1426" s="11" t="str">
        <f>CONCATENATE(Sheet2!F1426,"/",Sheet2!E1426)</f>
        <v>1/Piston</v>
      </c>
      <c r="D1426" t="str">
        <f>CONCATENATE(Sheet2!B1426,", ",Sheet2!C1426)</f>
        <v>SAI (1), KZ-3</v>
      </c>
    </row>
    <row r="1427" spans="1:4" x14ac:dyDescent="0.2">
      <c r="A1427" t="str">
        <f>Sheet2!A1427</f>
        <v>KZ4</v>
      </c>
      <c r="B1427" t="str">
        <f ca="1">'Query Example'!D1427</f>
        <v>LandPlane</v>
      </c>
      <c r="C1427" s="11" t="str">
        <f>CONCATENATE(Sheet2!F1427,"/",Sheet2!E1427)</f>
        <v>2/Piston</v>
      </c>
      <c r="D1427" t="str">
        <f>CONCATENATE(Sheet2!B1427,", ",Sheet2!C1427)</f>
        <v>SAI (1), KZ-4</v>
      </c>
    </row>
    <row r="1428" spans="1:4" x14ac:dyDescent="0.2">
      <c r="A1428" t="str">
        <f>Sheet2!A1428</f>
        <v>KZ7</v>
      </c>
      <c r="B1428" t="str">
        <f ca="1">'Query Example'!D1428</f>
        <v>LandPlane</v>
      </c>
      <c r="C1428" s="11" t="str">
        <f>CONCATENATE(Sheet2!F1428,"/",Sheet2!E1428)</f>
        <v>1/Piston</v>
      </c>
      <c r="D1428" t="str">
        <f>CONCATENATE(Sheet2!B1428,", ",Sheet2!C1428)</f>
        <v>SAI (1), KZ-7 Laerke</v>
      </c>
    </row>
    <row r="1429" spans="1:4" x14ac:dyDescent="0.2">
      <c r="A1429" t="str">
        <f>Sheet2!A1429</f>
        <v>KZ8</v>
      </c>
      <c r="B1429" t="str">
        <f ca="1">'Query Example'!D1429</f>
        <v>LandPlane</v>
      </c>
      <c r="C1429" s="11" t="str">
        <f>CONCATENATE(Sheet2!F1429,"/",Sheet2!E1429)</f>
        <v>1/Piston</v>
      </c>
      <c r="D1429" t="str">
        <f>CONCATENATE(Sheet2!B1429,", ",Sheet2!C1429)</f>
        <v>SAI (1), KZ-8</v>
      </c>
    </row>
    <row r="1430" spans="1:4" x14ac:dyDescent="0.2">
      <c r="A1430" t="str">
        <f>Sheet2!A1430</f>
        <v>L10</v>
      </c>
      <c r="B1430" t="str">
        <f ca="1">'Query Example'!D1430</f>
        <v>LandPlane</v>
      </c>
      <c r="C1430" s="11" t="str">
        <f>CONCATENATE(Sheet2!F1430,"/",Sheet2!E1430)</f>
        <v>2/Piston</v>
      </c>
      <c r="D1430" t="str">
        <f>CONCATENATE(Sheet2!B1430,", ",Sheet2!C1430)</f>
        <v>LOCKHEED, L-10 Electra</v>
      </c>
    </row>
    <row r="1431" spans="1:4" x14ac:dyDescent="0.2">
      <c r="A1431" t="str">
        <f>Sheet2!A1431</f>
        <v>L101</v>
      </c>
      <c r="B1431" t="str">
        <f ca="1">'Query Example'!D1431</f>
        <v>LandPlane</v>
      </c>
      <c r="C1431" s="11" t="str">
        <f>CONCATENATE(Sheet2!F1431,"/",Sheet2!E1431)</f>
        <v>3/Jet</v>
      </c>
      <c r="D1431" t="str">
        <f>CONCATENATE(Sheet2!B1431,", ",Sheet2!C1431)</f>
        <v>LOCKHEED, L-1011 TriStar</v>
      </c>
    </row>
    <row r="1432" spans="1:4" x14ac:dyDescent="0.2">
      <c r="A1432" t="str">
        <f>Sheet2!A1432</f>
        <v>L11</v>
      </c>
      <c r="B1432" t="str">
        <f ca="1">'Query Example'!D1432</f>
        <v>LandPlane</v>
      </c>
      <c r="C1432" s="11" t="str">
        <f>CONCATENATE(Sheet2!F1432,"/",Sheet2!E1432)</f>
        <v>1/Piston</v>
      </c>
      <c r="D1432" t="str">
        <f>CONCATENATE(Sheet2!B1432,", ",Sheet2!C1432)</f>
        <v>LUSCOMBE, 11A Sedan</v>
      </c>
    </row>
    <row r="1433" spans="1:4" x14ac:dyDescent="0.2">
      <c r="A1433" t="str">
        <f>Sheet2!A1433</f>
        <v>L11E</v>
      </c>
      <c r="B1433" t="str">
        <f ca="1">'Query Example'!D1433</f>
        <v>LandPlane</v>
      </c>
      <c r="C1433" s="11" t="str">
        <f>CONCATENATE(Sheet2!F1433,"/",Sheet2!E1433)</f>
        <v>1/Piston</v>
      </c>
      <c r="D1433" t="str">
        <f>CONCATENATE(Sheet2!B1433,", ",Sheet2!C1433)</f>
        <v>LUSCOMBE, 11E Spartan 185</v>
      </c>
    </row>
    <row r="1434" spans="1:4" x14ac:dyDescent="0.2">
      <c r="A1434" t="str">
        <f>Sheet2!A1434</f>
        <v>L12</v>
      </c>
      <c r="B1434" t="str">
        <f ca="1">'Query Example'!D1434</f>
        <v>LandPlane</v>
      </c>
      <c r="C1434" s="11" t="str">
        <f>CONCATENATE(Sheet2!F1434,"/",Sheet2!E1434)</f>
        <v>2/Piston</v>
      </c>
      <c r="D1434" t="str">
        <f>CONCATENATE(Sheet2!B1434,", ",Sheet2!C1434)</f>
        <v>LOCKHEED, L-12 Electra Junior</v>
      </c>
    </row>
    <row r="1435" spans="1:4" x14ac:dyDescent="0.2">
      <c r="A1435" t="str">
        <f>Sheet2!A1435</f>
        <v>L13</v>
      </c>
      <c r="B1435" t="str">
        <f ca="1">'Query Example'!D1435</f>
        <v>LandPlane</v>
      </c>
      <c r="C1435" s="11" t="str">
        <f>CONCATENATE(Sheet2!F1435,"/",Sheet2!E1435)</f>
        <v>1/Piston</v>
      </c>
      <c r="D1435" t="str">
        <f>CONCATENATE(Sheet2!B1435,", ",Sheet2!C1435)</f>
        <v>LONGREN, L-13 Centaur</v>
      </c>
    </row>
    <row r="1436" spans="1:4" x14ac:dyDescent="0.2">
      <c r="A1436" t="str">
        <f>Sheet2!A1436</f>
        <v>L13M</v>
      </c>
      <c r="B1436" t="str">
        <f ca="1">'Query Example'!D1436</f>
        <v>LandPlane</v>
      </c>
      <c r="C1436" s="11" t="str">
        <f>CONCATENATE(Sheet2!F1436,"/",Sheet2!E1436)</f>
        <v>1/Piston</v>
      </c>
      <c r="D1436" t="str">
        <f>CONCATENATE(Sheet2!B1436,", ",Sheet2!C1436)</f>
        <v>LET, L-13 Blanik (single-engine conversions)</v>
      </c>
    </row>
    <row r="1437" spans="1:4" x14ac:dyDescent="0.2">
      <c r="A1437" t="str">
        <f>Sheet2!A1437</f>
        <v>L13S</v>
      </c>
      <c r="B1437" t="str">
        <f ca="1">'Query Example'!D1437</f>
        <v>LandPlane</v>
      </c>
      <c r="C1437" s="11" t="str">
        <f>CONCATENATE(Sheet2!F1437,"/",Sheet2!E1437)</f>
        <v>1/Piston</v>
      </c>
      <c r="D1437" t="str">
        <f>CONCATENATE(Sheet2!B1437,", ",Sheet2!C1437)</f>
        <v>AEROTECHNIK, L-13S Vivat</v>
      </c>
    </row>
    <row r="1438" spans="1:4" x14ac:dyDescent="0.2">
      <c r="A1438" t="str">
        <f>Sheet2!A1438</f>
        <v>L14</v>
      </c>
      <c r="B1438" t="str">
        <f ca="1">'Query Example'!D1438</f>
        <v>LandPlane</v>
      </c>
      <c r="C1438" s="11" t="str">
        <f>CONCATENATE(Sheet2!F1438,"/",Sheet2!E1438)</f>
        <v>2/Piston</v>
      </c>
      <c r="D1438" t="str">
        <f>CONCATENATE(Sheet2!B1438,", ",Sheet2!C1438)</f>
        <v>LOCKHEED, L-14 Hudson</v>
      </c>
    </row>
    <row r="1439" spans="1:4" x14ac:dyDescent="0.2">
      <c r="A1439" t="str">
        <f>Sheet2!A1439</f>
        <v>L15</v>
      </c>
      <c r="B1439" t="str">
        <f ca="1">'Query Example'!D1439</f>
        <v>LandPlane</v>
      </c>
      <c r="C1439" s="11" t="str">
        <f>CONCATENATE(Sheet2!F1439,"/",Sheet2!E1439)</f>
        <v>2/Jet</v>
      </c>
      <c r="D1439" t="str">
        <f>CONCATENATE(Sheet2!B1439,", ",Sheet2!C1439)</f>
        <v>HONGDU, L-15 Lieying</v>
      </c>
    </row>
    <row r="1440" spans="1:4" x14ac:dyDescent="0.2">
      <c r="A1440" t="str">
        <f>Sheet2!A1440</f>
        <v>L159</v>
      </c>
      <c r="B1440" t="str">
        <f ca="1">'Query Example'!D1440</f>
        <v>LandPlane</v>
      </c>
      <c r="C1440" s="11" t="str">
        <f>CONCATENATE(Sheet2!F1440,"/",Sheet2!E1440)</f>
        <v>1/Jet</v>
      </c>
      <c r="D1440" t="str">
        <f>CONCATENATE(Sheet2!B1440,", ",Sheet2!C1440)</f>
        <v>AERO (2), L-159  Albatros 2</v>
      </c>
    </row>
    <row r="1441" spans="1:4" x14ac:dyDescent="0.2">
      <c r="A1441" t="str">
        <f>Sheet2!A1441</f>
        <v>L18</v>
      </c>
      <c r="B1441" t="str">
        <f ca="1">'Query Example'!D1441</f>
        <v>LandPlane</v>
      </c>
      <c r="C1441" s="11" t="str">
        <f>CONCATENATE(Sheet2!F1441,"/",Sheet2!E1441)</f>
        <v>2/Piston</v>
      </c>
      <c r="D1441" t="str">
        <f>CONCATENATE(Sheet2!B1441,", ",Sheet2!C1441)</f>
        <v>HOWARD (2), 250</v>
      </c>
    </row>
    <row r="1442" spans="1:4" x14ac:dyDescent="0.2">
      <c r="A1442" t="str">
        <f>Sheet2!A1442</f>
        <v>L18</v>
      </c>
      <c r="B1442" t="str">
        <f ca="1">'Query Example'!D1442</f>
        <v>LandPlane</v>
      </c>
      <c r="C1442" s="11" t="str">
        <f>CONCATENATE(Sheet2!F1442,"/",Sheet2!E1442)</f>
        <v>2/Piston</v>
      </c>
      <c r="D1442" t="str">
        <f>CONCATENATE(Sheet2!B1442,", ",Sheet2!C1442)</f>
        <v>LOCKHEED, L-18 Lodestar</v>
      </c>
    </row>
    <row r="1443" spans="1:4" x14ac:dyDescent="0.2">
      <c r="A1443" t="str">
        <f>Sheet2!A1443</f>
        <v>L181</v>
      </c>
      <c r="B1443" t="str">
        <f ca="1">'Query Example'!D1443</f>
        <v>LandPlane</v>
      </c>
      <c r="C1443" s="11" t="str">
        <f>CONCATENATE(Sheet2!F1443,"/",Sheet2!E1443)</f>
        <v>1/Piston</v>
      </c>
      <c r="D1443" t="str">
        <f>CONCATENATE(Sheet2!B1443,", ",Sheet2!C1443)</f>
        <v>ASSOCIATED AIR, Liberty 181</v>
      </c>
    </row>
    <row r="1444" spans="1:4" x14ac:dyDescent="0.2">
      <c r="A1444" t="str">
        <f>Sheet2!A1444</f>
        <v>L188</v>
      </c>
      <c r="B1444" t="str">
        <f ca="1">'Query Example'!D1444</f>
        <v>LandPlane</v>
      </c>
      <c r="C1444" s="11" t="str">
        <f>CONCATENATE(Sheet2!F1444,"/",Sheet2!E1444)</f>
        <v>4/Turboprop/Turboshaft</v>
      </c>
      <c r="D1444" t="str">
        <f>CONCATENATE(Sheet2!B1444,", ",Sheet2!C1444)</f>
        <v>LOCKHEED, L-188 Electra</v>
      </c>
    </row>
    <row r="1445" spans="1:4" x14ac:dyDescent="0.2">
      <c r="A1445" t="str">
        <f>Sheet2!A1445</f>
        <v>L200</v>
      </c>
      <c r="B1445" t="str">
        <f ca="1">'Query Example'!D1445</f>
        <v>LandPlane</v>
      </c>
      <c r="C1445" s="11" t="str">
        <f>CONCATENATE(Sheet2!F1445,"/",Sheet2!E1445)</f>
        <v>2/Piston</v>
      </c>
      <c r="D1445" t="str">
        <f>CONCATENATE(Sheet2!B1445,", ",Sheet2!C1445)</f>
        <v>LET, L-200 Morava</v>
      </c>
    </row>
    <row r="1446" spans="1:4" x14ac:dyDescent="0.2">
      <c r="A1446" t="str">
        <f>Sheet2!A1446</f>
        <v>L29</v>
      </c>
      <c r="B1446" t="str">
        <f ca="1">'Query Example'!D1446</f>
        <v>LandPlane</v>
      </c>
      <c r="C1446" s="11" t="str">
        <f>CONCATENATE(Sheet2!F1446,"/",Sheet2!E1446)</f>
        <v>1/Jet</v>
      </c>
      <c r="D1446" t="str">
        <f>CONCATENATE(Sheet2!B1446,", ",Sheet2!C1446)</f>
        <v>AERO (2), L-29 Delfin</v>
      </c>
    </row>
    <row r="1447" spans="1:4" x14ac:dyDescent="0.2">
      <c r="A1447" t="str">
        <f>Sheet2!A1447</f>
        <v>L29A</v>
      </c>
      <c r="B1447" t="str">
        <f ca="1">'Query Example'!D1447</f>
        <v>LandPlane</v>
      </c>
      <c r="C1447" s="11" t="str">
        <f>CONCATENATE(Sheet2!F1447,"/",Sheet2!E1447)</f>
        <v>4/Jet</v>
      </c>
      <c r="D1447" t="str">
        <f>CONCATENATE(Sheet2!B1447,", ",Sheet2!C1447)</f>
        <v>LOCKHEED, L-1329 Jetstar 6</v>
      </c>
    </row>
    <row r="1448" spans="1:4" x14ac:dyDescent="0.2">
      <c r="A1448" t="str">
        <f>Sheet2!A1448</f>
        <v>L29B</v>
      </c>
      <c r="B1448" t="str">
        <f ca="1">'Query Example'!D1448</f>
        <v>LandPlane</v>
      </c>
      <c r="C1448" s="11" t="str">
        <f>CONCATENATE(Sheet2!F1448,"/",Sheet2!E1448)</f>
        <v>4/Jet</v>
      </c>
      <c r="D1448" t="str">
        <f>CONCATENATE(Sheet2!B1448,", ",Sheet2!C1448)</f>
        <v>LOCKHEED, L-1329 Jetstar 2</v>
      </c>
    </row>
    <row r="1449" spans="1:4" x14ac:dyDescent="0.2">
      <c r="A1449" t="str">
        <f>Sheet2!A1449</f>
        <v>L37</v>
      </c>
      <c r="B1449" t="str">
        <f ca="1">'Query Example'!D1449</f>
        <v>LandPlane</v>
      </c>
      <c r="C1449" s="11" t="str">
        <f>CONCATENATE(Sheet2!F1449,"/",Sheet2!E1449)</f>
        <v>2/Piston</v>
      </c>
      <c r="D1449" t="str">
        <f>CONCATENATE(Sheet2!B1449,", ",Sheet2!C1449)</f>
        <v>LOCKHEED, Ventura</v>
      </c>
    </row>
    <row r="1450" spans="1:4" x14ac:dyDescent="0.2">
      <c r="A1450" t="str">
        <f>Sheet2!A1450</f>
        <v>L380</v>
      </c>
      <c r="B1450" t="str">
        <f ca="1">'Query Example'!D1450</f>
        <v>LandPlane</v>
      </c>
      <c r="C1450" s="11" t="str">
        <f>CONCATENATE(Sheet2!F1450,"/",Sheet2!E1450)</f>
        <v>1/Piston</v>
      </c>
      <c r="D1450" t="str">
        <f>CONCATENATE(Sheet2!B1450,", ",Sheet2!C1450)</f>
        <v>LEDERLIN, 380 Ladybug</v>
      </c>
    </row>
    <row r="1451" spans="1:4" x14ac:dyDescent="0.2">
      <c r="A1451" t="str">
        <f>Sheet2!A1451</f>
        <v>L39</v>
      </c>
      <c r="B1451" t="str">
        <f ca="1">'Query Example'!D1451</f>
        <v>LandPlane</v>
      </c>
      <c r="C1451" s="11" t="str">
        <f>CONCATENATE(Sheet2!F1451,"/",Sheet2!E1451)</f>
        <v>1/Jet</v>
      </c>
      <c r="D1451" t="str">
        <f>CONCATENATE(Sheet2!B1451,", ",Sheet2!C1451)</f>
        <v>AERO (2), L-39 Albatros</v>
      </c>
    </row>
    <row r="1452" spans="1:4" x14ac:dyDescent="0.2">
      <c r="A1452" t="str">
        <f>Sheet2!A1452</f>
        <v>L4</v>
      </c>
      <c r="B1452" t="str">
        <f ca="1">'Query Example'!D1452</f>
        <v>Amphibian</v>
      </c>
      <c r="C1452" s="11" t="str">
        <f>CONCATENATE(Sheet2!F1452,"/",Sheet2!E1452)</f>
        <v>2/Piston</v>
      </c>
      <c r="D1452" t="str">
        <f>CONCATENATE(Sheet2!B1452,", ",Sheet2!C1452)</f>
        <v>CHAIKA, L-4</v>
      </c>
    </row>
    <row r="1453" spans="1:4" x14ac:dyDescent="0.2">
      <c r="A1453" t="str">
        <f>Sheet2!A1453</f>
        <v>L40</v>
      </c>
      <c r="B1453" t="str">
        <f ca="1">'Query Example'!D1453</f>
        <v>LandPlane</v>
      </c>
      <c r="C1453" s="11" t="str">
        <f>CONCATENATE(Sheet2!F1453,"/",Sheet2!E1453)</f>
        <v>1/Piston</v>
      </c>
      <c r="D1453" t="str">
        <f>CONCATENATE(Sheet2!B1453,", ",Sheet2!C1453)</f>
        <v>ORLICAN, L-40 Meta Sokol</v>
      </c>
    </row>
    <row r="1454" spans="1:4" x14ac:dyDescent="0.2">
      <c r="A1454" t="str">
        <f>Sheet2!A1454</f>
        <v>L410</v>
      </c>
      <c r="B1454" t="str">
        <f ca="1">'Query Example'!D1454</f>
        <v>LandPlane</v>
      </c>
      <c r="C1454" s="11" t="str">
        <f>CONCATENATE(Sheet2!F1454,"/",Sheet2!E1454)</f>
        <v>2/Turboprop/Turboshaft</v>
      </c>
      <c r="D1454" t="str">
        <f>CONCATENATE(Sheet2!B1454,", ",Sheet2!C1454)</f>
        <v>LET, L-410 Turbolet</v>
      </c>
    </row>
    <row r="1455" spans="1:4" x14ac:dyDescent="0.2">
      <c r="A1455" t="str">
        <f>Sheet2!A1455</f>
        <v>L5</v>
      </c>
      <c r="B1455" t="str">
        <f ca="1">'Query Example'!D1455</f>
        <v>LandPlane</v>
      </c>
      <c r="C1455" s="11" t="str">
        <f>CONCATENATE(Sheet2!F1455,"/",Sheet2!E1455)</f>
        <v>1/Piston</v>
      </c>
      <c r="D1455" t="str">
        <f>CONCATENATE(Sheet2!B1455,", ",Sheet2!C1455)</f>
        <v>STINSON, L-5 Sentinel</v>
      </c>
    </row>
    <row r="1456" spans="1:4" x14ac:dyDescent="0.2">
      <c r="A1456" t="str">
        <f>Sheet2!A1456</f>
        <v>L59</v>
      </c>
      <c r="B1456" t="str">
        <f ca="1">'Query Example'!D1456</f>
        <v>LandPlane</v>
      </c>
      <c r="C1456" s="11" t="str">
        <f>CONCATENATE(Sheet2!F1456,"/",Sheet2!E1456)</f>
        <v>1/Jet</v>
      </c>
      <c r="D1456" t="str">
        <f>CONCATENATE(Sheet2!B1456,", ",Sheet2!C1456)</f>
        <v>AERO (2), L-59</v>
      </c>
    </row>
    <row r="1457" spans="1:4" x14ac:dyDescent="0.2">
      <c r="A1457" t="str">
        <f>Sheet2!A1457</f>
        <v>L6</v>
      </c>
      <c r="B1457" t="str">
        <f ca="1">'Query Example'!D1457</f>
        <v>Amphibian</v>
      </c>
      <c r="C1457" s="11" t="str">
        <f>CONCATENATE(Sheet2!F1457,"/",Sheet2!E1457)</f>
        <v>2/Piston</v>
      </c>
      <c r="D1457" t="str">
        <f>CONCATENATE(Sheet2!B1457,", ",Sheet2!C1457)</f>
        <v>AEROVOLGA, L-6</v>
      </c>
    </row>
    <row r="1458" spans="1:4" x14ac:dyDescent="0.2">
      <c r="A1458" t="str">
        <f>Sheet2!A1458</f>
        <v>L60</v>
      </c>
      <c r="B1458" t="str">
        <f ca="1">'Query Example'!D1458</f>
        <v>LandPlane</v>
      </c>
      <c r="C1458" s="11" t="str">
        <f>CONCATENATE(Sheet2!F1458,"/",Sheet2!E1458)</f>
        <v>1/Piston</v>
      </c>
      <c r="D1458" t="str">
        <f>CONCATENATE(Sheet2!B1458,", ",Sheet2!C1458)</f>
        <v>AERO (2), L-60 Brigadyr</v>
      </c>
    </row>
    <row r="1459" spans="1:4" x14ac:dyDescent="0.2">
      <c r="A1459" t="str">
        <f>Sheet2!A1459</f>
        <v>L610</v>
      </c>
      <c r="B1459" t="str">
        <f ca="1">'Query Example'!D1459</f>
        <v>LandPlane</v>
      </c>
      <c r="C1459" s="11" t="str">
        <f>CONCATENATE(Sheet2!F1459,"/",Sheet2!E1459)</f>
        <v>2/Turboprop/Turboshaft</v>
      </c>
      <c r="D1459" t="str">
        <f>CONCATENATE(Sheet2!B1459,", ",Sheet2!C1459)</f>
        <v>LET, L-610</v>
      </c>
    </row>
    <row r="1460" spans="1:4" x14ac:dyDescent="0.2">
      <c r="A1460" t="str">
        <f>Sheet2!A1460</f>
        <v>L70</v>
      </c>
      <c r="B1460" t="str">
        <f ca="1">'Query Example'!D1460</f>
        <v>LandPlane</v>
      </c>
      <c r="C1460" s="11" t="str">
        <f>CONCATENATE(Sheet2!F1460,"/",Sheet2!E1460)</f>
        <v>1/Piston</v>
      </c>
      <c r="D1460" t="str">
        <f>CONCATENATE(Sheet2!B1460,", ",Sheet2!C1460)</f>
        <v>VALMET, L-70 Vinka</v>
      </c>
    </row>
    <row r="1461" spans="1:4" x14ac:dyDescent="0.2">
      <c r="A1461" t="str">
        <f>Sheet2!A1461</f>
        <v>L8</v>
      </c>
      <c r="B1461" t="str">
        <f ca="1">'Query Example'!D1461</f>
        <v>LandPlane</v>
      </c>
      <c r="C1461" s="11" t="str">
        <f>CONCATENATE(Sheet2!F1461,"/",Sheet2!E1461)</f>
        <v>1/Piston</v>
      </c>
      <c r="D1461" t="str">
        <f>CONCATENATE(Sheet2!B1461,", ",Sheet2!C1461)</f>
        <v>LUSCOMBE, 8</v>
      </c>
    </row>
    <row r="1462" spans="1:4" x14ac:dyDescent="0.2">
      <c r="A1462" t="str">
        <f>Sheet2!A1462</f>
        <v>L90</v>
      </c>
      <c r="B1462" t="str">
        <f ca="1">'Query Example'!D1462</f>
        <v>LandPlane</v>
      </c>
      <c r="C1462" s="11" t="str">
        <f>CONCATENATE(Sheet2!F1462,"/",Sheet2!E1462)</f>
        <v>1/Turboprop/Turboshaft</v>
      </c>
      <c r="D1462" t="str">
        <f>CONCATENATE(Sheet2!B1462,", ",Sheet2!C1462)</f>
        <v>AERMACCHI, M-290TP Redigo</v>
      </c>
    </row>
    <row r="1463" spans="1:4" x14ac:dyDescent="0.2">
      <c r="A1463" t="str">
        <f>Sheet2!A1463</f>
        <v>LA25</v>
      </c>
      <c r="B1463" t="str">
        <f ca="1">'Query Example'!D1463</f>
        <v>Amphibian</v>
      </c>
      <c r="C1463" s="11" t="str">
        <f>CONCATENATE(Sheet2!F1463,"/",Sheet2!E1463)</f>
        <v>1/Piston</v>
      </c>
      <c r="D1463" t="str">
        <f>CONCATENATE(Sheet2!B1463,", ",Sheet2!C1463)</f>
        <v>LAKE, LA-250 Renegade</v>
      </c>
    </row>
    <row r="1464" spans="1:4" x14ac:dyDescent="0.2">
      <c r="A1464" t="str">
        <f>Sheet2!A1464</f>
        <v>LA4</v>
      </c>
      <c r="B1464" t="str">
        <f ca="1">'Query Example'!D1464</f>
        <v>Amphibian</v>
      </c>
      <c r="C1464" s="11" t="str">
        <f>CONCATENATE(Sheet2!F1464,"/",Sheet2!E1464)</f>
        <v>1/Piston</v>
      </c>
      <c r="D1464" t="str">
        <f>CONCATENATE(Sheet2!B1464,", ",Sheet2!C1464)</f>
        <v>LAKE, LA-4 Buccaneer</v>
      </c>
    </row>
    <row r="1465" spans="1:4" x14ac:dyDescent="0.2">
      <c r="A1465" t="str">
        <f>Sheet2!A1465</f>
        <v>LA60</v>
      </c>
      <c r="B1465" t="str">
        <f ca="1">'Query Example'!D1465</f>
        <v>LandPlane</v>
      </c>
      <c r="C1465" s="11" t="str">
        <f>CONCATENATE(Sheet2!F1465,"/",Sheet2!E1465)</f>
        <v>1/Piston</v>
      </c>
      <c r="D1465" t="str">
        <f>CONCATENATE(Sheet2!B1465,", ",Sheet2!C1465)</f>
        <v>AERMACCHI, AL-60</v>
      </c>
    </row>
    <row r="1466" spans="1:4" x14ac:dyDescent="0.2">
      <c r="A1466" t="str">
        <f>Sheet2!A1466</f>
        <v>LA6T</v>
      </c>
      <c r="B1466" t="str">
        <f ca="1">'Query Example'!D1466</f>
        <v>LandPlane</v>
      </c>
      <c r="C1466" s="11" t="str">
        <f>CONCATENATE(Sheet2!F1466,"/",Sheet2!E1466)</f>
        <v>1/Turboprop/Turboshaft</v>
      </c>
      <c r="D1466" t="str">
        <f>CONCATENATE(Sheet2!B1466,", ",Sheet2!C1466)</f>
        <v>AERMACCHI, AL-60 Turbine Grizzly</v>
      </c>
    </row>
    <row r="1467" spans="1:4" x14ac:dyDescent="0.2">
      <c r="A1467" t="str">
        <f>Sheet2!A1467</f>
        <v>LA8</v>
      </c>
      <c r="B1467" t="str">
        <f ca="1">'Query Example'!D1467</f>
        <v>Amphibian</v>
      </c>
      <c r="C1467" s="11" t="str">
        <f>CONCATENATE(Sheet2!F1467,"/",Sheet2!E1467)</f>
        <v>2/Piston</v>
      </c>
      <c r="D1467" t="str">
        <f>CONCATENATE(Sheet2!B1467,", ",Sheet2!C1467)</f>
        <v>AEROVOLGA, LA-8 Flagman</v>
      </c>
    </row>
    <row r="1468" spans="1:4" x14ac:dyDescent="0.2">
      <c r="A1468" t="str">
        <f>Sheet2!A1468</f>
        <v>LACO</v>
      </c>
      <c r="B1468" t="str">
        <f ca="1">'Query Example'!D1468</f>
        <v>LandPlane</v>
      </c>
      <c r="C1468" s="11" t="str">
        <f>CONCATENATE(Sheet2!F1468,"/",Sheet2!E1468)</f>
        <v>1/Piston</v>
      </c>
      <c r="D1468" t="str">
        <f>CONCATENATE(Sheet2!B1468,", ",Sheet2!C1468)</f>
        <v>LAVEN, LACO-125</v>
      </c>
    </row>
    <row r="1469" spans="1:4" x14ac:dyDescent="0.2">
      <c r="A1469" t="str">
        <f>Sheet2!A1469</f>
        <v>LAE1</v>
      </c>
      <c r="B1469" t="str">
        <f ca="1">'Query Example'!D1469</f>
        <v>LandPlane</v>
      </c>
      <c r="C1469" s="11" t="str">
        <f>CONCATENATE(Sheet2!F1469,"/",Sheet2!E1469)</f>
        <v>1/Electric</v>
      </c>
      <c r="D1469" t="str">
        <f>CONCATENATE(Sheet2!B1469,", ",Sheet2!C1469)</f>
        <v>LANGE, E-1 Antares 20E</v>
      </c>
    </row>
    <row r="1470" spans="1:4" x14ac:dyDescent="0.2">
      <c r="A1470" t="str">
        <f>Sheet2!A1470</f>
        <v>LAKR</v>
      </c>
      <c r="B1470" t="str">
        <f ca="1">'Query Example'!D1470</f>
        <v>LandPlane</v>
      </c>
      <c r="C1470" s="11" t="str">
        <f>CONCATENATE(Sheet2!F1470,"/",Sheet2!E1470)</f>
        <v>1/Piston</v>
      </c>
      <c r="D1470" t="str">
        <f>CONCATENATE(Sheet2!B1470,", ",Sheet2!C1470)</f>
        <v>LASER, Akro Z</v>
      </c>
    </row>
    <row r="1471" spans="1:4" x14ac:dyDescent="0.2">
      <c r="A1471" t="str">
        <f>Sheet2!A1471</f>
        <v>LAKX</v>
      </c>
      <c r="B1471" t="str">
        <f ca="1">'Query Example'!D1471</f>
        <v>LandPlane</v>
      </c>
      <c r="C1471" s="11" t="str">
        <f>CONCATENATE(Sheet2!F1471,"/",Sheet2!E1471)</f>
        <v>1/Piston</v>
      </c>
      <c r="D1471" t="str">
        <f>CONCATENATE(Sheet2!B1471,", ",Sheet2!C1471)</f>
        <v>AEROPLASTIKA, LAK-X</v>
      </c>
    </row>
    <row r="1472" spans="1:4" x14ac:dyDescent="0.2">
      <c r="A1472" t="str">
        <f>Sheet2!A1472</f>
        <v>LAMA</v>
      </c>
      <c r="B1472" t="str">
        <f ca="1">'Query Example'!D1472</f>
        <v>Helicopter</v>
      </c>
      <c r="C1472" s="11" t="str">
        <f>CONCATENATE(Sheet2!F1472,"/",Sheet2!E1472)</f>
        <v>1/Turboprop/Turboshaft</v>
      </c>
      <c r="D1472" t="str">
        <f>CONCATENATE(Sheet2!B1472,", ",Sheet2!C1472)</f>
        <v>AEROSPATIALE, SA-315 Lama</v>
      </c>
    </row>
    <row r="1473" spans="1:4" x14ac:dyDescent="0.2">
      <c r="A1473" t="str">
        <f>Sheet2!A1473</f>
        <v>LANC</v>
      </c>
      <c r="B1473" t="str">
        <f ca="1">'Query Example'!D1473</f>
        <v>LandPlane</v>
      </c>
      <c r="C1473" s="11" t="str">
        <f>CONCATENATE(Sheet2!F1473,"/",Sheet2!E1473)</f>
        <v>4/Piston</v>
      </c>
      <c r="D1473" t="str">
        <f>CONCATENATE(Sheet2!B1473,", ",Sheet2!C1473)</f>
        <v>AVRO, Lancaster</v>
      </c>
    </row>
    <row r="1474" spans="1:4" x14ac:dyDescent="0.2">
      <c r="A1474" t="str">
        <f>Sheet2!A1474</f>
        <v>LAR1</v>
      </c>
      <c r="B1474" t="str">
        <f ca="1">'Query Example'!D1474</f>
        <v>LandPlane</v>
      </c>
      <c r="C1474" s="11" t="str">
        <f>CONCATENATE(Sheet2!F1474,"/",Sheet2!E1474)</f>
        <v>1/Jet</v>
      </c>
      <c r="D1474" t="str">
        <f>CONCATENATE(Sheet2!B1474,", ",Sheet2!C1474)</f>
        <v>FLARIS, LAR-1</v>
      </c>
    </row>
    <row r="1475" spans="1:4" x14ac:dyDescent="0.2">
      <c r="A1475" t="str">
        <f>Sheet2!A1475</f>
        <v>LARK</v>
      </c>
      <c r="B1475" t="str">
        <f ca="1">'Query Example'!D1475</f>
        <v>LandPlane</v>
      </c>
      <c r="C1475" s="11" t="str">
        <f>CONCATENATE(Sheet2!F1475,"/",Sheet2!E1475)</f>
        <v>1/Piston</v>
      </c>
      <c r="D1475" t="str">
        <f>CONCATENATE(Sheet2!B1475,", ",Sheet2!C1475)</f>
        <v>NORTH AMERICAN ROCKWELL, 100 Lark Commander</v>
      </c>
    </row>
    <row r="1476" spans="1:4" x14ac:dyDescent="0.2">
      <c r="A1476" t="str">
        <f>Sheet2!A1476</f>
        <v>LAST</v>
      </c>
      <c r="B1476" t="str">
        <f ca="1">'Query Example'!D1476</f>
        <v>LandPlane</v>
      </c>
      <c r="C1476" s="11" t="str">
        <f>CONCATENATE(Sheet2!F1476,"/",Sheet2!E1476)</f>
        <v>1/Piston</v>
      </c>
      <c r="D1476" t="str">
        <f>CONCATENATE(Sheet2!B1476,", ",Sheet2!C1476)</f>
        <v>UTVA, N-63 Lasta</v>
      </c>
    </row>
    <row r="1477" spans="1:4" x14ac:dyDescent="0.2">
      <c r="A1477" t="str">
        <f>Sheet2!A1477</f>
        <v>LBUG</v>
      </c>
      <c r="B1477" t="str">
        <f ca="1">'Query Example'!D1477</f>
        <v>LandPlane</v>
      </c>
      <c r="C1477" s="11" t="str">
        <f>CONCATENATE(Sheet2!F1477,"/",Sheet2!E1477)</f>
        <v>1/Piston</v>
      </c>
      <c r="D1477" t="str">
        <f>CONCATENATE(Sheet2!B1477,", ",Sheet2!C1477)</f>
        <v>REFLEX, Lightning Bug</v>
      </c>
    </row>
    <row r="1478" spans="1:4" x14ac:dyDescent="0.2">
      <c r="A1478" t="str">
        <f>Sheet2!A1478</f>
        <v>LCA</v>
      </c>
      <c r="B1478" t="str">
        <f ca="1">'Query Example'!D1478</f>
        <v>LandPlane</v>
      </c>
      <c r="C1478" s="11" t="str">
        <f>CONCATENATE(Sheet2!F1478,"/",Sheet2!E1478)</f>
        <v>1/Jet</v>
      </c>
      <c r="D1478" t="str">
        <f>CONCATENATE(Sheet2!B1478,", ",Sheet2!C1478)</f>
        <v>ADA, LCA Tejas</v>
      </c>
    </row>
    <row r="1479" spans="1:4" x14ac:dyDescent="0.2">
      <c r="A1479" t="str">
        <f>Sheet2!A1479</f>
        <v>LCB</v>
      </c>
      <c r="B1479" t="str">
        <f ca="1">'Query Example'!D1479</f>
        <v>LandPlane</v>
      </c>
      <c r="C1479" s="11" t="str">
        <f>CONCATENATE(Sheet2!F1479,"/",Sheet2!E1479)</f>
        <v>1/Piston</v>
      </c>
      <c r="D1479" t="str">
        <f>CONCATENATE(Sheet2!B1479,", ",Sheet2!C1479)</f>
        <v>LAIRD, LC-B Commercial</v>
      </c>
    </row>
    <row r="1480" spans="1:4" x14ac:dyDescent="0.2">
      <c r="A1480" t="str">
        <f>Sheet2!A1480</f>
        <v>LCH</v>
      </c>
      <c r="B1480" t="str">
        <f ca="1">'Query Example'!D1480</f>
        <v>Helicopter</v>
      </c>
      <c r="C1480" s="11" t="str">
        <f>CONCATENATE(Sheet2!F1480,"/",Sheet2!E1480)</f>
        <v>2/Turboprop/Turboshaft</v>
      </c>
      <c r="D1480" t="str">
        <f>CONCATENATE(Sheet2!B1480,", ",Sheet2!C1480)</f>
        <v>HINDUSTAN, LCH</v>
      </c>
    </row>
    <row r="1481" spans="1:4" x14ac:dyDescent="0.2">
      <c r="A1481" t="str">
        <f>Sheet2!A1481</f>
        <v>LCR</v>
      </c>
      <c r="B1481" t="str">
        <f ca="1">'Query Example'!D1481</f>
        <v>LandPlane</v>
      </c>
      <c r="C1481" s="11" t="str">
        <f>CONCATENATE(Sheet2!F1481,"/",Sheet2!E1481)</f>
        <v>1/Piston</v>
      </c>
      <c r="D1481" t="str">
        <f>CONCATENATE(Sheet2!B1481,", ",Sheet2!C1481)</f>
        <v>LAIRD, LC-R Speedwing</v>
      </c>
    </row>
    <row r="1482" spans="1:4" x14ac:dyDescent="0.2">
      <c r="A1482" t="str">
        <f>Sheet2!A1482</f>
        <v>LEG2</v>
      </c>
      <c r="B1482" t="str">
        <f ca="1">'Query Example'!D1482</f>
        <v>LandPlane</v>
      </c>
      <c r="C1482" s="11" t="str">
        <f>CONCATENATE(Sheet2!F1482,"/",Sheet2!E1482)</f>
        <v>1/Piston</v>
      </c>
      <c r="D1482" t="str">
        <f>CONCATENATE(Sheet2!B1482,", ",Sheet2!C1482)</f>
        <v>LANCAIR, Legacy</v>
      </c>
    </row>
    <row r="1483" spans="1:4" x14ac:dyDescent="0.2">
      <c r="A1483" t="str">
        <f>Sheet2!A1483</f>
        <v>LEGD</v>
      </c>
      <c r="B1483" t="str">
        <f ca="1">'Query Example'!D1483</f>
        <v>LandPlane</v>
      </c>
      <c r="C1483" s="11" t="str">
        <f>CONCATENATE(Sheet2!F1483,"/",Sheet2!E1483)</f>
        <v>1/Piston</v>
      </c>
      <c r="D1483" t="str">
        <f>CONCATENATE(Sheet2!B1483,", ",Sheet2!C1483)</f>
        <v>PERFORMANCE, Legend</v>
      </c>
    </row>
    <row r="1484" spans="1:4" x14ac:dyDescent="0.2">
      <c r="A1484" t="str">
        <f>Sheet2!A1484</f>
        <v>LEOP</v>
      </c>
      <c r="B1484" t="str">
        <f ca="1">'Query Example'!D1484</f>
        <v>LandPlane</v>
      </c>
      <c r="C1484" s="11" t="str">
        <f>CONCATENATE(Sheet2!F1484,"/",Sheet2!E1484)</f>
        <v>2/Jet</v>
      </c>
      <c r="D1484" t="str">
        <f>CONCATENATE(Sheet2!B1484,", ",Sheet2!C1484)</f>
        <v>CHICHESTER-MILES, Leopard</v>
      </c>
    </row>
    <row r="1485" spans="1:4" x14ac:dyDescent="0.2">
      <c r="A1485" t="str">
        <f>Sheet2!A1485</f>
        <v>LESP</v>
      </c>
      <c r="B1485" t="str">
        <f ca="1">'Query Example'!D1485</f>
        <v>LandPlane</v>
      </c>
      <c r="C1485" s="11" t="str">
        <f>CONCATENATE(Sheet2!F1485,"/",Sheet2!E1485)</f>
        <v>1/Piston</v>
      </c>
      <c r="D1485" t="str">
        <f>CONCATENATE(Sheet2!B1485,", ",Sheet2!C1485)</f>
        <v>LANCAIR, Lancair ES-P</v>
      </c>
    </row>
    <row r="1486" spans="1:4" x14ac:dyDescent="0.2">
      <c r="A1486" t="str">
        <f>Sheet2!A1486</f>
        <v>LEVI</v>
      </c>
      <c r="B1486" t="str">
        <f ca="1">'Query Example'!D1486</f>
        <v>LandPlane</v>
      </c>
      <c r="C1486" s="11" t="str">
        <f>CONCATENATE(Sheet2!F1486,"/",Sheet2!E1486)</f>
        <v>1/Piston</v>
      </c>
      <c r="D1486" t="str">
        <f>CONCATENATE(Sheet2!B1486,", ",Sheet2!C1486)</f>
        <v>TAPANEE, Levitation 4</v>
      </c>
    </row>
    <row r="1487" spans="1:4" x14ac:dyDescent="0.2">
      <c r="A1487" t="str">
        <f>Sheet2!A1487</f>
        <v>LGEZ</v>
      </c>
      <c r="B1487" t="str">
        <f ca="1">'Query Example'!D1487</f>
        <v>LandPlane</v>
      </c>
      <c r="C1487" s="11" t="str">
        <f>CONCATENATE(Sheet2!F1487,"/",Sheet2!E1487)</f>
        <v>1/Piston</v>
      </c>
      <c r="D1487" t="str">
        <f>CONCATENATE(Sheet2!B1487,", ",Sheet2!C1487)</f>
        <v>RUTAN, 61 Long-EZ</v>
      </c>
    </row>
    <row r="1488" spans="1:4" x14ac:dyDescent="0.2">
      <c r="A1488" t="str">
        <f>Sheet2!A1488</f>
        <v>LH10</v>
      </c>
      <c r="B1488" t="str">
        <f ca="1">'Query Example'!D1488</f>
        <v>LandPlane</v>
      </c>
      <c r="C1488" s="11" t="str">
        <f>CONCATENATE(Sheet2!F1488,"/",Sheet2!E1488)</f>
        <v>1/Piston</v>
      </c>
      <c r="D1488" t="str">
        <f>CONCATENATE(Sheet2!B1488,", ",Sheet2!C1488)</f>
        <v>LH AVIATION, LH-10 Ellipse</v>
      </c>
    </row>
    <row r="1489" spans="1:4" x14ac:dyDescent="0.2">
      <c r="A1489" t="str">
        <f>Sheet2!A1489</f>
        <v>LIBE</v>
      </c>
      <c r="B1489" t="str">
        <f ca="1">'Query Example'!D1489</f>
        <v>LandPlane</v>
      </c>
      <c r="C1489" s="11" t="str">
        <f>CONCATENATE(Sheet2!F1489,"/",Sheet2!E1489)</f>
        <v>1/Piston</v>
      </c>
      <c r="D1489" t="str">
        <f>CONCATENATE(Sheet2!B1489,", ",Sheet2!C1489)</f>
        <v>LIBERTY (1), Bellaire</v>
      </c>
    </row>
    <row r="1490" spans="1:4" x14ac:dyDescent="0.2">
      <c r="A1490" t="str">
        <f>Sheet2!A1490</f>
        <v>LION</v>
      </c>
      <c r="B1490" t="str">
        <f ca="1">'Query Example'!D1490</f>
        <v>LandPlane</v>
      </c>
      <c r="C1490" s="11" t="str">
        <f>CONCATENATE(Sheet2!F1490,"/",Sheet2!E1490)</f>
        <v>1/Piston</v>
      </c>
      <c r="D1490" t="str">
        <f>CONCATENATE(Sheet2!B1490,", ",Sheet2!C1490)</f>
        <v>GRIFFON, Lionheart</v>
      </c>
    </row>
    <row r="1491" spans="1:4" x14ac:dyDescent="0.2">
      <c r="A1491" t="str">
        <f>Sheet2!A1491</f>
        <v>LJ23</v>
      </c>
      <c r="B1491" t="str">
        <f ca="1">'Query Example'!D1491</f>
        <v>LandPlane</v>
      </c>
      <c r="C1491" s="11" t="str">
        <f>CONCATENATE(Sheet2!F1491,"/",Sheet2!E1491)</f>
        <v>2/Jet</v>
      </c>
      <c r="D1491" t="str">
        <f>CONCATENATE(Sheet2!B1491,", ",Sheet2!C1491)</f>
        <v>LEAR JET, 23</v>
      </c>
    </row>
    <row r="1492" spans="1:4" x14ac:dyDescent="0.2">
      <c r="A1492" t="str">
        <f>Sheet2!A1492</f>
        <v>LJ24</v>
      </c>
      <c r="B1492" t="str">
        <f ca="1">'Query Example'!D1492</f>
        <v>LandPlane</v>
      </c>
      <c r="C1492" s="11" t="str">
        <f>CONCATENATE(Sheet2!F1492,"/",Sheet2!E1492)</f>
        <v>2/Jet</v>
      </c>
      <c r="D1492" t="str">
        <f>CONCATENATE(Sheet2!B1492,", ",Sheet2!C1492)</f>
        <v>LEAR JET, 24</v>
      </c>
    </row>
    <row r="1493" spans="1:4" x14ac:dyDescent="0.2">
      <c r="A1493" t="str">
        <f>Sheet2!A1493</f>
        <v>LJ25</v>
      </c>
      <c r="B1493" t="str">
        <f ca="1">'Query Example'!D1493</f>
        <v>LandPlane</v>
      </c>
      <c r="C1493" s="11" t="str">
        <f>CONCATENATE(Sheet2!F1493,"/",Sheet2!E1493)</f>
        <v>2/Jet</v>
      </c>
      <c r="D1493" t="str">
        <f>CONCATENATE(Sheet2!B1493,", ",Sheet2!C1493)</f>
        <v>LEAR JET, 25</v>
      </c>
    </row>
    <row r="1494" spans="1:4" x14ac:dyDescent="0.2">
      <c r="A1494" t="str">
        <f>Sheet2!A1494</f>
        <v>LJ28</v>
      </c>
      <c r="B1494" t="str">
        <f ca="1">'Query Example'!D1494</f>
        <v>LandPlane</v>
      </c>
      <c r="C1494" s="11" t="str">
        <f>CONCATENATE(Sheet2!F1494,"/",Sheet2!E1494)</f>
        <v>2/Jet</v>
      </c>
      <c r="D1494" t="str">
        <f>CONCATENATE(Sheet2!B1494,", ",Sheet2!C1494)</f>
        <v>GATES LEARJET, 28</v>
      </c>
    </row>
    <row r="1495" spans="1:4" x14ac:dyDescent="0.2">
      <c r="A1495" t="str">
        <f>Sheet2!A1495</f>
        <v>LJ31</v>
      </c>
      <c r="B1495" t="str">
        <f ca="1">'Query Example'!D1495</f>
        <v>LandPlane</v>
      </c>
      <c r="C1495" s="11" t="str">
        <f>CONCATENATE(Sheet2!F1495,"/",Sheet2!E1495)</f>
        <v>2/Jet</v>
      </c>
      <c r="D1495" t="str">
        <f>CONCATENATE(Sheet2!B1495,", ",Sheet2!C1495)</f>
        <v>LEARJET, 31</v>
      </c>
    </row>
    <row r="1496" spans="1:4" x14ac:dyDescent="0.2">
      <c r="A1496" t="str">
        <f>Sheet2!A1496</f>
        <v>LJ35</v>
      </c>
      <c r="B1496" t="str">
        <f ca="1">'Query Example'!D1496</f>
        <v>LandPlane</v>
      </c>
      <c r="C1496" s="11" t="str">
        <f>CONCATENATE(Sheet2!F1496,"/",Sheet2!E1496)</f>
        <v>2/Jet</v>
      </c>
      <c r="D1496" t="str">
        <f>CONCATENATE(Sheet2!B1496,", ",Sheet2!C1496)</f>
        <v>LEARJET, 35</v>
      </c>
    </row>
    <row r="1497" spans="1:4" x14ac:dyDescent="0.2">
      <c r="A1497" t="str">
        <f>Sheet2!A1497</f>
        <v>LJ40</v>
      </c>
      <c r="B1497" t="str">
        <f ca="1">'Query Example'!D1497</f>
        <v>LandPlane</v>
      </c>
      <c r="C1497" s="11" t="str">
        <f>CONCATENATE(Sheet2!F1497,"/",Sheet2!E1497)</f>
        <v>2/Jet</v>
      </c>
      <c r="D1497" t="str">
        <f>CONCATENATE(Sheet2!B1497,", ",Sheet2!C1497)</f>
        <v>LEARJET, 40</v>
      </c>
    </row>
    <row r="1498" spans="1:4" x14ac:dyDescent="0.2">
      <c r="A1498" t="str">
        <f>Sheet2!A1498</f>
        <v>LJ45</v>
      </c>
      <c r="B1498" t="str">
        <f ca="1">'Query Example'!D1498</f>
        <v>LandPlane</v>
      </c>
      <c r="C1498" s="11" t="str">
        <f>CONCATENATE(Sheet2!F1498,"/",Sheet2!E1498)</f>
        <v>2/Jet</v>
      </c>
      <c r="D1498" t="str">
        <f>CONCATENATE(Sheet2!B1498,", ",Sheet2!C1498)</f>
        <v>LEARJET, 45</v>
      </c>
    </row>
    <row r="1499" spans="1:4" x14ac:dyDescent="0.2">
      <c r="A1499" t="str">
        <f>Sheet2!A1499</f>
        <v>LJ55</v>
      </c>
      <c r="B1499" t="str">
        <f ca="1">'Query Example'!D1499</f>
        <v>LandPlane</v>
      </c>
      <c r="C1499" s="11" t="str">
        <f>CONCATENATE(Sheet2!F1499,"/",Sheet2!E1499)</f>
        <v>2/Jet</v>
      </c>
      <c r="D1499" t="str">
        <f>CONCATENATE(Sheet2!B1499,", ",Sheet2!C1499)</f>
        <v>LEARJET, 55</v>
      </c>
    </row>
    <row r="1500" spans="1:4" x14ac:dyDescent="0.2">
      <c r="A1500" t="str">
        <f>Sheet2!A1500</f>
        <v>LJ60</v>
      </c>
      <c r="B1500" t="str">
        <f ca="1">'Query Example'!D1500</f>
        <v>LandPlane</v>
      </c>
      <c r="C1500" s="11" t="str">
        <f>CONCATENATE(Sheet2!F1500,"/",Sheet2!E1500)</f>
        <v>2/Jet</v>
      </c>
      <c r="D1500" t="str">
        <f>CONCATENATE(Sheet2!B1500,", ",Sheet2!C1500)</f>
        <v>LEARJET, 60</v>
      </c>
    </row>
    <row r="1501" spans="1:4" x14ac:dyDescent="0.2">
      <c r="A1501" t="str">
        <f>Sheet2!A1501</f>
        <v>LJ70</v>
      </c>
      <c r="B1501" t="str">
        <f ca="1">'Query Example'!D1501</f>
        <v>LandPlane</v>
      </c>
      <c r="C1501" s="11" t="str">
        <f>CONCATENATE(Sheet2!F1501,"/",Sheet2!E1501)</f>
        <v>2/Jet</v>
      </c>
      <c r="D1501" t="str">
        <f>CONCATENATE(Sheet2!B1501,", ",Sheet2!C1501)</f>
        <v>LEARJET, 70</v>
      </c>
    </row>
    <row r="1502" spans="1:4" x14ac:dyDescent="0.2">
      <c r="A1502" t="str">
        <f>Sheet2!A1502</f>
        <v>LJ75</v>
      </c>
      <c r="B1502" t="str">
        <f ca="1">'Query Example'!D1502</f>
        <v>LandPlane</v>
      </c>
      <c r="C1502" s="11" t="str">
        <f>CONCATENATE(Sheet2!F1502,"/",Sheet2!E1502)</f>
        <v>2/Jet</v>
      </c>
      <c r="D1502" t="str">
        <f>CONCATENATE(Sheet2!B1502,", ",Sheet2!C1502)</f>
        <v>LEARJET, 75</v>
      </c>
    </row>
    <row r="1503" spans="1:4" x14ac:dyDescent="0.2">
      <c r="A1503" t="str">
        <f>Sheet2!A1503</f>
        <v>LJ85</v>
      </c>
      <c r="B1503" t="str">
        <f ca="1">'Query Example'!D1503</f>
        <v>LandPlane</v>
      </c>
      <c r="C1503" s="11" t="str">
        <f>CONCATENATE(Sheet2!F1503,"/",Sheet2!E1503)</f>
        <v>2/Jet</v>
      </c>
      <c r="D1503" t="str">
        <f>CONCATENATE(Sheet2!B1503,", ",Sheet2!C1503)</f>
        <v>LEARJET, 85</v>
      </c>
    </row>
    <row r="1504" spans="1:4" x14ac:dyDescent="0.2">
      <c r="A1504" t="str">
        <f>Sheet2!A1504</f>
        <v>LK17</v>
      </c>
      <c r="B1504" t="str">
        <f ca="1">'Query Example'!D1504</f>
        <v>LandPlane</v>
      </c>
      <c r="C1504" s="11" t="str">
        <f>CONCATENATE(Sheet2!F1504,"/",Sheet2!E1504)</f>
        <v>1/Piston</v>
      </c>
      <c r="D1504" t="str">
        <f>CONCATENATE(Sheet2!B1504,", ",Sheet2!C1504)</f>
        <v>LAK, LAK-17AT</v>
      </c>
    </row>
    <row r="1505" spans="1:4" x14ac:dyDescent="0.2">
      <c r="A1505" t="str">
        <f>Sheet2!A1505</f>
        <v>LK19</v>
      </c>
      <c r="B1505" t="str">
        <f ca="1">'Query Example'!D1505</f>
        <v>LandPlane</v>
      </c>
      <c r="C1505" s="11" t="str">
        <f>CONCATENATE(Sheet2!F1505,"/",Sheet2!E1505)</f>
        <v>1/Piston</v>
      </c>
      <c r="D1505" t="str">
        <f>CONCATENATE(Sheet2!B1505,", ",Sheet2!C1505)</f>
        <v>LAK, LAK-19T</v>
      </c>
    </row>
    <row r="1506" spans="1:4" x14ac:dyDescent="0.2">
      <c r="A1506" t="str">
        <f>Sheet2!A1506</f>
        <v>LK20</v>
      </c>
      <c r="B1506" t="str">
        <f ca="1">'Query Example'!D1506</f>
        <v>LandPlane</v>
      </c>
      <c r="C1506" s="11" t="str">
        <f>CONCATENATE(Sheet2!F1506,"/",Sheet2!E1506)</f>
        <v>1/Piston</v>
      </c>
      <c r="D1506" t="str">
        <f>CONCATENATE(Sheet2!B1506,", ",Sheet2!C1506)</f>
        <v>LAK, LAK-20M</v>
      </c>
    </row>
    <row r="1507" spans="1:4" x14ac:dyDescent="0.2">
      <c r="A1507" t="str">
        <f>Sheet2!A1507</f>
        <v>LM5</v>
      </c>
      <c r="B1507" t="str">
        <f ca="1">'Query Example'!D1507</f>
        <v>LandPlane</v>
      </c>
      <c r="C1507" s="11" t="str">
        <f>CONCATENATE(Sheet2!F1507,"/",Sheet2!E1507)</f>
        <v>1/Piston</v>
      </c>
      <c r="D1507" t="str">
        <f>CONCATENATE(Sheet2!B1507,", ",Sheet2!C1507)</f>
        <v>LOMBARDI, LM-5 Aviastar</v>
      </c>
    </row>
    <row r="1508" spans="1:4" x14ac:dyDescent="0.2">
      <c r="A1508" t="str">
        <f>Sheet2!A1508</f>
        <v>LM5X</v>
      </c>
      <c r="B1508" t="str">
        <f ca="1">'Query Example'!D1508</f>
        <v>LandPlane</v>
      </c>
      <c r="C1508" s="11" t="str">
        <f>CONCATENATE(Sheet2!F1508,"/",Sheet2!E1508)</f>
        <v>1/Piston</v>
      </c>
      <c r="D1508" t="str">
        <f>CONCATENATE(Sheet2!B1508,", ",Sheet2!C1508)</f>
        <v>LIGHT MINIATURE, LM-5 Super Cub</v>
      </c>
    </row>
    <row r="1509" spans="1:4" x14ac:dyDescent="0.2">
      <c r="A1509" t="str">
        <f>Sheet2!A1509</f>
        <v>LM7</v>
      </c>
      <c r="B1509" t="str">
        <f ca="1">'Query Example'!D1509</f>
        <v>LandPlane</v>
      </c>
      <c r="C1509" s="11" t="str">
        <f>CONCATENATE(Sheet2!F1509,"/",Sheet2!E1509)</f>
        <v>1/Piston</v>
      </c>
      <c r="D1509" t="str">
        <f>CONCATENATE(Sheet2!B1509,", ",Sheet2!C1509)</f>
        <v>LOMBARDI, LM-7</v>
      </c>
    </row>
    <row r="1510" spans="1:4" x14ac:dyDescent="0.2">
      <c r="A1510" t="str">
        <f>Sheet2!A1510</f>
        <v>LMK1</v>
      </c>
      <c r="B1510" t="str">
        <f ca="1">'Query Example'!D1510</f>
        <v>LandPlane</v>
      </c>
      <c r="C1510" s="11" t="str">
        <f>CONCATENATE(Sheet2!F1510,"/",Sheet2!E1510)</f>
        <v>1/Piston</v>
      </c>
      <c r="D1510" t="str">
        <f>CONCATENATE(Sheet2!B1510,", ",Sheet2!C1510)</f>
        <v>CATA, LMK-1 Oryx</v>
      </c>
    </row>
    <row r="1511" spans="1:4" x14ac:dyDescent="0.2">
      <c r="A1511" t="str">
        <f>Sheet2!A1511</f>
        <v>LN27</v>
      </c>
      <c r="B1511" t="str">
        <f ca="1">'Query Example'!D1511</f>
        <v>LandPlane</v>
      </c>
      <c r="C1511" s="11" t="str">
        <f>CONCATENATE(Sheet2!F1511,"/",Sheet2!E1511)</f>
        <v>1/Piston</v>
      </c>
      <c r="D1511" t="str">
        <f>CONCATENATE(Sheet2!B1511,", ",Sheet2!C1511)</f>
        <v>FALCOMPOSITE, LN-27 Furio</v>
      </c>
    </row>
    <row r="1512" spans="1:4" x14ac:dyDescent="0.2">
      <c r="A1512" t="str">
        <f>Sheet2!A1512</f>
        <v>LN3</v>
      </c>
      <c r="B1512" t="str">
        <f ca="1">'Query Example'!D1512</f>
        <v>Amphibian</v>
      </c>
      <c r="C1512" s="11" t="str">
        <f>CONCATENATE(Sheet2!F1512,"/",Sheet2!E1512)</f>
        <v>1/Piston</v>
      </c>
      <c r="D1512" t="str">
        <f>CONCATENATE(Sheet2!B1512,", ",Sheet2!C1512)</f>
        <v>FLYGFABRIKEN, LN-3 Seagull</v>
      </c>
    </row>
    <row r="1513" spans="1:4" x14ac:dyDescent="0.2">
      <c r="A1513" t="str">
        <f>Sheet2!A1513</f>
        <v>LNC2</v>
      </c>
      <c r="B1513" t="str">
        <f ca="1">'Query Example'!D1513</f>
        <v>LandPlane</v>
      </c>
      <c r="C1513" s="11" t="str">
        <f>CONCATENATE(Sheet2!F1513,"/",Sheet2!E1513)</f>
        <v>1/Piston</v>
      </c>
      <c r="D1513" t="str">
        <f>CONCATENATE(Sheet2!B1513,", ",Sheet2!C1513)</f>
        <v>LANCAIR, Lancair 200</v>
      </c>
    </row>
    <row r="1514" spans="1:4" x14ac:dyDescent="0.2">
      <c r="A1514" t="str">
        <f>Sheet2!A1514</f>
        <v>LNC4</v>
      </c>
      <c r="B1514" t="str">
        <f ca="1">'Query Example'!D1514</f>
        <v>LandPlane</v>
      </c>
      <c r="C1514" s="11" t="str">
        <f>CONCATENATE(Sheet2!F1514,"/",Sheet2!E1514)</f>
        <v>1/Piston</v>
      </c>
      <c r="D1514" t="str">
        <f>CONCATENATE(Sheet2!B1514,", ",Sheet2!C1514)</f>
        <v>LANCAIR, Lancair 4</v>
      </c>
    </row>
    <row r="1515" spans="1:4" x14ac:dyDescent="0.2">
      <c r="A1515" t="str">
        <f>Sheet2!A1515</f>
        <v>LNCE</v>
      </c>
      <c r="B1515" t="str">
        <f ca="1">'Query Example'!D1515</f>
        <v>LandPlane</v>
      </c>
      <c r="C1515" s="11" t="str">
        <f>CONCATENATE(Sheet2!F1515,"/",Sheet2!E1515)</f>
        <v>1/Piston</v>
      </c>
      <c r="D1515" t="str">
        <f>CONCATENATE(Sheet2!B1515,", ",Sheet2!C1515)</f>
        <v>LANCAIR, Lancair ES</v>
      </c>
    </row>
    <row r="1516" spans="1:4" x14ac:dyDescent="0.2">
      <c r="A1516" t="str">
        <f>Sheet2!A1516</f>
        <v>LNP4</v>
      </c>
      <c r="B1516" t="str">
        <f ca="1">'Query Example'!D1516</f>
        <v>LandPlane</v>
      </c>
      <c r="C1516" s="11" t="str">
        <f>CONCATENATE(Sheet2!F1516,"/",Sheet2!E1516)</f>
        <v>1/Turboprop/Turboshaft</v>
      </c>
      <c r="D1516" t="str">
        <f>CONCATENATE(Sheet2!B1516,", ",Sheet2!C1516)</f>
        <v>LANCAIR, Lancair PropJet 4</v>
      </c>
    </row>
    <row r="1517" spans="1:4" x14ac:dyDescent="0.2">
      <c r="A1517" t="str">
        <f>Sheet2!A1517</f>
        <v>LNT4</v>
      </c>
      <c r="B1517" t="str">
        <f ca="1">'Query Example'!D1517</f>
        <v>LandPlane</v>
      </c>
      <c r="C1517" s="11" t="str">
        <f>CONCATENATE(Sheet2!F1517,"/",Sheet2!E1517)</f>
        <v>1/Turboprop/Turboshaft</v>
      </c>
      <c r="D1517" t="str">
        <f>CONCATENATE(Sheet2!B1517,", ",Sheet2!C1517)</f>
        <v>LANCAIR, Sentry 4T</v>
      </c>
    </row>
    <row r="1518" spans="1:4" x14ac:dyDescent="0.2">
      <c r="A1518" t="str">
        <f>Sheet2!A1518</f>
        <v>LOCA</v>
      </c>
      <c r="B1518" t="str">
        <f ca="1">'Query Example'!D1518</f>
        <v>LandPlane</v>
      </c>
      <c r="C1518" s="11" t="str">
        <f>CONCATENATE(Sheet2!F1518,"/",Sheet2!E1518)</f>
        <v>1/Piston</v>
      </c>
      <c r="D1518" t="str">
        <f>CONCATENATE(Sheet2!B1518,", ",Sheet2!C1518)</f>
        <v>AEROLAB, LoCamp</v>
      </c>
    </row>
    <row r="1519" spans="1:4" x14ac:dyDescent="0.2">
      <c r="A1519" t="str">
        <f>Sheet2!A1519</f>
        <v>LOVE</v>
      </c>
      <c r="B1519" t="str">
        <f ca="1">'Query Example'!D1519</f>
        <v>LandPlane</v>
      </c>
      <c r="C1519" s="11" t="str">
        <f>CONCATENATE(Sheet2!F1519,"/",Sheet2!E1519)</f>
        <v>1/Piston</v>
      </c>
      <c r="D1519" t="str">
        <f>CONCATENATE(Sheet2!B1519,", ",Sheet2!C1519)</f>
        <v>LOVING-WAYNE, WR-1 Love</v>
      </c>
    </row>
    <row r="1520" spans="1:4" x14ac:dyDescent="0.2">
      <c r="A1520" t="str">
        <f>Sheet2!A1520</f>
        <v>LP1</v>
      </c>
      <c r="B1520" t="str">
        <f ca="1">'Query Example'!D1520</f>
        <v>LandPlane</v>
      </c>
      <c r="C1520" s="11" t="str">
        <f>CONCATENATE(Sheet2!F1520,"/",Sheet2!E1520)</f>
        <v>1/Piston</v>
      </c>
      <c r="D1520" t="str">
        <f>CONCATENATE(Sheet2!B1520,", ",Sheet2!C1520)</f>
        <v>LOPRESTI, LP-1 Fury</v>
      </c>
    </row>
    <row r="1521" spans="1:4" x14ac:dyDescent="0.2">
      <c r="A1521" t="str">
        <f>Sheet2!A1521</f>
        <v>LR2T</v>
      </c>
      <c r="B1521" t="str">
        <f ca="1">'Query Example'!D1521</f>
        <v>Helicopter</v>
      </c>
      <c r="C1521" s="11" t="str">
        <f>CONCATENATE(Sheet2!F1521,"/",Sheet2!E1521)</f>
        <v>1/Turboprop/Turboshaft</v>
      </c>
      <c r="D1521" t="str">
        <f>CONCATENATE(Sheet2!B1521,", ",Sheet2!C1521)</f>
        <v>LOAD RANGER, 2000</v>
      </c>
    </row>
    <row r="1522" spans="1:4" x14ac:dyDescent="0.2">
      <c r="A1522" t="str">
        <f>Sheet2!A1522</f>
        <v>LS10</v>
      </c>
      <c r="B1522" t="str">
        <f ca="1">'Query Example'!D1522</f>
        <v>LandPlane</v>
      </c>
      <c r="C1522" s="11" t="str">
        <f>CONCATENATE(Sheet2!F1522,"/",Sheet2!E1522)</f>
        <v>1/Piston</v>
      </c>
      <c r="D1522" t="str">
        <f>CONCATENATE(Sheet2!B1522,", ",Sheet2!C1522)</f>
        <v>DG FLUGZEUGBAU, LS-10ST</v>
      </c>
    </row>
    <row r="1523" spans="1:4" x14ac:dyDescent="0.2">
      <c r="A1523" t="str">
        <f>Sheet2!A1523</f>
        <v>LS2</v>
      </c>
      <c r="B1523" t="str">
        <f ca="1">'Query Example'!D1523</f>
        <v>LandPlane</v>
      </c>
      <c r="C1523" s="11" t="str">
        <f>CONCATENATE(Sheet2!F1523,"/",Sheet2!E1523)</f>
        <v>1/Piston</v>
      </c>
      <c r="D1523" t="str">
        <f>CONCATENATE(Sheet2!B1523,", ",Sheet2!C1523)</f>
        <v>HAT, LS-2</v>
      </c>
    </row>
    <row r="1524" spans="1:4" x14ac:dyDescent="0.2">
      <c r="A1524" t="str">
        <f>Sheet2!A1524</f>
        <v>LS8</v>
      </c>
      <c r="B1524" t="str">
        <f ca="1">'Query Example'!D1524</f>
        <v>LandPlane</v>
      </c>
      <c r="C1524" s="11" t="str">
        <f>CONCATENATE(Sheet2!F1524,"/",Sheet2!E1524)</f>
        <v>1/Piston</v>
      </c>
      <c r="D1524" t="str">
        <f>CONCATENATE(Sheet2!B1524,", ",Sheet2!C1524)</f>
        <v>DG FLUGZEUGBAU, LS-8ST</v>
      </c>
    </row>
    <row r="1525" spans="1:4" x14ac:dyDescent="0.2">
      <c r="A1525" t="str">
        <f>Sheet2!A1525</f>
        <v>LS8</v>
      </c>
      <c r="B1525" t="str">
        <f ca="1">'Query Example'!D1525</f>
        <v>LandPlane</v>
      </c>
      <c r="C1525" s="11" t="str">
        <f>CONCATENATE(Sheet2!F1525,"/",Sheet2!E1525)</f>
        <v>1/Piston</v>
      </c>
      <c r="D1525" t="str">
        <f>CONCATENATE(Sheet2!B1525,", ",Sheet2!C1525)</f>
        <v>ROLLADEN-SCHNEIDER, LS-8T</v>
      </c>
    </row>
    <row r="1526" spans="1:4" x14ac:dyDescent="0.2">
      <c r="A1526" t="str">
        <f>Sheet2!A1526</f>
        <v>LS9</v>
      </c>
      <c r="B1526" t="str">
        <f ca="1">'Query Example'!D1526</f>
        <v>LandPlane</v>
      </c>
      <c r="C1526" s="11" t="str">
        <f>CONCATENATE(Sheet2!F1526,"/",Sheet2!E1526)</f>
        <v>1/Piston</v>
      </c>
      <c r="D1526" t="str">
        <f>CONCATENATE(Sheet2!B1526,", ",Sheet2!C1526)</f>
        <v>ROLLADEN-SCHNEIDER, LS-9</v>
      </c>
    </row>
    <row r="1527" spans="1:4" x14ac:dyDescent="0.2">
      <c r="A1527" t="str">
        <f>Sheet2!A1527</f>
        <v>LSTR</v>
      </c>
      <c r="B1527" t="str">
        <f ca="1">'Query Example'!D1527</f>
        <v>LandPlane</v>
      </c>
      <c r="C1527" s="11" t="str">
        <f>CONCATENATE(Sheet2!F1527,"/",Sheet2!E1527)</f>
        <v>1/Piston</v>
      </c>
      <c r="D1527" t="str">
        <f>CONCATENATE(Sheet2!B1527,", ",Sheet2!C1527)</f>
        <v>CUSTOM FLIGHT, Lite Star</v>
      </c>
    </row>
    <row r="1528" spans="1:4" x14ac:dyDescent="0.2">
      <c r="A1528" t="str">
        <f>Sheet2!A1528</f>
        <v>LTNG</v>
      </c>
      <c r="B1528" t="str">
        <f ca="1">'Query Example'!D1528</f>
        <v>LandPlane</v>
      </c>
      <c r="C1528" s="11" t="str">
        <f>CONCATENATE(Sheet2!F1528,"/",Sheet2!E1528)</f>
        <v>2/Jet</v>
      </c>
      <c r="D1528" t="str">
        <f>CONCATENATE(Sheet2!B1528,", ",Sheet2!C1528)</f>
        <v>ENGLISH ELECTRIC, Lightning</v>
      </c>
    </row>
    <row r="1529" spans="1:4" x14ac:dyDescent="0.2">
      <c r="A1529" t="str">
        <f>Sheet2!A1529</f>
        <v>LUL5</v>
      </c>
      <c r="B1529" t="str">
        <f ca="1">'Query Example'!D1529</f>
        <v>LandPlane</v>
      </c>
      <c r="C1529" s="11" t="str">
        <f>CONCATENATE(Sheet2!F1529,"/",Sheet2!E1529)</f>
        <v>1/Piston</v>
      </c>
      <c r="D1529" t="str">
        <f>CONCATENATE(Sheet2!B1529,", ",Sheet2!C1529)</f>
        <v>LUCAS, L-5</v>
      </c>
    </row>
    <row r="1530" spans="1:4" x14ac:dyDescent="0.2">
      <c r="A1530" t="str">
        <f>Sheet2!A1530</f>
        <v>LUL6</v>
      </c>
      <c r="B1530" t="str">
        <f ca="1">'Query Example'!D1530</f>
        <v>LandPlane</v>
      </c>
      <c r="C1530" s="11" t="str">
        <f>CONCATENATE(Sheet2!F1530,"/",Sheet2!E1530)</f>
        <v>1/Piston</v>
      </c>
      <c r="D1530" t="str">
        <f>CONCATENATE(Sheet2!B1530,", ",Sheet2!C1530)</f>
        <v>LUCAS, L-6</v>
      </c>
    </row>
    <row r="1531" spans="1:4" x14ac:dyDescent="0.2">
      <c r="A1531" t="str">
        <f>Sheet2!A1531</f>
        <v>LUL7</v>
      </c>
      <c r="B1531" t="str">
        <f ca="1">'Query Example'!D1531</f>
        <v>LandPlane</v>
      </c>
      <c r="C1531" s="11" t="str">
        <f>CONCATENATE(Sheet2!F1531,"/",Sheet2!E1531)</f>
        <v>1/Piston</v>
      </c>
      <c r="D1531" t="str">
        <f>CONCATENATE(Sheet2!B1531,", ",Sheet2!C1531)</f>
        <v>LUCAS, L-7</v>
      </c>
    </row>
    <row r="1532" spans="1:4" x14ac:dyDescent="0.2">
      <c r="A1532" t="str">
        <f>Sheet2!A1532</f>
        <v>LUL8</v>
      </c>
      <c r="B1532" t="str">
        <f ca="1">'Query Example'!D1532</f>
        <v>LandPlane</v>
      </c>
      <c r="C1532" s="11" t="str">
        <f>CONCATENATE(Sheet2!F1532,"/",Sheet2!E1532)</f>
        <v>1/Piston</v>
      </c>
      <c r="D1532" t="str">
        <f>CONCATENATE(Sheet2!B1532,", ",Sheet2!C1532)</f>
        <v>LUCAS, L-8</v>
      </c>
    </row>
    <row r="1533" spans="1:4" x14ac:dyDescent="0.2">
      <c r="A1533" t="str">
        <f>Sheet2!A1533</f>
        <v>LV51</v>
      </c>
      <c r="B1533" t="str">
        <f ca="1">'Query Example'!D1533</f>
        <v>LandPlane</v>
      </c>
      <c r="C1533" s="11" t="str">
        <f>CONCATENATE(Sheet2!F1533,"/",Sheet2!E1533)</f>
        <v>1/Piston</v>
      </c>
      <c r="D1533" t="str">
        <f>CONCATENATE(Sheet2!B1533,", ",Sheet2!C1533)</f>
        <v>LAVIASA, LAV-51 Master</v>
      </c>
    </row>
    <row r="1534" spans="1:4" x14ac:dyDescent="0.2">
      <c r="A1534" t="str">
        <f>Sheet2!A1534</f>
        <v>LW20</v>
      </c>
      <c r="B1534" t="str">
        <f ca="1">'Query Example'!D1534</f>
        <v>LandPlane</v>
      </c>
      <c r="C1534" s="11" t="str">
        <f>CONCATENATE(Sheet2!F1534,"/",Sheet2!E1534)</f>
        <v>1/Piston</v>
      </c>
      <c r="D1534" t="str">
        <f>CONCATENATE(Sheet2!B1534,", ",Sheet2!C1534)</f>
        <v>HOWARD HUGHES, Australian LightWing Speed SP-2000</v>
      </c>
    </row>
    <row r="1535" spans="1:4" x14ac:dyDescent="0.2">
      <c r="A1535" t="str">
        <f>Sheet2!A1535</f>
        <v>LW40</v>
      </c>
      <c r="B1535" t="str">
        <f ca="1">'Query Example'!D1535</f>
        <v>LandPlane</v>
      </c>
      <c r="C1535" s="11" t="str">
        <f>CONCATENATE(Sheet2!F1535,"/",Sheet2!E1535)</f>
        <v>1/Piston</v>
      </c>
      <c r="D1535" t="str">
        <f>CONCATENATE(Sheet2!B1535,", ",Sheet2!C1535)</f>
        <v>HOWARD HUGHES, Australian LightWing Speed SP-4000</v>
      </c>
    </row>
    <row r="1536" spans="1:4" x14ac:dyDescent="0.2">
      <c r="A1536" t="str">
        <f>Sheet2!A1536</f>
        <v>LWIN</v>
      </c>
      <c r="B1536" t="str">
        <f ca="1">'Query Example'!D1536</f>
        <v>LandPlane</v>
      </c>
      <c r="C1536" s="11" t="str">
        <f>CONCATENATE(Sheet2!F1536,"/",Sheet2!E1536)</f>
        <v>1/Piston</v>
      </c>
      <c r="D1536" t="str">
        <f>CONCATENATE(Sheet2!B1536,", ",Sheet2!C1536)</f>
        <v>HOWARD HUGHES, Australian LightWing   GR-912</v>
      </c>
    </row>
    <row r="1537" spans="1:4" x14ac:dyDescent="0.2">
      <c r="A1537" t="str">
        <f>Sheet2!A1537</f>
        <v>LX32</v>
      </c>
      <c r="B1537" t="str">
        <f ca="1">'Query Example'!D1537</f>
        <v>LandPlane</v>
      </c>
      <c r="C1537" s="11" t="str">
        <f>CONCATENATE(Sheet2!F1537,"/",Sheet2!E1537)</f>
        <v>1/Piston</v>
      </c>
      <c r="D1537" t="str">
        <f>CONCATENATE(Sheet2!B1537,", ",Sheet2!C1537)</f>
        <v>LILIENTHAL, X-32 Bekas</v>
      </c>
    </row>
    <row r="1538" spans="1:4" x14ac:dyDescent="0.2">
      <c r="A1538" t="str">
        <f>Sheet2!A1538</f>
        <v>LX34</v>
      </c>
      <c r="B1538" t="str">
        <f ca="1">'Query Example'!D1538</f>
        <v>LandPlane</v>
      </c>
      <c r="C1538" s="11" t="str">
        <f>CONCATENATE(Sheet2!F1538,"/",Sheet2!E1538)</f>
        <v>1/Piston</v>
      </c>
      <c r="D1538" t="str">
        <f>CONCATENATE(Sheet2!B1538,", ",Sheet2!C1538)</f>
        <v>LILIENTHAL, X-34 Bekas</v>
      </c>
    </row>
    <row r="1539" spans="1:4" x14ac:dyDescent="0.2">
      <c r="A1539" t="str">
        <f>Sheet2!A1539</f>
        <v>LXR</v>
      </c>
      <c r="B1539" t="str">
        <f ca="1">'Query Example'!D1539</f>
        <v>LandPlane</v>
      </c>
      <c r="C1539" s="11" t="str">
        <f>CONCATENATE(Sheet2!F1539,"/",Sheet2!E1539)</f>
        <v>1/Piston</v>
      </c>
      <c r="D1539" t="str">
        <f>CONCATENATE(Sheet2!B1539,", ",Sheet2!C1539)</f>
        <v>ELIXIR, Elixir</v>
      </c>
    </row>
    <row r="1540" spans="1:4" x14ac:dyDescent="0.2">
      <c r="A1540" t="str">
        <f>Sheet2!A1540</f>
        <v>LYNX</v>
      </c>
      <c r="B1540" t="str">
        <f ca="1">'Query Example'!D1540</f>
        <v>Helicopter</v>
      </c>
      <c r="C1540" s="11" t="str">
        <f>CONCATENATE(Sheet2!F1540,"/",Sheet2!E1540)</f>
        <v>2/Turboprop/Turboshaft</v>
      </c>
      <c r="D1540" t="str">
        <f>CONCATENATE(Sheet2!B1540,", ",Sheet2!C1540)</f>
        <v>LEONARDO, AW-159 Wildcat</v>
      </c>
    </row>
    <row r="1541" spans="1:4" x14ac:dyDescent="0.2">
      <c r="A1541" t="str">
        <f>Sheet2!A1541</f>
        <v>LYSA</v>
      </c>
      <c r="B1541" t="str">
        <f ca="1">'Query Example'!D1541</f>
        <v>LandPlane</v>
      </c>
      <c r="C1541" s="11" t="str">
        <f>CONCATENATE(Sheet2!F1541,"/",Sheet2!E1541)</f>
        <v>1/Piston</v>
      </c>
      <c r="D1541" t="str">
        <f>CONCATENATE(Sheet2!B1541,", ",Sheet2!C1541)</f>
        <v>WESTLAND, Lysander</v>
      </c>
    </row>
    <row r="1542" spans="1:4" x14ac:dyDescent="0.2">
      <c r="A1542" t="str">
        <f>Sheet2!A1542</f>
        <v>M10</v>
      </c>
      <c r="B1542" t="str">
        <f ca="1">'Query Example'!D1542</f>
        <v>LandPlane</v>
      </c>
      <c r="C1542" s="11" t="str">
        <f>CONCATENATE(Sheet2!F1542,"/",Sheet2!E1542)</f>
        <v>1/Piston</v>
      </c>
      <c r="D1542" t="str">
        <f>CONCATENATE(Sheet2!B1542,", ",Sheet2!C1542)</f>
        <v>MOONEY, M-10 Cadet</v>
      </c>
    </row>
    <row r="1543" spans="1:4" x14ac:dyDescent="0.2">
      <c r="A1543" t="str">
        <f>Sheet2!A1543</f>
        <v>M101</v>
      </c>
      <c r="B1543" t="str">
        <f ca="1">'Query Example'!D1543</f>
        <v>LandPlane</v>
      </c>
      <c r="C1543" s="11" t="str">
        <f>CONCATENATE(Sheet2!F1543,"/",Sheet2!E1543)</f>
        <v>1/Turboprop/Turboshaft</v>
      </c>
      <c r="D1543" t="str">
        <f>CONCATENATE(Sheet2!B1543,", ",Sheet2!C1543)</f>
        <v>MYASISHCHEV, M-101 Expedition</v>
      </c>
    </row>
    <row r="1544" spans="1:4" x14ac:dyDescent="0.2">
      <c r="A1544" t="str">
        <f>Sheet2!A1544</f>
        <v>M106</v>
      </c>
      <c r="B1544" t="str">
        <f ca="1">'Query Example'!D1544</f>
        <v>LandPlane</v>
      </c>
      <c r="C1544" s="11" t="str">
        <f>CONCATENATE(Sheet2!F1544,"/",Sheet2!E1544)</f>
        <v>1/Piston</v>
      </c>
      <c r="D1544" t="str">
        <f>CONCATENATE(Sheet2!B1544,", ",Sheet2!C1544)</f>
        <v>LAMBERT, M-106 Mission</v>
      </c>
    </row>
    <row r="1545" spans="1:4" x14ac:dyDescent="0.2">
      <c r="A1545" t="str">
        <f>Sheet2!A1545</f>
        <v>M108</v>
      </c>
      <c r="B1545" t="str">
        <f ca="1">'Query Example'!D1545</f>
        <v>LandPlane</v>
      </c>
      <c r="C1545" s="11" t="str">
        <f>CONCATENATE(Sheet2!F1545,"/",Sheet2!E1545)</f>
        <v>1/Piston</v>
      </c>
      <c r="D1545" t="str">
        <f>CONCATENATE(Sheet2!B1545,", ",Sheet2!C1545)</f>
        <v>LAMBERT, M-108 Mission</v>
      </c>
    </row>
    <row r="1546" spans="1:4" x14ac:dyDescent="0.2">
      <c r="A1546" t="str">
        <f>Sheet2!A1546</f>
        <v>M10F</v>
      </c>
      <c r="B1546" t="str">
        <f ca="1">'Query Example'!D1546</f>
        <v>LandPlane</v>
      </c>
      <c r="C1546" s="11" t="str">
        <f>CONCATENATE(Sheet2!F1546,"/",Sheet2!E1546)</f>
        <v>1/Piston</v>
      </c>
      <c r="D1546" t="str">
        <f>CONCATENATE(Sheet2!B1546,", ",Sheet2!C1546)</f>
        <v>MOONEY, M-10T</v>
      </c>
    </row>
    <row r="1547" spans="1:4" x14ac:dyDescent="0.2">
      <c r="A1547" t="str">
        <f>Sheet2!A1547</f>
        <v>M10R</v>
      </c>
      <c r="B1547" t="str">
        <f ca="1">'Query Example'!D1547</f>
        <v>LandPlane</v>
      </c>
      <c r="C1547" s="11" t="str">
        <f>CONCATENATE(Sheet2!F1547,"/",Sheet2!E1547)</f>
        <v>1/Piston</v>
      </c>
      <c r="D1547" t="str">
        <f>CONCATENATE(Sheet2!B1547,", ",Sheet2!C1547)</f>
        <v>MOONEY, M-10J</v>
      </c>
    </row>
    <row r="1548" spans="1:4" x14ac:dyDescent="0.2">
      <c r="A1548" t="str">
        <f>Sheet2!A1548</f>
        <v>M110</v>
      </c>
      <c r="B1548" t="str">
        <f ca="1">'Query Example'!D1548</f>
        <v>LandPlane</v>
      </c>
      <c r="C1548" s="11" t="str">
        <f>CONCATENATE(Sheet2!F1548,"/",Sheet2!E1548)</f>
        <v>1/Piston</v>
      </c>
      <c r="D1548" t="str">
        <f>CONCATENATE(Sheet2!B1548,", ",Sheet2!C1548)</f>
        <v>MONOCOUPE, 110 Special</v>
      </c>
    </row>
    <row r="1549" spans="1:4" x14ac:dyDescent="0.2">
      <c r="A1549" t="str">
        <f>Sheet2!A1549</f>
        <v>M15</v>
      </c>
      <c r="B1549" t="str">
        <f ca="1">'Query Example'!D1549</f>
        <v>LandPlane</v>
      </c>
      <c r="C1549" s="11" t="str">
        <f>CONCATENATE(Sheet2!F1549,"/",Sheet2!E1549)</f>
        <v>1/Jet</v>
      </c>
      <c r="D1549" t="str">
        <f>CONCATENATE(Sheet2!B1549,", ",Sheet2!C1549)</f>
        <v>PZL-MIELEC, M-15 Belphegor</v>
      </c>
    </row>
    <row r="1550" spans="1:4" x14ac:dyDescent="0.2">
      <c r="A1550" t="str">
        <f>Sheet2!A1550</f>
        <v>M17</v>
      </c>
      <c r="B1550" t="str">
        <f ca="1">'Query Example'!D1550</f>
        <v>LandPlane</v>
      </c>
      <c r="C1550" s="11" t="str">
        <f>CONCATENATE(Sheet2!F1550,"/",Sheet2!E1550)</f>
        <v>1/Jet</v>
      </c>
      <c r="D1550" t="str">
        <f>CONCATENATE(Sheet2!B1550,", ",Sheet2!C1550)</f>
        <v>MYASISHCHEV, M-17 Stratosfera</v>
      </c>
    </row>
    <row r="1551" spans="1:4" x14ac:dyDescent="0.2">
      <c r="A1551" t="str">
        <f>Sheet2!A1551</f>
        <v>M18</v>
      </c>
      <c r="B1551" t="str">
        <f ca="1">'Query Example'!D1551</f>
        <v>LandPlane</v>
      </c>
      <c r="C1551" s="11" t="str">
        <f>CONCATENATE(Sheet2!F1551,"/",Sheet2!E1551)</f>
        <v>1/Piston</v>
      </c>
      <c r="D1551" t="str">
        <f>CONCATENATE(Sheet2!B1551,", ",Sheet2!C1551)</f>
        <v>PZL-MIELEC, M-18 Dromader</v>
      </c>
    </row>
    <row r="1552" spans="1:4" x14ac:dyDescent="0.2">
      <c r="A1552" t="str">
        <f>Sheet2!A1552</f>
        <v>M18T</v>
      </c>
      <c r="B1552" t="str">
        <f ca="1">'Query Example'!D1552</f>
        <v>LandPlane</v>
      </c>
      <c r="C1552" s="11" t="str">
        <f>CONCATENATE(Sheet2!F1552,"/",Sheet2!E1552)</f>
        <v>1/Turboprop/Turboshaft</v>
      </c>
      <c r="D1552" t="str">
        <f>CONCATENATE(Sheet2!B1552,", ",Sheet2!C1552)</f>
        <v>PZL-MIELEC, M-18 Turbine Dromader</v>
      </c>
    </row>
    <row r="1553" spans="1:4" x14ac:dyDescent="0.2">
      <c r="A1553" t="str">
        <f>Sheet2!A1553</f>
        <v>M2</v>
      </c>
      <c r="B1553" t="str">
        <f ca="1">'Query Example'!D1553</f>
        <v>LandPlane</v>
      </c>
      <c r="C1553" s="11" t="str">
        <f>CONCATENATE(Sheet2!F1553,"/",Sheet2!E1553)</f>
        <v>1/Piston</v>
      </c>
      <c r="D1553" t="str">
        <f>CONCATENATE(Sheet2!B1553,", ",Sheet2!C1553)</f>
        <v>KUBICEK, M-2 Scout</v>
      </c>
    </row>
    <row r="1554" spans="1:4" x14ac:dyDescent="0.2">
      <c r="A1554" t="str">
        <f>Sheet2!A1554</f>
        <v>M200</v>
      </c>
      <c r="B1554" t="str">
        <f ca="1">'Query Example'!D1554</f>
        <v>LandPlane</v>
      </c>
      <c r="C1554" s="11" t="str">
        <f>CONCATENATE(Sheet2!F1554,"/",Sheet2!E1554)</f>
        <v>1/Piston</v>
      </c>
      <c r="D1554" t="str">
        <f>CONCATENATE(Sheet2!B1554,", ",Sheet2!C1554)</f>
        <v>MEYERS, 200</v>
      </c>
    </row>
    <row r="1555" spans="1:4" x14ac:dyDescent="0.2">
      <c r="A1555" t="str">
        <f>Sheet2!A1555</f>
        <v>M20P</v>
      </c>
      <c r="B1555" t="str">
        <f ca="1">'Query Example'!D1555</f>
        <v>LandPlane</v>
      </c>
      <c r="C1555" s="11" t="str">
        <f>CONCATENATE(Sheet2!F1555,"/",Sheet2!E1555)</f>
        <v>1/Piston</v>
      </c>
      <c r="D1555" t="str">
        <f>CONCATENATE(Sheet2!B1555,", ",Sheet2!C1555)</f>
        <v>MOONEY, M-20</v>
      </c>
    </row>
    <row r="1556" spans="1:4" x14ac:dyDescent="0.2">
      <c r="A1556" t="str">
        <f>Sheet2!A1556</f>
        <v>M20T</v>
      </c>
      <c r="B1556" t="str">
        <f ca="1">'Query Example'!D1556</f>
        <v>LandPlane</v>
      </c>
      <c r="C1556" s="11" t="str">
        <f>CONCATENATE(Sheet2!F1556,"/",Sheet2!E1556)</f>
        <v>1/Piston</v>
      </c>
      <c r="D1556" t="str">
        <f>CONCATENATE(Sheet2!B1556,", ",Sheet2!C1556)</f>
        <v>MOONEY, M-20M Bravo</v>
      </c>
    </row>
    <row r="1557" spans="1:4" x14ac:dyDescent="0.2">
      <c r="A1557" t="str">
        <f>Sheet2!A1557</f>
        <v>M21</v>
      </c>
      <c r="B1557" t="str">
        <f ca="1">'Query Example'!D1557</f>
        <v>LandPlane</v>
      </c>
      <c r="C1557" s="11" t="str">
        <f>CONCATENATE(Sheet2!F1557,"/",Sheet2!E1557)</f>
        <v>1/Piston</v>
      </c>
      <c r="D1557" t="str">
        <f>CONCATENATE(Sheet2!B1557,", ",Sheet2!C1557)</f>
        <v>PZL-MIELEC, M-21 Dromader Mini</v>
      </c>
    </row>
    <row r="1558" spans="1:4" x14ac:dyDescent="0.2">
      <c r="A1558" t="str">
        <f>Sheet2!A1558</f>
        <v>M212</v>
      </c>
      <c r="B1558" t="str">
        <f ca="1">'Query Example'!D1558</f>
        <v>LandPlane</v>
      </c>
      <c r="C1558" s="11" t="str">
        <f>CONCATENATE(Sheet2!F1558,"/",Sheet2!E1558)</f>
        <v>1/Piston</v>
      </c>
      <c r="D1558" t="str">
        <f>CONCATENATE(Sheet2!B1558,", ",Sheet2!C1558)</f>
        <v>LAMBERT, M-212 Mission</v>
      </c>
    </row>
    <row r="1559" spans="1:4" x14ac:dyDescent="0.2">
      <c r="A1559" t="str">
        <f>Sheet2!A1559</f>
        <v>M22</v>
      </c>
      <c r="B1559" t="str">
        <f ca="1">'Query Example'!D1559</f>
        <v>LandPlane</v>
      </c>
      <c r="C1559" s="11" t="str">
        <f>CONCATENATE(Sheet2!F1559,"/",Sheet2!E1559)</f>
        <v>1/Piston</v>
      </c>
      <c r="D1559" t="str">
        <f>CONCATENATE(Sheet2!B1559,", ",Sheet2!C1559)</f>
        <v>MOONEY, M-22 Mustang</v>
      </c>
    </row>
    <row r="1560" spans="1:4" x14ac:dyDescent="0.2">
      <c r="A1560" t="str">
        <f>Sheet2!A1560</f>
        <v>M24</v>
      </c>
      <c r="B1560" t="str">
        <f ca="1">'Query Example'!D1560</f>
        <v>LandPlane</v>
      </c>
      <c r="C1560" s="11" t="str">
        <f>CONCATENATE(Sheet2!F1560,"/",Sheet2!E1560)</f>
        <v>1/Piston</v>
      </c>
      <c r="D1560" t="str">
        <f>CONCATENATE(Sheet2!B1560,", ",Sheet2!C1560)</f>
        <v>PZL-MIELEC, M-24 Dromader Super</v>
      </c>
    </row>
    <row r="1561" spans="1:4" x14ac:dyDescent="0.2">
      <c r="A1561" t="str">
        <f>Sheet2!A1561</f>
        <v>M26</v>
      </c>
      <c r="B1561" t="str">
        <f ca="1">'Query Example'!D1561</f>
        <v>LandPlane</v>
      </c>
      <c r="C1561" s="11" t="str">
        <f>CONCATENATE(Sheet2!F1561,"/",Sheet2!E1561)</f>
        <v>1/Piston</v>
      </c>
      <c r="D1561" t="str">
        <f>CONCATENATE(Sheet2!B1561,", ",Sheet2!C1561)</f>
        <v>PZL-MIELEC, M-26 Iskierka</v>
      </c>
    </row>
    <row r="1562" spans="1:4" x14ac:dyDescent="0.2">
      <c r="A1562" t="str">
        <f>Sheet2!A1562</f>
        <v>M28</v>
      </c>
      <c r="B1562" t="str">
        <f ca="1">'Query Example'!D1562</f>
        <v>LandPlane</v>
      </c>
      <c r="C1562" s="11" t="str">
        <f>CONCATENATE(Sheet2!F1562,"/",Sheet2!E1562)</f>
        <v>2/Turboprop/Turboshaft</v>
      </c>
      <c r="D1562" t="str">
        <f>CONCATENATE(Sheet2!B1562,", ",Sheet2!C1562)</f>
        <v>PZL-MIELEC, M-28 Skytruck</v>
      </c>
    </row>
    <row r="1563" spans="1:4" x14ac:dyDescent="0.2">
      <c r="A1563" t="str">
        <f>Sheet2!A1563</f>
        <v>M2HK</v>
      </c>
      <c r="B1563" t="str">
        <f ca="1">'Query Example'!D1563</f>
        <v>LandPlane</v>
      </c>
      <c r="C1563" s="11" t="str">
        <f>CONCATENATE(Sheet2!F1563,"/",Sheet2!E1563)</f>
        <v>1/Piston</v>
      </c>
      <c r="D1563" t="str">
        <f>CONCATENATE(Sheet2!B1563,", ",Sheet2!C1563)</f>
        <v>MILES, M-2 Hawk Major</v>
      </c>
    </row>
    <row r="1564" spans="1:4" x14ac:dyDescent="0.2">
      <c r="A1564" t="str">
        <f>Sheet2!A1564</f>
        <v>M2HK</v>
      </c>
      <c r="B1564" t="str">
        <f ca="1">'Query Example'!D1564</f>
        <v>LandPlane</v>
      </c>
      <c r="C1564" s="11" t="str">
        <f>CONCATENATE(Sheet2!F1564,"/",Sheet2!E1564)</f>
        <v>1/Piston</v>
      </c>
      <c r="D1564" t="str">
        <f>CONCATENATE(Sheet2!B1564,", ",Sheet2!C1564)</f>
        <v>MILES, M-2 Hawk Speed Six</v>
      </c>
    </row>
    <row r="1565" spans="1:4" x14ac:dyDescent="0.2">
      <c r="A1565" t="str">
        <f>Sheet2!A1565</f>
        <v>M308</v>
      </c>
      <c r="B1565" t="str">
        <f ca="1">'Query Example'!D1565</f>
        <v>LandPlane</v>
      </c>
      <c r="C1565" s="11" t="str">
        <f>CONCATENATE(Sheet2!F1565,"/",Sheet2!E1565)</f>
        <v>1/Piston</v>
      </c>
      <c r="D1565" t="str">
        <f>CONCATENATE(Sheet2!B1565,", ",Sheet2!C1565)</f>
        <v>MACCHI, MB-308</v>
      </c>
    </row>
    <row r="1566" spans="1:4" x14ac:dyDescent="0.2">
      <c r="A1566" t="str">
        <f>Sheet2!A1566</f>
        <v>M326</v>
      </c>
      <c r="B1566" t="str">
        <f ca="1">'Query Example'!D1566</f>
        <v>LandPlane</v>
      </c>
      <c r="C1566" s="11" t="str">
        <f>CONCATENATE(Sheet2!F1566,"/",Sheet2!E1566)</f>
        <v>1/Jet</v>
      </c>
      <c r="D1566" t="str">
        <f>CONCATENATE(Sheet2!B1566,", ",Sheet2!C1566)</f>
        <v>AERMACCHI, MB-326</v>
      </c>
    </row>
    <row r="1567" spans="1:4" x14ac:dyDescent="0.2">
      <c r="A1567" t="str">
        <f>Sheet2!A1567</f>
        <v>M339</v>
      </c>
      <c r="B1567" t="str">
        <f ca="1">'Query Example'!D1567</f>
        <v>LandPlane</v>
      </c>
      <c r="C1567" s="11" t="str">
        <f>CONCATENATE(Sheet2!F1567,"/",Sheet2!E1567)</f>
        <v>1/Jet</v>
      </c>
      <c r="D1567" t="str">
        <f>CONCATENATE(Sheet2!B1567,", ",Sheet2!C1567)</f>
        <v>AERMACCHI, MB-339</v>
      </c>
    </row>
    <row r="1568" spans="1:4" x14ac:dyDescent="0.2">
      <c r="A1568" t="str">
        <f>Sheet2!A1568</f>
        <v>M345</v>
      </c>
      <c r="B1568" t="str">
        <f ca="1">'Query Example'!D1568</f>
        <v>LandPlane</v>
      </c>
      <c r="C1568" s="11" t="str">
        <f>CONCATENATE(Sheet2!F1568,"/",Sheet2!E1568)</f>
        <v>1/Jet</v>
      </c>
      <c r="D1568" t="str">
        <f>CONCATENATE(Sheet2!B1568,", ",Sheet2!C1568)</f>
        <v>SIAI-MARCHETTI, M-345</v>
      </c>
    </row>
    <row r="1569" spans="1:4" x14ac:dyDescent="0.2">
      <c r="A1569" t="str">
        <f>Sheet2!A1569</f>
        <v>M360</v>
      </c>
      <c r="B1569" t="str">
        <f ca="1">'Query Example'!D1569</f>
        <v>LandPlane</v>
      </c>
      <c r="C1569" s="11" t="str">
        <f>CONCATENATE(Sheet2!F1569,"/",Sheet2!E1569)</f>
        <v>1/Piston</v>
      </c>
      <c r="D1569" t="str">
        <f>CONCATENATE(Sheet2!B1569,", ",Sheet2!C1569)</f>
        <v>AIRCRAFT TECHNOLOGIES, Meyer-360</v>
      </c>
    </row>
    <row r="1570" spans="1:4" x14ac:dyDescent="0.2">
      <c r="A1570" t="str">
        <f>Sheet2!A1570</f>
        <v>M36J</v>
      </c>
      <c r="B1570" t="str">
        <f ca="1">'Query Example'!D1570</f>
        <v>LandPlane</v>
      </c>
      <c r="C1570" s="11" t="str">
        <f>CONCATENATE(Sheet2!F1570,"/",Sheet2!E1570)</f>
        <v>2/Piston</v>
      </c>
      <c r="D1570" t="str">
        <f>CONCATENATE(Sheet2!B1570,", ",Sheet2!C1570)</f>
        <v>MATRA, M-360 Jupiter</v>
      </c>
    </row>
    <row r="1571" spans="1:4" x14ac:dyDescent="0.2">
      <c r="A1571" t="str">
        <f>Sheet2!A1571</f>
        <v>M4</v>
      </c>
      <c r="B1571" t="str">
        <f ca="1">'Query Example'!D1571</f>
        <v>LandPlane</v>
      </c>
      <c r="C1571" s="11" t="str">
        <f>CONCATENATE(Sheet2!F1571,"/",Sheet2!E1571)</f>
        <v>1/Piston</v>
      </c>
      <c r="D1571" t="str">
        <f>CONCATENATE(Sheet2!B1571,", ",Sheet2!C1571)</f>
        <v>MAULE, M-4 Astro Rocket</v>
      </c>
    </row>
    <row r="1572" spans="1:4" x14ac:dyDescent="0.2">
      <c r="A1572" t="str">
        <f>Sheet2!A1572</f>
        <v>M404</v>
      </c>
      <c r="B1572" t="str">
        <f ca="1">'Query Example'!D1572</f>
        <v>LandPlane</v>
      </c>
      <c r="C1572" s="11" t="str">
        <f>CONCATENATE(Sheet2!F1572,"/",Sheet2!E1572)</f>
        <v>2/Piston</v>
      </c>
      <c r="D1572" t="str">
        <f>CONCATENATE(Sheet2!B1572,", ",Sheet2!C1572)</f>
        <v>MARTIN, 404</v>
      </c>
    </row>
    <row r="1573" spans="1:4" x14ac:dyDescent="0.2">
      <c r="A1573" t="str">
        <f>Sheet2!A1573</f>
        <v>M5</v>
      </c>
      <c r="B1573" t="str">
        <f ca="1">'Query Example'!D1573</f>
        <v>LandPlane</v>
      </c>
      <c r="C1573" s="11" t="str">
        <f>CONCATENATE(Sheet2!F1573,"/",Sheet2!E1573)</f>
        <v>1/Piston</v>
      </c>
      <c r="D1573" t="str">
        <f>CONCATENATE(Sheet2!B1573,", ",Sheet2!C1573)</f>
        <v>MAULE, M-5 Lunar Rocket</v>
      </c>
    </row>
    <row r="1574" spans="1:4" x14ac:dyDescent="0.2">
      <c r="A1574" t="str">
        <f>Sheet2!A1574</f>
        <v>M55</v>
      </c>
      <c r="B1574" t="str">
        <f ca="1">'Query Example'!D1574</f>
        <v>LandPlane</v>
      </c>
      <c r="C1574" s="11" t="str">
        <f>CONCATENATE(Sheet2!F1574,"/",Sheet2!E1574)</f>
        <v>2/Jet</v>
      </c>
      <c r="D1574" t="str">
        <f>CONCATENATE(Sheet2!B1574,", ",Sheet2!C1574)</f>
        <v>MYASISHCHEV, M-55 Geophysica</v>
      </c>
    </row>
    <row r="1575" spans="1:4" x14ac:dyDescent="0.2">
      <c r="A1575" t="str">
        <f>Sheet2!A1575</f>
        <v>M6</v>
      </c>
      <c r="B1575" t="str">
        <f ca="1">'Query Example'!D1575</f>
        <v>LandPlane</v>
      </c>
      <c r="C1575" s="11" t="str">
        <f>CONCATENATE(Sheet2!F1575,"/",Sheet2!E1575)</f>
        <v>1/Piston</v>
      </c>
      <c r="D1575" t="str">
        <f>CONCATENATE(Sheet2!B1575,", ",Sheet2!C1575)</f>
        <v>MAULE, M-6 Super Rocket</v>
      </c>
    </row>
    <row r="1576" spans="1:4" x14ac:dyDescent="0.2">
      <c r="A1576" t="str">
        <f>Sheet2!A1576</f>
        <v>M600</v>
      </c>
      <c r="B1576" t="str">
        <f ca="1">'Query Example'!D1576</f>
        <v>LandPlane</v>
      </c>
      <c r="C1576" s="11" t="str">
        <f>CONCATENATE(Sheet2!F1576,"/",Sheet2!E1576)</f>
        <v>1/Turboprop/Turboshaft</v>
      </c>
      <c r="D1576" t="str">
        <f>CONCATENATE(Sheet2!B1576,", ",Sheet2!C1576)</f>
        <v>PIPER, PA-46-600TP M600</v>
      </c>
    </row>
    <row r="1577" spans="1:4" x14ac:dyDescent="0.2">
      <c r="A1577" t="str">
        <f>Sheet2!A1577</f>
        <v>M7</v>
      </c>
      <c r="B1577" t="str">
        <f ca="1">'Query Example'!D1577</f>
        <v>LandPlane</v>
      </c>
      <c r="C1577" s="11" t="str">
        <f>CONCATENATE(Sheet2!F1577,"/",Sheet2!E1577)</f>
        <v>1/Piston</v>
      </c>
      <c r="D1577" t="str">
        <f>CONCATENATE(Sheet2!B1577,", ",Sheet2!C1577)</f>
        <v>MAULE, MX-7-180 Star Rocket</v>
      </c>
    </row>
    <row r="1578" spans="1:4" x14ac:dyDescent="0.2">
      <c r="A1578" t="str">
        <f>Sheet2!A1578</f>
        <v>M74</v>
      </c>
      <c r="B1578" t="str">
        <f ca="1">'Query Example'!D1578</f>
        <v>Helicopter</v>
      </c>
      <c r="C1578" s="11" t="str">
        <f>CONCATENATE(Sheet2!F1578,"/",Sheet2!E1578)</f>
        <v>1/Piston</v>
      </c>
      <c r="D1578" t="str">
        <f>CONCATENATE(Sheet2!B1578,", ",Sheet2!C1578)</f>
        <v>TEXAS HELICOPTER, M-74 Wasp</v>
      </c>
    </row>
    <row r="1579" spans="1:4" x14ac:dyDescent="0.2">
      <c r="A1579" t="str">
        <f>Sheet2!A1579</f>
        <v>M7T</v>
      </c>
      <c r="B1579" t="str">
        <f ca="1">'Query Example'!D1579</f>
        <v>LandPlane</v>
      </c>
      <c r="C1579" s="11" t="str">
        <f>CONCATENATE(Sheet2!F1579,"/",Sheet2!E1579)</f>
        <v>1/Turboprop/Turboshaft</v>
      </c>
      <c r="D1579" t="str">
        <f>CONCATENATE(Sheet2!B1579,", ",Sheet2!C1579)</f>
        <v>MAULE, MX-7-420 Star Craft</v>
      </c>
    </row>
    <row r="1580" spans="1:4" x14ac:dyDescent="0.2">
      <c r="A1580" t="str">
        <f>Sheet2!A1580</f>
        <v>M8</v>
      </c>
      <c r="B1580" t="str">
        <f ca="1">'Query Example'!D1580</f>
        <v>LandPlane</v>
      </c>
      <c r="C1580" s="11" t="str">
        <f>CONCATENATE(Sheet2!F1580,"/",Sheet2!E1580)</f>
        <v>1/Piston</v>
      </c>
      <c r="D1580" t="str">
        <f>CONCATENATE(Sheet2!B1580,", ",Sheet2!C1580)</f>
        <v>MAULE, M-8</v>
      </c>
    </row>
    <row r="1581" spans="1:4" x14ac:dyDescent="0.2">
      <c r="A1581" t="str">
        <f>Sheet2!A1581</f>
        <v>M9</v>
      </c>
      <c r="B1581" t="str">
        <f ca="1">'Query Example'!D1581</f>
        <v>LandPlane</v>
      </c>
      <c r="C1581" s="11" t="str">
        <f>CONCATENATE(Sheet2!F1581,"/",Sheet2!E1581)</f>
        <v>1/Piston</v>
      </c>
      <c r="D1581" t="str">
        <f>CONCATENATE(Sheet2!B1581,", ",Sheet2!C1581)</f>
        <v>MAULE, M-9</v>
      </c>
    </row>
    <row r="1582" spans="1:4" x14ac:dyDescent="0.2">
      <c r="A1582" t="str">
        <f>Sheet2!A1582</f>
        <v>MA1</v>
      </c>
      <c r="B1582" t="str">
        <f ca="1">'Query Example'!D1582</f>
        <v>LandPlane</v>
      </c>
      <c r="C1582" s="11" t="str">
        <f>CONCATENATE(Sheet2!F1582,"/",Sheet2!E1582)</f>
        <v>1/Piston</v>
      </c>
      <c r="D1582" t="str">
        <f>CONCATENATE(Sheet2!B1582,", ",Sheet2!C1582)</f>
        <v>EMAIR, MA-1 Paymaster</v>
      </c>
    </row>
    <row r="1583" spans="1:4" x14ac:dyDescent="0.2">
      <c r="A1583" t="str">
        <f>Sheet2!A1583</f>
        <v>MA5</v>
      </c>
      <c r="B1583" t="str">
        <f ca="1">'Query Example'!D1583</f>
        <v>LandPlane</v>
      </c>
      <c r="C1583" s="11" t="str">
        <f>CONCATENATE(Sheet2!F1583,"/",Sheet2!E1583)</f>
        <v>1/Piston</v>
      </c>
      <c r="D1583" t="str">
        <f>CONCATENATE(Sheet2!B1583,", ",Sheet2!C1583)</f>
        <v>MARQUART, MA-5 Charger</v>
      </c>
    </row>
    <row r="1584" spans="1:4" x14ac:dyDescent="0.2">
      <c r="A1584" t="str">
        <f>Sheet2!A1584</f>
        <v>MA60</v>
      </c>
      <c r="B1584" t="str">
        <f ca="1">'Query Example'!D1584</f>
        <v>LandPlane</v>
      </c>
      <c r="C1584" s="11" t="str">
        <f>CONCATENATE(Sheet2!F1584,"/",Sheet2!E1584)</f>
        <v>2/Turboprop/Turboshaft</v>
      </c>
      <c r="D1584" t="str">
        <f>CONCATENATE(Sheet2!B1584,", ",Sheet2!C1584)</f>
        <v>XIAN, MA-60</v>
      </c>
    </row>
    <row r="1585" spans="1:4" x14ac:dyDescent="0.2">
      <c r="A1585" t="str">
        <f>Sheet2!A1585</f>
        <v>MA6H</v>
      </c>
      <c r="B1585" t="str">
        <f ca="1">'Query Example'!D1585</f>
        <v>LandPlane</v>
      </c>
      <c r="C1585" s="11" t="str">
        <f>CONCATENATE(Sheet2!F1585,"/",Sheet2!E1585)</f>
        <v>2/Turboprop/Turboshaft</v>
      </c>
      <c r="D1585" t="str">
        <f>CONCATENATE(Sheet2!B1585,", ",Sheet2!C1585)</f>
        <v>XIAN, MA-60H</v>
      </c>
    </row>
    <row r="1586" spans="1:4" x14ac:dyDescent="0.2">
      <c r="A1586" t="str">
        <f>Sheet2!A1586</f>
        <v>MAGC</v>
      </c>
      <c r="B1586" t="str">
        <f ca="1">'Query Example'!D1586</f>
        <v>LandPlane</v>
      </c>
      <c r="C1586" s="11" t="str">
        <f>CONCATENATE(Sheet2!F1586,"/",Sheet2!E1586)</f>
        <v>1/Piston</v>
      </c>
      <c r="D1586" t="str">
        <f>CONCATENATE(Sheet2!B1586,", ",Sheet2!C1586)</f>
        <v>EAGLE AVIATION, EA-100</v>
      </c>
    </row>
    <row r="1587" spans="1:4" x14ac:dyDescent="0.2">
      <c r="A1587" t="str">
        <f>Sheet2!A1587</f>
        <v>MAGI</v>
      </c>
      <c r="B1587" t="str">
        <f ca="1">'Query Example'!D1587</f>
        <v>LandPlane</v>
      </c>
      <c r="C1587" s="11" t="str">
        <f>CONCATENATE(Sheet2!F1587,"/",Sheet2!E1587)</f>
        <v>1/Piston</v>
      </c>
      <c r="D1587" t="str">
        <f>CONCATENATE(Sheet2!B1587,", ",Sheet2!C1587)</f>
        <v>MILES, M-14 Magister</v>
      </c>
    </row>
    <row r="1588" spans="1:4" x14ac:dyDescent="0.2">
      <c r="A1588" t="str">
        <f>Sheet2!A1588</f>
        <v>MAGN</v>
      </c>
      <c r="B1588" t="str">
        <f ca="1">'Query Example'!D1588</f>
        <v>LandPlane</v>
      </c>
      <c r="C1588" s="11" t="str">
        <f>CONCATENATE(Sheet2!F1588,"/",Sheet2!E1588)</f>
        <v>1/Piston</v>
      </c>
      <c r="D1588" t="str">
        <f>CONCATENATE(Sheet2!B1588,", ",Sheet2!C1588)</f>
        <v>AVID, Magnum</v>
      </c>
    </row>
    <row r="1589" spans="1:4" x14ac:dyDescent="0.2">
      <c r="A1589" t="str">
        <f>Sheet2!A1589</f>
        <v>MAJR</v>
      </c>
      <c r="B1589" t="str">
        <f ca="1">'Query Example'!D1589</f>
        <v>LandPlane</v>
      </c>
      <c r="C1589" s="11" t="str">
        <f>CONCATENATE(Sheet2!F1589,"/",Sheet2!E1589)</f>
        <v>1/Piston</v>
      </c>
      <c r="D1589" t="str">
        <f>CONCATENATE(Sheet2!B1589,", ",Sheet2!C1589)</f>
        <v>LUTON, LA-5 Major</v>
      </c>
    </row>
    <row r="1590" spans="1:4" x14ac:dyDescent="0.2">
      <c r="A1590" t="str">
        <f>Sheet2!A1590</f>
        <v>MAKO</v>
      </c>
      <c r="B1590" t="str">
        <f ca="1">'Query Example'!D1590</f>
        <v>LandPlane</v>
      </c>
      <c r="C1590" s="11" t="str">
        <f>CONCATENATE(Sheet2!F1590,"/",Sheet2!E1590)</f>
        <v>1/Piston</v>
      </c>
      <c r="D1590" t="str">
        <f>CONCATENATE(Sheet2!B1590,", ",Sheet2!C1590)</f>
        <v>LANCAIR, Mako</v>
      </c>
    </row>
    <row r="1591" spans="1:4" x14ac:dyDescent="0.2">
      <c r="A1591" t="str">
        <f>Sheet2!A1591</f>
        <v>MAMB</v>
      </c>
      <c r="B1591" t="str">
        <f ca="1">'Query Example'!D1591</f>
        <v>LandPlane</v>
      </c>
      <c r="C1591" s="11" t="str">
        <f>CONCATENATE(Sheet2!F1591,"/",Sheet2!E1591)</f>
        <v>1/Piston</v>
      </c>
      <c r="D1591" t="str">
        <f>CONCATENATE(Sheet2!B1591,", ",Sheet2!C1591)</f>
        <v>MELBOURNE, MA-2 Mamba</v>
      </c>
    </row>
    <row r="1592" spans="1:4" x14ac:dyDescent="0.2">
      <c r="A1592" t="str">
        <f>Sheet2!A1592</f>
        <v>MAME</v>
      </c>
      <c r="B1592" t="str">
        <f ca="1">'Query Example'!D1592</f>
        <v>LandPlane</v>
      </c>
      <c r="C1592" s="11" t="str">
        <f>CONCATENATE(Sheet2!F1592,"/",Sheet2!E1592)</f>
        <v>1/Piston</v>
      </c>
      <c r="D1592" t="str">
        <f>CONCATENATE(Sheet2!B1592,", ",Sheet2!C1592)</f>
        <v>BLUE YONDER, Merlin</v>
      </c>
    </row>
    <row r="1593" spans="1:4" x14ac:dyDescent="0.2">
      <c r="A1593" t="str">
        <f>Sheet2!A1593</f>
        <v>MARS</v>
      </c>
      <c r="B1593" t="str">
        <f ca="1">'Query Example'!D1593</f>
        <v>SeaPlane</v>
      </c>
      <c r="C1593" s="11" t="str">
        <f>CONCATENATE(Sheet2!F1593,"/",Sheet2!E1593)</f>
        <v>4/Piston</v>
      </c>
      <c r="D1593" t="str">
        <f>CONCATENATE(Sheet2!B1593,", ",Sheet2!C1593)</f>
        <v>MARTIN, 170 Mars</v>
      </c>
    </row>
    <row r="1594" spans="1:4" x14ac:dyDescent="0.2">
      <c r="A1594" t="str">
        <f>Sheet2!A1594</f>
        <v>MAVR</v>
      </c>
      <c r="B1594" t="str">
        <f ca="1">'Query Example'!D1594</f>
        <v>LandPlane</v>
      </c>
      <c r="C1594" s="11" t="str">
        <f>CONCATENATE(Sheet2!F1594,"/",Sheet2!E1594)</f>
        <v>1/Piston</v>
      </c>
      <c r="D1594" t="str">
        <f>CONCATENATE(Sheet2!B1594,", ",Sheet2!C1594)</f>
        <v>AEA, Maverick</v>
      </c>
    </row>
    <row r="1595" spans="1:4" x14ac:dyDescent="0.2">
      <c r="A1595" t="str">
        <f>Sheet2!A1595</f>
        <v>MC01</v>
      </c>
      <c r="B1595" t="str">
        <f ca="1">'Query Example'!D1595</f>
        <v>LandPlane</v>
      </c>
      <c r="C1595" s="11" t="str">
        <f>CONCATENATE(Sheet2!F1595,"/",Sheet2!E1595)</f>
        <v>1/Piston</v>
      </c>
      <c r="D1595" t="str">
        <f>CONCATENATE(Sheet2!B1595,", ",Sheet2!C1595)</f>
        <v>MONTAER, MC-01</v>
      </c>
    </row>
    <row r="1596" spans="1:4" x14ac:dyDescent="0.2">
      <c r="A1596" t="str">
        <f>Sheet2!A1596</f>
        <v>MC10</v>
      </c>
      <c r="B1596" t="str">
        <f ca="1">'Query Example'!D1596</f>
        <v>LandPlane</v>
      </c>
      <c r="C1596" s="11" t="str">
        <f>CONCATENATE(Sheet2!F1596,"/",Sheet2!E1596)</f>
        <v>2/Piston</v>
      </c>
      <c r="D1596" t="str">
        <f>CONCATENATE(Sheet2!B1596,", ",Sheet2!C1596)</f>
        <v>COLOMBAN, MC-10 Cricri</v>
      </c>
    </row>
    <row r="1597" spans="1:4" x14ac:dyDescent="0.2">
      <c r="A1597" t="str">
        <f>Sheet2!A1597</f>
        <v>MC23</v>
      </c>
      <c r="B1597" t="str">
        <f ca="1">'Query Example'!D1597</f>
        <v>LandPlane</v>
      </c>
      <c r="C1597" s="11" t="str">
        <f>CONCATENATE(Sheet2!F1597,"/",Sheet2!E1597)</f>
        <v>2/Jet</v>
      </c>
      <c r="D1597" t="str">
        <f>CONCATENATE(Sheet2!B1597,", ",Sheet2!C1597)</f>
        <v>IRKUT, MC-21-300</v>
      </c>
    </row>
    <row r="1598" spans="1:4" x14ac:dyDescent="0.2">
      <c r="A1598" t="str">
        <f>Sheet2!A1598</f>
        <v>MC45</v>
      </c>
      <c r="B1598" t="str">
        <f ca="1">'Query Example'!D1598</f>
        <v>LandPlane</v>
      </c>
      <c r="C1598" s="11" t="str">
        <f>CONCATENATE(Sheet2!F1598,"/",Sheet2!E1598)</f>
        <v>1/Piston</v>
      </c>
      <c r="D1598" t="str">
        <f>CONCATENATE(Sheet2!B1598,", ",Sheet2!C1598)</f>
        <v>MEYERS, MAC-145</v>
      </c>
    </row>
    <row r="1599" spans="1:4" x14ac:dyDescent="0.2">
      <c r="A1599" t="str">
        <f>Sheet2!A1599</f>
        <v>MC90</v>
      </c>
      <c r="B1599" t="str">
        <f ca="1">'Query Example'!D1599</f>
        <v>LandPlane</v>
      </c>
      <c r="C1599" s="11" t="str">
        <f>CONCATENATE(Sheet2!F1599,"/",Sheet2!E1599)</f>
        <v>1/Piston</v>
      </c>
      <c r="D1599" t="str">
        <f>CONCATENATE(Sheet2!B1599,", ",Sheet2!C1599)</f>
        <v>MONOCOUPE, 90</v>
      </c>
    </row>
    <row r="1600" spans="1:4" x14ac:dyDescent="0.2">
      <c r="A1600" t="str">
        <f>Sheet2!A1600</f>
        <v>MCOU</v>
      </c>
      <c r="B1600" t="str">
        <f ca="1">'Query Example'!D1600</f>
        <v>LandPlane</v>
      </c>
      <c r="C1600" s="11" t="str">
        <f>CONCATENATE(Sheet2!F1600,"/",Sheet2!E1600)</f>
        <v>1/Piston</v>
      </c>
      <c r="D1600" t="str">
        <f>CONCATENATE(Sheet2!B1600,", ",Sheet2!C1600)</f>
        <v>CHRIS TENA, Mini Coupe</v>
      </c>
    </row>
    <row r="1601" spans="1:4" x14ac:dyDescent="0.2">
      <c r="A1601" t="str">
        <f>Sheet2!A1601</f>
        <v>MCOY</v>
      </c>
      <c r="B1601" t="str">
        <f ca="1">'Query Example'!D1601</f>
        <v>LandPlane</v>
      </c>
      <c r="C1601" s="11" t="str">
        <f>CONCATENATE(Sheet2!F1601,"/",Sheet2!E1601)</f>
        <v>1/Piston</v>
      </c>
      <c r="D1601" t="str">
        <f>CONCATENATE(Sheet2!B1601,", ",Sheet2!C1601)</f>
        <v>MONTANA, Coyote</v>
      </c>
    </row>
    <row r="1602" spans="1:4" x14ac:dyDescent="0.2">
      <c r="A1602" t="str">
        <f>Sheet2!A1602</f>
        <v>MCR1</v>
      </c>
      <c r="B1602" t="str">
        <f ca="1">'Query Example'!D1602</f>
        <v>LandPlane</v>
      </c>
      <c r="C1602" s="11" t="str">
        <f>CONCATENATE(Sheet2!F1602,"/",Sheet2!E1602)</f>
        <v>1/Piston</v>
      </c>
      <c r="D1602" t="str">
        <f>CONCATENATE(Sheet2!B1602,", ",Sheet2!C1602)</f>
        <v>DYN'AERO, MCR-01</v>
      </c>
    </row>
    <row r="1603" spans="1:4" x14ac:dyDescent="0.2">
      <c r="A1603" t="str">
        <f>Sheet2!A1603</f>
        <v>MCR4</v>
      </c>
      <c r="B1603" t="str">
        <f ca="1">'Query Example'!D1603</f>
        <v>LandPlane</v>
      </c>
      <c r="C1603" s="11" t="str">
        <f>CONCATENATE(Sheet2!F1603,"/",Sheet2!E1603)</f>
        <v>1/Piston</v>
      </c>
      <c r="D1603" t="str">
        <f>CONCATENATE(Sheet2!B1603,", ",Sheet2!C1603)</f>
        <v>DYN'AERO, MCR-4</v>
      </c>
    </row>
    <row r="1604" spans="1:4" x14ac:dyDescent="0.2">
      <c r="A1604" t="str">
        <f>Sheet2!A1604</f>
        <v>MCRR</v>
      </c>
      <c r="B1604" t="str">
        <f ca="1">'Query Example'!D1604</f>
        <v>LandPlane</v>
      </c>
      <c r="C1604" s="11" t="str">
        <f>CONCATENATE(Sheet2!F1604,"/",Sheet2!E1604)</f>
        <v>1/Piston</v>
      </c>
      <c r="D1604" t="str">
        <f>CONCATENATE(Sheet2!B1604,", ",Sheet2!C1604)</f>
        <v>DYN'AERO, MCR-R180</v>
      </c>
    </row>
    <row r="1605" spans="1:4" x14ac:dyDescent="0.2">
      <c r="A1605" t="str">
        <f>Sheet2!A1605</f>
        <v>MCUL</v>
      </c>
      <c r="B1605" t="str">
        <f ca="1">'Query Example'!D1605</f>
        <v>LandPlane</v>
      </c>
      <c r="C1605" s="11" t="str">
        <f>CONCATENATE(Sheet2!F1605,"/",Sheet2!E1605)</f>
        <v>1/Piston</v>
      </c>
      <c r="D1605" t="str">
        <f>CONCATENATE(Sheet2!B1605,", ",Sheet2!C1605)</f>
        <v>KIMBALL, McCullocoupe</v>
      </c>
    </row>
    <row r="1606" spans="1:4" x14ac:dyDescent="0.2">
      <c r="A1606" t="str">
        <f>Sheet2!A1606</f>
        <v>MD11</v>
      </c>
      <c r="B1606" t="str">
        <f ca="1">'Query Example'!D1606</f>
        <v>LandPlane</v>
      </c>
      <c r="C1606" s="11" t="str">
        <f>CONCATENATE(Sheet2!F1606,"/",Sheet2!E1606)</f>
        <v>3/Jet</v>
      </c>
      <c r="D1606" t="str">
        <f>CONCATENATE(Sheet2!B1606,", ",Sheet2!C1606)</f>
        <v>MCDONNELL DOUGLAS, MD-11</v>
      </c>
    </row>
    <row r="1607" spans="1:4" x14ac:dyDescent="0.2">
      <c r="A1607" t="str">
        <f>Sheet2!A1607</f>
        <v>MD3</v>
      </c>
      <c r="B1607" t="str">
        <f ca="1">'Query Example'!D1607</f>
        <v>LandPlane</v>
      </c>
      <c r="C1607" s="11" t="str">
        <f>CONCATENATE(Sheet2!F1607,"/",Sheet2!E1607)</f>
        <v>1/Piston</v>
      </c>
      <c r="D1607" t="str">
        <f>CONCATENATE(Sheet2!B1607,", ",Sheet2!C1607)</f>
        <v>DATWYLER, MD-3 Swiss Trainer</v>
      </c>
    </row>
    <row r="1608" spans="1:4" x14ac:dyDescent="0.2">
      <c r="A1608" t="str">
        <f>Sheet2!A1608</f>
        <v>MD3R</v>
      </c>
      <c r="B1608" t="str">
        <f ca="1">'Query Example'!D1608</f>
        <v>LandPlane</v>
      </c>
      <c r="C1608" s="11" t="str">
        <f>CONCATENATE(Sheet2!F1608,"/",Sheet2!E1608)</f>
        <v>1/Piston</v>
      </c>
      <c r="D1608" t="str">
        <f>CONCATENATE(Sheet2!B1608,", ",Sheet2!C1608)</f>
        <v>FLYITALIA, MD-3 Rider</v>
      </c>
    </row>
    <row r="1609" spans="1:4" x14ac:dyDescent="0.2">
      <c r="A1609" t="str">
        <f>Sheet2!A1609</f>
        <v>MD52</v>
      </c>
      <c r="B1609" t="str">
        <f ca="1">'Query Example'!D1609</f>
        <v>Helicopter</v>
      </c>
      <c r="C1609" s="11" t="str">
        <f>CONCATENATE(Sheet2!F1609,"/",Sheet2!E1609)</f>
        <v>1/Turboprop/Turboshaft</v>
      </c>
      <c r="D1609" t="str">
        <f>CONCATENATE(Sheet2!B1609,", ",Sheet2!C1609)</f>
        <v>MCDONNELL DOUGLAS, MD-520N</v>
      </c>
    </row>
    <row r="1610" spans="1:4" x14ac:dyDescent="0.2">
      <c r="A1610" t="str">
        <f>Sheet2!A1610</f>
        <v>MD60</v>
      </c>
      <c r="B1610" t="str">
        <f ca="1">'Query Example'!D1610</f>
        <v>Helicopter</v>
      </c>
      <c r="C1610" s="11" t="str">
        <f>CONCATENATE(Sheet2!F1610,"/",Sheet2!E1610)</f>
        <v>1/Turboprop/Turboshaft</v>
      </c>
      <c r="D1610" t="str">
        <f>CONCATENATE(Sheet2!B1610,", ",Sheet2!C1610)</f>
        <v>MCDONNELL DOUGLAS, MD-600N</v>
      </c>
    </row>
    <row r="1611" spans="1:4" x14ac:dyDescent="0.2">
      <c r="A1611" t="str">
        <f>Sheet2!A1611</f>
        <v>MD81</v>
      </c>
      <c r="B1611" t="str">
        <f ca="1">'Query Example'!D1611</f>
        <v>LandPlane</v>
      </c>
      <c r="C1611" s="11" t="str">
        <f>CONCATENATE(Sheet2!F1611,"/",Sheet2!E1611)</f>
        <v>2/Jet</v>
      </c>
      <c r="D1611" t="str">
        <f>CONCATENATE(Sheet2!B1611,", ",Sheet2!C1611)</f>
        <v>MCDONNELL DOUGLAS, MD-81</v>
      </c>
    </row>
    <row r="1612" spans="1:4" x14ac:dyDescent="0.2">
      <c r="A1612" t="str">
        <f>Sheet2!A1612</f>
        <v>MD82</v>
      </c>
      <c r="B1612" t="str">
        <f ca="1">'Query Example'!D1612</f>
        <v>LandPlane</v>
      </c>
      <c r="C1612" s="11" t="str">
        <f>CONCATENATE(Sheet2!F1612,"/",Sheet2!E1612)</f>
        <v>2/Jet</v>
      </c>
      <c r="D1612" t="str">
        <f>CONCATENATE(Sheet2!B1612,", ",Sheet2!C1612)</f>
        <v>MCDONNELL DOUGLAS, MD-82</v>
      </c>
    </row>
    <row r="1613" spans="1:4" x14ac:dyDescent="0.2">
      <c r="A1613" t="str">
        <f>Sheet2!A1613</f>
        <v>MD83</v>
      </c>
      <c r="B1613" t="str">
        <f ca="1">'Query Example'!D1613</f>
        <v>LandPlane</v>
      </c>
      <c r="C1613" s="11" t="str">
        <f>CONCATENATE(Sheet2!F1613,"/",Sheet2!E1613)</f>
        <v>2/Jet</v>
      </c>
      <c r="D1613" t="str">
        <f>CONCATENATE(Sheet2!B1613,", ",Sheet2!C1613)</f>
        <v>MCDONNELL DOUGLAS, MD-83</v>
      </c>
    </row>
    <row r="1614" spans="1:4" x14ac:dyDescent="0.2">
      <c r="A1614" t="str">
        <f>Sheet2!A1614</f>
        <v>MD87</v>
      </c>
      <c r="B1614" t="str">
        <f ca="1">'Query Example'!D1614</f>
        <v>LandPlane</v>
      </c>
      <c r="C1614" s="11" t="str">
        <f>CONCATENATE(Sheet2!F1614,"/",Sheet2!E1614)</f>
        <v>2/Jet</v>
      </c>
      <c r="D1614" t="str">
        <f>CONCATENATE(Sheet2!B1614,", ",Sheet2!C1614)</f>
        <v>MCDONNELL DOUGLAS, MD-87</v>
      </c>
    </row>
    <row r="1615" spans="1:4" x14ac:dyDescent="0.2">
      <c r="A1615" t="str">
        <f>Sheet2!A1615</f>
        <v>MD88</v>
      </c>
      <c r="B1615" t="str">
        <f ca="1">'Query Example'!D1615</f>
        <v>LandPlane</v>
      </c>
      <c r="C1615" s="11" t="str">
        <f>CONCATENATE(Sheet2!F1615,"/",Sheet2!E1615)</f>
        <v>2/Jet</v>
      </c>
      <c r="D1615" t="str">
        <f>CONCATENATE(Sheet2!B1615,", ",Sheet2!C1615)</f>
        <v>MCDONNELL DOUGLAS, MD-88</v>
      </c>
    </row>
    <row r="1616" spans="1:4" x14ac:dyDescent="0.2">
      <c r="A1616" t="str">
        <f>Sheet2!A1616</f>
        <v>MD90</v>
      </c>
      <c r="B1616" t="str">
        <f ca="1">'Query Example'!D1616</f>
        <v>LandPlane</v>
      </c>
      <c r="C1616" s="11" t="str">
        <f>CONCATENATE(Sheet2!F1616,"/",Sheet2!E1616)</f>
        <v>2/Jet</v>
      </c>
      <c r="D1616" t="str">
        <f>CONCATENATE(Sheet2!B1616,", ",Sheet2!C1616)</f>
        <v>MCDONNELL DOUGLAS, MD-90</v>
      </c>
    </row>
    <row r="1617" spans="1:4" x14ac:dyDescent="0.2">
      <c r="A1617" t="str">
        <f>Sheet2!A1617</f>
        <v>ME08</v>
      </c>
      <c r="B1617" t="str">
        <f ca="1">'Query Example'!D1617</f>
        <v>LandPlane</v>
      </c>
      <c r="C1617" s="11" t="str">
        <f>CONCATENATE(Sheet2!F1617,"/",Sheet2!E1617)</f>
        <v>1/Piston</v>
      </c>
      <c r="D1617" t="str">
        <f>CONCATENATE(Sheet2!B1617,", ",Sheet2!C1617)</f>
        <v>MESSERSCHMITT, Bf-108 Taifun</v>
      </c>
    </row>
    <row r="1618" spans="1:4" x14ac:dyDescent="0.2">
      <c r="A1618" t="str">
        <f>Sheet2!A1618</f>
        <v>ME09</v>
      </c>
      <c r="B1618" t="str">
        <f ca="1">'Query Example'!D1618</f>
        <v>LandPlane</v>
      </c>
      <c r="C1618" s="11" t="str">
        <f>CONCATENATE(Sheet2!F1618,"/",Sheet2!E1618)</f>
        <v>1/Piston</v>
      </c>
      <c r="D1618" t="str">
        <f>CONCATENATE(Sheet2!B1618,", ",Sheet2!C1618)</f>
        <v>MESSERSCHMITT, Bf-109</v>
      </c>
    </row>
    <row r="1619" spans="1:4" x14ac:dyDescent="0.2">
      <c r="A1619" t="str">
        <f>Sheet2!A1619</f>
        <v>ME62</v>
      </c>
      <c r="B1619" t="str">
        <f ca="1">'Query Example'!D1619</f>
        <v>LandPlane</v>
      </c>
      <c r="C1619" s="11" t="str">
        <f>CONCATENATE(Sheet2!F1619,"/",Sheet2!E1619)</f>
        <v>2/Jet</v>
      </c>
      <c r="D1619" t="str">
        <f>CONCATENATE(Sheet2!B1619,", ",Sheet2!C1619)</f>
        <v>MESSERSCHMITT, Me-262 Replica</v>
      </c>
    </row>
    <row r="1620" spans="1:4" x14ac:dyDescent="0.2">
      <c r="A1620" t="str">
        <f>Sheet2!A1620</f>
        <v>MEAD</v>
      </c>
      <c r="B1620" t="str">
        <f ca="1">'Query Example'!D1620</f>
        <v>LandPlane</v>
      </c>
      <c r="C1620" s="11" t="str">
        <f>CONCATENATE(Sheet2!F1620,"/",Sheet2!E1620)</f>
        <v>1/Piston</v>
      </c>
      <c r="D1620" t="str">
        <f>CONCATENATE(Sheet2!B1620,", ",Sheet2!C1620)</f>
        <v>MEAD, Adventure</v>
      </c>
    </row>
    <row r="1621" spans="1:4" x14ac:dyDescent="0.2">
      <c r="A1621" t="str">
        <f>Sheet2!A1621</f>
        <v>MEL2</v>
      </c>
      <c r="B1621" t="str">
        <f ca="1">'Query Example'!D1621</f>
        <v>LandPlane</v>
      </c>
      <c r="C1621" s="11" t="str">
        <f>CONCATENATE(Sheet2!F1621,"/",Sheet2!E1621)</f>
        <v>1/Piston</v>
      </c>
      <c r="D1621" t="str">
        <f>CONCATENATE(Sheet2!B1621,", ",Sheet2!C1621)</f>
        <v>GARRISON, Melmoth 2</v>
      </c>
    </row>
    <row r="1622" spans="1:4" x14ac:dyDescent="0.2">
      <c r="A1622" t="str">
        <f>Sheet2!A1622</f>
        <v>MERK</v>
      </c>
      <c r="B1622" t="str">
        <f ca="1">'Query Example'!D1622</f>
        <v>LandPlane</v>
      </c>
      <c r="C1622" s="11" t="str">
        <f>CONCATENATE(Sheet2!F1622,"/",Sheet2!E1622)</f>
        <v>2/Piston</v>
      </c>
      <c r="D1622" t="str">
        <f>CONCATENATE(Sheet2!B1622,", ",Sheet2!C1622)</f>
        <v>AVIATON, Merkury</v>
      </c>
    </row>
    <row r="1623" spans="1:4" x14ac:dyDescent="0.2">
      <c r="A1623" t="str">
        <f>Sheet2!A1623</f>
        <v>MESS</v>
      </c>
      <c r="B1623" t="str">
        <f ca="1">'Query Example'!D1623</f>
        <v>LandPlane</v>
      </c>
      <c r="C1623" s="11" t="str">
        <f>CONCATENATE(Sheet2!F1623,"/",Sheet2!E1623)</f>
        <v>1/Piston</v>
      </c>
      <c r="D1623" t="str">
        <f>CONCATENATE(Sheet2!B1623,", ",Sheet2!C1623)</f>
        <v>MILES, M-38 Messenger</v>
      </c>
    </row>
    <row r="1624" spans="1:4" x14ac:dyDescent="0.2">
      <c r="A1624" t="str">
        <f>Sheet2!A1624</f>
        <v>METR</v>
      </c>
      <c r="B1624" t="str">
        <f ca="1">'Query Example'!D1624</f>
        <v>LandPlane</v>
      </c>
      <c r="C1624" s="11" t="str">
        <f>CONCATENATE(Sheet2!F1624,"/",Sheet2!E1624)</f>
        <v>2/Jet</v>
      </c>
      <c r="D1624" t="str">
        <f>CONCATENATE(Sheet2!B1624,", ",Sheet2!C1624)</f>
        <v>GLOSTER, Meteor</v>
      </c>
    </row>
    <row r="1625" spans="1:4" x14ac:dyDescent="0.2">
      <c r="A1625" t="str">
        <f>Sheet2!A1625</f>
        <v>MEXP</v>
      </c>
      <c r="B1625" t="str">
        <f ca="1">'Query Example'!D1625</f>
        <v>LandPlane</v>
      </c>
      <c r="C1625" s="11" t="str">
        <f>CONCATENATE(Sheet2!F1625,"/",Sheet2!E1625)</f>
        <v>1/Piston</v>
      </c>
      <c r="D1625" t="str">
        <f>CONCATENATE(Sheet2!B1625,", ",Sheet2!C1625)</f>
        <v>MERLIN, Explorer</v>
      </c>
    </row>
    <row r="1626" spans="1:4" x14ac:dyDescent="0.2">
      <c r="A1626" t="str">
        <f>Sheet2!A1626</f>
        <v>MF10</v>
      </c>
      <c r="B1626" t="str">
        <f ca="1">'Query Example'!D1626</f>
        <v>LandPlane</v>
      </c>
      <c r="C1626" s="11" t="str">
        <f>CONCATENATE(Sheet2!F1626,"/",Sheet2!E1626)</f>
        <v>1/Piston</v>
      </c>
      <c r="D1626" t="str">
        <f>CONCATENATE(Sheet2!B1626,", ",Sheet2!C1626)</f>
        <v>MALMO, MFI-10 Vipan</v>
      </c>
    </row>
    <row r="1627" spans="1:4" x14ac:dyDescent="0.2">
      <c r="A1627" t="str">
        <f>Sheet2!A1627</f>
        <v>MF17</v>
      </c>
      <c r="B1627" t="str">
        <f ca="1">'Query Example'!D1627</f>
        <v>LandPlane</v>
      </c>
      <c r="C1627" s="11" t="str">
        <f>CONCATENATE(Sheet2!F1627,"/",Sheet2!E1627)</f>
        <v>1/Piston</v>
      </c>
      <c r="D1627" t="str">
        <f>CONCATENATE(Sheet2!B1627,", ",Sheet2!C1627)</f>
        <v>SAAB, MFI-17 Supporter</v>
      </c>
    </row>
    <row r="1628" spans="1:4" x14ac:dyDescent="0.2">
      <c r="A1628" t="str">
        <f>Sheet2!A1628</f>
        <v>MG15</v>
      </c>
      <c r="B1628" t="str">
        <f ca="1">'Query Example'!D1628</f>
        <v>LandPlane</v>
      </c>
      <c r="C1628" s="11" t="str">
        <f>CONCATENATE(Sheet2!F1628,"/",Sheet2!E1628)</f>
        <v>1/Jet</v>
      </c>
      <c r="D1628" t="str">
        <f>CONCATENATE(Sheet2!B1628,", ",Sheet2!C1628)</f>
        <v>MIKOYAN, MiG-15</v>
      </c>
    </row>
    <row r="1629" spans="1:4" x14ac:dyDescent="0.2">
      <c r="A1629" t="str">
        <f>Sheet2!A1629</f>
        <v>MG17</v>
      </c>
      <c r="B1629" t="str">
        <f ca="1">'Query Example'!D1629</f>
        <v>LandPlane</v>
      </c>
      <c r="C1629" s="11" t="str">
        <f>CONCATENATE(Sheet2!F1629,"/",Sheet2!E1629)</f>
        <v>1/Jet</v>
      </c>
      <c r="D1629" t="str">
        <f>CONCATENATE(Sheet2!B1629,", ",Sheet2!C1629)</f>
        <v>MIKOYAN, MiG-17</v>
      </c>
    </row>
    <row r="1630" spans="1:4" x14ac:dyDescent="0.2">
      <c r="A1630" t="str">
        <f>Sheet2!A1630</f>
        <v>MG19</v>
      </c>
      <c r="B1630" t="str">
        <f ca="1">'Query Example'!D1630</f>
        <v>LandPlane</v>
      </c>
      <c r="C1630" s="11" t="str">
        <f>CONCATENATE(Sheet2!F1630,"/",Sheet2!E1630)</f>
        <v>2/Jet</v>
      </c>
      <c r="D1630" t="str">
        <f>CONCATENATE(Sheet2!B1630,", ",Sheet2!C1630)</f>
        <v>MIKOYAN, MiG-19</v>
      </c>
    </row>
    <row r="1631" spans="1:4" x14ac:dyDescent="0.2">
      <c r="A1631" t="str">
        <f>Sheet2!A1631</f>
        <v>MG21</v>
      </c>
      <c r="B1631" t="str">
        <f ca="1">'Query Example'!D1631</f>
        <v>LandPlane</v>
      </c>
      <c r="C1631" s="11" t="str">
        <f>CONCATENATE(Sheet2!F1631,"/",Sheet2!E1631)</f>
        <v>1/Jet</v>
      </c>
      <c r="D1631" t="str">
        <f>CONCATENATE(Sheet2!B1631,", ",Sheet2!C1631)</f>
        <v>MIKOYAN, MiG-21</v>
      </c>
    </row>
    <row r="1632" spans="1:4" x14ac:dyDescent="0.2">
      <c r="A1632" t="str">
        <f>Sheet2!A1632</f>
        <v>MG23</v>
      </c>
      <c r="B1632" t="str">
        <f ca="1">'Query Example'!D1632</f>
        <v>LandPlane</v>
      </c>
      <c r="C1632" s="11" t="str">
        <f>CONCATENATE(Sheet2!F1632,"/",Sheet2!E1632)</f>
        <v>1/Jet</v>
      </c>
      <c r="D1632" t="str">
        <f>CONCATENATE(Sheet2!B1632,", ",Sheet2!C1632)</f>
        <v>MIKOYAN, MiG-23</v>
      </c>
    </row>
    <row r="1633" spans="1:4" x14ac:dyDescent="0.2">
      <c r="A1633" t="str">
        <f>Sheet2!A1633</f>
        <v>MG29</v>
      </c>
      <c r="B1633" t="str">
        <f ca="1">'Query Example'!D1633</f>
        <v>LandPlane</v>
      </c>
      <c r="C1633" s="11" t="str">
        <f>CONCATENATE(Sheet2!F1633,"/",Sheet2!E1633)</f>
        <v>2/Jet</v>
      </c>
      <c r="D1633" t="str">
        <f>CONCATENATE(Sheet2!B1633,", ",Sheet2!C1633)</f>
        <v>MIKOYAN, MiG-29</v>
      </c>
    </row>
    <row r="1634" spans="1:4" x14ac:dyDescent="0.2">
      <c r="A1634" t="str">
        <f>Sheet2!A1634</f>
        <v>MG31</v>
      </c>
      <c r="B1634" t="str">
        <f ca="1">'Query Example'!D1634</f>
        <v>LandPlane</v>
      </c>
      <c r="C1634" s="11" t="str">
        <f>CONCATENATE(Sheet2!F1634,"/",Sheet2!E1634)</f>
        <v>2/Jet</v>
      </c>
      <c r="D1634" t="str">
        <f>CONCATENATE(Sheet2!B1634,", ",Sheet2!C1634)</f>
        <v>MIKOYAN, MiG-31</v>
      </c>
    </row>
    <row r="1635" spans="1:4" x14ac:dyDescent="0.2">
      <c r="A1635" t="str">
        <f>Sheet2!A1635</f>
        <v>MG44</v>
      </c>
      <c r="B1635" t="str">
        <f ca="1">'Query Example'!D1635</f>
        <v>LandPlane</v>
      </c>
      <c r="C1635" s="11" t="str">
        <f>CONCATENATE(Sheet2!F1635,"/",Sheet2!E1635)</f>
        <v>2/Jet</v>
      </c>
      <c r="D1635" t="str">
        <f>CONCATENATE(Sheet2!B1635,", ",Sheet2!C1635)</f>
        <v>MIKOYAN, MiG 1-44</v>
      </c>
    </row>
    <row r="1636" spans="1:4" x14ac:dyDescent="0.2">
      <c r="A1636" t="str">
        <f>Sheet2!A1636</f>
        <v>MGAT</v>
      </c>
      <c r="B1636" t="str">
        <f ca="1">'Query Example'!D1636</f>
        <v>LandPlane</v>
      </c>
      <c r="C1636" s="11" t="str">
        <f>CONCATENATE(Sheet2!F1636,"/",Sheet2!E1636)</f>
        <v>1/Jet</v>
      </c>
      <c r="D1636" t="str">
        <f>CONCATENATE(Sheet2!B1636,", ",Sheet2!C1636)</f>
        <v>MIKOYAN, MiG-AT</v>
      </c>
    </row>
    <row r="1637" spans="1:4" x14ac:dyDescent="0.2">
      <c r="A1637" t="str">
        <f>Sheet2!A1637</f>
        <v>MGIC</v>
      </c>
      <c r="B1637" t="str">
        <f ca="1">'Query Example'!D1637</f>
        <v>LandPlane</v>
      </c>
      <c r="C1637" s="11" t="str">
        <f>CONCATENATE(Sheet2!F1637,"/",Sheet2!E1637)</f>
        <v>1/Piston</v>
      </c>
      <c r="D1637" t="str">
        <f>CONCATENATE(Sheet2!B1637,", ",Sheet2!C1637)</f>
        <v>KAISER, Magic</v>
      </c>
    </row>
    <row r="1638" spans="1:4" x14ac:dyDescent="0.2">
      <c r="A1638" t="str">
        <f>Sheet2!A1638</f>
        <v>MGNM</v>
      </c>
      <c r="B1638" t="str">
        <f ca="1">'Query Example'!D1638</f>
        <v>LandPlane</v>
      </c>
      <c r="C1638" s="11" t="str">
        <f>CONCATENATE(Sheet2!F1638,"/",Sheet2!E1638)</f>
        <v>1/Piston</v>
      </c>
      <c r="D1638" t="str">
        <f>CONCATENATE(Sheet2!B1638,", ",Sheet2!C1638)</f>
        <v>AVIATION ENTERPRISES, Magnum</v>
      </c>
    </row>
    <row r="1639" spans="1:4" x14ac:dyDescent="0.2">
      <c r="A1639" t="str">
        <f>Sheet2!A1639</f>
        <v>MH20</v>
      </c>
      <c r="B1639" t="str">
        <f ca="1">'Query Example'!D1639</f>
        <v>Helicopter</v>
      </c>
      <c r="C1639" s="11" t="str">
        <f>CONCATENATE(Sheet2!F1639,"/",Sheet2!E1639)</f>
        <v>2/Turboprop/Turboshaft</v>
      </c>
      <c r="D1639" t="str">
        <f>CONCATENATE(Sheet2!B1639,", ",Sheet2!C1639)</f>
        <v>MITSUBISHI, MH-2000</v>
      </c>
    </row>
    <row r="1640" spans="1:4" x14ac:dyDescent="0.2">
      <c r="A1640" t="str">
        <f>Sheet2!A1640</f>
        <v>MH46</v>
      </c>
      <c r="B1640" t="str">
        <f ca="1">'Query Example'!D1640</f>
        <v>LandPlane</v>
      </c>
      <c r="C1640" s="11" t="str">
        <f>CONCATENATE(Sheet2!F1640,"/",Sheet2!E1640)</f>
        <v>1/Piston</v>
      </c>
      <c r="D1640" t="str">
        <f>CONCATENATE(Sheet2!B1640,", ",Sheet2!C1640)</f>
        <v>AEROSETTE, MH-46 Eclipse</v>
      </c>
    </row>
    <row r="1641" spans="1:4" x14ac:dyDescent="0.2">
      <c r="A1641" t="str">
        <f>Sheet2!A1641</f>
        <v>MI10</v>
      </c>
      <c r="B1641" t="str">
        <f ca="1">'Query Example'!D1641</f>
        <v>Helicopter</v>
      </c>
      <c r="C1641" s="11" t="str">
        <f>CONCATENATE(Sheet2!F1641,"/",Sheet2!E1641)</f>
        <v>2/Turboprop/Turboshaft</v>
      </c>
      <c r="D1641" t="str">
        <f>CONCATENATE(Sheet2!B1641,", ",Sheet2!C1641)</f>
        <v>MIL, Mi-10</v>
      </c>
    </row>
    <row r="1642" spans="1:4" x14ac:dyDescent="0.2">
      <c r="A1642" t="str">
        <f>Sheet2!A1642</f>
        <v>MI14</v>
      </c>
      <c r="B1642" t="str">
        <f ca="1">'Query Example'!D1642</f>
        <v>Helicopter</v>
      </c>
      <c r="C1642" s="11" t="str">
        <f>CONCATENATE(Sheet2!F1642,"/",Sheet2!E1642)</f>
        <v>2/Turboprop/Turboshaft</v>
      </c>
      <c r="D1642" t="str">
        <f>CONCATENATE(Sheet2!B1642,", ",Sheet2!C1642)</f>
        <v>MIL, Mi-14</v>
      </c>
    </row>
    <row r="1643" spans="1:4" x14ac:dyDescent="0.2">
      <c r="A1643" t="str">
        <f>Sheet2!A1643</f>
        <v>MI2</v>
      </c>
      <c r="B1643" t="str">
        <f ca="1">'Query Example'!D1643</f>
        <v>Helicopter</v>
      </c>
      <c r="C1643" s="11" t="str">
        <f>CONCATENATE(Sheet2!F1643,"/",Sheet2!E1643)</f>
        <v>2/Turboprop/Turboshaft</v>
      </c>
      <c r="D1643" t="str">
        <f>CONCATENATE(Sheet2!B1643,", ",Sheet2!C1643)</f>
        <v>MIL, Mi-2</v>
      </c>
    </row>
    <row r="1644" spans="1:4" x14ac:dyDescent="0.2">
      <c r="A1644" t="str">
        <f>Sheet2!A1644</f>
        <v>MI24</v>
      </c>
      <c r="B1644" t="str">
        <f ca="1">'Query Example'!D1644</f>
        <v>Helicopter</v>
      </c>
      <c r="C1644" s="11" t="str">
        <f>CONCATENATE(Sheet2!F1644,"/",Sheet2!E1644)</f>
        <v>2/Turboprop/Turboshaft</v>
      </c>
      <c r="D1644" t="str">
        <f>CONCATENATE(Sheet2!B1644,", ",Sheet2!C1644)</f>
        <v>MIL, Mi-24</v>
      </c>
    </row>
    <row r="1645" spans="1:4" x14ac:dyDescent="0.2">
      <c r="A1645" t="str">
        <f>Sheet2!A1645</f>
        <v>MI28</v>
      </c>
      <c r="B1645" t="str">
        <f ca="1">'Query Example'!D1645</f>
        <v>Helicopter</v>
      </c>
      <c r="C1645" s="11" t="str">
        <f>CONCATENATE(Sheet2!F1645,"/",Sheet2!E1645)</f>
        <v>2/Turboprop/Turboshaft</v>
      </c>
      <c r="D1645" t="str">
        <f>CONCATENATE(Sheet2!B1645,", ",Sheet2!C1645)</f>
        <v>MIL, Mi-28</v>
      </c>
    </row>
    <row r="1646" spans="1:4" x14ac:dyDescent="0.2">
      <c r="A1646" t="str">
        <f>Sheet2!A1646</f>
        <v>MI34</v>
      </c>
      <c r="B1646" t="str">
        <f ca="1">'Query Example'!D1646</f>
        <v>Helicopter</v>
      </c>
      <c r="C1646" s="11" t="str">
        <f>CONCATENATE(Sheet2!F1646,"/",Sheet2!E1646)</f>
        <v>1/Piston</v>
      </c>
      <c r="D1646" t="str">
        <f>CONCATENATE(Sheet2!B1646,", ",Sheet2!C1646)</f>
        <v>MIL, Mi-34</v>
      </c>
    </row>
    <row r="1647" spans="1:4" x14ac:dyDescent="0.2">
      <c r="A1647" t="str">
        <f>Sheet2!A1647</f>
        <v>MI38</v>
      </c>
      <c r="B1647" t="str">
        <f ca="1">'Query Example'!D1647</f>
        <v>Helicopter</v>
      </c>
      <c r="C1647" s="11" t="str">
        <f>CONCATENATE(Sheet2!F1647,"/",Sheet2!E1647)</f>
        <v>2/Turboprop/Turboshaft</v>
      </c>
      <c r="D1647" t="str">
        <f>CONCATENATE(Sheet2!B1647,", ",Sheet2!C1647)</f>
        <v>MIL, Mi-38</v>
      </c>
    </row>
    <row r="1648" spans="1:4" x14ac:dyDescent="0.2">
      <c r="A1648" t="str">
        <f>Sheet2!A1648</f>
        <v>MI4</v>
      </c>
      <c r="B1648" t="str">
        <f ca="1">'Query Example'!D1648</f>
        <v>Helicopter</v>
      </c>
      <c r="C1648" s="11" t="str">
        <f>CONCATENATE(Sheet2!F1648,"/",Sheet2!E1648)</f>
        <v>1/Piston</v>
      </c>
      <c r="D1648" t="str">
        <f>CONCATENATE(Sheet2!B1648,", ",Sheet2!C1648)</f>
        <v>MIL, Mi-4</v>
      </c>
    </row>
    <row r="1649" spans="1:4" x14ac:dyDescent="0.2">
      <c r="A1649" t="str">
        <f>Sheet2!A1649</f>
        <v>MI6</v>
      </c>
      <c r="B1649" t="str">
        <f ca="1">'Query Example'!D1649</f>
        <v>Helicopter</v>
      </c>
      <c r="C1649" s="11" t="str">
        <f>CONCATENATE(Sheet2!F1649,"/",Sheet2!E1649)</f>
        <v>2/Turboprop/Turboshaft</v>
      </c>
      <c r="D1649" t="str">
        <f>CONCATENATE(Sheet2!B1649,", ",Sheet2!C1649)</f>
        <v>MIL, Mi-6</v>
      </c>
    </row>
    <row r="1650" spans="1:4" x14ac:dyDescent="0.2">
      <c r="A1650" t="str">
        <f>Sheet2!A1650</f>
        <v>MI8</v>
      </c>
      <c r="B1650" t="str">
        <f ca="1">'Query Example'!D1650</f>
        <v>Helicopter</v>
      </c>
      <c r="C1650" s="11" t="str">
        <f>CONCATENATE(Sheet2!F1650,"/",Sheet2!E1650)</f>
        <v>2/Turboprop/Turboshaft</v>
      </c>
      <c r="D1650" t="str">
        <f>CONCATENATE(Sheet2!B1650,", ",Sheet2!C1650)</f>
        <v>MIL, Mi-8</v>
      </c>
    </row>
    <row r="1651" spans="1:4" x14ac:dyDescent="0.2">
      <c r="A1651" t="str">
        <f>Sheet2!A1651</f>
        <v>MIDR</v>
      </c>
      <c r="B1651" t="str">
        <f ca="1">'Query Example'!D1651</f>
        <v>LandPlane</v>
      </c>
      <c r="C1651" s="11" t="str">
        <f>CONCATENATE(Sheet2!F1651,"/",Sheet2!E1651)</f>
        <v>1/Piston</v>
      </c>
      <c r="D1651" t="str">
        <f>CONCATENATE(Sheet2!B1651,", ",Sheet2!C1651)</f>
        <v>ACBA, Midour 2</v>
      </c>
    </row>
    <row r="1652" spans="1:4" x14ac:dyDescent="0.2">
      <c r="A1652" t="str">
        <f>Sheet2!A1652</f>
        <v>MIMP</v>
      </c>
      <c r="B1652" t="str">
        <f ca="1">'Query Example'!D1652</f>
        <v>LandPlane</v>
      </c>
      <c r="C1652" s="11" t="str">
        <f>CONCATENATE(Sheet2!F1652,"/",Sheet2!E1652)</f>
        <v>1/Piston</v>
      </c>
      <c r="D1652" t="str">
        <f>CONCATENATE(Sheet2!B1652,", ",Sheet2!C1652)</f>
        <v>AEROCAR, Mini-Imp</v>
      </c>
    </row>
    <row r="1653" spans="1:4" x14ac:dyDescent="0.2">
      <c r="A1653" t="str">
        <f>Sheet2!A1653</f>
        <v>MIMU</v>
      </c>
      <c r="B1653" t="str">
        <f ca="1">'Query Example'!D1653</f>
        <v>LandPlane</v>
      </c>
      <c r="C1653" s="11" t="str">
        <f>CONCATENATE(Sheet2!F1653,"/",Sheet2!E1653)</f>
        <v>1/Piston</v>
      </c>
      <c r="D1653" t="str">
        <f>CONCATENATE(Sheet2!B1653,", ",Sheet2!C1653)</f>
        <v>MUSTANG, MM-1 Midget Mustang</v>
      </c>
    </row>
    <row r="1654" spans="1:4" x14ac:dyDescent="0.2">
      <c r="A1654" t="str">
        <f>Sheet2!A1654</f>
        <v>MIR2</v>
      </c>
      <c r="B1654" t="str">
        <f ca="1">'Query Example'!D1654</f>
        <v>LandPlane</v>
      </c>
      <c r="C1654" s="11" t="str">
        <f>CONCATENATE(Sheet2!F1654,"/",Sheet2!E1654)</f>
        <v>1/Jet</v>
      </c>
      <c r="D1654" t="str">
        <f>CONCATENATE(Sheet2!B1654,", ",Sheet2!C1654)</f>
        <v>DASSAULT, Mirage 2000</v>
      </c>
    </row>
    <row r="1655" spans="1:4" x14ac:dyDescent="0.2">
      <c r="A1655" t="str">
        <f>Sheet2!A1655</f>
        <v>MIRA</v>
      </c>
      <c r="B1655" t="str">
        <f ca="1">'Query Example'!D1655</f>
        <v>LandPlane</v>
      </c>
      <c r="C1655" s="11" t="str">
        <f>CONCATENATE(Sheet2!F1655,"/",Sheet2!E1655)</f>
        <v>1/Jet</v>
      </c>
      <c r="D1655" t="str">
        <f>CONCATENATE(Sheet2!B1655,", ",Sheet2!C1655)</f>
        <v>DASSAULT, Mirage 5</v>
      </c>
    </row>
    <row r="1656" spans="1:4" x14ac:dyDescent="0.2">
      <c r="A1656" t="str">
        <f>Sheet2!A1656</f>
        <v>MITE</v>
      </c>
      <c r="B1656" t="str">
        <f ca="1">'Query Example'!D1656</f>
        <v>LandPlane</v>
      </c>
      <c r="C1656" s="11" t="str">
        <f>CONCATENATE(Sheet2!F1656,"/",Sheet2!E1656)</f>
        <v>1/Piston</v>
      </c>
      <c r="D1656" t="str">
        <f>CONCATENATE(Sheet2!B1656,", ",Sheet2!C1656)</f>
        <v>MOONEY, M-18 Mite</v>
      </c>
    </row>
    <row r="1657" spans="1:4" x14ac:dyDescent="0.2">
      <c r="A1657" t="str">
        <f>Sheet2!A1657</f>
        <v>MJ10</v>
      </c>
      <c r="B1657" t="str">
        <f ca="1">'Query Example'!D1657</f>
        <v>LandPlane</v>
      </c>
      <c r="C1657" s="11" t="str">
        <f>CONCATENATE(Sheet2!F1657,"/",Sheet2!E1657)</f>
        <v>1/Piston</v>
      </c>
      <c r="D1657" t="str">
        <f>CONCATENATE(Sheet2!B1657,", ",Sheet2!C1657)</f>
        <v>JURCA, MJ-10 Spit</v>
      </c>
    </row>
    <row r="1658" spans="1:4" x14ac:dyDescent="0.2">
      <c r="A1658" t="str">
        <f>Sheet2!A1658</f>
        <v>MJ12</v>
      </c>
      <c r="B1658" t="str">
        <f ca="1">'Query Example'!D1658</f>
        <v>LandPlane</v>
      </c>
      <c r="C1658" s="11" t="str">
        <f>CONCATENATE(Sheet2!F1658,"/",Sheet2!E1658)</f>
        <v>1/Piston</v>
      </c>
      <c r="D1658" t="str">
        <f>CONCATENATE(Sheet2!B1658,", ",Sheet2!C1658)</f>
        <v>JURCA, MJ-12 P-40</v>
      </c>
    </row>
    <row r="1659" spans="1:4" x14ac:dyDescent="0.2">
      <c r="A1659" t="str">
        <f>Sheet2!A1659</f>
        <v>MJ1H</v>
      </c>
      <c r="B1659" t="str">
        <f ca="1">'Query Example'!D1659</f>
        <v>LandPlane</v>
      </c>
      <c r="C1659" s="11" t="str">
        <f>CONCATENATE(Sheet2!F1659,"/",Sheet2!E1659)</f>
        <v>1/Piston</v>
      </c>
      <c r="D1659" t="str">
        <f>CONCATENATE(Sheet2!B1659,", ",Sheet2!C1659)</f>
        <v>JURCA, MJ-100 Spitfire Replica</v>
      </c>
    </row>
    <row r="1660" spans="1:4" x14ac:dyDescent="0.2">
      <c r="A1660" t="str">
        <f>Sheet2!A1660</f>
        <v>MJ2</v>
      </c>
      <c r="B1660" t="str">
        <f ca="1">'Query Example'!D1660</f>
        <v>LandPlane</v>
      </c>
      <c r="C1660" s="11" t="str">
        <f>CONCATENATE(Sheet2!F1660,"/",Sheet2!E1660)</f>
        <v>1/Piston</v>
      </c>
      <c r="D1660" t="str">
        <f>CONCATENATE(Sheet2!B1660,", ",Sheet2!C1660)</f>
        <v>JURCA, MJ-2 Tempête</v>
      </c>
    </row>
    <row r="1661" spans="1:4" x14ac:dyDescent="0.2">
      <c r="A1661" t="str">
        <f>Sheet2!A1661</f>
        <v>MJ3</v>
      </c>
      <c r="B1661" t="str">
        <f ca="1">'Query Example'!D1661</f>
        <v>LandPlane</v>
      </c>
      <c r="C1661" s="11" t="str">
        <f>CONCATENATE(Sheet2!F1661,"/",Sheet2!E1661)</f>
        <v>1/Piston</v>
      </c>
      <c r="D1661" t="str">
        <f>CONCATENATE(Sheet2!B1661,", ",Sheet2!C1661)</f>
        <v>JURCA, MJ-3 Dart</v>
      </c>
    </row>
    <row r="1662" spans="1:4" x14ac:dyDescent="0.2">
      <c r="A1662" t="str">
        <f>Sheet2!A1662</f>
        <v>MJ4</v>
      </c>
      <c r="B1662" t="str">
        <f ca="1">'Query Example'!D1662</f>
        <v>LandPlane</v>
      </c>
      <c r="C1662" s="11" t="str">
        <f>CONCATENATE(Sheet2!F1662,"/",Sheet2!E1662)</f>
        <v>1/Piston</v>
      </c>
      <c r="D1662" t="str">
        <f>CONCATENATE(Sheet2!B1662,", ",Sheet2!C1662)</f>
        <v>JURCA, MJ-4 Shadow</v>
      </c>
    </row>
    <row r="1663" spans="1:4" x14ac:dyDescent="0.2">
      <c r="A1663" t="str">
        <f>Sheet2!A1663</f>
        <v>MJ5</v>
      </c>
      <c r="B1663" t="str">
        <f ca="1">'Query Example'!D1663</f>
        <v>LandPlane</v>
      </c>
      <c r="C1663" s="11" t="str">
        <f>CONCATENATE(Sheet2!F1663,"/",Sheet2!E1663)</f>
        <v>1/Piston</v>
      </c>
      <c r="D1663" t="str">
        <f>CONCATENATE(Sheet2!B1663,", ",Sheet2!C1663)</f>
        <v>JURCA, MJ-5 Sirocco</v>
      </c>
    </row>
    <row r="1664" spans="1:4" x14ac:dyDescent="0.2">
      <c r="A1664" t="str">
        <f>Sheet2!A1664</f>
        <v>MJ53</v>
      </c>
      <c r="B1664" t="str">
        <f ca="1">'Query Example'!D1664</f>
        <v>LandPlane</v>
      </c>
      <c r="C1664" s="11" t="str">
        <f>CONCATENATE(Sheet2!F1664,"/",Sheet2!E1664)</f>
        <v>1/Piston</v>
      </c>
      <c r="D1664" t="str">
        <f>CONCATENATE(Sheet2!B1664,", ",Sheet2!C1664)</f>
        <v>JURCA, MJ-53 Autan</v>
      </c>
    </row>
    <row r="1665" spans="1:4" x14ac:dyDescent="0.2">
      <c r="A1665" t="str">
        <f>Sheet2!A1665</f>
        <v>MJ55</v>
      </c>
      <c r="B1665" t="str">
        <f ca="1">'Query Example'!D1665</f>
        <v>LandPlane</v>
      </c>
      <c r="C1665" s="11" t="str">
        <f>CONCATENATE(Sheet2!F1665,"/",Sheet2!E1665)</f>
        <v>1/Piston</v>
      </c>
      <c r="D1665" t="str">
        <f>CONCATENATE(Sheet2!B1665,", ",Sheet2!C1665)</f>
        <v>JURCA, MJ-55 Biso</v>
      </c>
    </row>
    <row r="1666" spans="1:4" x14ac:dyDescent="0.2">
      <c r="A1666" t="str">
        <f>Sheet2!A1666</f>
        <v>MJ7</v>
      </c>
      <c r="B1666" t="str">
        <f ca="1">'Query Example'!D1666</f>
        <v>LandPlane</v>
      </c>
      <c r="C1666" s="11" t="str">
        <f>CONCATENATE(Sheet2!F1666,"/",Sheet2!E1666)</f>
        <v>1/Piston</v>
      </c>
      <c r="D1666" t="str">
        <f>CONCATENATE(Sheet2!B1666,", ",Sheet2!C1666)</f>
        <v>JURCA, MJ-7 Gnatsum</v>
      </c>
    </row>
    <row r="1667" spans="1:4" x14ac:dyDescent="0.2">
      <c r="A1667" t="str">
        <f>Sheet2!A1667</f>
        <v>MJ77</v>
      </c>
      <c r="B1667" t="str">
        <f ca="1">'Query Example'!D1667</f>
        <v>LandPlane</v>
      </c>
      <c r="C1667" s="11" t="str">
        <f>CONCATENATE(Sheet2!F1667,"/",Sheet2!E1667)</f>
        <v>1/Piston</v>
      </c>
      <c r="D1667" t="str">
        <f>CONCATENATE(Sheet2!B1667,", ",Sheet2!C1667)</f>
        <v>JURCA, MJ-77 Gnatsum</v>
      </c>
    </row>
    <row r="1668" spans="1:4" x14ac:dyDescent="0.2">
      <c r="A1668" t="str">
        <f>Sheet2!A1668</f>
        <v>MJ8</v>
      </c>
      <c r="B1668" t="str">
        <f ca="1">'Query Example'!D1668</f>
        <v>LandPlane</v>
      </c>
      <c r="C1668" s="11" t="str">
        <f>CONCATENATE(Sheet2!F1668,"/",Sheet2!E1668)</f>
        <v>1/Piston</v>
      </c>
      <c r="D1668" t="str">
        <f>CONCATENATE(Sheet2!B1668,", ",Sheet2!C1668)</f>
        <v>JURCA, MJ-8 1-Nine-0</v>
      </c>
    </row>
    <row r="1669" spans="1:4" x14ac:dyDescent="0.2">
      <c r="A1669" t="str">
        <f>Sheet2!A1669</f>
        <v>MJ80</v>
      </c>
      <c r="B1669" t="str">
        <f ca="1">'Query Example'!D1669</f>
        <v>LandPlane</v>
      </c>
      <c r="C1669" s="11" t="str">
        <f>CONCATENATE(Sheet2!F1669,"/",Sheet2!E1669)</f>
        <v>1/Piston</v>
      </c>
      <c r="D1669" t="str">
        <f>CONCATENATE(Sheet2!B1669,", ",Sheet2!C1669)</f>
        <v>JURCA, MJ-80 Focke-Wulf Fw-190 Replica</v>
      </c>
    </row>
    <row r="1670" spans="1:4" x14ac:dyDescent="0.2">
      <c r="A1670" t="str">
        <f>Sheet2!A1670</f>
        <v>MJ9</v>
      </c>
      <c r="B1670" t="str">
        <f ca="1">'Query Example'!D1670</f>
        <v>LandPlane</v>
      </c>
      <c r="C1670" s="11" t="str">
        <f>CONCATENATE(Sheet2!F1670,"/",Sheet2!E1670)</f>
        <v>1/Piston</v>
      </c>
      <c r="D1670" t="str">
        <f>CONCATENATE(Sheet2!B1670,", ",Sheet2!C1670)</f>
        <v>JURCA, MJ-9</v>
      </c>
    </row>
    <row r="1671" spans="1:4" x14ac:dyDescent="0.2">
      <c r="A1671" t="str">
        <f>Sheet2!A1671</f>
        <v>MJ90</v>
      </c>
      <c r="B1671" t="str">
        <f ca="1">'Query Example'!D1671</f>
        <v>LandPlane</v>
      </c>
      <c r="C1671" s="11" t="str">
        <f>CONCATENATE(Sheet2!F1671,"/",Sheet2!E1671)</f>
        <v>1/Piston</v>
      </c>
      <c r="D1671" t="str">
        <f>CONCATENATE(Sheet2!B1671,", ",Sheet2!C1671)</f>
        <v>JURCA, MJ-90 Messerschmitt Bf-109 Replica</v>
      </c>
    </row>
    <row r="1672" spans="1:4" x14ac:dyDescent="0.2">
      <c r="A1672" t="str">
        <f>Sheet2!A1672</f>
        <v>MLER</v>
      </c>
      <c r="B1672" t="str">
        <f ca="1">'Query Example'!D1672</f>
        <v>LandPlane</v>
      </c>
      <c r="C1672" s="11" t="str">
        <f>CONCATENATE(Sheet2!F1672,"/",Sheet2!E1672)</f>
        <v>1/Piston</v>
      </c>
      <c r="D1672" t="str">
        <f>CONCATENATE(Sheet2!B1672,", ",Sheet2!C1672)</f>
        <v>ALANNE, Moottori-Lerche</v>
      </c>
    </row>
    <row r="1673" spans="1:4" x14ac:dyDescent="0.2">
      <c r="A1673" t="str">
        <f>Sheet2!A1673</f>
        <v>MM14</v>
      </c>
      <c r="B1673" t="str">
        <f ca="1">'Query Example'!D1673</f>
        <v>Gyrocopter</v>
      </c>
      <c r="C1673" s="11" t="str">
        <f>CONCATENATE(Sheet2!F1673,"/",Sheet2!E1673)</f>
        <v>1/Piston</v>
      </c>
      <c r="D1673" t="str">
        <f>CONCATENATE(Sheet2!B1673,", ",Sheet2!C1673)</f>
        <v>MAGNI, M-14 Scout</v>
      </c>
    </row>
    <row r="1674" spans="1:4" x14ac:dyDescent="0.2">
      <c r="A1674" t="str">
        <f>Sheet2!A1674</f>
        <v>MM16</v>
      </c>
      <c r="B1674" t="str">
        <f ca="1">'Query Example'!D1674</f>
        <v>Gyrocopter</v>
      </c>
      <c r="C1674" s="11" t="str">
        <f>CONCATENATE(Sheet2!F1674,"/",Sheet2!E1674)</f>
        <v>1/Piston</v>
      </c>
      <c r="D1674" t="str">
        <f>CONCATENATE(Sheet2!B1674,", ",Sheet2!C1674)</f>
        <v>MAGNI, M-16 Tandem Trainer</v>
      </c>
    </row>
    <row r="1675" spans="1:4" x14ac:dyDescent="0.2">
      <c r="A1675" t="str">
        <f>Sheet2!A1675</f>
        <v>MM19</v>
      </c>
      <c r="B1675" t="str">
        <f ca="1">'Query Example'!D1675</f>
        <v>Gyrocopter</v>
      </c>
      <c r="C1675" s="11" t="str">
        <f>CONCATENATE(Sheet2!F1675,"/",Sheet2!E1675)</f>
        <v>1/Piston</v>
      </c>
      <c r="D1675" t="str">
        <f>CONCATENATE(Sheet2!B1675,", ",Sheet2!C1675)</f>
        <v>MAGNI, M-19 Shark</v>
      </c>
    </row>
    <row r="1676" spans="1:4" x14ac:dyDescent="0.2">
      <c r="A1676" t="str">
        <f>Sheet2!A1676</f>
        <v>MM21</v>
      </c>
      <c r="B1676" t="str">
        <f ca="1">'Query Example'!D1676</f>
        <v>Gyrocopter</v>
      </c>
      <c r="C1676" s="11" t="str">
        <f>CONCATENATE(Sheet2!F1676,"/",Sheet2!E1676)</f>
        <v>1/Piston</v>
      </c>
      <c r="D1676" t="str">
        <f>CONCATENATE(Sheet2!B1676,", ",Sheet2!C1676)</f>
        <v>MAGNI, M-21</v>
      </c>
    </row>
    <row r="1677" spans="1:4" x14ac:dyDescent="0.2">
      <c r="A1677" t="str">
        <f>Sheet2!A1677</f>
        <v>MM22</v>
      </c>
      <c r="B1677" t="str">
        <f ca="1">'Query Example'!D1677</f>
        <v>Gyrocopter</v>
      </c>
      <c r="C1677" s="11" t="str">
        <f>CONCATENATE(Sheet2!F1677,"/",Sheet2!E1677)</f>
        <v>1/Piston</v>
      </c>
      <c r="D1677" t="str">
        <f>CONCATENATE(Sheet2!B1677,", ",Sheet2!C1677)</f>
        <v>MAGNI, M-22 Voyager</v>
      </c>
    </row>
    <row r="1678" spans="1:4" x14ac:dyDescent="0.2">
      <c r="A1678" t="str">
        <f>Sheet2!A1678</f>
        <v>MM24</v>
      </c>
      <c r="B1678" t="str">
        <f ca="1">'Query Example'!D1678</f>
        <v>Gyrocopter</v>
      </c>
      <c r="C1678" s="11" t="str">
        <f>CONCATENATE(Sheet2!F1678,"/",Sheet2!E1678)</f>
        <v>1/Piston</v>
      </c>
      <c r="D1678" t="str">
        <f>CONCATENATE(Sheet2!B1678,", ",Sheet2!C1678)</f>
        <v>MAGNI, M-24 Orion</v>
      </c>
    </row>
    <row r="1679" spans="1:4" x14ac:dyDescent="0.2">
      <c r="A1679" t="str">
        <f>Sheet2!A1679</f>
        <v>MMAC</v>
      </c>
      <c r="B1679" t="str">
        <f ca="1">'Query Example'!D1679</f>
        <v>LandPlane</v>
      </c>
      <c r="C1679" s="11" t="str">
        <f>CONCATENATE(Sheet2!F1679,"/",Sheet2!E1679)</f>
        <v>1/Piston</v>
      </c>
      <c r="D1679" t="str">
        <f>CONCATENATE(Sheet2!B1679,", ",Sheet2!C1679)</f>
        <v>MCCARLEY, Mini-Mac</v>
      </c>
    </row>
    <row r="1680" spans="1:4" x14ac:dyDescent="0.2">
      <c r="A1680" t="str">
        <f>Sheet2!A1680</f>
        <v>MMAX</v>
      </c>
      <c r="B1680" t="str">
        <f ca="1">'Query Example'!D1680</f>
        <v>Gyrocopter</v>
      </c>
      <c r="C1680" s="11" t="str">
        <f>CONCATENATE(Sheet2!F1680,"/",Sheet2!E1680)</f>
        <v>1/Piston</v>
      </c>
      <c r="D1680" t="str">
        <f>CONCATENATE(Sheet2!B1680,", ",Sheet2!C1680)</f>
        <v>MAD MAX AERO, Mad Max</v>
      </c>
    </row>
    <row r="1681" spans="1:4" x14ac:dyDescent="0.2">
      <c r="A1681" t="str">
        <f>Sheet2!A1681</f>
        <v>MMUT</v>
      </c>
      <c r="B1681" t="str">
        <f ca="1">'Query Example'!D1681</f>
        <v>LandPlane</v>
      </c>
      <c r="C1681" s="11" t="str">
        <f>CONCATENATE(Sheet2!F1681,"/",Sheet2!E1681)</f>
        <v>1/Piston</v>
      </c>
      <c r="D1681" t="str">
        <f>CONCATENATE(Sheet2!B1681,", ",Sheet2!C1681)</f>
        <v>MARA WING, L-1 Malamut</v>
      </c>
    </row>
    <row r="1682" spans="1:4" x14ac:dyDescent="0.2">
      <c r="A1682" t="str">
        <f>Sheet2!A1682</f>
        <v>MNEX</v>
      </c>
      <c r="B1682" t="str">
        <f ca="1">'Query Example'!D1682</f>
        <v>LandPlane</v>
      </c>
      <c r="C1682" s="11" t="str">
        <f>CONCATENATE(Sheet2!F1682,"/",Sheet2!E1682)</f>
        <v>1/Piston</v>
      </c>
      <c r="D1682" t="str">
        <f>CONCATENATE(Sheet2!B1682,", ",Sheet2!C1682)</f>
        <v>NORMAN, Nordic 8 Mini Explorer</v>
      </c>
    </row>
    <row r="1683" spans="1:4" x14ac:dyDescent="0.2">
      <c r="A1683" t="str">
        <f>Sheet2!A1683</f>
        <v>MOCU</v>
      </c>
      <c r="B1683" t="str">
        <f ca="1">'Query Example'!D1683</f>
        <v>LandPlane</v>
      </c>
      <c r="C1683" s="11" t="str">
        <f>CONCATENATE(Sheet2!F1683,"/",Sheet2!E1683)</f>
        <v>1/Piston</v>
      </c>
      <c r="D1683" t="str">
        <f>CONCATENATE(Sheet2!B1683,", ",Sheet2!C1683)</f>
        <v>CULP, MonoCulp</v>
      </c>
    </row>
    <row r="1684" spans="1:4" x14ac:dyDescent="0.2">
      <c r="A1684" t="str">
        <f>Sheet2!A1684</f>
        <v>MOGO</v>
      </c>
      <c r="B1684" t="str">
        <f ca="1">'Query Example'!D1684</f>
        <v>LandPlane</v>
      </c>
      <c r="C1684" s="11" t="str">
        <f>CONCATENATE(Sheet2!F1684,"/",Sheet2!E1684)</f>
        <v>1/Piston</v>
      </c>
      <c r="D1684" t="str">
        <f>CONCATENATE(Sheet2!B1684,", ",Sheet2!C1684)</f>
        <v>KINETIC, Mountain Goat</v>
      </c>
    </row>
    <row r="1685" spans="1:4" x14ac:dyDescent="0.2">
      <c r="A1685" t="str">
        <f>Sheet2!A1685</f>
        <v>MOL1</v>
      </c>
      <c r="B1685" t="str">
        <f ca="1">'Query Example'!D1685</f>
        <v>LandPlane</v>
      </c>
      <c r="C1685" s="11" t="str">
        <f>CONCATENATE(Sheet2!F1685,"/",Sheet2!E1685)</f>
        <v>1/Piston</v>
      </c>
      <c r="D1685" t="str">
        <f>CONCATENATE(Sheet2!B1685,", ",Sheet2!C1685)</f>
        <v>MOLNIYA, 1</v>
      </c>
    </row>
    <row r="1686" spans="1:4" x14ac:dyDescent="0.2">
      <c r="A1686" t="str">
        <f>Sheet2!A1686</f>
        <v>MONA</v>
      </c>
      <c r="B1686" t="str">
        <f ca="1">'Query Example'!D1686</f>
        <v>LandPlane</v>
      </c>
      <c r="C1686" s="11" t="str">
        <f>CONCATENATE(Sheet2!F1686,"/",Sheet2!E1686)</f>
        <v>1/Piston</v>
      </c>
      <c r="D1686" t="str">
        <f>CONCATENATE(Sheet2!B1686,", ",Sheet2!C1686)</f>
        <v>MILES, M-17 Monarch</v>
      </c>
    </row>
    <row r="1687" spans="1:4" x14ac:dyDescent="0.2">
      <c r="A1687" t="str">
        <f>Sheet2!A1687</f>
        <v>MONI</v>
      </c>
      <c r="B1687" t="str">
        <f ca="1">'Query Example'!D1687</f>
        <v>LandPlane</v>
      </c>
      <c r="C1687" s="11" t="str">
        <f>CONCATENATE(Sheet2!F1687,"/",Sheet2!E1687)</f>
        <v>1/Piston</v>
      </c>
      <c r="D1687" t="str">
        <f>CONCATENATE(Sheet2!B1687,", ",Sheet2!C1687)</f>
        <v>MONNETT, Moni</v>
      </c>
    </row>
    <row r="1688" spans="1:4" x14ac:dyDescent="0.2">
      <c r="A1688" t="str">
        <f>Sheet2!A1688</f>
        <v>MOR2</v>
      </c>
      <c r="B1688" t="str">
        <f ca="1">'Query Example'!D1688</f>
        <v>LandPlane</v>
      </c>
      <c r="C1688" s="11" t="str">
        <f>CONCATENATE(Sheet2!F1688,"/",Sheet2!E1688)</f>
        <v>1/Piston</v>
      </c>
      <c r="D1688" t="str">
        <f>CONCATENATE(Sheet2!B1688,", ",Sheet2!C1688)</f>
        <v>VARGA, 2150 Kachina</v>
      </c>
    </row>
    <row r="1689" spans="1:4" x14ac:dyDescent="0.2">
      <c r="A1689" t="str">
        <f>Sheet2!A1689</f>
        <v>MOSP</v>
      </c>
      <c r="B1689" t="str">
        <f ca="1">'Query Example'!D1689</f>
        <v>LandPlane</v>
      </c>
      <c r="C1689" s="11" t="str">
        <f>CONCATENATE(Sheet2!F1689,"/",Sheet2!E1689)</f>
        <v>1/Piston</v>
      </c>
      <c r="D1689" t="str">
        <f>CONCATENATE(Sheet2!B1689,", ",Sheet2!C1689)</f>
        <v>MONG, Sport</v>
      </c>
    </row>
    <row r="1690" spans="1:4" x14ac:dyDescent="0.2">
      <c r="A1690" t="str">
        <f>Sheet2!A1690</f>
        <v>MOSQ</v>
      </c>
      <c r="B1690" t="str">
        <f ca="1">'Query Example'!D1690</f>
        <v>LandPlane</v>
      </c>
      <c r="C1690" s="11" t="str">
        <f>CONCATENATE(Sheet2!F1690,"/",Sheet2!E1690)</f>
        <v>2/Piston</v>
      </c>
      <c r="D1690" t="str">
        <f>CONCATENATE(Sheet2!B1690,", ",Sheet2!C1690)</f>
        <v>DE HAVILLAND, DH-98 Mosquito</v>
      </c>
    </row>
    <row r="1691" spans="1:4" x14ac:dyDescent="0.2">
      <c r="A1691" t="str">
        <f>Sheet2!A1691</f>
        <v>MOTO</v>
      </c>
      <c r="B1691" t="str">
        <f ca="1">'Query Example'!D1691</f>
        <v>LandPlane</v>
      </c>
      <c r="C1691" s="11" t="str">
        <f>CONCATENATE(Sheet2!F1691,"/",Sheet2!E1691)</f>
        <v>1/Piston</v>
      </c>
      <c r="D1691" t="str">
        <f>CONCATENATE(Sheet2!B1691,", ",Sheet2!C1691)</f>
        <v>HUMBERT, Moto Du Ciel</v>
      </c>
    </row>
    <row r="1692" spans="1:4" x14ac:dyDescent="0.2">
      <c r="A1692" t="str">
        <f>Sheet2!A1692</f>
        <v>MP02</v>
      </c>
      <c r="B1692" t="str">
        <f ca="1">'Query Example'!D1692</f>
        <v>LandPlane</v>
      </c>
      <c r="C1692" s="11" t="str">
        <f>CONCATENATE(Sheet2!F1692,"/",Sheet2!E1692)</f>
        <v>1/Piston</v>
      </c>
      <c r="D1692" t="str">
        <f>CONCATENATE(Sheet2!B1692,", ",Sheet2!C1692)</f>
        <v>AERO-KROS, MP-02 Czajka</v>
      </c>
    </row>
    <row r="1693" spans="1:4" x14ac:dyDescent="0.2">
      <c r="A1693" t="str">
        <f>Sheet2!A1693</f>
        <v>MP20</v>
      </c>
      <c r="B1693" t="str">
        <f ca="1">'Query Example'!D1693</f>
        <v>LandPlane</v>
      </c>
      <c r="C1693" s="11" t="str">
        <f>CONCATENATE(Sheet2!F1693,"/",Sheet2!E1693)</f>
        <v>1/Piston</v>
      </c>
      <c r="D1693" t="str">
        <f>CONCATENATE(Sheet2!B1693,", ",Sheet2!C1693)</f>
        <v>PLAN, MP-205 Busard</v>
      </c>
    </row>
    <row r="1694" spans="1:4" x14ac:dyDescent="0.2">
      <c r="A1694" t="str">
        <f>Sheet2!A1694</f>
        <v>MR25</v>
      </c>
      <c r="B1694" t="str">
        <f ca="1">'Query Example'!D1694</f>
        <v>LandPlane</v>
      </c>
      <c r="C1694" s="11" t="str">
        <f>CONCATENATE(Sheet2!F1694,"/",Sheet2!E1694)</f>
        <v>1/Piston</v>
      </c>
      <c r="D1694" t="str">
        <f>CONCATENATE(Sheet2!B1694,", ",Sheet2!C1694)</f>
        <v>MURPHY, SR-2500 Super Rebel</v>
      </c>
    </row>
    <row r="1695" spans="1:4" x14ac:dyDescent="0.2">
      <c r="A1695" t="str">
        <f>Sheet2!A1695</f>
        <v>MR35</v>
      </c>
      <c r="B1695" t="str">
        <f ca="1">'Query Example'!D1695</f>
        <v>LandPlane</v>
      </c>
      <c r="C1695" s="11" t="str">
        <f>CONCATENATE(Sheet2!F1695,"/",Sheet2!E1695)</f>
        <v>1/Piston</v>
      </c>
      <c r="D1695" t="str">
        <f>CONCATENATE(Sheet2!B1695,", ",Sheet2!C1695)</f>
        <v>MURPHY, SR-3500 Moose</v>
      </c>
    </row>
    <row r="1696" spans="1:4" x14ac:dyDescent="0.2">
      <c r="A1696" t="str">
        <f>Sheet2!A1696</f>
        <v>MR3T</v>
      </c>
      <c r="B1696" t="str">
        <f ca="1">'Query Example'!D1696</f>
        <v>LandPlane</v>
      </c>
      <c r="C1696" s="11" t="str">
        <f>CONCATENATE(Sheet2!F1696,"/",Sheet2!E1696)</f>
        <v>1/Turboprop/Turboshaft</v>
      </c>
      <c r="D1696" t="str">
        <f>CONCATENATE(Sheet2!B1696,", ",Sheet2!C1696)</f>
        <v>MURPHY, SR-3500 T-Moose</v>
      </c>
    </row>
    <row r="1697" spans="1:4" x14ac:dyDescent="0.2">
      <c r="A1697" t="str">
        <f>Sheet2!A1697</f>
        <v>MRAI</v>
      </c>
      <c r="B1697" t="str">
        <f ca="1">'Query Example'!D1697</f>
        <v>LandPlane</v>
      </c>
      <c r="C1697" s="11" t="str">
        <f>CONCATENATE(Sheet2!F1697,"/",Sheet2!E1697)</f>
        <v>1/Piston</v>
      </c>
      <c r="D1697" t="str">
        <f>CONCATENATE(Sheet2!B1697,", ",Sheet2!C1697)</f>
        <v>MONNETT, Monerai P</v>
      </c>
    </row>
    <row r="1698" spans="1:4" x14ac:dyDescent="0.2">
      <c r="A1698" t="str">
        <f>Sheet2!A1698</f>
        <v>MRAM</v>
      </c>
      <c r="B1698" t="str">
        <f ca="1">'Query Example'!D1698</f>
        <v>LandPlane</v>
      </c>
      <c r="C1698" s="11" t="str">
        <f>CONCATENATE(Sheet2!F1698,"/",Sheet2!E1698)</f>
        <v>1/Piston</v>
      </c>
      <c r="D1698" t="str">
        <f>CONCATENATE(Sheet2!B1698,", ",Sheet2!C1698)</f>
        <v>HARMON (1), 1-2 Mister America</v>
      </c>
    </row>
    <row r="1699" spans="1:4" x14ac:dyDescent="0.2">
      <c r="A1699" t="str">
        <f>Sheet2!A1699</f>
        <v>MRF1</v>
      </c>
      <c r="B1699" t="str">
        <f ca="1">'Query Example'!D1699</f>
        <v>LandPlane</v>
      </c>
      <c r="C1699" s="11" t="str">
        <f>CONCATENATE(Sheet2!F1699,"/",Sheet2!E1699)</f>
        <v>1/Jet</v>
      </c>
      <c r="D1699" t="str">
        <f>CONCATENATE(Sheet2!B1699,", ",Sheet2!C1699)</f>
        <v>DASSAULT, Mirage F1</v>
      </c>
    </row>
    <row r="1700" spans="1:4" x14ac:dyDescent="0.2">
      <c r="A1700" t="str">
        <f>Sheet2!A1700</f>
        <v>MRJ7</v>
      </c>
      <c r="B1700" t="str">
        <f ca="1">'Query Example'!D1700</f>
        <v>LandPlane</v>
      </c>
      <c r="C1700" s="11" t="str">
        <f>CONCATENATE(Sheet2!F1700,"/",Sheet2!E1700)</f>
        <v>2/Jet</v>
      </c>
      <c r="D1700" t="str">
        <f>CONCATENATE(Sheet2!B1700,", ",Sheet2!C1700)</f>
        <v>MITSUBISHI, MRJ-70</v>
      </c>
    </row>
    <row r="1701" spans="1:4" x14ac:dyDescent="0.2">
      <c r="A1701" t="str">
        <f>Sheet2!A1701</f>
        <v>MRJ9</v>
      </c>
      <c r="B1701" t="str">
        <f ca="1">'Query Example'!D1701</f>
        <v>LandPlane</v>
      </c>
      <c r="C1701" s="11" t="str">
        <f>CONCATENATE(Sheet2!F1701,"/",Sheet2!E1701)</f>
        <v>2/Jet</v>
      </c>
      <c r="D1701" t="str">
        <f>CONCATENATE(Sheet2!B1701,", ",Sheet2!C1701)</f>
        <v>MITSUBISHI, MRJ-90</v>
      </c>
    </row>
    <row r="1702" spans="1:4" x14ac:dyDescent="0.2">
      <c r="A1702" t="str">
        <f>Sheet2!A1702</f>
        <v>MRMD</v>
      </c>
      <c r="B1702" t="str">
        <f ca="1">'Query Example'!D1702</f>
        <v>Amphibian</v>
      </c>
      <c r="C1702" s="11" t="str">
        <f>CONCATENATE(Sheet2!F1702,"/",Sheet2!E1702)</f>
        <v>1/Piston</v>
      </c>
      <c r="D1702" t="str">
        <f>CONCATENATE(Sheet2!B1702,", ",Sheet2!C1702)</f>
        <v>CZAW, Mermaid</v>
      </c>
    </row>
    <row r="1703" spans="1:4" x14ac:dyDescent="0.2">
      <c r="A1703" t="str">
        <f>Sheet2!A1703</f>
        <v>MRTN</v>
      </c>
      <c r="B1703" t="str">
        <f ca="1">'Query Example'!D1703</f>
        <v>LandPlane</v>
      </c>
      <c r="C1703" s="11" t="str">
        <f>CONCATENATE(Sheet2!F1703,"/",Sheet2!E1703)</f>
        <v>1/Piston</v>
      </c>
      <c r="D1703" t="str">
        <f>CONCATENATE(Sheet2!B1703,", ",Sheet2!C1703)</f>
        <v>MIRAGE, Marathon</v>
      </c>
    </row>
    <row r="1704" spans="1:4" x14ac:dyDescent="0.2">
      <c r="A1704" t="str">
        <f>Sheet2!A1704</f>
        <v>MS1</v>
      </c>
      <c r="B1704" t="str">
        <f ca="1">'Query Example'!D1704</f>
        <v>LandPlane</v>
      </c>
      <c r="C1704" s="11" t="str">
        <f>CONCATENATE(Sheet2!F1704,"/",Sheet2!E1704)</f>
        <v>1/Piston</v>
      </c>
      <c r="D1704" t="str">
        <f>CONCATENATE(Sheet2!B1704,", ",Sheet2!C1704)</f>
        <v>MYSKY, MS-1</v>
      </c>
    </row>
    <row r="1705" spans="1:4" x14ac:dyDescent="0.2">
      <c r="A1705" t="str">
        <f>Sheet2!A1705</f>
        <v>MS18</v>
      </c>
      <c r="B1705" t="str">
        <f ca="1">'Query Example'!D1705</f>
        <v>LandPlane</v>
      </c>
      <c r="C1705" s="11" t="str">
        <f>CONCATENATE(Sheet2!F1705,"/",Sheet2!E1705)</f>
        <v>1/Piston</v>
      </c>
      <c r="D1705" t="str">
        <f>CONCATENATE(Sheet2!B1705,", ",Sheet2!C1705)</f>
        <v>SOCATA, MS-200FG Morane</v>
      </c>
    </row>
    <row r="1706" spans="1:4" x14ac:dyDescent="0.2">
      <c r="A1706" t="str">
        <f>Sheet2!A1706</f>
        <v>MS23</v>
      </c>
      <c r="B1706" t="str">
        <f ca="1">'Query Example'!D1706</f>
        <v>LandPlane</v>
      </c>
      <c r="C1706" s="11" t="str">
        <f>CONCATENATE(Sheet2!F1706,"/",Sheet2!E1706)</f>
        <v>1/Piston</v>
      </c>
      <c r="D1706" t="str">
        <f>CONCATENATE(Sheet2!B1706,", ",Sheet2!C1706)</f>
        <v>MORANE-SAULNIER, MS-230</v>
      </c>
    </row>
    <row r="1707" spans="1:4" x14ac:dyDescent="0.2">
      <c r="A1707" t="str">
        <f>Sheet2!A1707</f>
        <v>MS25</v>
      </c>
      <c r="B1707" t="str">
        <f ca="1">'Query Example'!D1707</f>
        <v>LandPlane</v>
      </c>
      <c r="C1707" s="11" t="str">
        <f>CONCATENATE(Sheet2!F1707,"/",Sheet2!E1707)</f>
        <v>1/Piston</v>
      </c>
      <c r="D1707" t="str">
        <f>CONCATENATE(Sheet2!B1707,", ",Sheet2!C1707)</f>
        <v>SOCATA, MS-200RG Morane</v>
      </c>
    </row>
    <row r="1708" spans="1:4" x14ac:dyDescent="0.2">
      <c r="A1708" t="str">
        <f>Sheet2!A1708</f>
        <v>MS30</v>
      </c>
      <c r="B1708" t="str">
        <f ca="1">'Query Example'!D1708</f>
        <v>LandPlane</v>
      </c>
      <c r="C1708" s="11" t="str">
        <f>CONCATENATE(Sheet2!F1708,"/",Sheet2!E1708)</f>
        <v>1/Piston</v>
      </c>
      <c r="D1708" t="str">
        <f>CONCATENATE(Sheet2!B1708,", ",Sheet2!C1708)</f>
        <v>SOCATA, MS-300 Epsilon 2</v>
      </c>
    </row>
    <row r="1709" spans="1:4" x14ac:dyDescent="0.2">
      <c r="A1709" t="str">
        <f>Sheet2!A1709</f>
        <v>MS31</v>
      </c>
      <c r="B1709" t="str">
        <f ca="1">'Query Example'!D1709</f>
        <v>LandPlane</v>
      </c>
      <c r="C1709" s="11" t="str">
        <f>CONCATENATE(Sheet2!F1709,"/",Sheet2!E1709)</f>
        <v>1/Piston</v>
      </c>
      <c r="D1709" t="str">
        <f>CONCATENATE(Sheet2!B1709,", ",Sheet2!C1709)</f>
        <v>MORANE-SAULNIER, MS-315</v>
      </c>
    </row>
    <row r="1710" spans="1:4" x14ac:dyDescent="0.2">
      <c r="A1710" t="str">
        <f>Sheet2!A1710</f>
        <v>MS73</v>
      </c>
      <c r="B1710" t="str">
        <f ca="1">'Query Example'!D1710</f>
        <v>LandPlane</v>
      </c>
      <c r="C1710" s="11" t="str">
        <f>CONCATENATE(Sheet2!F1710,"/",Sheet2!E1710)</f>
        <v>1/Piston</v>
      </c>
      <c r="D1710" t="str">
        <f>CONCATENATE(Sheet2!B1710,", ",Sheet2!C1710)</f>
        <v>MORANE-SAULNIER, MS-733 Alcyon</v>
      </c>
    </row>
    <row r="1711" spans="1:4" x14ac:dyDescent="0.2">
      <c r="A1711" t="str">
        <f>Sheet2!A1711</f>
        <v>MS76</v>
      </c>
      <c r="B1711" t="str">
        <f ca="1">'Query Example'!D1711</f>
        <v>LandPlane</v>
      </c>
      <c r="C1711" s="11" t="str">
        <f>CONCATENATE(Sheet2!F1711,"/",Sheet2!E1711)</f>
        <v>2/Jet</v>
      </c>
      <c r="D1711" t="str">
        <f>CONCATENATE(Sheet2!B1711,", ",Sheet2!C1711)</f>
        <v>MORANE-SAULNIER, MS-760 Paris</v>
      </c>
    </row>
    <row r="1712" spans="1:4" x14ac:dyDescent="0.2">
      <c r="A1712" t="str">
        <f>Sheet2!A1712</f>
        <v>MSAI</v>
      </c>
      <c r="B1712" t="str">
        <f ca="1">'Query Example'!D1712</f>
        <v>LandPlane</v>
      </c>
      <c r="C1712" s="11" t="str">
        <f>CONCATENATE(Sheet2!F1712,"/",Sheet2!E1712)</f>
        <v>1/Piston</v>
      </c>
      <c r="D1712" t="str">
        <f>CONCATENATE(Sheet2!B1712,", ",Sheet2!C1712)</f>
        <v>MORANE-SAULNIER, AI</v>
      </c>
    </row>
    <row r="1713" spans="1:4" x14ac:dyDescent="0.2">
      <c r="A1713" t="str">
        <f>Sheet2!A1713</f>
        <v>MSAI</v>
      </c>
      <c r="B1713" t="str">
        <f ca="1">'Query Example'!D1713</f>
        <v>LandPlane</v>
      </c>
      <c r="C1713" s="11" t="str">
        <f>CONCATENATE(Sheet2!F1713,"/",Sheet2!E1713)</f>
        <v>1/Piston</v>
      </c>
      <c r="D1713" t="str">
        <f>CONCATENATE(Sheet2!B1713,", ",Sheet2!C1713)</f>
        <v>MORANE-SAULNIER, MoS-27</v>
      </c>
    </row>
    <row r="1714" spans="1:4" x14ac:dyDescent="0.2">
      <c r="A1714" t="str">
        <f>Sheet2!A1714</f>
        <v>MSQ2</v>
      </c>
      <c r="B1714" t="str">
        <f ca="1">'Query Example'!D1714</f>
        <v>LandPlane</v>
      </c>
      <c r="C1714" s="11" t="str">
        <f>CONCATENATE(Sheet2!F1714,"/",Sheet2!E1714)</f>
        <v>1/Piston</v>
      </c>
      <c r="D1714" t="str">
        <f>CONCATENATE(Sheet2!B1714,", ",Sheet2!C1714)</f>
        <v>BACKCOUNTRY, Mackey SQ-2</v>
      </c>
    </row>
    <row r="1715" spans="1:4" x14ac:dyDescent="0.2">
      <c r="A1715" t="str">
        <f>Sheet2!A1715</f>
        <v>MT</v>
      </c>
      <c r="B1715" t="str">
        <f ca="1">'Query Example'!D1715</f>
        <v>Gyrocopter</v>
      </c>
      <c r="C1715" s="11" t="str">
        <f>CONCATENATE(Sheet2!F1715,"/",Sheet2!E1715)</f>
        <v>1/Piston</v>
      </c>
      <c r="D1715" t="str">
        <f>CONCATENATE(Sheet2!B1715,", ",Sheet2!C1715)</f>
        <v>ROTORSPORT, MT-03</v>
      </c>
    </row>
    <row r="1716" spans="1:4" x14ac:dyDescent="0.2">
      <c r="A1716" t="str">
        <f>Sheet2!A1716</f>
        <v>MU2</v>
      </c>
      <c r="B1716" t="str">
        <f ca="1">'Query Example'!D1716</f>
        <v>LandPlane</v>
      </c>
      <c r="C1716" s="11" t="str">
        <f>CONCATENATE(Sheet2!F1716,"/",Sheet2!E1716)</f>
        <v>2/Turboprop/Turboshaft</v>
      </c>
      <c r="D1716" t="str">
        <f>CONCATENATE(Sheet2!B1716,", ",Sheet2!C1716)</f>
        <v>MITSUBISHI, MU-2</v>
      </c>
    </row>
    <row r="1717" spans="1:4" x14ac:dyDescent="0.2">
      <c r="A1717" t="str">
        <f>Sheet2!A1717</f>
        <v>MU23</v>
      </c>
      <c r="B1717" t="str">
        <f ca="1">'Query Example'!D1717</f>
        <v>LandPlane</v>
      </c>
      <c r="C1717" s="11" t="str">
        <f>CONCATENATE(Sheet2!F1717,"/",Sheet2!E1717)</f>
        <v>1/Piston</v>
      </c>
      <c r="D1717" t="str">
        <f>CONCATENATE(Sheet2!B1717,", ",Sheet2!C1717)</f>
        <v>AKAFLIEG MUNCHEN, Mü-23 Saurier</v>
      </c>
    </row>
    <row r="1718" spans="1:4" x14ac:dyDescent="0.2">
      <c r="A1718" t="str">
        <f>Sheet2!A1718</f>
        <v>MU30</v>
      </c>
      <c r="B1718" t="str">
        <f ca="1">'Query Example'!D1718</f>
        <v>LandPlane</v>
      </c>
      <c r="C1718" s="11" t="str">
        <f>CONCATENATE(Sheet2!F1718,"/",Sheet2!E1718)</f>
        <v>2/Jet</v>
      </c>
      <c r="D1718" t="str">
        <f>CONCATENATE(Sheet2!B1718,", ",Sheet2!C1718)</f>
        <v>MITSUBISHI, MU-300 Diamond</v>
      </c>
    </row>
    <row r="1719" spans="1:4" x14ac:dyDescent="0.2">
      <c r="A1719" t="str">
        <f>Sheet2!A1719</f>
        <v>MUS2</v>
      </c>
      <c r="B1719" t="str">
        <f ca="1">'Query Example'!D1719</f>
        <v>LandPlane</v>
      </c>
      <c r="C1719" s="11" t="str">
        <f>CONCATENATE(Sheet2!F1719,"/",Sheet2!E1719)</f>
        <v>1/Piston</v>
      </c>
      <c r="D1719" t="str">
        <f>CONCATENATE(Sheet2!B1719,", ",Sheet2!C1719)</f>
        <v>BUSHBY, M-2 Mustang 2</v>
      </c>
    </row>
    <row r="1720" spans="1:4" x14ac:dyDescent="0.2">
      <c r="A1720" t="str">
        <f>Sheet2!A1720</f>
        <v>MUS2</v>
      </c>
      <c r="B1720" t="str">
        <f ca="1">'Query Example'!D1720</f>
        <v>LandPlane</v>
      </c>
      <c r="C1720" s="11" t="str">
        <f>CONCATENATE(Sheet2!F1720,"/",Sheet2!E1720)</f>
        <v>1/Piston</v>
      </c>
      <c r="D1720" t="str">
        <f>CONCATENATE(Sheet2!B1720,", ",Sheet2!C1720)</f>
        <v>MUSTANG, M-2 Mustang 2</v>
      </c>
    </row>
    <row r="1721" spans="1:4" x14ac:dyDescent="0.2">
      <c r="A1721" t="str">
        <f>Sheet2!A1721</f>
        <v>MVN1</v>
      </c>
      <c r="B1721" t="str">
        <f ca="1">'Query Example'!D1721</f>
        <v>LandPlane</v>
      </c>
      <c r="C1721" s="11" t="str">
        <f>CONCATENATE(Sheet2!F1721,"/",Sheet2!E1721)</f>
        <v>1/Piston</v>
      </c>
      <c r="D1721" t="str">
        <f>CONCATENATE(Sheet2!B1721,", ",Sheet2!C1721)</f>
        <v>MVEN, 1 Fermer</v>
      </c>
    </row>
    <row r="1722" spans="1:4" x14ac:dyDescent="0.2">
      <c r="A1722" t="str">
        <f>Sheet2!A1722</f>
        <v>MVRK</v>
      </c>
      <c r="B1722" t="str">
        <f ca="1">'Query Example'!D1722</f>
        <v>LandPlane</v>
      </c>
      <c r="C1722" s="11" t="str">
        <f>CONCATENATE(Sheet2!F1722,"/",Sheet2!E1722)</f>
        <v>1/Piston</v>
      </c>
      <c r="D1722" t="str">
        <f>CONCATENATE(Sheet2!B1722,", ",Sheet2!C1722)</f>
        <v>PHOENIX (2), Maverick</v>
      </c>
    </row>
    <row r="1723" spans="1:4" x14ac:dyDescent="0.2">
      <c r="A1723" t="str">
        <f>Sheet2!A1723</f>
        <v>MX10</v>
      </c>
      <c r="B1723" t="str">
        <f ca="1">'Query Example'!D1723</f>
        <v>LandPlane</v>
      </c>
      <c r="C1723" s="11" t="str">
        <f>CONCATENATE(Sheet2!F1723,"/",Sheet2!E1723)</f>
        <v>1/Piston</v>
      </c>
      <c r="D1723" t="str">
        <f>CONCATENATE(Sheet2!B1723,", ",Sheet2!C1723)</f>
        <v>AEROTEC (2), MXP-100 Aventura</v>
      </c>
    </row>
    <row r="1724" spans="1:4" x14ac:dyDescent="0.2">
      <c r="A1724" t="str">
        <f>Sheet2!A1724</f>
        <v>MX1T</v>
      </c>
      <c r="B1724" t="str">
        <f ca="1">'Query Example'!D1724</f>
        <v>LandPlane</v>
      </c>
      <c r="C1724" s="11" t="str">
        <f>CONCATENATE(Sheet2!F1724,"/",Sheet2!E1724)</f>
        <v>1/Piston</v>
      </c>
      <c r="D1724" t="str">
        <f>CONCATENATE(Sheet2!B1724,", ",Sheet2!C1724)</f>
        <v>AEROANDINA, MXP-1000 Tayrona</v>
      </c>
    </row>
    <row r="1725" spans="1:4" x14ac:dyDescent="0.2">
      <c r="A1725" t="str">
        <f>Sheet2!A1725</f>
        <v>MX2</v>
      </c>
      <c r="B1725" t="str">
        <f ca="1">'Query Example'!D1725</f>
        <v>LandPlane</v>
      </c>
      <c r="C1725" s="11" t="str">
        <f>CONCATENATE(Sheet2!F1725,"/",Sheet2!E1725)</f>
        <v>1/Piston</v>
      </c>
      <c r="D1725" t="str">
        <f>CONCATENATE(Sheet2!B1725,", ",Sheet2!C1725)</f>
        <v>MXR, MX-2</v>
      </c>
    </row>
    <row r="1726" spans="1:4" x14ac:dyDescent="0.2">
      <c r="A1726" t="str">
        <f>Sheet2!A1726</f>
        <v>MX58</v>
      </c>
      <c r="B1726" t="str">
        <f ca="1">'Query Example'!D1726</f>
        <v>LandPlane</v>
      </c>
      <c r="C1726" s="11" t="str">
        <f>CONCATENATE(Sheet2!F1726,"/",Sheet2!E1726)</f>
        <v>1/Piston</v>
      </c>
      <c r="D1726" t="str">
        <f>CONCATENATE(Sheet2!B1726,", ",Sheet2!C1726)</f>
        <v>AEROANDINA, MXP-158 Embera</v>
      </c>
    </row>
    <row r="1727" spans="1:4" x14ac:dyDescent="0.2">
      <c r="A1727" t="str">
        <f>Sheet2!A1727</f>
        <v>MX65</v>
      </c>
      <c r="B1727" t="str">
        <f ca="1">'Query Example'!D1727</f>
        <v>LandPlane</v>
      </c>
      <c r="C1727" s="11" t="str">
        <f>CONCATENATE(Sheet2!F1727,"/",Sheet2!E1727)</f>
        <v>1/Piston</v>
      </c>
      <c r="D1727" t="str">
        <f>CONCATENATE(Sheet2!B1727,", ",Sheet2!C1727)</f>
        <v>AEROTEC (2), MXP-650 Amigo</v>
      </c>
    </row>
    <row r="1728" spans="1:4" x14ac:dyDescent="0.2">
      <c r="A1728" t="str">
        <f>Sheet2!A1728</f>
        <v>MX80</v>
      </c>
      <c r="B1728" t="str">
        <f ca="1">'Query Example'!D1728</f>
        <v>LandPlane</v>
      </c>
      <c r="C1728" s="11" t="str">
        <f>CONCATENATE(Sheet2!F1728,"/",Sheet2!E1728)</f>
        <v>1/Piston</v>
      </c>
      <c r="D1728" t="str">
        <f>CONCATENATE(Sheet2!B1728,", ",Sheet2!C1728)</f>
        <v>AEROTEC (2), MXP-800 Fantasy</v>
      </c>
    </row>
    <row r="1729" spans="1:4" x14ac:dyDescent="0.2">
      <c r="A1729" t="str">
        <f>Sheet2!A1729</f>
        <v>MXS</v>
      </c>
      <c r="B1729" t="str">
        <f ca="1">'Query Example'!D1729</f>
        <v>LandPlane</v>
      </c>
      <c r="C1729" s="11" t="str">
        <f>CONCATENATE(Sheet2!F1729,"/",Sheet2!E1729)</f>
        <v>1/Piston</v>
      </c>
      <c r="D1729" t="str">
        <f>CONCATENATE(Sheet2!B1729,", ",Sheet2!C1729)</f>
        <v>MXR, MXS</v>
      </c>
    </row>
    <row r="1730" spans="1:4" x14ac:dyDescent="0.2">
      <c r="A1730" t="str">
        <f>Sheet2!A1730</f>
        <v>MY12</v>
      </c>
      <c r="B1730" t="str">
        <f ca="1">'Query Example'!D1730</f>
        <v>LandPlane</v>
      </c>
      <c r="C1730" s="11" t="str">
        <f>CONCATENATE(Sheet2!F1730,"/",Sheet2!E1730)</f>
        <v>1/Piston</v>
      </c>
      <c r="D1730" t="str">
        <f>CONCATENATE(Sheet2!B1730,", ",Sheet2!C1730)</f>
        <v>MYLIUS, MY-102 Tornado</v>
      </c>
    </row>
    <row r="1731" spans="1:4" x14ac:dyDescent="0.2">
      <c r="A1731" t="str">
        <f>Sheet2!A1731</f>
        <v>MY13</v>
      </c>
      <c r="B1731" t="str">
        <f ca="1">'Query Example'!D1731</f>
        <v>LandPlane</v>
      </c>
      <c r="C1731" s="11" t="str">
        <f>CONCATENATE(Sheet2!F1731,"/",Sheet2!E1731)</f>
        <v>1/Piston</v>
      </c>
      <c r="D1731" t="str">
        <f>CONCATENATE(Sheet2!B1731,", ",Sheet2!C1731)</f>
        <v>MYLIUS, MY-103 Mistral</v>
      </c>
    </row>
    <row r="1732" spans="1:4" x14ac:dyDescent="0.2">
      <c r="A1732" t="str">
        <f>Sheet2!A1732</f>
        <v>MYA4</v>
      </c>
      <c r="B1732" t="str">
        <f ca="1">'Query Example'!D1732</f>
        <v>LandPlane</v>
      </c>
      <c r="C1732" s="11" t="str">
        <f>CONCATENATE(Sheet2!F1732,"/",Sheet2!E1732)</f>
        <v>4/Jet</v>
      </c>
      <c r="D1732" t="str">
        <f>CONCATENATE(Sheet2!B1732,", ",Sheet2!C1732)</f>
        <v>MYASISHCHEV, M-4</v>
      </c>
    </row>
    <row r="1733" spans="1:4" x14ac:dyDescent="0.2">
      <c r="A1733" t="str">
        <f>Sheet2!A1733</f>
        <v>MYS4</v>
      </c>
      <c r="B1733" t="str">
        <f ca="1">'Query Example'!D1733</f>
        <v>LandPlane</v>
      </c>
      <c r="C1733" s="11" t="str">
        <f>CONCATENATE(Sheet2!F1733,"/",Sheet2!E1733)</f>
        <v>1/Jet</v>
      </c>
      <c r="D1733" t="str">
        <f>CONCATENATE(Sheet2!B1733,", ",Sheet2!C1733)</f>
        <v>DASSAULT, MD-454A Mystère 4A</v>
      </c>
    </row>
    <row r="1734" spans="1:4" x14ac:dyDescent="0.2">
      <c r="A1734" t="str">
        <f>Sheet2!A1734</f>
        <v>N110</v>
      </c>
      <c r="B1734" t="str">
        <f ca="1">'Query Example'!D1734</f>
        <v>LandPlane</v>
      </c>
      <c r="C1734" s="11" t="str">
        <f>CONCATENATE(Sheet2!F1734,"/",Sheet2!E1734)</f>
        <v>1/Piston</v>
      </c>
      <c r="D1734" t="str">
        <f>CONCATENATE(Sheet2!B1734,", ",Sheet2!C1734)</f>
        <v>NORD, 1100 Noralpha</v>
      </c>
    </row>
    <row r="1735" spans="1:4" x14ac:dyDescent="0.2">
      <c r="A1735" t="str">
        <f>Sheet2!A1735</f>
        <v>N120</v>
      </c>
      <c r="B1735" t="str">
        <f ca="1">'Query Example'!D1735</f>
        <v>LandPlane</v>
      </c>
      <c r="C1735" s="11" t="str">
        <f>CONCATENATE(Sheet2!F1735,"/",Sheet2!E1735)</f>
        <v>1/Piston</v>
      </c>
      <c r="D1735" t="str">
        <f>CONCATENATE(Sheet2!B1735,", ",Sheet2!C1735)</f>
        <v>NORD, 1200 Norecrin</v>
      </c>
    </row>
    <row r="1736" spans="1:4" x14ac:dyDescent="0.2">
      <c r="A1736" t="str">
        <f>Sheet2!A1736</f>
        <v>N250</v>
      </c>
      <c r="B1736" t="str">
        <f ca="1">'Query Example'!D1736</f>
        <v>LandPlane</v>
      </c>
      <c r="C1736" s="11" t="str">
        <f>CONCATENATE(Sheet2!F1736,"/",Sheet2!E1736)</f>
        <v>2/Turboprop/Turboshaft</v>
      </c>
      <c r="D1736" t="str">
        <f>CONCATENATE(Sheet2!B1736,", ",Sheet2!C1736)</f>
        <v>NUSANTARA, N-250</v>
      </c>
    </row>
    <row r="1737" spans="1:4" x14ac:dyDescent="0.2">
      <c r="A1737" t="str">
        <f>Sheet2!A1737</f>
        <v>N260</v>
      </c>
      <c r="B1737" t="str">
        <f ca="1">'Query Example'!D1737</f>
        <v>LandPlane</v>
      </c>
      <c r="C1737" s="11" t="str">
        <f>CONCATENATE(Sheet2!F1737,"/",Sheet2!E1737)</f>
        <v>2/Turboprop/Turboshaft</v>
      </c>
      <c r="D1737" t="str">
        <f>CONCATENATE(Sheet2!B1737,", ",Sheet2!C1737)</f>
        <v>MAX HOLSTE, MH-260 Super Broussard</v>
      </c>
    </row>
    <row r="1738" spans="1:4" x14ac:dyDescent="0.2">
      <c r="A1738" t="str">
        <f>Sheet2!A1738</f>
        <v>N260</v>
      </c>
      <c r="B1738" t="str">
        <f ca="1">'Query Example'!D1738</f>
        <v>LandPlane</v>
      </c>
      <c r="C1738" s="11" t="str">
        <f>CONCATENATE(Sheet2!F1738,"/",Sheet2!E1738)</f>
        <v>2/Turboprop/Turboshaft</v>
      </c>
      <c r="D1738" t="str">
        <f>CONCATENATE(Sheet2!B1738,", ",Sheet2!C1738)</f>
        <v>NORD, 260 Super Broussard</v>
      </c>
    </row>
    <row r="1739" spans="1:4" x14ac:dyDescent="0.2">
      <c r="A1739" t="str">
        <f>Sheet2!A1739</f>
        <v>N262</v>
      </c>
      <c r="B1739" t="str">
        <f ca="1">'Query Example'!D1739</f>
        <v>LandPlane</v>
      </c>
      <c r="C1739" s="11" t="str">
        <f>CONCATENATE(Sheet2!F1739,"/",Sheet2!E1739)</f>
        <v>2/Turboprop/Turboshaft</v>
      </c>
      <c r="D1739" t="str">
        <f>CONCATENATE(Sheet2!B1739,", ",Sheet2!C1739)</f>
        <v>AEROSPATIALE, N-262</v>
      </c>
    </row>
    <row r="1740" spans="1:4" x14ac:dyDescent="0.2">
      <c r="A1740" t="str">
        <f>Sheet2!A1740</f>
        <v>N3</v>
      </c>
      <c r="B1740" t="str">
        <f ca="1">'Query Example'!D1740</f>
        <v>LandPlane</v>
      </c>
      <c r="C1740" s="11" t="str">
        <f>CONCATENATE(Sheet2!F1740,"/",Sheet2!E1740)</f>
        <v>1/Piston</v>
      </c>
      <c r="D1740" t="str">
        <f>CONCATENATE(Sheet2!B1740,", ",Sheet2!C1740)</f>
        <v>NOSTALGAIR, N-3 Citabriette</v>
      </c>
    </row>
    <row r="1741" spans="1:4" x14ac:dyDescent="0.2">
      <c r="A1741" t="str">
        <f>Sheet2!A1741</f>
        <v>N320</v>
      </c>
      <c r="B1741" t="str">
        <f ca="1">'Query Example'!D1741</f>
        <v>LandPlane</v>
      </c>
      <c r="C1741" s="11" t="str">
        <f>CONCATENATE(Sheet2!F1741,"/",Sheet2!E1741)</f>
        <v>1/Piston</v>
      </c>
      <c r="D1741" t="str">
        <f>CONCATENATE(Sheet2!B1741,", ",Sheet2!C1741)</f>
        <v>NORD, 3202</v>
      </c>
    </row>
    <row r="1742" spans="1:4" x14ac:dyDescent="0.2">
      <c r="A1742" t="str">
        <f>Sheet2!A1742</f>
        <v>N340</v>
      </c>
      <c r="B1742" t="str">
        <f ca="1">'Query Example'!D1742</f>
        <v>LandPlane</v>
      </c>
      <c r="C1742" s="11" t="str">
        <f>CONCATENATE(Sheet2!F1742,"/",Sheet2!E1742)</f>
        <v>1/Piston</v>
      </c>
      <c r="D1742" t="str">
        <f>CONCATENATE(Sheet2!B1742,", ",Sheet2!C1742)</f>
        <v>NORD, 3400</v>
      </c>
    </row>
    <row r="1743" spans="1:4" x14ac:dyDescent="0.2">
      <c r="A1743" t="str">
        <f>Sheet2!A1743</f>
        <v>N3N</v>
      </c>
      <c r="B1743" t="str">
        <f ca="1">'Query Example'!D1743</f>
        <v>LandPlane</v>
      </c>
      <c r="C1743" s="11" t="str">
        <f>CONCATENATE(Sheet2!F1743,"/",Sheet2!E1743)</f>
        <v>1/Piston</v>
      </c>
      <c r="D1743" t="str">
        <f>CONCATENATE(Sheet2!B1743,", ",Sheet2!C1743)</f>
        <v>NAVAL AIRCRAFT FACTORY, N3N</v>
      </c>
    </row>
    <row r="1744" spans="1:4" x14ac:dyDescent="0.2">
      <c r="A1744" t="str">
        <f>Sheet2!A1744</f>
        <v>N5</v>
      </c>
      <c r="B1744" t="str">
        <f ca="1">'Query Example'!D1744</f>
        <v>LandPlane</v>
      </c>
      <c r="C1744" s="11" t="str">
        <f>CONCATENATE(Sheet2!F1744,"/",Sheet2!E1744)</f>
        <v>1/Piston</v>
      </c>
      <c r="D1744" t="str">
        <f>CONCATENATE(Sheet2!B1744,", ",Sheet2!C1744)</f>
        <v>HONGDU, N-5</v>
      </c>
    </row>
    <row r="1745" spans="1:4" x14ac:dyDescent="0.2">
      <c r="A1745" t="str">
        <f>Sheet2!A1745</f>
        <v>NA40</v>
      </c>
      <c r="B1745" t="str">
        <f ca="1">'Query Example'!D1745</f>
        <v>Helicopter</v>
      </c>
      <c r="C1745" s="11" t="str">
        <f>CONCATENATE(Sheet2!F1745,"/",Sheet2!E1745)</f>
        <v>2/Turboprop/Turboshaft</v>
      </c>
      <c r="D1745" t="str">
        <f>CONCATENATE(Sheet2!B1745,", ",Sheet2!C1745)</f>
        <v>UNIS, NA-40 Bongo</v>
      </c>
    </row>
    <row r="1746" spans="1:4" x14ac:dyDescent="0.2">
      <c r="A1746" t="str">
        <f>Sheet2!A1746</f>
        <v>NAL2</v>
      </c>
      <c r="B1746" t="str">
        <f ca="1">'Query Example'!D1746</f>
        <v>LandPlane</v>
      </c>
      <c r="C1746" s="11" t="str">
        <f>CONCATENATE(Sheet2!F1746,"/",Sheet2!E1746)</f>
        <v>1/Piston</v>
      </c>
      <c r="D1746" t="str">
        <f>CONCATENATE(Sheet2!B1746,", ",Sheet2!C1746)</f>
        <v>NAL, NALLA-2 Hansa</v>
      </c>
    </row>
    <row r="1747" spans="1:4" x14ac:dyDescent="0.2">
      <c r="A1747" t="str">
        <f>Sheet2!A1747</f>
        <v>NAVI</v>
      </c>
      <c r="B1747" t="str">
        <f ca="1">'Query Example'!D1747</f>
        <v>LandPlane</v>
      </c>
      <c r="C1747" s="11" t="str">
        <f>CONCATENATE(Sheet2!F1747,"/",Sheet2!E1747)</f>
        <v>1/Piston</v>
      </c>
      <c r="D1747" t="str">
        <f>CONCATENATE(Sheet2!B1747,", ",Sheet2!C1747)</f>
        <v>RYAN, Navion</v>
      </c>
    </row>
    <row r="1748" spans="1:4" x14ac:dyDescent="0.2">
      <c r="A1748" t="str">
        <f>Sheet2!A1748</f>
        <v>NC85</v>
      </c>
      <c r="B1748" t="str">
        <f ca="1">'Query Example'!D1748</f>
        <v>LandPlane</v>
      </c>
      <c r="C1748" s="11" t="str">
        <f>CONCATENATE(Sheet2!F1748,"/",Sheet2!E1748)</f>
        <v>1/Piston</v>
      </c>
      <c r="D1748" t="str">
        <f>CONCATENATE(Sheet2!B1748,", ",Sheet2!C1748)</f>
        <v>NORD, NC-854</v>
      </c>
    </row>
    <row r="1749" spans="1:4" x14ac:dyDescent="0.2">
      <c r="A1749" t="str">
        <f>Sheet2!A1749</f>
        <v>ND1T</v>
      </c>
      <c r="B1749" t="str">
        <f ca="1">'Query Example'!D1749</f>
        <v>LandPlane</v>
      </c>
      <c r="C1749" s="11" t="str">
        <f>CONCATENATE(Sheet2!F1749,"/",Sheet2!E1749)</f>
        <v>1/Turboprop/Turboshaft</v>
      </c>
      <c r="D1749" t="str">
        <f>CONCATENATE(Sheet2!B1749,", ",Sheet2!C1749)</f>
        <v>NDN, NDN-1T Turbo Firecracker</v>
      </c>
    </row>
    <row r="1750" spans="1:4" x14ac:dyDescent="0.2">
      <c r="A1750" t="str">
        <f>Sheet2!A1750</f>
        <v>NDAC</v>
      </c>
      <c r="B1750" t="str">
        <f ca="1">'Query Example'!D1750</f>
        <v>LandPlane</v>
      </c>
      <c r="C1750" s="11" t="str">
        <f>CONCATENATE(Sheet2!F1750,"/",Sheet2!E1750)</f>
        <v>1/Piston</v>
      </c>
      <c r="D1750" t="str">
        <f>CONCATENATE(Sheet2!B1750,", ",Sheet2!C1750)</f>
        <v>NORMAND DUBE, Aerocruiser</v>
      </c>
    </row>
    <row r="1751" spans="1:4" x14ac:dyDescent="0.2">
      <c r="A1751" t="str">
        <f>Sheet2!A1751</f>
        <v>NDAT</v>
      </c>
      <c r="B1751" t="str">
        <f ca="1">'Query Example'!D1751</f>
        <v>LandPlane</v>
      </c>
      <c r="C1751" s="11" t="str">
        <f>CONCATENATE(Sheet2!F1751,"/",Sheet2!E1751)</f>
        <v>1/Piston</v>
      </c>
      <c r="D1751" t="str">
        <f>CONCATENATE(Sheet2!B1751,", ",Sheet2!C1751)</f>
        <v>NORMAND DUBE, Aerocruiser Turbo 450</v>
      </c>
    </row>
    <row r="1752" spans="1:4" x14ac:dyDescent="0.2">
      <c r="A1752" t="str">
        <f>Sheet2!A1752</f>
        <v>NDIC</v>
      </c>
      <c r="B1752" t="str">
        <f ca="1">'Query Example'!D1752</f>
        <v>LandPlane</v>
      </c>
      <c r="C1752" s="11" t="str">
        <f>CONCATENATE(Sheet2!F1752,"/",Sheet2!E1752)</f>
        <v>1/Piston</v>
      </c>
      <c r="D1752" t="str">
        <f>CONCATENATE(Sheet2!B1752,", ",Sheet2!C1752)</f>
        <v>NORMAN, Nordic 2</v>
      </c>
    </row>
    <row r="1753" spans="1:4" x14ac:dyDescent="0.2">
      <c r="A1753" t="str">
        <f>Sheet2!A1753</f>
        <v>NG4</v>
      </c>
      <c r="B1753" t="str">
        <f ca="1">'Query Example'!D1753</f>
        <v>LandPlane</v>
      </c>
      <c r="C1753" s="11" t="str">
        <f>CONCATENATE(Sheet2!F1753,"/",Sheet2!E1753)</f>
        <v>1/Piston</v>
      </c>
      <c r="D1753" t="str">
        <f>CONCATENATE(Sheet2!B1753,", ",Sheet2!C1753)</f>
        <v>BRM AERO, NG-4</v>
      </c>
    </row>
    <row r="1754" spans="1:4" x14ac:dyDescent="0.2">
      <c r="A1754" t="str">
        <f>Sheet2!A1754</f>
        <v>NG5</v>
      </c>
      <c r="B1754" t="str">
        <f ca="1">'Query Example'!D1754</f>
        <v>LandPlane</v>
      </c>
      <c r="C1754" s="11" t="str">
        <f>CONCATENATE(Sheet2!F1754,"/",Sheet2!E1754)</f>
        <v>1/Piston</v>
      </c>
      <c r="D1754" t="str">
        <f>CONCATENATE(Sheet2!B1754,", ",Sheet2!C1754)</f>
        <v>BRM AERO, Bristell NG-5</v>
      </c>
    </row>
    <row r="1755" spans="1:4" x14ac:dyDescent="0.2">
      <c r="A1755" t="str">
        <f>Sheet2!A1755</f>
        <v>NH90</v>
      </c>
      <c r="B1755" t="str">
        <f ca="1">'Query Example'!D1755</f>
        <v>Helicopter</v>
      </c>
      <c r="C1755" s="11" t="str">
        <f>CONCATENATE(Sheet2!F1755,"/",Sheet2!E1755)</f>
        <v>2/Turboprop/Turboshaft</v>
      </c>
      <c r="D1755" t="str">
        <f>CONCATENATE(Sheet2!B1755,", ",Sheet2!C1755)</f>
        <v>NHI, NH-90</v>
      </c>
    </row>
    <row r="1756" spans="1:4" x14ac:dyDescent="0.2">
      <c r="A1756" t="str">
        <f>Sheet2!A1756</f>
        <v>NHCO</v>
      </c>
      <c r="B1756" t="str">
        <f ca="1">'Query Example'!D1756</f>
        <v>LandPlane</v>
      </c>
      <c r="C1756" s="11" t="str">
        <f>CONCATENATE(Sheet2!F1756,"/",Sheet2!E1756)</f>
        <v>1/Piston</v>
      </c>
      <c r="D1756" t="str">
        <f>CONCATENATE(Sheet2!B1756,", ",Sheet2!C1756)</f>
        <v>NEW HORIZONS, 01 Colibri</v>
      </c>
    </row>
    <row r="1757" spans="1:4" x14ac:dyDescent="0.2">
      <c r="A1757" t="str">
        <f>Sheet2!A1757</f>
        <v>NI28</v>
      </c>
      <c r="B1757" t="str">
        <f ca="1">'Query Example'!D1757</f>
        <v>LandPlane</v>
      </c>
      <c r="C1757" s="11" t="str">
        <f>CONCATENATE(Sheet2!F1757,"/",Sheet2!E1757)</f>
        <v>1/Piston</v>
      </c>
      <c r="D1757" t="str">
        <f>CONCATENATE(Sheet2!B1757,", ",Sheet2!C1757)</f>
        <v>NIEUPORT, 28 Replica</v>
      </c>
    </row>
    <row r="1758" spans="1:4" x14ac:dyDescent="0.2">
      <c r="A1758" t="str">
        <f>Sheet2!A1758</f>
        <v>NIBB</v>
      </c>
      <c r="B1758" t="str">
        <f ca="1">'Query Example'!D1758</f>
        <v>LandPlane</v>
      </c>
      <c r="C1758" s="11" t="str">
        <f>CONCATENATE(Sheet2!F1758,"/",Sheet2!E1758)</f>
        <v>1/Piston</v>
      </c>
      <c r="D1758" t="str">
        <f>CONCATENATE(Sheet2!B1758,", ",Sheet2!C1758)</f>
        <v>AVIAMILANO, F-14 Nibbio</v>
      </c>
    </row>
    <row r="1759" spans="1:4" x14ac:dyDescent="0.2">
      <c r="A1759" t="str">
        <f>Sheet2!A1759</f>
        <v>NIMB</v>
      </c>
      <c r="B1759" t="str">
        <f ca="1">'Query Example'!D1759</f>
        <v>LandPlane</v>
      </c>
      <c r="C1759" s="11" t="str">
        <f>CONCATENATE(Sheet2!F1759,"/",Sheet2!E1759)</f>
        <v>1/Piston</v>
      </c>
      <c r="D1759" t="str">
        <f>CONCATENATE(Sheet2!B1759,", ",Sheet2!C1759)</f>
        <v>SCHEMPP-HIRTH, Nimbus 4T</v>
      </c>
    </row>
    <row r="1760" spans="1:4" x14ac:dyDescent="0.2">
      <c r="A1760" t="str">
        <f>Sheet2!A1760</f>
        <v>NIPR</v>
      </c>
      <c r="B1760" t="str">
        <f ca="1">'Query Example'!D1760</f>
        <v>LandPlane</v>
      </c>
      <c r="C1760" s="11" t="str">
        <f>CONCATENATE(Sheet2!F1760,"/",Sheet2!E1760)</f>
        <v>1/Piston</v>
      </c>
      <c r="D1760" t="str">
        <f>CONCATENATE(Sheet2!B1760,", ",Sheet2!C1760)</f>
        <v>TIPSY, T-66 Nipper</v>
      </c>
    </row>
    <row r="1761" spans="1:4" x14ac:dyDescent="0.2">
      <c r="A1761" t="str">
        <f>Sheet2!A1761</f>
        <v>NM5</v>
      </c>
      <c r="B1761" t="str">
        <f ca="1">'Query Example'!D1761</f>
        <v>LandPlane</v>
      </c>
      <c r="C1761" s="11" t="str">
        <f>CONCATENATE(Sheet2!F1761,"/",Sheet2!E1761)</f>
        <v>1/Piston</v>
      </c>
      <c r="D1761" t="str">
        <f>CONCATENATE(Sheet2!B1761,", ",Sheet2!C1761)</f>
        <v>NAL, NM-5</v>
      </c>
    </row>
    <row r="1762" spans="1:4" x14ac:dyDescent="0.2">
      <c r="A1762" t="str">
        <f>Sheet2!A1762</f>
        <v>NMCU</v>
      </c>
      <c r="B1762" t="str">
        <f ca="1">'Query Example'!D1762</f>
        <v>LandPlane</v>
      </c>
      <c r="C1762" s="11" t="str">
        <f>CONCATENATE(Sheet2!F1762,"/",Sheet2!E1762)</f>
        <v>1/Piston</v>
      </c>
      <c r="D1762" t="str">
        <f>CONCATENATE(Sheet2!B1762,", ",Sheet2!C1762)</f>
        <v>ENAER, ECH-02 Namcu</v>
      </c>
    </row>
    <row r="1763" spans="1:4" x14ac:dyDescent="0.2">
      <c r="A1763" t="str">
        <f>Sheet2!A1763</f>
        <v>NMCU</v>
      </c>
      <c r="B1763" t="str">
        <f ca="1">'Query Example'!D1763</f>
        <v>LandPlane</v>
      </c>
      <c r="C1763" s="11" t="str">
        <f>CONCATENATE(Sheet2!F1763,"/",Sheet2!E1763)</f>
        <v>1/Piston</v>
      </c>
      <c r="D1763" t="str">
        <f>CONCATENATE(Sheet2!B1763,", ",Sheet2!C1763)</f>
        <v>EURO-ENAER, EE-10 Eaglet</v>
      </c>
    </row>
    <row r="1764" spans="1:4" x14ac:dyDescent="0.2">
      <c r="A1764" t="str">
        <f>Sheet2!A1764</f>
        <v>NNJA</v>
      </c>
      <c r="B1764" t="str">
        <f ca="1">'Query Example'!D1764</f>
        <v>LandPlane</v>
      </c>
      <c r="C1764" s="11" t="str">
        <f>CONCATENATE(Sheet2!F1764,"/",Sheet2!E1764)</f>
        <v>1/Piston</v>
      </c>
      <c r="D1764" t="str">
        <f>CONCATENATE(Sheet2!B1764,", ",Sheet2!C1764)</f>
        <v>BEST OFF, Nynja</v>
      </c>
    </row>
    <row r="1765" spans="1:4" x14ac:dyDescent="0.2">
      <c r="A1765" t="str">
        <f>Sheet2!A1765</f>
        <v>NOMA</v>
      </c>
      <c r="B1765" t="str">
        <f ca="1">'Query Example'!D1765</f>
        <v>LandPlane</v>
      </c>
      <c r="C1765" s="11" t="str">
        <f>CONCATENATE(Sheet2!F1765,"/",Sheet2!E1765)</f>
        <v>2/Turboprop/Turboshaft</v>
      </c>
      <c r="D1765" t="str">
        <f>CONCATENATE(Sheet2!B1765,", ",Sheet2!C1765)</f>
        <v>GAF, N-2 Nomad</v>
      </c>
    </row>
    <row r="1766" spans="1:4" x14ac:dyDescent="0.2">
      <c r="A1766" t="str">
        <f>Sheet2!A1766</f>
        <v>NORA</v>
      </c>
      <c r="B1766" t="str">
        <f ca="1">'Query Example'!D1766</f>
        <v>LandPlane</v>
      </c>
      <c r="C1766" s="11" t="str">
        <f>CONCATENATE(Sheet2!F1766,"/",Sheet2!E1766)</f>
        <v>2/Piston</v>
      </c>
      <c r="D1766" t="str">
        <f>CONCATENATE(Sheet2!B1766,", ",Sheet2!C1766)</f>
        <v>NORD, 2501 Noratlas</v>
      </c>
    </row>
    <row r="1767" spans="1:4" x14ac:dyDescent="0.2">
      <c r="A1767" t="str">
        <f>Sheet2!A1767</f>
        <v>NORS</v>
      </c>
      <c r="B1767" t="str">
        <f ca="1">'Query Example'!D1767</f>
        <v>LandPlane</v>
      </c>
      <c r="C1767" s="11" t="str">
        <f>CONCATENATE(Sheet2!F1767,"/",Sheet2!E1767)</f>
        <v>1/Piston</v>
      </c>
      <c r="D1767" t="str">
        <f>CONCATENATE(Sheet2!B1767,", ",Sheet2!C1767)</f>
        <v>NOORDUYN, C-64 Norseman</v>
      </c>
    </row>
    <row r="1768" spans="1:4" x14ac:dyDescent="0.2">
      <c r="A1768" t="str">
        <f>Sheet2!A1768</f>
        <v>NPOR</v>
      </c>
      <c r="B1768" t="str">
        <f ca="1">'Query Example'!D1768</f>
        <v>LandPlane</v>
      </c>
      <c r="C1768" s="11" t="str">
        <f>CONCATENATE(Sheet2!F1768,"/",Sheet2!E1768)</f>
        <v>1/Piston</v>
      </c>
      <c r="D1768" t="str">
        <f>CONCATENATE(Sheet2!B1768,", ",Sheet2!C1768)</f>
        <v>REDFERN, Nieuport 17</v>
      </c>
    </row>
    <row r="1769" spans="1:4" x14ac:dyDescent="0.2">
      <c r="A1769" t="str">
        <f>Sheet2!A1769</f>
        <v>NSTR</v>
      </c>
      <c r="B1769" t="str">
        <f ca="1">'Query Example'!D1769</f>
        <v>LandPlane</v>
      </c>
      <c r="C1769" s="11" t="str">
        <f>CONCATENATE(Sheet2!F1769,"/",Sheet2!E1769)</f>
        <v>1/Piston</v>
      </c>
      <c r="D1769" t="str">
        <f>CONCATENATE(Sheet2!B1769,", ",Sheet2!C1769)</f>
        <v>CUSTOM FLIGHT, North Star</v>
      </c>
    </row>
    <row r="1770" spans="1:4" x14ac:dyDescent="0.2">
      <c r="A1770" t="str">
        <f>Sheet2!A1770</f>
        <v>NT10</v>
      </c>
      <c r="B1770" t="str">
        <f ca="1">'Query Example'!D1770</f>
        <v>LandPlane</v>
      </c>
      <c r="C1770" s="11" t="str">
        <f>CONCATENATE(Sheet2!F1770,"/",Sheet2!E1770)</f>
        <v>1/Piston</v>
      </c>
      <c r="D1770" t="str">
        <f>CONCATENATE(Sheet2!B1770,", ",Sheet2!C1770)</f>
        <v>NUWACO, T-10</v>
      </c>
    </row>
    <row r="1771" spans="1:4" x14ac:dyDescent="0.2">
      <c r="A1771" t="str">
        <f>Sheet2!A1771</f>
        <v>NXT</v>
      </c>
      <c r="B1771" t="str">
        <f ca="1">'Query Example'!D1771</f>
        <v>LandPlane</v>
      </c>
      <c r="C1771" s="11" t="str">
        <f>CONCATENATE(Sheet2!F1771,"/",Sheet2!E1771)</f>
        <v>1/Piston</v>
      </c>
      <c r="D1771" t="str">
        <f>CONCATENATE(Sheet2!B1771,", ",Sheet2!C1771)</f>
        <v>NEMESIS, NXT</v>
      </c>
    </row>
    <row r="1772" spans="1:4" x14ac:dyDescent="0.2">
      <c r="A1772" t="str">
        <f>Sheet2!A1772</f>
        <v>NXTE</v>
      </c>
      <c r="B1772" t="str">
        <f ca="1">'Query Example'!D1772</f>
        <v>LandPlane</v>
      </c>
      <c r="C1772" s="11" t="str">
        <f>CONCATENATE(Sheet2!F1772,"/",Sheet2!E1772)</f>
        <v>1/Electric</v>
      </c>
      <c r="D1772" t="str">
        <f>CONCATENATE(Sheet2!B1772,", ",Sheet2!C1772)</f>
        <v>ELECTROFLIGHT, NXTE</v>
      </c>
    </row>
    <row r="1773" spans="1:4" x14ac:dyDescent="0.2">
      <c r="A1773" t="str">
        <f>Sheet2!A1773</f>
        <v>O1</v>
      </c>
      <c r="B1773" t="str">
        <f ca="1">'Query Example'!D1773</f>
        <v>LandPlane</v>
      </c>
      <c r="C1773" s="11" t="str">
        <f>CONCATENATE(Sheet2!F1773,"/",Sheet2!E1773)</f>
        <v>1/Piston</v>
      </c>
      <c r="D1773" t="str">
        <f>CONCATENATE(Sheet2!B1773,", ",Sheet2!C1773)</f>
        <v>CESSNA, O-1 Bird Dog</v>
      </c>
    </row>
    <row r="1774" spans="1:4" x14ac:dyDescent="0.2">
      <c r="A1774" t="str">
        <f>Sheet2!A1774</f>
        <v>O3</v>
      </c>
      <c r="B1774" t="str">
        <f ca="1">'Query Example'!D1774</f>
        <v>LandPlane</v>
      </c>
      <c r="C1774" s="11" t="str">
        <f>CONCATENATE(Sheet2!F1774,"/",Sheet2!E1774)</f>
        <v>1/Piston</v>
      </c>
      <c r="D1774" t="str">
        <f>CONCATENATE(Sheet2!B1774,", ",Sheet2!C1774)</f>
        <v>LOCKHEED, YO-3</v>
      </c>
    </row>
    <row r="1775" spans="1:4" x14ac:dyDescent="0.2">
      <c r="A1775" t="str">
        <f>Sheet2!A1775</f>
        <v>OH1</v>
      </c>
      <c r="B1775" t="str">
        <f ca="1">'Query Example'!D1775</f>
        <v>Helicopter</v>
      </c>
      <c r="C1775" s="11" t="str">
        <f>CONCATENATE(Sheet2!F1775,"/",Sheet2!E1775)</f>
        <v>2/Turboprop/Turboshaft</v>
      </c>
      <c r="D1775" t="str">
        <f>CONCATENATE(Sheet2!B1775,", ",Sheet2!C1775)</f>
        <v>KAWASAKI, OH-1</v>
      </c>
    </row>
    <row r="1776" spans="1:4" x14ac:dyDescent="0.2">
      <c r="A1776" t="str">
        <f>Sheet2!A1776</f>
        <v>OKHO</v>
      </c>
      <c r="B1776" t="str">
        <f ca="1">'Query Example'!D1776</f>
        <v>Gyrocopter</v>
      </c>
      <c r="C1776" s="11" t="str">
        <f>CONCATENATE(Sheet2!F1776,"/",Sheet2!E1776)</f>
        <v>1/Piston</v>
      </c>
      <c r="D1776" t="str">
        <f>CONCATENATE(Sheet2!B1776,", ",Sheet2!C1776)</f>
        <v>AERO-ASTRA, Okhotnik</v>
      </c>
    </row>
    <row r="1777" spans="1:4" x14ac:dyDescent="0.2">
      <c r="A1777" t="str">
        <f>Sheet2!A1777</f>
        <v>OM1</v>
      </c>
      <c r="B1777" t="str">
        <f ca="1">'Query Example'!D1777</f>
        <v>LandPlane</v>
      </c>
      <c r="C1777" s="11" t="str">
        <f>CONCATENATE(Sheet2!F1777,"/",Sheet2!E1777)</f>
        <v>1/Piston</v>
      </c>
      <c r="D1777" t="str">
        <f>CONCATENATE(Sheet2!B1777,", ",Sheet2!C1777)</f>
        <v>MORRISEY, OM-1 Bravo</v>
      </c>
    </row>
    <row r="1778" spans="1:4" x14ac:dyDescent="0.2">
      <c r="A1778" t="str">
        <f>Sheet2!A1778</f>
        <v>OMAG</v>
      </c>
      <c r="B1778" t="str">
        <f ca="1">'Query Example'!D1778</f>
        <v>LandPlane</v>
      </c>
      <c r="C1778" s="11" t="str">
        <f>CONCATENATE(Sheet2!F1778,"/",Sheet2!E1778)</f>
        <v>1/Piston</v>
      </c>
      <c r="D1778" t="str">
        <f>CONCATENATE(Sheet2!B1778,", ",Sheet2!C1778)</f>
        <v>O'NEILL, Magnum</v>
      </c>
    </row>
    <row r="1779" spans="1:4" x14ac:dyDescent="0.2">
      <c r="A1779" t="str">
        <f>Sheet2!A1779</f>
        <v>OMGA</v>
      </c>
      <c r="B1779" t="str">
        <f ca="1">'Query Example'!D1779</f>
        <v>LandPlane</v>
      </c>
      <c r="C1779" s="11" t="str">
        <f>CONCATENATE(Sheet2!F1779,"/",Sheet2!E1779)</f>
        <v>1/Piston</v>
      </c>
      <c r="D1779" t="str">
        <f>CONCATENATE(Sheet2!B1779,", ",Sheet2!C1779)</f>
        <v>ISAE, Omega 2</v>
      </c>
    </row>
    <row r="1780" spans="1:4" x14ac:dyDescent="0.2">
      <c r="A1780" t="str">
        <f>Sheet2!A1780</f>
        <v>OMLA</v>
      </c>
      <c r="B1780" t="str">
        <f ca="1">'Query Example'!D1780</f>
        <v>LandPlane</v>
      </c>
      <c r="C1780" s="11" t="str">
        <f>CONCATENATE(Sheet2!F1780,"/",Sheet2!E1780)</f>
        <v>1/Turboprop/Turboshaft</v>
      </c>
      <c r="D1780" t="str">
        <f>CONCATENATE(Sheet2!B1780,", ",Sheet2!C1780)</f>
        <v>OMAC, Laser 300</v>
      </c>
    </row>
    <row r="1781" spans="1:4" x14ac:dyDescent="0.2">
      <c r="A1781" t="str">
        <f>Sheet2!A1781</f>
        <v>ONE</v>
      </c>
      <c r="B1781" t="str">
        <f ca="1">'Query Example'!D1781</f>
        <v>LandPlane</v>
      </c>
      <c r="C1781" s="11" t="str">
        <f>CONCATENATE(Sheet2!F1781,"/",Sheet2!E1781)</f>
        <v>1/Piston</v>
      </c>
      <c r="D1781" t="str">
        <f>CONCATENATE(Sheet2!B1781,", ",Sheet2!C1781)</f>
        <v>GOGETAIR, G-600</v>
      </c>
    </row>
    <row r="1782" spans="1:4" x14ac:dyDescent="0.2">
      <c r="A1782" t="str">
        <f>Sheet2!A1782</f>
        <v>ONEX</v>
      </c>
      <c r="B1782" t="str">
        <f ca="1">'Query Example'!D1782</f>
        <v>LandPlane</v>
      </c>
      <c r="C1782" s="11" t="str">
        <f>CONCATENATE(Sheet2!F1782,"/",Sheet2!E1782)</f>
        <v>1/Piston</v>
      </c>
      <c r="D1782" t="str">
        <f>CONCATENATE(Sheet2!B1782,", ",Sheet2!C1782)</f>
        <v>SONEX, Onex</v>
      </c>
    </row>
    <row r="1783" spans="1:4" x14ac:dyDescent="0.2">
      <c r="A1783" t="str">
        <f>Sheet2!A1783</f>
        <v>OPCA</v>
      </c>
      <c r="B1783" t="str">
        <f ca="1">'Query Example'!D1783</f>
        <v>LandPlane</v>
      </c>
      <c r="C1783" s="11" t="str">
        <f>CONCATENATE(Sheet2!F1783,"/",Sheet2!E1783)</f>
        <v>1/Piston</v>
      </c>
      <c r="D1783" t="str">
        <f>CONCATENATE(Sheet2!B1783,", ",Sheet2!C1783)</f>
        <v>EDGLEY, EA-7 Optica</v>
      </c>
    </row>
    <row r="1784" spans="1:4" x14ac:dyDescent="0.2">
      <c r="A1784" t="str">
        <f>Sheet2!A1784</f>
        <v>OR10</v>
      </c>
      <c r="B1784" t="str">
        <f ca="1">'Query Example'!D1784</f>
        <v>Amphibian</v>
      </c>
      <c r="C1784" s="11" t="str">
        <f>CONCATENATE(Sheet2!F1784,"/",Sheet2!E1784)</f>
        <v>1/Piston</v>
      </c>
      <c r="D1784" t="str">
        <f>CONCATENATE(Sheet2!B1784,", ",Sheet2!C1784)</f>
        <v>ORION, 10</v>
      </c>
    </row>
    <row r="1785" spans="1:4" x14ac:dyDescent="0.2">
      <c r="A1785" t="str">
        <f>Sheet2!A1785</f>
        <v>OR12</v>
      </c>
      <c r="B1785" t="str">
        <f ca="1">'Query Example'!D1785</f>
        <v>Amphibian</v>
      </c>
      <c r="C1785" s="11" t="str">
        <f>CONCATENATE(Sheet2!F1785,"/",Sheet2!E1785)</f>
        <v>2/Piston</v>
      </c>
      <c r="D1785" t="str">
        <f>CONCATENATE(Sheet2!B1785,", ",Sheet2!C1785)</f>
        <v>ORION, SK-12</v>
      </c>
    </row>
    <row r="1786" spans="1:4" x14ac:dyDescent="0.2">
      <c r="A1786" t="str">
        <f>Sheet2!A1786</f>
        <v>OSCR</v>
      </c>
      <c r="B1786" t="str">
        <f ca="1">'Query Example'!D1786</f>
        <v>LandPlane</v>
      </c>
      <c r="C1786" s="11" t="str">
        <f>CONCATENATE(Sheet2!F1786,"/",Sheet2!E1786)</f>
        <v>1/Piston</v>
      </c>
      <c r="D1786" t="str">
        <f>CONCATENATE(Sheet2!B1786,", ",Sheet2!C1786)</f>
        <v>AFIC, RSA-200 Falcon</v>
      </c>
    </row>
    <row r="1787" spans="1:4" x14ac:dyDescent="0.2">
      <c r="A1787" t="str">
        <f>Sheet2!A1787</f>
        <v>OSCR</v>
      </c>
      <c r="B1787" t="str">
        <f ca="1">'Query Example'!D1787</f>
        <v>LandPlane</v>
      </c>
      <c r="C1787" s="11" t="str">
        <f>CONCATENATE(Sheet2!F1787,"/",Sheet2!E1787)</f>
        <v>1/Piston</v>
      </c>
      <c r="D1787" t="str">
        <f>CONCATENATE(Sheet2!B1787,", ",Sheet2!C1787)</f>
        <v>PARTENAVIA, P-64 Oscar</v>
      </c>
    </row>
    <row r="1788" spans="1:4" x14ac:dyDescent="0.2">
      <c r="A1788" t="str">
        <f>Sheet2!A1788</f>
        <v>OUDE</v>
      </c>
      <c r="B1788" t="str">
        <f ca="1">'Query Example'!D1788</f>
        <v>LandPlane</v>
      </c>
      <c r="C1788" s="11" t="str">
        <f>CONCATENATE(Sheet2!F1788,"/",Sheet2!E1788)</f>
        <v>1/Piston</v>
      </c>
      <c r="D1788" t="str">
        <f>CONCATENATE(Sheet2!B1788,", ",Sheet2!C1788)</f>
        <v>OLYMPIC ULTRALIGHTS, Desert Eagle 2</v>
      </c>
    </row>
    <row r="1789" spans="1:4" x14ac:dyDescent="0.2">
      <c r="A1789" t="str">
        <f>Sheet2!A1789</f>
        <v>OVOD</v>
      </c>
      <c r="B1789" t="str">
        <f ca="1">'Query Example'!D1789</f>
        <v>LandPlane</v>
      </c>
      <c r="C1789" s="11" t="str">
        <f>CONCATENATE(Sheet2!F1789,"/",Sheet2!E1789)</f>
        <v>1/Piston</v>
      </c>
      <c r="D1789" t="str">
        <f>CONCATENATE(Sheet2!B1789,", ",Sheet2!C1789)</f>
        <v>VITEK, Ovod</v>
      </c>
    </row>
    <row r="1790" spans="1:4" x14ac:dyDescent="0.2">
      <c r="A1790" t="str">
        <f>Sheet2!A1790</f>
        <v>OZZI</v>
      </c>
      <c r="B1790" t="str">
        <f ca="1">'Query Example'!D1790</f>
        <v>LandPlane</v>
      </c>
      <c r="C1790" s="11" t="str">
        <f>CONCATENATE(Sheet2!F1790,"/",Sheet2!E1790)</f>
        <v>1/Piston</v>
      </c>
      <c r="D1790" t="str">
        <f>CONCATENATE(Sheet2!B1790,", ",Sheet2!C1790)</f>
        <v>BUCHANAN, BAC-204 Ozzie Mozzie</v>
      </c>
    </row>
    <row r="1791" spans="1:4" x14ac:dyDescent="0.2">
      <c r="A1791" t="str">
        <f>Sheet2!A1791</f>
        <v>P06T</v>
      </c>
      <c r="B1791" t="str">
        <f ca="1">'Query Example'!D1791</f>
        <v>LandPlane</v>
      </c>
      <c r="C1791" s="11" t="str">
        <f>CONCATENATE(Sheet2!F1791,"/",Sheet2!E1791)</f>
        <v>2/Piston</v>
      </c>
      <c r="D1791" t="str">
        <f>CONCATENATE(Sheet2!B1791,", ",Sheet2!C1791)</f>
        <v>TECNAM, P-2006T</v>
      </c>
    </row>
    <row r="1792" spans="1:4" x14ac:dyDescent="0.2">
      <c r="A1792" t="str">
        <f>Sheet2!A1792</f>
        <v>P1</v>
      </c>
      <c r="B1792" t="str">
        <f ca="1">'Query Example'!D1792</f>
        <v>LandPlane</v>
      </c>
      <c r="C1792" s="11" t="str">
        <f>CONCATENATE(Sheet2!F1792,"/",Sheet2!E1792)</f>
        <v>4/Jet</v>
      </c>
      <c r="D1792" t="str">
        <f>CONCATENATE(Sheet2!B1792,", ",Sheet2!C1792)</f>
        <v>KAWASAKI, P-1</v>
      </c>
    </row>
    <row r="1793" spans="1:4" x14ac:dyDescent="0.2">
      <c r="A1793" t="str">
        <f>Sheet2!A1793</f>
        <v>P100</v>
      </c>
      <c r="B1793" t="str">
        <f ca="1">'Query Example'!D1793</f>
        <v>LandPlane</v>
      </c>
      <c r="C1793" s="11" t="str">
        <f>CONCATENATE(Sheet2!F1793,"/",Sheet2!E1793)</f>
        <v>1/Piston</v>
      </c>
      <c r="D1793" t="str">
        <f>CONCATENATE(Sheet2!B1793,", ",Sheet2!C1793)</f>
        <v>POTTIER, P-100</v>
      </c>
    </row>
    <row r="1794" spans="1:4" x14ac:dyDescent="0.2">
      <c r="A1794" t="str">
        <f>Sheet2!A1794</f>
        <v>P130</v>
      </c>
      <c r="B1794" t="str">
        <f ca="1">'Query Example'!D1794</f>
        <v>LandPlane</v>
      </c>
      <c r="C1794" s="11" t="str">
        <f>CONCATENATE(Sheet2!F1794,"/",Sheet2!E1794)</f>
        <v>1/Piston</v>
      </c>
      <c r="D1794" t="str">
        <f>CONCATENATE(Sheet2!B1794,", ",Sheet2!C1794)</f>
        <v>POTTIER, P-130 Bleu Citron</v>
      </c>
    </row>
    <row r="1795" spans="1:4" x14ac:dyDescent="0.2">
      <c r="A1795" t="str">
        <f>Sheet2!A1795</f>
        <v>P136</v>
      </c>
      <c r="B1795" t="str">
        <f ca="1">'Query Example'!D1795</f>
        <v>Amphibian</v>
      </c>
      <c r="C1795" s="11" t="str">
        <f>CONCATENATE(Sheet2!F1795,"/",Sheet2!E1795)</f>
        <v>2/Piston</v>
      </c>
      <c r="D1795" t="str">
        <f>CONCATENATE(Sheet2!B1795,", ",Sheet2!C1795)</f>
        <v>PIAGGIO, P-136</v>
      </c>
    </row>
    <row r="1796" spans="1:4" x14ac:dyDescent="0.2">
      <c r="A1796" t="str">
        <f>Sheet2!A1796</f>
        <v>P148</v>
      </c>
      <c r="B1796" t="str">
        <f ca="1">'Query Example'!D1796</f>
        <v>LandPlane</v>
      </c>
      <c r="C1796" s="11" t="str">
        <f>CONCATENATE(Sheet2!F1796,"/",Sheet2!E1796)</f>
        <v>1/Piston</v>
      </c>
      <c r="D1796" t="str">
        <f>CONCATENATE(Sheet2!B1796,", ",Sheet2!C1796)</f>
        <v>PIAGGIO, P-148</v>
      </c>
    </row>
    <row r="1797" spans="1:4" x14ac:dyDescent="0.2">
      <c r="A1797" t="str">
        <f>Sheet2!A1797</f>
        <v>P149</v>
      </c>
      <c r="B1797" t="str">
        <f ca="1">'Query Example'!D1797</f>
        <v>LandPlane</v>
      </c>
      <c r="C1797" s="11" t="str">
        <f>CONCATENATE(Sheet2!F1797,"/",Sheet2!E1797)</f>
        <v>1/Piston</v>
      </c>
      <c r="D1797" t="str">
        <f>CONCATENATE(Sheet2!B1797,", ",Sheet2!C1797)</f>
        <v>PIAGGIO, P-149</v>
      </c>
    </row>
    <row r="1798" spans="1:4" x14ac:dyDescent="0.2">
      <c r="A1798" t="str">
        <f>Sheet2!A1798</f>
        <v>P180</v>
      </c>
      <c r="B1798" t="str">
        <f ca="1">'Query Example'!D1798</f>
        <v>LandPlane</v>
      </c>
      <c r="C1798" s="11" t="str">
        <f>CONCATENATE(Sheet2!F1798,"/",Sheet2!E1798)</f>
        <v>2/Turboprop/Turboshaft</v>
      </c>
      <c r="D1798" t="str">
        <f>CONCATENATE(Sheet2!B1798,", ",Sheet2!C1798)</f>
        <v>PIAGGIO, P-180 Avanti</v>
      </c>
    </row>
    <row r="1799" spans="1:4" x14ac:dyDescent="0.2">
      <c r="A1799" t="str">
        <f>Sheet2!A1799</f>
        <v>P18T</v>
      </c>
      <c r="B1799" t="str">
        <f ca="1">'Query Example'!D1799</f>
        <v>LandPlane</v>
      </c>
      <c r="C1799" s="11" t="str">
        <f>CONCATENATE(Sheet2!F1799,"/",Sheet2!E1799)</f>
        <v>1/Turboprop/Turboshaft</v>
      </c>
      <c r="D1799" t="str">
        <f>CONCATENATE(Sheet2!B1799,", ",Sheet2!C1799)</f>
        <v>SMITH AVIATION, PA-18T Super Cub</v>
      </c>
    </row>
    <row r="1800" spans="1:4" x14ac:dyDescent="0.2">
      <c r="A1800" t="str">
        <f>Sheet2!A1800</f>
        <v>P19</v>
      </c>
      <c r="B1800" t="str">
        <f ca="1">'Query Example'!D1800</f>
        <v>LandPlane</v>
      </c>
      <c r="C1800" s="11" t="str">
        <f>CONCATENATE(Sheet2!F1800,"/",Sheet2!E1800)</f>
        <v>1/Piston</v>
      </c>
      <c r="D1800" t="str">
        <f>CONCATENATE(Sheet2!B1800,", ",Sheet2!C1800)</f>
        <v>AVIAMILANO, P-19 Scricciolo</v>
      </c>
    </row>
    <row r="1801" spans="1:4" x14ac:dyDescent="0.2">
      <c r="A1801" t="str">
        <f>Sheet2!A1801</f>
        <v>P1HH</v>
      </c>
      <c r="B1801" t="str">
        <f ca="1">'Query Example'!D1801</f>
        <v>LandPlane</v>
      </c>
      <c r="C1801" s="11" t="str">
        <f>CONCATENATE(Sheet2!F1801,"/",Sheet2!E1801)</f>
        <v>2/Turboprop/Turboshaft</v>
      </c>
      <c r="D1801" t="str">
        <f>CONCATENATE(Sheet2!B1801,", ",Sheet2!C1801)</f>
        <v>PIAGGIO, P-1HH Hammerhead</v>
      </c>
    </row>
    <row r="1802" spans="1:4" x14ac:dyDescent="0.2">
      <c r="A1802" t="str">
        <f>Sheet2!A1802</f>
        <v>P2</v>
      </c>
      <c r="B1802" t="str">
        <f ca="1">'Query Example'!D1802</f>
        <v>LandPlane</v>
      </c>
      <c r="C1802" s="11" t="str">
        <f>CONCATENATE(Sheet2!F1802,"/",Sheet2!E1802)</f>
        <v>2/Piston</v>
      </c>
      <c r="D1802" t="str">
        <f>CONCATENATE(Sheet2!B1802,", ",Sheet2!C1802)</f>
        <v>LOCKHEED, P-2 Neptune</v>
      </c>
    </row>
    <row r="1803" spans="1:4" x14ac:dyDescent="0.2">
      <c r="A1803" t="str">
        <f>Sheet2!A1803</f>
        <v>P208</v>
      </c>
      <c r="B1803" t="str">
        <f ca="1">'Query Example'!D1803</f>
        <v>LandPlane</v>
      </c>
      <c r="C1803" s="11" t="str">
        <f>CONCATENATE(Sheet2!F1803,"/",Sheet2!E1803)</f>
        <v>1/Piston</v>
      </c>
      <c r="D1803" t="str">
        <f>CONCATENATE(Sheet2!B1803,", ",Sheet2!C1803)</f>
        <v>TECNAM, P-2008</v>
      </c>
    </row>
    <row r="1804" spans="1:4" x14ac:dyDescent="0.2">
      <c r="A1804" t="str">
        <f>Sheet2!A1804</f>
        <v>P210</v>
      </c>
      <c r="B1804" t="str">
        <f ca="1">'Query Example'!D1804</f>
        <v>LandPlane</v>
      </c>
      <c r="C1804" s="11" t="str">
        <f>CONCATENATE(Sheet2!F1804,"/",Sheet2!E1804)</f>
        <v>1/Piston</v>
      </c>
      <c r="D1804" t="str">
        <f>CONCATENATE(Sheet2!B1804,", ",Sheet2!C1804)</f>
        <v>CESSNA, P210 Pressurized Centurion</v>
      </c>
    </row>
    <row r="1805" spans="1:4" x14ac:dyDescent="0.2">
      <c r="A1805" t="str">
        <f>Sheet2!A1805</f>
        <v>P212</v>
      </c>
      <c r="B1805" t="str">
        <f ca="1">'Query Example'!D1805</f>
        <v>LandPlane</v>
      </c>
      <c r="C1805" s="11" t="str">
        <f>CONCATENATE(Sheet2!F1805,"/",Sheet2!E1805)</f>
        <v>2/Piston</v>
      </c>
      <c r="D1805" t="str">
        <f>CONCATENATE(Sheet2!B1805,", ",Sheet2!C1805)</f>
        <v>TECNAM, P-2012 Traveller</v>
      </c>
    </row>
    <row r="1806" spans="1:4" x14ac:dyDescent="0.2">
      <c r="A1806" t="str">
        <f>Sheet2!A1806</f>
        <v>P220</v>
      </c>
      <c r="B1806" t="str">
        <f ca="1">'Query Example'!D1806</f>
        <v>LandPlane</v>
      </c>
      <c r="C1806" s="11" t="str">
        <f>CONCATENATE(Sheet2!F1806,"/",Sheet2!E1806)</f>
        <v>1/Piston</v>
      </c>
      <c r="D1806" t="str">
        <f>CONCATENATE(Sheet2!B1806,", ",Sheet2!C1806)</f>
        <v>POTTIER, P-220 Koala</v>
      </c>
    </row>
    <row r="1807" spans="1:4" x14ac:dyDescent="0.2">
      <c r="A1807" t="str">
        <f>Sheet2!A1807</f>
        <v>P230</v>
      </c>
      <c r="B1807" t="str">
        <f ca="1">'Query Example'!D1807</f>
        <v>LandPlane</v>
      </c>
      <c r="C1807" s="11" t="str">
        <f>CONCATENATE(Sheet2!F1807,"/",Sheet2!E1807)</f>
        <v>1/Piston</v>
      </c>
      <c r="D1807" t="str">
        <f>CONCATENATE(Sheet2!B1807,", ",Sheet2!C1807)</f>
        <v>POTTIER, P-230 Panda</v>
      </c>
    </row>
    <row r="1808" spans="1:4" x14ac:dyDescent="0.2">
      <c r="A1808" t="str">
        <f>Sheet2!A1808</f>
        <v>P27</v>
      </c>
      <c r="B1808" t="str">
        <f ca="1">'Query Example'!D1808</f>
        <v>LandPlane</v>
      </c>
      <c r="C1808" s="11" t="str">
        <f>CONCATENATE(Sheet2!F1808,"/",Sheet2!E1808)</f>
        <v>1/Piston</v>
      </c>
      <c r="D1808" t="str">
        <f>CONCATENATE(Sheet2!B1808,", ",Sheet2!C1808)</f>
        <v>GRYF, P-27 Skyster</v>
      </c>
    </row>
    <row r="1809" spans="1:4" x14ac:dyDescent="0.2">
      <c r="A1809" t="str">
        <f>Sheet2!A1809</f>
        <v>P270</v>
      </c>
      <c r="B1809" t="str">
        <f ca="1">'Query Example'!D1809</f>
        <v>LandPlane</v>
      </c>
      <c r="C1809" s="11" t="str">
        <f>CONCATENATE(Sheet2!F1809,"/",Sheet2!E1809)</f>
        <v>1/Piston</v>
      </c>
      <c r="D1809" t="str">
        <f>CONCATENATE(Sheet2!B1809,", ",Sheet2!C1809)</f>
        <v>POTTIER, P-270 Amster</v>
      </c>
    </row>
    <row r="1810" spans="1:4" x14ac:dyDescent="0.2">
      <c r="A1810" t="str">
        <f>Sheet2!A1810</f>
        <v>P28A</v>
      </c>
      <c r="B1810" t="str">
        <f ca="1">'Query Example'!D1810</f>
        <v>LandPlane</v>
      </c>
      <c r="C1810" s="11" t="str">
        <f>CONCATENATE(Sheet2!F1810,"/",Sheet2!E1810)</f>
        <v>1/Piston</v>
      </c>
      <c r="D1810" t="str">
        <f>CONCATENATE(Sheet2!B1810,", ",Sheet2!C1810)</f>
        <v>PIPER, Cherokee (PA-28-140/150/160/180)</v>
      </c>
    </row>
    <row r="1811" spans="1:4" x14ac:dyDescent="0.2">
      <c r="A1811" t="str">
        <f>Sheet2!A1811</f>
        <v>P28B</v>
      </c>
      <c r="B1811" t="str">
        <f ca="1">'Query Example'!D1811</f>
        <v>LandPlane</v>
      </c>
      <c r="C1811" s="11" t="str">
        <f>CONCATENATE(Sheet2!F1811,"/",Sheet2!E1811)</f>
        <v>1/Piston</v>
      </c>
      <c r="D1811" t="str">
        <f>CONCATENATE(Sheet2!B1811,", ",Sheet2!C1811)</f>
        <v>PIPER, Cherokee (PA-28-235)</v>
      </c>
    </row>
    <row r="1812" spans="1:4" x14ac:dyDescent="0.2">
      <c r="A1812" t="str">
        <f>Sheet2!A1812</f>
        <v>P28R</v>
      </c>
      <c r="B1812" t="str">
        <f ca="1">'Query Example'!D1812</f>
        <v>LandPlane</v>
      </c>
      <c r="C1812" s="11" t="str">
        <f>CONCATENATE(Sheet2!F1812,"/",Sheet2!E1812)</f>
        <v>1/Piston</v>
      </c>
      <c r="D1812" t="str">
        <f>CONCATENATE(Sheet2!B1812,", ",Sheet2!C1812)</f>
        <v>PIPER, PA-28R-180 Cherokee Arrow</v>
      </c>
    </row>
    <row r="1813" spans="1:4" x14ac:dyDescent="0.2">
      <c r="A1813" t="str">
        <f>Sheet2!A1813</f>
        <v>P28S</v>
      </c>
      <c r="B1813" t="str">
        <f ca="1">'Query Example'!D1813</f>
        <v>LandPlane</v>
      </c>
      <c r="C1813" s="11" t="str">
        <f>CONCATENATE(Sheet2!F1813,"/",Sheet2!E1813)</f>
        <v>1/Piston</v>
      </c>
      <c r="D1813" t="str">
        <f>CONCATENATE(Sheet2!B1813,", ",Sheet2!C1813)</f>
        <v>PIPER, PA-28R-201T Turbo Arrow</v>
      </c>
    </row>
    <row r="1814" spans="1:4" x14ac:dyDescent="0.2">
      <c r="A1814" t="str">
        <f>Sheet2!A1814</f>
        <v>P28T</v>
      </c>
      <c r="B1814" t="str">
        <f ca="1">'Query Example'!D1814</f>
        <v>LandPlane</v>
      </c>
      <c r="C1814" s="11" t="str">
        <f>CONCATENATE(Sheet2!F1814,"/",Sheet2!E1814)</f>
        <v>1/Piston</v>
      </c>
      <c r="D1814" t="str">
        <f>CONCATENATE(Sheet2!B1814,", ",Sheet2!C1814)</f>
        <v>PIPER, PA-28RT-201 Arrow 4</v>
      </c>
    </row>
    <row r="1815" spans="1:4" x14ac:dyDescent="0.2">
      <c r="A1815" t="str">
        <f>Sheet2!A1815</f>
        <v>P28U</v>
      </c>
      <c r="B1815" t="str">
        <f ca="1">'Query Example'!D1815</f>
        <v>LandPlane</v>
      </c>
      <c r="C1815" s="11" t="str">
        <f>CONCATENATE(Sheet2!F1815,"/",Sheet2!E1815)</f>
        <v>1/Piston</v>
      </c>
      <c r="D1815" t="str">
        <f>CONCATENATE(Sheet2!B1815,", ",Sheet2!C1815)</f>
        <v>PIPER, PA-28RT-201T Turbo Arrow 4</v>
      </c>
    </row>
    <row r="1816" spans="1:4" x14ac:dyDescent="0.2">
      <c r="A1816" t="str">
        <f>Sheet2!A1816</f>
        <v>P3</v>
      </c>
      <c r="B1816" t="str">
        <f ca="1">'Query Example'!D1816</f>
        <v>LandPlane</v>
      </c>
      <c r="C1816" s="11" t="str">
        <f>CONCATENATE(Sheet2!F1816,"/",Sheet2!E1816)</f>
        <v>4/Turboprop/Turboshaft</v>
      </c>
      <c r="D1816" t="str">
        <f>CONCATENATE(Sheet2!B1816,", ",Sheet2!C1816)</f>
        <v>LOCKHEED, P-3 Orion</v>
      </c>
    </row>
    <row r="1817" spans="1:4" x14ac:dyDescent="0.2">
      <c r="A1817" t="str">
        <f>Sheet2!A1817</f>
        <v>P32R</v>
      </c>
      <c r="B1817" t="str">
        <f ca="1">'Query Example'!D1817</f>
        <v>LandPlane</v>
      </c>
      <c r="C1817" s="11" t="str">
        <f>CONCATENATE(Sheet2!F1817,"/",Sheet2!E1817)</f>
        <v>1/Piston</v>
      </c>
      <c r="D1817" t="str">
        <f>CONCATENATE(Sheet2!B1817,", ",Sheet2!C1817)</f>
        <v>PIPER, PA-32R-300 Lance</v>
      </c>
    </row>
    <row r="1818" spans="1:4" x14ac:dyDescent="0.2">
      <c r="A1818" t="str">
        <f>Sheet2!A1818</f>
        <v>P32T</v>
      </c>
      <c r="B1818" t="str">
        <f ca="1">'Query Example'!D1818</f>
        <v>LandPlane</v>
      </c>
      <c r="C1818" s="11" t="str">
        <f>CONCATENATE(Sheet2!F1818,"/",Sheet2!E1818)</f>
        <v>1/Piston</v>
      </c>
      <c r="D1818" t="str">
        <f>CONCATENATE(Sheet2!B1818,", ",Sheet2!C1818)</f>
        <v>PIPER, PA-32RT-300 Lance 2</v>
      </c>
    </row>
    <row r="1819" spans="1:4" x14ac:dyDescent="0.2">
      <c r="A1819" t="str">
        <f>Sheet2!A1819</f>
        <v>P337</v>
      </c>
      <c r="B1819" t="str">
        <f ca="1">'Query Example'!D1819</f>
        <v>LandPlane</v>
      </c>
      <c r="C1819" s="11" t="str">
        <f>CONCATENATE(Sheet2!F1819,"/",Sheet2!E1819)</f>
        <v>2/Piston</v>
      </c>
      <c r="D1819" t="str">
        <f>CONCATENATE(Sheet2!B1819,", ",Sheet2!C1819)</f>
        <v>CESSNA, P337 Pressurized Skymaster</v>
      </c>
    </row>
    <row r="1820" spans="1:4" x14ac:dyDescent="0.2">
      <c r="A1820" t="str">
        <f>Sheet2!A1820</f>
        <v>P38</v>
      </c>
      <c r="B1820" t="str">
        <f ca="1">'Query Example'!D1820</f>
        <v>LandPlane</v>
      </c>
      <c r="C1820" s="11" t="str">
        <f>CONCATENATE(Sheet2!F1820,"/",Sheet2!E1820)</f>
        <v>2/Piston</v>
      </c>
      <c r="D1820" t="str">
        <f>CONCATENATE(Sheet2!B1820,", ",Sheet2!C1820)</f>
        <v>LOCKHEED, P-38 Lightning</v>
      </c>
    </row>
    <row r="1821" spans="1:4" x14ac:dyDescent="0.2">
      <c r="A1821" t="str">
        <f>Sheet2!A1821</f>
        <v>P39</v>
      </c>
      <c r="B1821" t="str">
        <f ca="1">'Query Example'!D1821</f>
        <v>LandPlane</v>
      </c>
      <c r="C1821" s="11" t="str">
        <f>CONCATENATE(Sheet2!F1821,"/",Sheet2!E1821)</f>
        <v>1/Piston</v>
      </c>
      <c r="D1821" t="str">
        <f>CONCATENATE(Sheet2!B1821,", ",Sheet2!C1821)</f>
        <v>BELL, P-39 Airacobra</v>
      </c>
    </row>
    <row r="1822" spans="1:4" x14ac:dyDescent="0.2">
      <c r="A1822" t="str">
        <f>Sheet2!A1822</f>
        <v>P40</v>
      </c>
      <c r="B1822" t="str">
        <f ca="1">'Query Example'!D1822</f>
        <v>LandPlane</v>
      </c>
      <c r="C1822" s="11" t="str">
        <f>CONCATENATE(Sheet2!F1822,"/",Sheet2!E1822)</f>
        <v>1/Piston</v>
      </c>
      <c r="D1822" t="str">
        <f>CONCATENATE(Sheet2!B1822,", ",Sheet2!C1822)</f>
        <v>CURTISS, P-40 Kittyhawk</v>
      </c>
    </row>
    <row r="1823" spans="1:4" x14ac:dyDescent="0.2">
      <c r="A1823" t="str">
        <f>Sheet2!A1823</f>
        <v>P46T</v>
      </c>
      <c r="B1823" t="str">
        <f ca="1">'Query Example'!D1823</f>
        <v>LandPlane</v>
      </c>
      <c r="C1823" s="11" t="str">
        <f>CONCATENATE(Sheet2!F1823,"/",Sheet2!E1823)</f>
        <v>1/Turboprop/Turboshaft</v>
      </c>
      <c r="D1823" t="str">
        <f>CONCATENATE(Sheet2!B1823,", ",Sheet2!C1823)</f>
        <v>PIPER, PA-46-500TP Malibu Meridian</v>
      </c>
    </row>
    <row r="1824" spans="1:4" x14ac:dyDescent="0.2">
      <c r="A1824" t="str">
        <f>Sheet2!A1824</f>
        <v>P47</v>
      </c>
      <c r="B1824" t="str">
        <f ca="1">'Query Example'!D1824</f>
        <v>LandPlane</v>
      </c>
      <c r="C1824" s="11" t="str">
        <f>CONCATENATE(Sheet2!F1824,"/",Sheet2!E1824)</f>
        <v>1/Piston</v>
      </c>
      <c r="D1824" t="str">
        <f>CONCATENATE(Sheet2!B1824,", ",Sheet2!C1824)</f>
        <v>REPUBLIC, P-47 Thunderbolt</v>
      </c>
    </row>
    <row r="1825" spans="1:4" x14ac:dyDescent="0.2">
      <c r="A1825" t="str">
        <f>Sheet2!A1825</f>
        <v>P4Y</v>
      </c>
      <c r="B1825" t="str">
        <f ca="1">'Query Example'!D1825</f>
        <v>LandPlane</v>
      </c>
      <c r="C1825" s="11" t="str">
        <f>CONCATENATE(Sheet2!F1825,"/",Sheet2!E1825)</f>
        <v>4/Piston</v>
      </c>
      <c r="D1825" t="str">
        <f>CONCATENATE(Sheet2!B1825,", ",Sheet2!C1825)</f>
        <v>CONVAIR, P4Y Privateer</v>
      </c>
    </row>
    <row r="1826" spans="1:4" x14ac:dyDescent="0.2">
      <c r="A1826" t="str">
        <f>Sheet2!A1826</f>
        <v>P50</v>
      </c>
      <c r="B1826" t="str">
        <f ca="1">'Query Example'!D1826</f>
        <v>LandPlane</v>
      </c>
      <c r="C1826" s="11" t="str">
        <f>CONCATENATE(Sheet2!F1826,"/",Sheet2!E1826)</f>
        <v>1/Piston</v>
      </c>
      <c r="D1826" t="str">
        <f>CONCATENATE(Sheet2!B1826,", ",Sheet2!C1826)</f>
        <v>POTTIER, P-50 Bouvreuil</v>
      </c>
    </row>
    <row r="1827" spans="1:4" x14ac:dyDescent="0.2">
      <c r="A1827" t="str">
        <f>Sheet2!A1827</f>
        <v>P51</v>
      </c>
      <c r="B1827" t="str">
        <f ca="1">'Query Example'!D1827</f>
        <v>LandPlane</v>
      </c>
      <c r="C1827" s="11" t="str">
        <f>CONCATENATE(Sheet2!F1827,"/",Sheet2!E1827)</f>
        <v>1/Piston</v>
      </c>
      <c r="D1827" t="str">
        <f>CONCATENATE(Sheet2!B1827,", ",Sheet2!C1827)</f>
        <v>NORTH AMERICAN, P-51 Mustang</v>
      </c>
    </row>
    <row r="1828" spans="1:4" x14ac:dyDescent="0.2">
      <c r="A1828" t="str">
        <f>Sheet2!A1828</f>
        <v>P57</v>
      </c>
      <c r="B1828" t="str">
        <f ca="1">'Query Example'!D1828</f>
        <v>LandPlane</v>
      </c>
      <c r="C1828" s="11" t="str">
        <f>CONCATENATE(Sheet2!F1828,"/",Sheet2!E1828)</f>
        <v>1/Piston</v>
      </c>
      <c r="D1828" t="str">
        <f>CONCATENATE(Sheet2!B1828,", ",Sheet2!C1828)</f>
        <v>PARTENAVIA, P-57 Fachiro 2</v>
      </c>
    </row>
    <row r="1829" spans="1:4" x14ac:dyDescent="0.2">
      <c r="A1829" t="str">
        <f>Sheet2!A1829</f>
        <v>P60</v>
      </c>
      <c r="B1829" t="str">
        <f ca="1">'Query Example'!D1829</f>
        <v>LandPlane</v>
      </c>
      <c r="C1829" s="11" t="str">
        <f>CONCATENATE(Sheet2!F1829,"/",Sheet2!E1829)</f>
        <v>1/Piston</v>
      </c>
      <c r="D1829" t="str">
        <f>CONCATENATE(Sheet2!B1829,", ",Sheet2!C1829)</f>
        <v>POTTIER, P-60 Minacro</v>
      </c>
    </row>
    <row r="1830" spans="1:4" x14ac:dyDescent="0.2">
      <c r="A1830" t="str">
        <f>Sheet2!A1830</f>
        <v>P61</v>
      </c>
      <c r="B1830" t="str">
        <f ca="1">'Query Example'!D1830</f>
        <v>LandPlane</v>
      </c>
      <c r="C1830" s="11" t="str">
        <f>CONCATENATE(Sheet2!F1830,"/",Sheet2!E1830)</f>
        <v>2/Piston</v>
      </c>
      <c r="D1830" t="str">
        <f>CONCATENATE(Sheet2!B1830,", ",Sheet2!C1830)</f>
        <v>NORTHROP, P-61 Black Widow</v>
      </c>
    </row>
    <row r="1831" spans="1:4" x14ac:dyDescent="0.2">
      <c r="A1831" t="str">
        <f>Sheet2!A1831</f>
        <v>P63</v>
      </c>
      <c r="B1831" t="str">
        <f ca="1">'Query Example'!D1831</f>
        <v>LandPlane</v>
      </c>
      <c r="C1831" s="11" t="str">
        <f>CONCATENATE(Sheet2!F1831,"/",Sheet2!E1831)</f>
        <v>1/Piston</v>
      </c>
      <c r="D1831" t="str">
        <f>CONCATENATE(Sheet2!B1831,", ",Sheet2!C1831)</f>
        <v>BELL, P-63 Kingcobra</v>
      </c>
    </row>
    <row r="1832" spans="1:4" x14ac:dyDescent="0.2">
      <c r="A1832" t="str">
        <f>Sheet2!A1832</f>
        <v>P66P</v>
      </c>
      <c r="B1832" t="str">
        <f ca="1">'Query Example'!D1832</f>
        <v>LandPlane</v>
      </c>
      <c r="C1832" s="11" t="str">
        <f>CONCATENATE(Sheet2!F1832,"/",Sheet2!E1832)</f>
        <v>2/Piston</v>
      </c>
      <c r="D1832" t="str">
        <f>CONCATENATE(Sheet2!B1832,", ",Sheet2!C1832)</f>
        <v>PIAGGIO, P-166A</v>
      </c>
    </row>
    <row r="1833" spans="1:4" x14ac:dyDescent="0.2">
      <c r="A1833" t="str">
        <f>Sheet2!A1833</f>
        <v>P66T</v>
      </c>
      <c r="B1833" t="str">
        <f ca="1">'Query Example'!D1833</f>
        <v>LandPlane</v>
      </c>
      <c r="C1833" s="11" t="str">
        <f>CONCATENATE(Sheet2!F1833,"/",Sheet2!E1833)</f>
        <v>2/Turboprop/Turboshaft</v>
      </c>
      <c r="D1833" t="str">
        <f>CONCATENATE(Sheet2!B1833,", ",Sheet2!C1833)</f>
        <v>PIAGGIO, P-166DL3</v>
      </c>
    </row>
    <row r="1834" spans="1:4" x14ac:dyDescent="0.2">
      <c r="A1834" t="str">
        <f>Sheet2!A1834</f>
        <v>P68</v>
      </c>
      <c r="B1834" t="str">
        <f ca="1">'Query Example'!D1834</f>
        <v>LandPlane</v>
      </c>
      <c r="C1834" s="11" t="str">
        <f>CONCATENATE(Sheet2!F1834,"/",Sheet2!E1834)</f>
        <v>2/Piston</v>
      </c>
      <c r="D1834" t="str">
        <f>CONCATENATE(Sheet2!B1834,", ",Sheet2!C1834)</f>
        <v>PARTENAVIA, P-68 Victor</v>
      </c>
    </row>
    <row r="1835" spans="1:4" x14ac:dyDescent="0.2">
      <c r="A1835" t="str">
        <f>Sheet2!A1835</f>
        <v>P68T</v>
      </c>
      <c r="B1835" t="str">
        <f ca="1">'Query Example'!D1835</f>
        <v>LandPlane</v>
      </c>
      <c r="C1835" s="11" t="str">
        <f>CONCATENATE(Sheet2!F1835,"/",Sheet2!E1835)</f>
        <v>2/Turboprop/Turboshaft</v>
      </c>
      <c r="D1835" t="str">
        <f>CONCATENATE(Sheet2!B1835,", ",Sheet2!C1835)</f>
        <v>PARTENAVIA, AP-68TP-300 Spartacus</v>
      </c>
    </row>
    <row r="1836" spans="1:4" x14ac:dyDescent="0.2">
      <c r="A1836" t="str">
        <f>Sheet2!A1836</f>
        <v>P70</v>
      </c>
      <c r="B1836" t="str">
        <f ca="1">'Query Example'!D1836</f>
        <v>LandPlane</v>
      </c>
      <c r="C1836" s="11" t="str">
        <f>CONCATENATE(Sheet2!F1836,"/",Sheet2!E1836)</f>
        <v>1/Piston</v>
      </c>
      <c r="D1836" t="str">
        <f>CONCATENATE(Sheet2!B1836,", ",Sheet2!C1836)</f>
        <v>POTTIER, P-70</v>
      </c>
    </row>
    <row r="1837" spans="1:4" x14ac:dyDescent="0.2">
      <c r="A1837" t="str">
        <f>Sheet2!A1837</f>
        <v>P750</v>
      </c>
      <c r="B1837" t="str">
        <f ca="1">'Query Example'!D1837</f>
        <v>LandPlane</v>
      </c>
      <c r="C1837" s="11" t="str">
        <f>CONCATENATE(Sheet2!F1837,"/",Sheet2!E1837)</f>
        <v>1/Turboprop/Turboshaft</v>
      </c>
      <c r="D1837" t="str">
        <f>CONCATENATE(Sheet2!B1837,", ",Sheet2!C1837)</f>
        <v>PACIFIC AEROSPACE, P-750 XStol</v>
      </c>
    </row>
    <row r="1838" spans="1:4" x14ac:dyDescent="0.2">
      <c r="A1838" t="str">
        <f>Sheet2!A1838</f>
        <v>P8</v>
      </c>
      <c r="B1838" t="str">
        <f ca="1">'Query Example'!D1838</f>
        <v>LandPlane</v>
      </c>
      <c r="C1838" s="11" t="str">
        <f>CONCATENATE(Sheet2!F1838,"/",Sheet2!E1838)</f>
        <v>2/Jet</v>
      </c>
      <c r="D1838" t="str">
        <f>CONCATENATE(Sheet2!B1838,", ",Sheet2!C1838)</f>
        <v>BOEING, P-8 Poseidon</v>
      </c>
    </row>
    <row r="1839" spans="1:4" x14ac:dyDescent="0.2">
      <c r="A1839" t="str">
        <f>Sheet2!A1839</f>
        <v>P80</v>
      </c>
      <c r="B1839" t="str">
        <f ca="1">'Query Example'!D1839</f>
        <v>LandPlane</v>
      </c>
      <c r="C1839" s="11" t="str">
        <f>CONCATENATE(Sheet2!F1839,"/",Sheet2!E1839)</f>
        <v>1/Piston</v>
      </c>
      <c r="D1839" t="str">
        <f>CONCATENATE(Sheet2!B1839,", ",Sheet2!C1839)</f>
        <v>POTTIER, P-80</v>
      </c>
    </row>
    <row r="1840" spans="1:4" x14ac:dyDescent="0.2">
      <c r="A1840" t="str">
        <f>Sheet2!A1840</f>
        <v>P82</v>
      </c>
      <c r="B1840" t="str">
        <f ca="1">'Query Example'!D1840</f>
        <v>LandPlane</v>
      </c>
      <c r="C1840" s="11" t="str">
        <f>CONCATENATE(Sheet2!F1840,"/",Sheet2!E1840)</f>
        <v>2/Piston</v>
      </c>
      <c r="D1840" t="str">
        <f>CONCATENATE(Sheet2!B1840,", ",Sheet2!C1840)</f>
        <v>NORTH AMERICAN, P-82 Twin Mustang</v>
      </c>
    </row>
    <row r="1841" spans="1:4" x14ac:dyDescent="0.2">
      <c r="A1841" t="str">
        <f>Sheet2!A1841</f>
        <v>PA11</v>
      </c>
      <c r="B1841" t="str">
        <f ca="1">'Query Example'!D1841</f>
        <v>LandPlane</v>
      </c>
      <c r="C1841" s="11" t="str">
        <f>CONCATENATE(Sheet2!F1841,"/",Sheet2!E1841)</f>
        <v>1/Piston</v>
      </c>
      <c r="D1841" t="str">
        <f>CONCATENATE(Sheet2!B1841,", ",Sheet2!C1841)</f>
        <v>PIPER, PA-11 Cub Special</v>
      </c>
    </row>
    <row r="1842" spans="1:4" x14ac:dyDescent="0.2">
      <c r="A1842" t="str">
        <f>Sheet2!A1842</f>
        <v>PA12</v>
      </c>
      <c r="B1842" t="str">
        <f ca="1">'Query Example'!D1842</f>
        <v>LandPlane</v>
      </c>
      <c r="C1842" s="11" t="str">
        <f>CONCATENATE(Sheet2!F1842,"/",Sheet2!E1842)</f>
        <v>1/Piston</v>
      </c>
      <c r="D1842" t="str">
        <f>CONCATENATE(Sheet2!B1842,", ",Sheet2!C1842)</f>
        <v>PIPER, PA-12 Super Cruiser</v>
      </c>
    </row>
    <row r="1843" spans="1:4" x14ac:dyDescent="0.2">
      <c r="A1843" t="str">
        <f>Sheet2!A1843</f>
        <v>PA14</v>
      </c>
      <c r="B1843" t="str">
        <f ca="1">'Query Example'!D1843</f>
        <v>LandPlane</v>
      </c>
      <c r="C1843" s="11" t="str">
        <f>CONCATENATE(Sheet2!F1843,"/",Sheet2!E1843)</f>
        <v>1/Piston</v>
      </c>
      <c r="D1843" t="str">
        <f>CONCATENATE(Sheet2!B1843,", ",Sheet2!C1843)</f>
        <v>PIPER, PA-14 Family Cruiser</v>
      </c>
    </row>
    <row r="1844" spans="1:4" x14ac:dyDescent="0.2">
      <c r="A1844" t="str">
        <f>Sheet2!A1844</f>
        <v>PA15</v>
      </c>
      <c r="B1844" t="str">
        <f ca="1">'Query Example'!D1844</f>
        <v>LandPlane</v>
      </c>
      <c r="C1844" s="11" t="str">
        <f>CONCATENATE(Sheet2!F1844,"/",Sheet2!E1844)</f>
        <v>1/Piston</v>
      </c>
      <c r="D1844" t="str">
        <f>CONCATENATE(Sheet2!B1844,", ",Sheet2!C1844)</f>
        <v>PIPER, PA-15 Vagabond</v>
      </c>
    </row>
    <row r="1845" spans="1:4" x14ac:dyDescent="0.2">
      <c r="A1845" t="str">
        <f>Sheet2!A1845</f>
        <v>PA16</v>
      </c>
      <c r="B1845" t="str">
        <f ca="1">'Query Example'!D1845</f>
        <v>LandPlane</v>
      </c>
      <c r="C1845" s="11" t="str">
        <f>CONCATENATE(Sheet2!F1845,"/",Sheet2!E1845)</f>
        <v>1/Piston</v>
      </c>
      <c r="D1845" t="str">
        <f>CONCATENATE(Sheet2!B1845,", ",Sheet2!C1845)</f>
        <v>PIPER, PA-16 Clipper</v>
      </c>
    </row>
    <row r="1846" spans="1:4" x14ac:dyDescent="0.2">
      <c r="A1846" t="str">
        <f>Sheet2!A1846</f>
        <v>PA17</v>
      </c>
      <c r="B1846" t="str">
        <f ca="1">'Query Example'!D1846</f>
        <v>LandPlane</v>
      </c>
      <c r="C1846" s="11" t="str">
        <f>CONCATENATE(Sheet2!F1846,"/",Sheet2!E1846)</f>
        <v>1/Piston</v>
      </c>
      <c r="D1846" t="str">
        <f>CONCATENATE(Sheet2!B1846,", ",Sheet2!C1846)</f>
        <v>PIPER, PA-17 Vagabond</v>
      </c>
    </row>
    <row r="1847" spans="1:4" x14ac:dyDescent="0.2">
      <c r="A1847" t="str">
        <f>Sheet2!A1847</f>
        <v>PA18</v>
      </c>
      <c r="B1847" t="str">
        <f ca="1">'Query Example'!D1847</f>
        <v>LandPlane</v>
      </c>
      <c r="C1847" s="11" t="str">
        <f>CONCATENATE(Sheet2!F1847,"/",Sheet2!E1847)</f>
        <v>1/Piston</v>
      </c>
      <c r="D1847" t="str">
        <f>CONCATENATE(Sheet2!B1847,", ",Sheet2!C1847)</f>
        <v>PIPER, PA-18 Super Cub</v>
      </c>
    </row>
    <row r="1848" spans="1:4" x14ac:dyDescent="0.2">
      <c r="A1848" t="str">
        <f>Sheet2!A1848</f>
        <v>PA20</v>
      </c>
      <c r="B1848" t="str">
        <f ca="1">'Query Example'!D1848</f>
        <v>LandPlane</v>
      </c>
      <c r="C1848" s="11" t="str">
        <f>CONCATENATE(Sheet2!F1848,"/",Sheet2!E1848)</f>
        <v>1/Piston</v>
      </c>
      <c r="D1848" t="str">
        <f>CONCATENATE(Sheet2!B1848,", ",Sheet2!C1848)</f>
        <v>PIPER, PA-20 Pacer</v>
      </c>
    </row>
    <row r="1849" spans="1:4" x14ac:dyDescent="0.2">
      <c r="A1849" t="str">
        <f>Sheet2!A1849</f>
        <v>PA22</v>
      </c>
      <c r="B1849" t="str">
        <f ca="1">'Query Example'!D1849</f>
        <v>LandPlane</v>
      </c>
      <c r="C1849" s="11" t="str">
        <f>CONCATENATE(Sheet2!F1849,"/",Sheet2!E1849)</f>
        <v>1/Piston</v>
      </c>
      <c r="D1849" t="str">
        <f>CONCATENATE(Sheet2!B1849,", ",Sheet2!C1849)</f>
        <v>PIPER, PA-22 Tri-Pacer</v>
      </c>
    </row>
    <row r="1850" spans="1:4" x14ac:dyDescent="0.2">
      <c r="A1850" t="str">
        <f>Sheet2!A1850</f>
        <v>PA23</v>
      </c>
      <c r="B1850" t="str">
        <f ca="1">'Query Example'!D1850</f>
        <v>LandPlane</v>
      </c>
      <c r="C1850" s="11" t="str">
        <f>CONCATENATE(Sheet2!F1850,"/",Sheet2!E1850)</f>
        <v>2/Piston</v>
      </c>
      <c r="D1850" t="str">
        <f>CONCATENATE(Sheet2!B1850,", ",Sheet2!C1850)</f>
        <v>PIPER, PA-23-150 Apache</v>
      </c>
    </row>
    <row r="1851" spans="1:4" x14ac:dyDescent="0.2">
      <c r="A1851" t="str">
        <f>Sheet2!A1851</f>
        <v>PA24</v>
      </c>
      <c r="B1851" t="str">
        <f ca="1">'Query Example'!D1851</f>
        <v>LandPlane</v>
      </c>
      <c r="C1851" s="11" t="str">
        <f>CONCATENATE(Sheet2!F1851,"/",Sheet2!E1851)</f>
        <v>1/Piston</v>
      </c>
      <c r="D1851" t="str">
        <f>CONCATENATE(Sheet2!B1851,", ",Sheet2!C1851)</f>
        <v>PIPER, PA-24 Comanche</v>
      </c>
    </row>
    <row r="1852" spans="1:4" x14ac:dyDescent="0.2">
      <c r="A1852" t="str">
        <f>Sheet2!A1852</f>
        <v>PA25</v>
      </c>
      <c r="B1852" t="str">
        <f ca="1">'Query Example'!D1852</f>
        <v>LandPlane</v>
      </c>
      <c r="C1852" s="11" t="str">
        <f>CONCATENATE(Sheet2!F1852,"/",Sheet2!E1852)</f>
        <v>1/Piston</v>
      </c>
      <c r="D1852" t="str">
        <f>CONCATENATE(Sheet2!B1852,", ",Sheet2!C1852)</f>
        <v>PIPER, PA-25 Pawnee</v>
      </c>
    </row>
    <row r="1853" spans="1:4" x14ac:dyDescent="0.2">
      <c r="A1853" t="str">
        <f>Sheet2!A1853</f>
        <v>PA27</v>
      </c>
      <c r="B1853" t="str">
        <f ca="1">'Query Example'!D1853</f>
        <v>LandPlane</v>
      </c>
      <c r="C1853" s="11" t="str">
        <f>CONCATENATE(Sheet2!F1853,"/",Sheet2!E1853)</f>
        <v>2/Piston</v>
      </c>
      <c r="D1853" t="str">
        <f>CONCATENATE(Sheet2!B1853,", ",Sheet2!C1853)</f>
        <v>PIPER, PA-23-235 Aztec</v>
      </c>
    </row>
    <row r="1854" spans="1:4" x14ac:dyDescent="0.2">
      <c r="A1854" t="str">
        <f>Sheet2!A1854</f>
        <v>PA30</v>
      </c>
      <c r="B1854" t="str">
        <f ca="1">'Query Example'!D1854</f>
        <v>LandPlane</v>
      </c>
      <c r="C1854" s="11" t="str">
        <f>CONCATENATE(Sheet2!F1854,"/",Sheet2!E1854)</f>
        <v>2/Piston</v>
      </c>
      <c r="D1854" t="str">
        <f>CONCATENATE(Sheet2!B1854,", ",Sheet2!C1854)</f>
        <v>PIPER, PA-30 Twin Comanche</v>
      </c>
    </row>
    <row r="1855" spans="1:4" x14ac:dyDescent="0.2">
      <c r="A1855" t="str">
        <f>Sheet2!A1855</f>
        <v>PA31</v>
      </c>
      <c r="B1855" t="str">
        <f ca="1">'Query Example'!D1855</f>
        <v>LandPlane</v>
      </c>
      <c r="C1855" s="11" t="str">
        <f>CONCATENATE(Sheet2!F1855,"/",Sheet2!E1855)</f>
        <v>2/Piston</v>
      </c>
      <c r="D1855" t="str">
        <f>CONCATENATE(Sheet2!B1855,", ",Sheet2!C1855)</f>
        <v>PIPER, PA-31-300 Navajo</v>
      </c>
    </row>
    <row r="1856" spans="1:4" x14ac:dyDescent="0.2">
      <c r="A1856" t="str">
        <f>Sheet2!A1856</f>
        <v>PA32</v>
      </c>
      <c r="B1856" t="str">
        <f ca="1">'Query Example'!D1856</f>
        <v>LandPlane</v>
      </c>
      <c r="C1856" s="11" t="str">
        <f>CONCATENATE(Sheet2!F1856,"/",Sheet2!E1856)</f>
        <v>1/Piston</v>
      </c>
      <c r="D1856" t="str">
        <f>CONCATENATE(Sheet2!B1856,", ",Sheet2!C1856)</f>
        <v>PIPER, PA-32 Saratoga</v>
      </c>
    </row>
    <row r="1857" spans="1:4" x14ac:dyDescent="0.2">
      <c r="A1857" t="str">
        <f>Sheet2!A1857</f>
        <v>PA34</v>
      </c>
      <c r="B1857" t="str">
        <f ca="1">'Query Example'!D1857</f>
        <v>LandPlane</v>
      </c>
      <c r="C1857" s="11" t="str">
        <f>CONCATENATE(Sheet2!F1857,"/",Sheet2!E1857)</f>
        <v>2/Piston</v>
      </c>
      <c r="D1857" t="str">
        <f>CONCATENATE(Sheet2!B1857,", ",Sheet2!C1857)</f>
        <v>PIPER, PA-34 Seneca</v>
      </c>
    </row>
    <row r="1858" spans="1:4" x14ac:dyDescent="0.2">
      <c r="A1858" t="str">
        <f>Sheet2!A1858</f>
        <v>PA36</v>
      </c>
      <c r="B1858" t="str">
        <f ca="1">'Query Example'!D1858</f>
        <v>LandPlane</v>
      </c>
      <c r="C1858" s="11" t="str">
        <f>CONCATENATE(Sheet2!F1858,"/",Sheet2!E1858)</f>
        <v>1/Piston</v>
      </c>
      <c r="D1858" t="str">
        <f>CONCATENATE(Sheet2!B1858,", ",Sheet2!C1858)</f>
        <v>PIPER, PA-36 Pawnee Brave</v>
      </c>
    </row>
    <row r="1859" spans="1:4" x14ac:dyDescent="0.2">
      <c r="A1859" t="str">
        <f>Sheet2!A1859</f>
        <v>PA38</v>
      </c>
      <c r="B1859" t="str">
        <f ca="1">'Query Example'!D1859</f>
        <v>LandPlane</v>
      </c>
      <c r="C1859" s="11" t="str">
        <f>CONCATENATE(Sheet2!F1859,"/",Sheet2!E1859)</f>
        <v>1/Piston</v>
      </c>
      <c r="D1859" t="str">
        <f>CONCATENATE(Sheet2!B1859,", ",Sheet2!C1859)</f>
        <v>PIPER, PA-38 Tomahawk</v>
      </c>
    </row>
    <row r="1860" spans="1:4" x14ac:dyDescent="0.2">
      <c r="A1860" t="str">
        <f>Sheet2!A1860</f>
        <v>PA44</v>
      </c>
      <c r="B1860" t="str">
        <f ca="1">'Query Example'!D1860</f>
        <v>LandPlane</v>
      </c>
      <c r="C1860" s="11" t="str">
        <f>CONCATENATE(Sheet2!F1860,"/",Sheet2!E1860)</f>
        <v>2/Piston</v>
      </c>
      <c r="D1860" t="str">
        <f>CONCATENATE(Sheet2!B1860,", ",Sheet2!C1860)</f>
        <v>PIPER, PA-44 Seminole</v>
      </c>
    </row>
    <row r="1861" spans="1:4" x14ac:dyDescent="0.2">
      <c r="A1861" t="str">
        <f>Sheet2!A1861</f>
        <v>PA46</v>
      </c>
      <c r="B1861" t="str">
        <f ca="1">'Query Example'!D1861</f>
        <v>LandPlane</v>
      </c>
      <c r="C1861" s="11" t="str">
        <f>CONCATENATE(Sheet2!F1861,"/",Sheet2!E1861)</f>
        <v>1/Piston</v>
      </c>
      <c r="D1861" t="str">
        <f>CONCATENATE(Sheet2!B1861,", ",Sheet2!C1861)</f>
        <v>PIPER, PA-46-310P Malibu</v>
      </c>
    </row>
    <row r="1862" spans="1:4" x14ac:dyDescent="0.2">
      <c r="A1862" t="str">
        <f>Sheet2!A1862</f>
        <v>PA47</v>
      </c>
      <c r="B1862" t="str">
        <f ca="1">'Query Example'!D1862</f>
        <v>LandPlane</v>
      </c>
      <c r="C1862" s="11" t="str">
        <f>CONCATENATE(Sheet2!F1862,"/",Sheet2!E1862)</f>
        <v>1/Jet</v>
      </c>
      <c r="D1862" t="str">
        <f>CONCATENATE(Sheet2!B1862,", ",Sheet2!C1862)</f>
        <v>PIPER, PA-47 Piper Jet</v>
      </c>
    </row>
    <row r="1863" spans="1:4" x14ac:dyDescent="0.2">
      <c r="A1863" t="str">
        <f>Sheet2!A1863</f>
        <v>PACE</v>
      </c>
      <c r="B1863" t="str">
        <f ca="1">'Query Example'!D1863</f>
        <v>LandPlane</v>
      </c>
      <c r="C1863" s="11" t="str">
        <f>CONCATENATE(Sheet2!F1863,"/",Sheet2!E1863)</f>
        <v>1/Piston</v>
      </c>
      <c r="D1863" t="str">
        <f>CONCATENATE(Sheet2!B1863,", ",Sheet2!C1863)</f>
        <v>BELLANCA, CH-300 Pacemaker</v>
      </c>
    </row>
    <row r="1864" spans="1:4" x14ac:dyDescent="0.2">
      <c r="A1864" t="str">
        <f>Sheet2!A1864</f>
        <v>PAGO</v>
      </c>
      <c r="B1864" t="str">
        <f ca="1">'Query Example'!D1864</f>
        <v>LandPlane</v>
      </c>
      <c r="C1864" s="11" t="str">
        <f>CONCATENATE(Sheet2!F1864,"/",Sheet2!E1864)</f>
        <v>1/Piston</v>
      </c>
      <c r="D1864" t="str">
        <f>CONCATENATE(Sheet2!B1864,", ",Sheet2!C1864)</f>
        <v>SAUPER, ADV-01 Papango</v>
      </c>
    </row>
    <row r="1865" spans="1:4" x14ac:dyDescent="0.2">
      <c r="A1865" t="str">
        <f>Sheet2!A1865</f>
        <v>PANT</v>
      </c>
      <c r="B1865" t="str">
        <f ca="1">'Query Example'!D1865</f>
        <v>LandPlane</v>
      </c>
      <c r="C1865" s="11" t="str">
        <f>CONCATENATE(Sheet2!F1865,"/",Sheet2!E1865)</f>
        <v>1/Piston</v>
      </c>
      <c r="D1865" t="str">
        <f>CONCATENATE(Sheet2!B1865,", ",Sheet2!C1865)</f>
        <v>ROTEC, Panther 2</v>
      </c>
    </row>
    <row r="1866" spans="1:4" x14ac:dyDescent="0.2">
      <c r="A1866" t="str">
        <f>Sheet2!A1866</f>
        <v>PAR1</v>
      </c>
      <c r="B1866" t="str">
        <f ca="1">'Query Example'!D1866</f>
        <v>LandPlane</v>
      </c>
      <c r="C1866" s="11" t="str">
        <f>CONCATENATE(Sheet2!F1866,"/",Sheet2!E1866)</f>
        <v>1/Piston</v>
      </c>
      <c r="D1866" t="str">
        <f>CONCATENATE(Sheet2!B1866,", ",Sheet2!C1866)</f>
        <v>PARADISE, P-1</v>
      </c>
    </row>
    <row r="1867" spans="1:4" x14ac:dyDescent="0.2">
      <c r="A1867" t="str">
        <f>Sheet2!A1867</f>
        <v>PAR4</v>
      </c>
      <c r="B1867" t="str">
        <f ca="1">'Query Example'!D1867</f>
        <v>LandPlane</v>
      </c>
      <c r="C1867" s="11" t="str">
        <f>CONCATENATE(Sheet2!F1867,"/",Sheet2!E1867)</f>
        <v>1/Piston</v>
      </c>
      <c r="D1867" t="str">
        <f>CONCATENATE(Sheet2!B1867,", ",Sheet2!C1867)</f>
        <v>PARADISE, P-4</v>
      </c>
    </row>
    <row r="1868" spans="1:4" x14ac:dyDescent="0.2">
      <c r="A1868" t="str">
        <f>Sheet2!A1868</f>
        <v>PARL</v>
      </c>
      <c r="B1868" t="str">
        <f ca="1">'Query Example'!D1868</f>
        <v>LandPlane</v>
      </c>
      <c r="C1868" s="11" t="str">
        <f>CONCATENATE(Sheet2!F1868,"/",Sheet2!E1868)</f>
        <v>1/Piston</v>
      </c>
      <c r="D1868" t="str">
        <f>CONCATENATE(Sheet2!B1868,", ",Sheet2!C1868)</f>
        <v>ST. CROIX, Pietenpol Aerial</v>
      </c>
    </row>
    <row r="1869" spans="1:4" x14ac:dyDescent="0.2">
      <c r="A1869" t="str">
        <f>Sheet2!A1869</f>
        <v>PAT2</v>
      </c>
      <c r="B1869" t="str">
        <f ca="1">'Query Example'!D1869</f>
        <v>LandPlane</v>
      </c>
      <c r="C1869" s="11" t="str">
        <f>CONCATENATE(Sheet2!F1869,"/",Sheet2!E1869)</f>
        <v>1/Piston</v>
      </c>
      <c r="D1869" t="str">
        <f>CONCATENATE(Sheet2!B1869,", ",Sheet2!C1869)</f>
        <v>ATAC, Patriot 2</v>
      </c>
    </row>
    <row r="1870" spans="1:4" x14ac:dyDescent="0.2">
      <c r="A1870" t="str">
        <f>Sheet2!A1870</f>
        <v>PAT4</v>
      </c>
      <c r="B1870" t="str">
        <f ca="1">'Query Example'!D1870</f>
        <v>LandPlane</v>
      </c>
      <c r="C1870" s="11" t="str">
        <f>CONCATENATE(Sheet2!F1870,"/",Sheet2!E1870)</f>
        <v>2/Turboprop/Turboshaft</v>
      </c>
      <c r="D1870" t="str">
        <f>CONCATENATE(Sheet2!B1870,", ",Sheet2!C1870)</f>
        <v>PIPER, PA-31T3-500 T-1040</v>
      </c>
    </row>
    <row r="1871" spans="1:4" x14ac:dyDescent="0.2">
      <c r="A1871" t="str">
        <f>Sheet2!A1871</f>
        <v>PAUL</v>
      </c>
      <c r="B1871" t="str">
        <f ca="1">'Query Example'!D1871</f>
        <v>LandPlane</v>
      </c>
      <c r="C1871" s="11" t="str">
        <f>CONCATENATE(Sheet2!F1871,"/",Sheet2!E1871)</f>
        <v>1/Piston</v>
      </c>
      <c r="D1871" t="str">
        <f>CONCATENATE(Sheet2!B1871,", ",Sheet2!C1871)</f>
        <v>PAULISTA, CAP-4 Paulistinha</v>
      </c>
    </row>
    <row r="1872" spans="1:4" x14ac:dyDescent="0.2">
      <c r="A1872" t="str">
        <f>Sheet2!A1872</f>
        <v>PAV4</v>
      </c>
      <c r="B1872" t="str">
        <f ca="1">'Query Example'!D1872</f>
        <v>Gyrocopter</v>
      </c>
      <c r="C1872" s="11" t="str">
        <f>CONCATENATE(Sheet2!F1872,"/",Sheet2!E1872)</f>
        <v>1/Piston</v>
      </c>
      <c r="D1872" t="str">
        <f>CONCATENATE(Sheet2!B1872,", ",Sheet2!C1872)</f>
        <v>CARTER, PAV-4</v>
      </c>
    </row>
    <row r="1873" spans="1:4" x14ac:dyDescent="0.2">
      <c r="A1873" t="str">
        <f>Sheet2!A1873</f>
        <v>PAY1</v>
      </c>
      <c r="B1873" t="str">
        <f ca="1">'Query Example'!D1873</f>
        <v>LandPlane</v>
      </c>
      <c r="C1873" s="11" t="str">
        <f>CONCATENATE(Sheet2!F1873,"/",Sheet2!E1873)</f>
        <v>2/Turboprop/Turboshaft</v>
      </c>
      <c r="D1873" t="str">
        <f>CONCATENATE(Sheet2!B1873,", ",Sheet2!C1873)</f>
        <v>PIPER, PA-31T1-500 Cheyenne 1</v>
      </c>
    </row>
    <row r="1874" spans="1:4" x14ac:dyDescent="0.2">
      <c r="A1874" t="str">
        <f>Sheet2!A1874</f>
        <v>PAY2</v>
      </c>
      <c r="B1874" t="str">
        <f ca="1">'Query Example'!D1874</f>
        <v>LandPlane</v>
      </c>
      <c r="C1874" s="11" t="str">
        <f>CONCATENATE(Sheet2!F1874,"/",Sheet2!E1874)</f>
        <v>2/Turboprop/Turboshaft</v>
      </c>
      <c r="D1874" t="str">
        <f>CONCATENATE(Sheet2!B1874,", ",Sheet2!C1874)</f>
        <v>PIPER, PA-31T-620 Cheyenne 2</v>
      </c>
    </row>
    <row r="1875" spans="1:4" x14ac:dyDescent="0.2">
      <c r="A1875" t="str">
        <f>Sheet2!A1875</f>
        <v>PAY3</v>
      </c>
      <c r="B1875" t="str">
        <f ca="1">'Query Example'!D1875</f>
        <v>LandPlane</v>
      </c>
      <c r="C1875" s="11" t="str">
        <f>CONCATENATE(Sheet2!F1875,"/",Sheet2!E1875)</f>
        <v>2/Turboprop/Turboshaft</v>
      </c>
      <c r="D1875" t="str">
        <f>CONCATENATE(Sheet2!B1875,", ",Sheet2!C1875)</f>
        <v>PIPER, PA-42-720 Cheyenne 3</v>
      </c>
    </row>
    <row r="1876" spans="1:4" x14ac:dyDescent="0.2">
      <c r="A1876" t="str">
        <f>Sheet2!A1876</f>
        <v>PAY4</v>
      </c>
      <c r="B1876" t="str">
        <f ca="1">'Query Example'!D1876</f>
        <v>LandPlane</v>
      </c>
      <c r="C1876" s="11" t="str">
        <f>CONCATENATE(Sheet2!F1876,"/",Sheet2!E1876)</f>
        <v>2/Turboprop/Turboshaft</v>
      </c>
      <c r="D1876" t="str">
        <f>CONCATENATE(Sheet2!B1876,", ",Sheet2!C1876)</f>
        <v>PIPER, PA-42-1000 Cheyenne 400</v>
      </c>
    </row>
    <row r="1877" spans="1:4" x14ac:dyDescent="0.2">
      <c r="A1877" t="str">
        <f>Sheet2!A1877</f>
        <v>PC12</v>
      </c>
      <c r="B1877" t="str">
        <f ca="1">'Query Example'!D1877</f>
        <v>LandPlane</v>
      </c>
      <c r="C1877" s="11" t="str">
        <f>CONCATENATE(Sheet2!F1877,"/",Sheet2!E1877)</f>
        <v>1/Turboprop/Turboshaft</v>
      </c>
      <c r="D1877" t="str">
        <f>CONCATENATE(Sheet2!B1877,", ",Sheet2!C1877)</f>
        <v>PILATUS, PC-12</v>
      </c>
    </row>
    <row r="1878" spans="1:4" x14ac:dyDescent="0.2">
      <c r="A1878" t="str">
        <f>Sheet2!A1878</f>
        <v>PC21</v>
      </c>
      <c r="B1878" t="str">
        <f ca="1">'Query Example'!D1878</f>
        <v>LandPlane</v>
      </c>
      <c r="C1878" s="11" t="str">
        <f>CONCATENATE(Sheet2!F1878,"/",Sheet2!E1878)</f>
        <v>1/Turboprop/Turboshaft</v>
      </c>
      <c r="D1878" t="str">
        <f>CONCATENATE(Sheet2!B1878,", ",Sheet2!C1878)</f>
        <v>PILATUS, PC-21</v>
      </c>
    </row>
    <row r="1879" spans="1:4" x14ac:dyDescent="0.2">
      <c r="A1879" t="str">
        <f>Sheet2!A1879</f>
        <v>PC24</v>
      </c>
      <c r="B1879" t="str">
        <f ca="1">'Query Example'!D1879</f>
        <v>LandPlane</v>
      </c>
      <c r="C1879" s="11" t="str">
        <f>CONCATENATE(Sheet2!F1879,"/",Sheet2!E1879)</f>
        <v>2/Jet</v>
      </c>
      <c r="D1879" t="str">
        <f>CONCATENATE(Sheet2!B1879,", ",Sheet2!C1879)</f>
        <v>PILATUS, PC-24</v>
      </c>
    </row>
    <row r="1880" spans="1:4" x14ac:dyDescent="0.2">
      <c r="A1880" t="str">
        <f>Sheet2!A1880</f>
        <v>PC6P</v>
      </c>
      <c r="B1880" t="str">
        <f ca="1">'Query Example'!D1880</f>
        <v>LandPlane</v>
      </c>
      <c r="C1880" s="11" t="str">
        <f>CONCATENATE(Sheet2!F1880,"/",Sheet2!E1880)</f>
        <v>1/Piston</v>
      </c>
      <c r="D1880" t="str">
        <f>CONCATENATE(Sheet2!B1880,", ",Sheet2!C1880)</f>
        <v>PILATUS, PC-6 Porter</v>
      </c>
    </row>
    <row r="1881" spans="1:4" x14ac:dyDescent="0.2">
      <c r="A1881" t="str">
        <f>Sheet2!A1881</f>
        <v>PC6T</v>
      </c>
      <c r="B1881" t="str">
        <f ca="1">'Query Example'!D1881</f>
        <v>LandPlane</v>
      </c>
      <c r="C1881" s="11" t="str">
        <f>CONCATENATE(Sheet2!F1881,"/",Sheet2!E1881)</f>
        <v>1/Turboprop/Turboshaft</v>
      </c>
      <c r="D1881" t="str">
        <f>CONCATENATE(Sheet2!B1881,", ",Sheet2!C1881)</f>
        <v>PILATUS, PC-6C Turbo-Porter</v>
      </c>
    </row>
    <row r="1882" spans="1:4" x14ac:dyDescent="0.2">
      <c r="A1882" t="str">
        <f>Sheet2!A1882</f>
        <v>PC7</v>
      </c>
      <c r="B1882" t="str">
        <f ca="1">'Query Example'!D1882</f>
        <v>LandPlane</v>
      </c>
      <c r="C1882" s="11" t="str">
        <f>CONCATENATE(Sheet2!F1882,"/",Sheet2!E1882)</f>
        <v>1/Turboprop/Turboshaft</v>
      </c>
      <c r="D1882" t="str">
        <f>CONCATENATE(Sheet2!B1882,", ",Sheet2!C1882)</f>
        <v>PILATUS, PC-7 Astra</v>
      </c>
    </row>
    <row r="1883" spans="1:4" x14ac:dyDescent="0.2">
      <c r="A1883" t="str">
        <f>Sheet2!A1883</f>
        <v>PC9</v>
      </c>
      <c r="B1883" t="str">
        <f ca="1">'Query Example'!D1883</f>
        <v>LandPlane</v>
      </c>
      <c r="C1883" s="11" t="str">
        <f>CONCATENATE(Sheet2!F1883,"/",Sheet2!E1883)</f>
        <v>1/Turboprop/Turboshaft</v>
      </c>
      <c r="D1883" t="str">
        <f>CONCATENATE(Sheet2!B1883,", ",Sheet2!C1883)</f>
        <v>PILATUS, PC-9</v>
      </c>
    </row>
    <row r="1884" spans="1:4" x14ac:dyDescent="0.2">
      <c r="A1884" t="str">
        <f>Sheet2!A1884</f>
        <v>PCA2</v>
      </c>
      <c r="B1884" t="str">
        <f ca="1">'Query Example'!D1884</f>
        <v>Gyrocopter</v>
      </c>
      <c r="C1884" s="11" t="str">
        <f>CONCATENATE(Sheet2!F1884,"/",Sheet2!E1884)</f>
        <v>1/Piston</v>
      </c>
      <c r="D1884" t="str">
        <f>CONCATENATE(Sheet2!B1884,", ",Sheet2!C1884)</f>
        <v>PITCAIRN-CIERVA, PCA-2</v>
      </c>
    </row>
    <row r="1885" spans="1:4" x14ac:dyDescent="0.2">
      <c r="A1885" t="str">
        <f>Sheet2!A1885</f>
        <v>PDIG</v>
      </c>
      <c r="B1885" t="str">
        <f ca="1">'Query Example'!D1885</f>
        <v>LandPlane</v>
      </c>
      <c r="C1885" s="11" t="str">
        <f>CONCATENATE(Sheet2!F1885,"/",Sheet2!E1885)</f>
        <v>2/Piston</v>
      </c>
      <c r="D1885" t="str">
        <f>CONCATENATE(Sheet2!B1885,", ",Sheet2!C1885)</f>
        <v>VSTOL, SST-2000 Pairadigm</v>
      </c>
    </row>
    <row r="1886" spans="1:4" x14ac:dyDescent="0.2">
      <c r="A1886" t="str">
        <f>Sheet2!A1886</f>
        <v>PECR</v>
      </c>
      <c r="B1886" t="str">
        <f ca="1">'Query Example'!D1886</f>
        <v>LandPlane</v>
      </c>
      <c r="C1886" s="11" t="str">
        <f>CONCATENATE(Sheet2!F1886,"/",Sheet2!E1886)</f>
        <v>1/Piston</v>
      </c>
      <c r="D1886" t="str">
        <f>CONCATENATE(Sheet2!B1886,", ",Sheet2!C1886)</f>
        <v>PRO-COMPOSITES, Personal Cruiser</v>
      </c>
    </row>
    <row r="1887" spans="1:4" x14ac:dyDescent="0.2">
      <c r="A1887" t="str">
        <f>Sheet2!A1887</f>
        <v>PEGA</v>
      </c>
      <c r="B1887" t="str">
        <f ca="1">'Query Example'!D1887</f>
        <v>LandPlane</v>
      </c>
      <c r="C1887" s="11" t="str">
        <f>CONCATENATE(Sheet2!F1887,"/",Sheet2!E1887)</f>
        <v>2/Piston</v>
      </c>
      <c r="D1887" t="str">
        <f>CONCATENATE(Sheet2!B1887,", ",Sheet2!C1887)</f>
        <v>GENERAL AVIA, F-20 Pegaso</v>
      </c>
    </row>
    <row r="1888" spans="1:4" x14ac:dyDescent="0.2">
      <c r="A1888" t="str">
        <f>Sheet2!A1888</f>
        <v>PEGZ</v>
      </c>
      <c r="B1888" t="str">
        <f ca="1">'Query Example'!D1888</f>
        <v>LandPlane</v>
      </c>
      <c r="C1888" s="11" t="str">
        <f>CONCATENATE(Sheet2!F1888,"/",Sheet2!E1888)</f>
        <v>1/Piston</v>
      </c>
      <c r="D1888" t="str">
        <f>CONCATENATE(Sheet2!B1888,", ",Sheet2!C1888)</f>
        <v>PEGASE AERO, Pegazair</v>
      </c>
    </row>
    <row r="1889" spans="1:4" x14ac:dyDescent="0.2">
      <c r="A1889" t="str">
        <f>Sheet2!A1889</f>
        <v>PELI</v>
      </c>
      <c r="B1889" t="str">
        <f ca="1">'Query Example'!D1889</f>
        <v>LandPlane</v>
      </c>
      <c r="C1889" s="11" t="str">
        <f>CONCATENATE(Sheet2!F1889,"/",Sheet2!E1889)</f>
        <v>1/Piston</v>
      </c>
      <c r="D1889" t="str">
        <f>CONCATENATE(Sheet2!B1889,", ",Sheet2!C1889)</f>
        <v>ULTRAVIA, Pelican</v>
      </c>
    </row>
    <row r="1890" spans="1:4" x14ac:dyDescent="0.2">
      <c r="A1890" t="str">
        <f>Sheet2!A1890</f>
        <v>PEMB</v>
      </c>
      <c r="B1890" t="str">
        <f ca="1">'Query Example'!D1890</f>
        <v>LandPlane</v>
      </c>
      <c r="C1890" s="11" t="str">
        <f>CONCATENATE(Sheet2!F1890,"/",Sheet2!E1890)</f>
        <v>2/Piston</v>
      </c>
      <c r="D1890" t="str">
        <f>CONCATENATE(Sheet2!B1890,", ",Sheet2!C1890)</f>
        <v>PERCIVAL, P-66 Pembroke</v>
      </c>
    </row>
    <row r="1891" spans="1:4" x14ac:dyDescent="0.2">
      <c r="A1891" t="str">
        <f>Sheet2!A1891</f>
        <v>PETL</v>
      </c>
      <c r="B1891" t="str">
        <f ca="1">'Query Example'!D1891</f>
        <v>LandPlane</v>
      </c>
      <c r="C1891" s="11" t="str">
        <f>CONCATENATE(Sheet2!F1891,"/",Sheet2!E1891)</f>
        <v>1/Piston</v>
      </c>
      <c r="D1891" t="str">
        <f>CONCATENATE(Sheet2!B1891,", ",Sheet2!C1891)</f>
        <v>AERO ITBA, Petrel</v>
      </c>
    </row>
    <row r="1892" spans="1:4" x14ac:dyDescent="0.2">
      <c r="A1892" t="str">
        <f>Sheet2!A1892</f>
        <v>PETR</v>
      </c>
      <c r="B1892" t="str">
        <f ca="1">'Query Example'!D1892</f>
        <v>Amphibian</v>
      </c>
      <c r="C1892" s="11" t="str">
        <f>CONCATENATE(Sheet2!F1892,"/",Sheet2!E1892)</f>
        <v>1/Piston</v>
      </c>
      <c r="D1892" t="str">
        <f>CONCATENATE(Sheet2!B1892,", ",Sheet2!C1892)</f>
        <v>EDRA, Super Petrel</v>
      </c>
    </row>
    <row r="1893" spans="1:4" x14ac:dyDescent="0.2">
      <c r="A1893" t="str">
        <f>Sheet2!A1893</f>
        <v>PGEE</v>
      </c>
      <c r="B1893" t="str">
        <f ca="1">'Query Example'!D1893</f>
        <v>LandPlane</v>
      </c>
      <c r="C1893" s="11" t="str">
        <f>CONCATENATE(Sheet2!F1893,"/",Sheet2!E1893)</f>
        <v>1/Piston</v>
      </c>
      <c r="D1893" t="str">
        <f>CONCATENATE(Sheet2!B1893,", ",Sheet2!C1893)</f>
        <v>HOLCOMB, Perigee</v>
      </c>
    </row>
    <row r="1894" spans="1:4" x14ac:dyDescent="0.2">
      <c r="A1894" t="str">
        <f>Sheet2!A1894</f>
        <v>PGK1</v>
      </c>
      <c r="B1894" t="str">
        <f ca="1">'Query Example'!D1894</f>
        <v>LandPlane</v>
      </c>
      <c r="C1894" s="11" t="str">
        <f>CONCATENATE(Sheet2!F1894,"/",Sheet2!E1894)</f>
        <v>1/Piston</v>
      </c>
      <c r="D1894" t="str">
        <f>CONCATENATE(Sheet2!B1894,", ",Sheet2!C1894)</f>
        <v>WESTERN, PGK-1 Hirondelle</v>
      </c>
    </row>
    <row r="1895" spans="1:4" x14ac:dyDescent="0.2">
      <c r="A1895" t="str">
        <f>Sheet2!A1895</f>
        <v>PHIL</v>
      </c>
      <c r="B1895" t="str">
        <f ca="1">'Query Example'!D1895</f>
        <v>Helicopter</v>
      </c>
      <c r="C1895" s="11" t="str">
        <f>CONCATENATE(Sheet2!F1895,"/",Sheet2!E1895)</f>
        <v>1/Piston</v>
      </c>
      <c r="D1895" t="str">
        <f>CONCATENATE(Sheet2!B1895,", ",Sheet2!C1895)</f>
        <v>VTOL AIRCRAFT, Phillicopter</v>
      </c>
    </row>
    <row r="1896" spans="1:4" x14ac:dyDescent="0.2">
      <c r="A1896" t="str">
        <f>Sheet2!A1896</f>
        <v>PHIX</v>
      </c>
      <c r="B1896" t="str">
        <f ca="1">'Query Example'!D1896</f>
        <v>Gyrocopter</v>
      </c>
      <c r="C1896" s="11" t="str">
        <f>CONCATENATE(Sheet2!F1896,"/",Sheet2!E1896)</f>
        <v>1/Piston</v>
      </c>
      <c r="D1896" t="str">
        <f>CONCATENATE(Sheet2!B1896,", ",Sheet2!C1896)</f>
        <v>PHENIX, Phenix</v>
      </c>
    </row>
    <row r="1897" spans="1:4" x14ac:dyDescent="0.2">
      <c r="A1897" t="str">
        <f>Sheet2!A1897</f>
        <v>PHNX</v>
      </c>
      <c r="B1897" t="str">
        <f ca="1">'Query Example'!D1897</f>
        <v>LandPlane</v>
      </c>
      <c r="C1897" s="11" t="str">
        <f>CONCATENATE(Sheet2!F1897,"/",Sheet2!E1897)</f>
        <v>1/Piston</v>
      </c>
      <c r="D1897" t="str">
        <f>CONCATENATE(Sheet2!B1897,", ",Sheet2!C1897)</f>
        <v>FREEDOM, Phoenix</v>
      </c>
    </row>
    <row r="1898" spans="1:4" x14ac:dyDescent="0.2">
      <c r="A1898" t="str">
        <f>Sheet2!A1898</f>
        <v>PIAE</v>
      </c>
      <c r="B1898" t="str">
        <f ca="1">'Query Example'!D1898</f>
        <v>LandPlane</v>
      </c>
      <c r="C1898" s="11" t="str">
        <f>CONCATENATE(Sheet2!F1898,"/",Sheet2!E1898)</f>
        <v>1/Electric</v>
      </c>
      <c r="D1898" t="str">
        <f>CONCATENATE(Sheet2!B1898,", ",Sheet2!C1898)</f>
        <v>PIPISTREL, Alpha Electro</v>
      </c>
    </row>
    <row r="1899" spans="1:4" x14ac:dyDescent="0.2">
      <c r="A1899" t="str">
        <f>Sheet2!A1899</f>
        <v>PIAT</v>
      </c>
      <c r="B1899" t="str">
        <f ca="1">'Query Example'!D1899</f>
        <v>LandPlane</v>
      </c>
      <c r="C1899" s="11" t="str">
        <f>CONCATENATE(Sheet2!F1899,"/",Sheet2!E1899)</f>
        <v>1/Piston</v>
      </c>
      <c r="D1899" t="str">
        <f>CONCATENATE(Sheet2!B1899,", ",Sheet2!C1899)</f>
        <v>PIPISTREL, Alpha Trainer</v>
      </c>
    </row>
    <row r="1900" spans="1:4" x14ac:dyDescent="0.2">
      <c r="A1900" t="str">
        <f>Sheet2!A1900</f>
        <v>PICO</v>
      </c>
      <c r="B1900" t="str">
        <f ca="1">'Query Example'!D1900</f>
        <v>LandPlane</v>
      </c>
      <c r="C1900" s="11" t="str">
        <f>CONCATENATE(Sheet2!F1900,"/",Sheet2!E1900)</f>
        <v>1/Piston</v>
      </c>
      <c r="D1900" t="str">
        <f>CONCATENATE(Sheet2!B1900,", ",Sheet2!C1900)</f>
        <v>PROCAER, F-15 Picchio</v>
      </c>
    </row>
    <row r="1901" spans="1:4" x14ac:dyDescent="0.2">
      <c r="A1901" t="str">
        <f>Sheet2!A1901</f>
        <v>PILL</v>
      </c>
      <c r="B1901" t="str">
        <f ca="1">'Query Example'!D1901</f>
        <v>LandPlane</v>
      </c>
      <c r="C1901" s="11" t="str">
        <f>CONCATENATE(Sheet2!F1901,"/",Sheet2!E1901)</f>
        <v>1/Piston</v>
      </c>
      <c r="D1901" t="str">
        <f>CONCATENATE(Sheet2!B1901,", ",Sheet2!C1901)</f>
        <v>ENAER, T-35A Pillán</v>
      </c>
    </row>
    <row r="1902" spans="1:4" x14ac:dyDescent="0.2">
      <c r="A1902" t="str">
        <f>Sheet2!A1902</f>
        <v>PINO</v>
      </c>
      <c r="B1902" t="str">
        <f ca="1">'Query Example'!D1902</f>
        <v>LandPlane</v>
      </c>
      <c r="C1902" s="11" t="str">
        <f>CONCATENATE(Sheet2!F1902,"/",Sheet2!E1902)</f>
        <v>1/Piston</v>
      </c>
      <c r="D1902" t="str">
        <f>CONCATENATE(Sheet2!B1902,", ",Sheet2!C1902)</f>
        <v>GENERAL AVIA, F-22 Pinguino</v>
      </c>
    </row>
    <row r="1903" spans="1:4" x14ac:dyDescent="0.2">
      <c r="A1903" t="str">
        <f>Sheet2!A1903</f>
        <v>PIPA</v>
      </c>
      <c r="B1903" t="str">
        <f ca="1">'Query Example'!D1903</f>
        <v>LandPlane</v>
      </c>
      <c r="C1903" s="11" t="str">
        <f>CONCATENATE(Sheet2!F1903,"/",Sheet2!E1903)</f>
        <v>1/Piston</v>
      </c>
      <c r="D1903" t="str">
        <f>CONCATENATE(Sheet2!B1903,", ",Sheet2!C1903)</f>
        <v>PIPISTREL, Panthera</v>
      </c>
    </row>
    <row r="1904" spans="1:4" x14ac:dyDescent="0.2">
      <c r="A1904" t="str">
        <f>Sheet2!A1904</f>
        <v>PISI</v>
      </c>
      <c r="B1904" t="str">
        <f ca="1">'Query Example'!D1904</f>
        <v>LandPlane</v>
      </c>
      <c r="C1904" s="11" t="str">
        <f>CONCATENATE(Sheet2!F1904,"/",Sheet2!E1904)</f>
        <v>1/Piston</v>
      </c>
      <c r="D1904" t="str">
        <f>CONCATENATE(Sheet2!B1904,", ",Sheet2!C1904)</f>
        <v>PIPISTREL, Sinus</v>
      </c>
    </row>
    <row r="1905" spans="1:4" x14ac:dyDescent="0.2">
      <c r="A1905" t="str">
        <f>Sheet2!A1905</f>
        <v>PIT4</v>
      </c>
      <c r="B1905" t="str">
        <f ca="1">'Query Example'!D1905</f>
        <v>LandPlane</v>
      </c>
      <c r="C1905" s="11" t="str">
        <f>CONCATENATE(Sheet2!F1905,"/",Sheet2!E1905)</f>
        <v>1/Electric</v>
      </c>
      <c r="D1905" t="str">
        <f>CONCATENATE(Sheet2!B1905,", ",Sheet2!C1905)</f>
        <v>PIPISTREL, Taurus Electro G4</v>
      </c>
    </row>
    <row r="1906" spans="1:4" x14ac:dyDescent="0.2">
      <c r="A1906" t="str">
        <f>Sheet2!A1906</f>
        <v>PITA</v>
      </c>
      <c r="B1906" t="str">
        <f ca="1">'Query Example'!D1906</f>
        <v>LandPlane</v>
      </c>
      <c r="C1906" s="11" t="str">
        <f>CONCATENATE(Sheet2!F1906,"/",Sheet2!E1906)</f>
        <v>1/Piston</v>
      </c>
      <c r="D1906" t="str">
        <f>CONCATENATE(Sheet2!B1906,", ",Sheet2!C1906)</f>
        <v>PIPISTREL, Taurus 503</v>
      </c>
    </row>
    <row r="1907" spans="1:4" x14ac:dyDescent="0.2">
      <c r="A1907" t="str">
        <f>Sheet2!A1907</f>
        <v>PITE</v>
      </c>
      <c r="B1907" t="str">
        <f ca="1">'Query Example'!D1907</f>
        <v>LandPlane</v>
      </c>
      <c r="C1907" s="11" t="str">
        <f>CONCATENATE(Sheet2!F1907,"/",Sheet2!E1907)</f>
        <v>1/Electric</v>
      </c>
      <c r="D1907" t="str">
        <f>CONCATENATE(Sheet2!B1907,", ",Sheet2!C1907)</f>
        <v>PIPISTREL, Taurus Electro</v>
      </c>
    </row>
    <row r="1908" spans="1:4" x14ac:dyDescent="0.2">
      <c r="A1908" t="str">
        <f>Sheet2!A1908</f>
        <v>PIVE</v>
      </c>
      <c r="B1908" t="str">
        <f ca="1">'Query Example'!D1908</f>
        <v>LandPlane</v>
      </c>
      <c r="C1908" s="11" t="str">
        <f>CONCATENATE(Sheet2!F1908,"/",Sheet2!E1908)</f>
        <v>1/Electric</v>
      </c>
      <c r="D1908" t="str">
        <f>CONCATENATE(Sheet2!B1908,", ",Sheet2!C1908)</f>
        <v>PIPISTREL, Velis Electro</v>
      </c>
    </row>
    <row r="1909" spans="1:4" x14ac:dyDescent="0.2">
      <c r="A1909" t="str">
        <f>Sheet2!A1909</f>
        <v>PIVI</v>
      </c>
      <c r="B1909" t="str">
        <f ca="1">'Query Example'!D1909</f>
        <v>LandPlane</v>
      </c>
      <c r="C1909" s="11" t="str">
        <f>CONCATENATE(Sheet2!F1909,"/",Sheet2!E1909)</f>
        <v>1/Piston</v>
      </c>
      <c r="D1909" t="str">
        <f>CONCATENATE(Sheet2!B1909,", ",Sheet2!C1909)</f>
        <v>PIPISTREL, Virus (piston)</v>
      </c>
    </row>
    <row r="1910" spans="1:4" x14ac:dyDescent="0.2">
      <c r="A1910" t="str">
        <f>Sheet2!A1910</f>
        <v>PK11</v>
      </c>
      <c r="B1910" t="str">
        <f ca="1">'Query Example'!D1910</f>
        <v>LandPlane</v>
      </c>
      <c r="C1910" s="11" t="str">
        <f>CONCATENATE(Sheet2!F1910,"/",Sheet2!E1910)</f>
        <v>1/Piston</v>
      </c>
      <c r="D1910" t="str">
        <f>CONCATENATE(Sheet2!B1910,", ",Sheet2!C1910)</f>
        <v>PIK, PIK-11 Tumppu</v>
      </c>
    </row>
    <row r="1911" spans="1:4" x14ac:dyDescent="0.2">
      <c r="A1911" t="str">
        <f>Sheet2!A1911</f>
        <v>PK15</v>
      </c>
      <c r="B1911" t="str">
        <f ca="1">'Query Example'!D1911</f>
        <v>LandPlane</v>
      </c>
      <c r="C1911" s="11" t="str">
        <f>CONCATENATE(Sheet2!F1911,"/",Sheet2!E1911)</f>
        <v>1/Piston</v>
      </c>
      <c r="D1911" t="str">
        <f>CONCATENATE(Sheet2!B1911,", ",Sheet2!C1911)</f>
        <v>PIK, PIK-15 Hinu</v>
      </c>
    </row>
    <row r="1912" spans="1:4" x14ac:dyDescent="0.2">
      <c r="A1912" t="str">
        <f>Sheet2!A1912</f>
        <v>PK18</v>
      </c>
      <c r="B1912" t="str">
        <f ca="1">'Query Example'!D1912</f>
        <v>LandPlane</v>
      </c>
      <c r="C1912" s="11" t="str">
        <f>CONCATENATE(Sheet2!F1912,"/",Sheet2!E1912)</f>
        <v>1/Piston</v>
      </c>
      <c r="D1912" t="str">
        <f>CONCATENATE(Sheet2!B1912,", ",Sheet2!C1912)</f>
        <v>PIK, PIK-18 Sytky</v>
      </c>
    </row>
    <row r="1913" spans="1:4" x14ac:dyDescent="0.2">
      <c r="A1913" t="str">
        <f>Sheet2!A1913</f>
        <v>PK19</v>
      </c>
      <c r="B1913" t="str">
        <f ca="1">'Query Example'!D1913</f>
        <v>LandPlane</v>
      </c>
      <c r="C1913" s="11" t="str">
        <f>CONCATENATE(Sheet2!F1913,"/",Sheet2!E1913)</f>
        <v>1/Piston</v>
      </c>
      <c r="D1913" t="str">
        <f>CONCATENATE(Sheet2!B1913,", ",Sheet2!C1913)</f>
        <v>PIK, PIK-19 Muhinu</v>
      </c>
    </row>
    <row r="1914" spans="1:4" x14ac:dyDescent="0.2">
      <c r="A1914" t="str">
        <f>Sheet2!A1914</f>
        <v>PK20</v>
      </c>
      <c r="B1914" t="str">
        <f ca="1">'Query Example'!D1914</f>
        <v>LandPlane</v>
      </c>
      <c r="C1914" s="11" t="str">
        <f>CONCATENATE(Sheet2!F1914,"/",Sheet2!E1914)</f>
        <v>1/Piston</v>
      </c>
      <c r="D1914" t="str">
        <f>CONCATENATE(Sheet2!B1914,", ",Sheet2!C1914)</f>
        <v>PIK, PIK-20E</v>
      </c>
    </row>
    <row r="1915" spans="1:4" x14ac:dyDescent="0.2">
      <c r="A1915" t="str">
        <f>Sheet2!A1915</f>
        <v>PK21</v>
      </c>
      <c r="B1915" t="str">
        <f ca="1">'Query Example'!D1915</f>
        <v>LandPlane</v>
      </c>
      <c r="C1915" s="11" t="str">
        <f>CONCATENATE(Sheet2!F1915,"/",Sheet2!E1915)</f>
        <v>1/Piston</v>
      </c>
      <c r="D1915" t="str">
        <f>CONCATENATE(Sheet2!B1915,", ",Sheet2!C1915)</f>
        <v>PIK, PIK-21 Super Sytky</v>
      </c>
    </row>
    <row r="1916" spans="1:4" x14ac:dyDescent="0.2">
      <c r="A1916" t="str">
        <f>Sheet2!A1916</f>
        <v>PK23</v>
      </c>
      <c r="B1916" t="str">
        <f ca="1">'Query Example'!D1916</f>
        <v>LandPlane</v>
      </c>
      <c r="C1916" s="11" t="str">
        <f>CONCATENATE(Sheet2!F1916,"/",Sheet2!E1916)</f>
        <v>1/Piston</v>
      </c>
      <c r="D1916" t="str">
        <f>CONCATENATE(Sheet2!B1916,", ",Sheet2!C1916)</f>
        <v>PIK, PIK-23 Suhinu</v>
      </c>
    </row>
    <row r="1917" spans="1:4" x14ac:dyDescent="0.2">
      <c r="A1917" t="str">
        <f>Sheet2!A1917</f>
        <v>PK25</v>
      </c>
      <c r="B1917" t="str">
        <f ca="1">'Query Example'!D1917</f>
        <v>LandPlane</v>
      </c>
      <c r="C1917" s="11" t="str">
        <f>CONCATENATE(Sheet2!F1917,"/",Sheet2!E1917)</f>
        <v>1/Piston</v>
      </c>
      <c r="D1917" t="str">
        <f>CONCATENATE(Sheet2!B1917,", ",Sheet2!C1917)</f>
        <v>PIK, PIK-25 Varttimarkka</v>
      </c>
    </row>
    <row r="1918" spans="1:4" x14ac:dyDescent="0.2">
      <c r="A1918" t="str">
        <f>Sheet2!A1918</f>
        <v>PK25</v>
      </c>
      <c r="B1918" t="str">
        <f ca="1">'Query Example'!D1918</f>
        <v>LandPlane</v>
      </c>
      <c r="C1918" s="11" t="str">
        <f>CONCATENATE(Sheet2!F1918,"/",Sheet2!E1918)</f>
        <v>1/Piston</v>
      </c>
      <c r="D1918" t="str">
        <f>CONCATENATE(Sheet2!B1918,", ",Sheet2!C1918)</f>
        <v>PIK, Varttimarkka</v>
      </c>
    </row>
    <row r="1919" spans="1:4" x14ac:dyDescent="0.2">
      <c r="A1919" t="str">
        <f>Sheet2!A1919</f>
        <v>PKAN</v>
      </c>
      <c r="B1919" t="str">
        <f ca="1">'Query Example'!D1919</f>
        <v>LandPlane</v>
      </c>
      <c r="C1919" s="11" t="str">
        <f>CONCATENATE(Sheet2!F1919,"/",Sheet2!E1919)</f>
        <v>1/Piston</v>
      </c>
      <c r="D1919" t="str">
        <f>CONCATENATE(Sheet2!B1919,", ",Sheet2!C1919)</f>
        <v>UETZ, U-3M Pelikan</v>
      </c>
    </row>
    <row r="1920" spans="1:4" x14ac:dyDescent="0.2">
      <c r="A1920" t="str">
        <f>Sheet2!A1920</f>
        <v>PL1</v>
      </c>
      <c r="B1920" t="str">
        <f ca="1">'Query Example'!D1920</f>
        <v>LandPlane</v>
      </c>
      <c r="C1920" s="11" t="str">
        <f>CONCATENATE(Sheet2!F1920,"/",Sheet2!E1920)</f>
        <v>1/Piston</v>
      </c>
      <c r="D1920" t="str">
        <f>CONCATENATE(Sheet2!B1920,", ",Sheet2!C1920)</f>
        <v>PAZMANY, PL-1 Laminar</v>
      </c>
    </row>
    <row r="1921" spans="1:4" x14ac:dyDescent="0.2">
      <c r="A1921" t="str">
        <f>Sheet2!A1921</f>
        <v>PL12</v>
      </c>
      <c r="B1921" t="str">
        <f ca="1">'Query Example'!D1921</f>
        <v>LandPlane</v>
      </c>
      <c r="C1921" s="11" t="str">
        <f>CONCATENATE(Sheet2!F1921,"/",Sheet2!E1921)</f>
        <v>1/Piston</v>
      </c>
      <c r="D1921" t="str">
        <f>CONCATENATE(Sheet2!B1921,", ",Sheet2!C1921)</f>
        <v>TRANSAVIA, PL-12 Airtruk</v>
      </c>
    </row>
    <row r="1922" spans="1:4" x14ac:dyDescent="0.2">
      <c r="A1922" t="str">
        <f>Sheet2!A1922</f>
        <v>PL2</v>
      </c>
      <c r="B1922" t="str">
        <f ca="1">'Query Example'!D1922</f>
        <v>LandPlane</v>
      </c>
      <c r="C1922" s="11" t="str">
        <f>CONCATENATE(Sheet2!F1922,"/",Sheet2!E1922)</f>
        <v>1/Piston</v>
      </c>
      <c r="D1922" t="str">
        <f>CONCATENATE(Sheet2!B1922,", ",Sheet2!C1922)</f>
        <v>PAZMANY, PL-2</v>
      </c>
    </row>
    <row r="1923" spans="1:4" x14ac:dyDescent="0.2">
      <c r="A1923" t="str">
        <f>Sheet2!A1923</f>
        <v>PL4</v>
      </c>
      <c r="B1923" t="str">
        <f ca="1">'Query Example'!D1923</f>
        <v>LandPlane</v>
      </c>
      <c r="C1923" s="11" t="str">
        <f>CONCATENATE(Sheet2!F1923,"/",Sheet2!E1923)</f>
        <v>1/Piston</v>
      </c>
      <c r="D1923" t="str">
        <f>CONCATENATE(Sheet2!B1923,", ",Sheet2!C1923)</f>
        <v>PAZMANY, PL-4</v>
      </c>
    </row>
    <row r="1924" spans="1:4" x14ac:dyDescent="0.2">
      <c r="A1924" t="str">
        <f>Sheet2!A1924</f>
        <v>PL9</v>
      </c>
      <c r="B1924" t="str">
        <f ca="1">'Query Example'!D1924</f>
        <v>LandPlane</v>
      </c>
      <c r="C1924" s="11" t="str">
        <f>CONCATENATE(Sheet2!F1924,"/",Sheet2!E1924)</f>
        <v>1/Piston</v>
      </c>
      <c r="D1924" t="str">
        <f>CONCATENATE(Sheet2!B1924,", ",Sheet2!C1924)</f>
        <v>PAZMANY, PL-9 Stork</v>
      </c>
    </row>
    <row r="1925" spans="1:4" x14ac:dyDescent="0.2">
      <c r="A1925" t="str">
        <f>Sheet2!A1925</f>
        <v>PLUS</v>
      </c>
      <c r="B1925" t="str">
        <f ca="1">'Query Example'!D1925</f>
        <v>LandPlane</v>
      </c>
      <c r="C1925" s="11" t="str">
        <f>CONCATENATE(Sheet2!F1925,"/",Sheet2!E1925)</f>
        <v>1/Piston</v>
      </c>
      <c r="D1925" t="str">
        <f>CONCATENATE(Sheet2!B1925,", ",Sheet2!C1925)</f>
        <v>TAYLORCRAFT (2), Plus C</v>
      </c>
    </row>
    <row r="1926" spans="1:4" x14ac:dyDescent="0.2">
      <c r="A1926" t="str">
        <f>Sheet2!A1926</f>
        <v>PNR2</v>
      </c>
      <c r="B1926" t="str">
        <f ca="1">'Query Example'!D1926</f>
        <v>LandPlane</v>
      </c>
      <c r="C1926" s="11" t="str">
        <f>CONCATENATE(Sheet2!F1926,"/",Sheet2!E1926)</f>
        <v>1/Piston</v>
      </c>
      <c r="D1926" t="str">
        <f>CONCATENATE(Sheet2!B1926,", ",Sheet2!C1926)</f>
        <v>ALPI, Pioneer 200</v>
      </c>
    </row>
    <row r="1927" spans="1:4" x14ac:dyDescent="0.2">
      <c r="A1927" t="str">
        <f>Sheet2!A1927</f>
        <v>PNR3</v>
      </c>
      <c r="B1927" t="str">
        <f ca="1">'Query Example'!D1927</f>
        <v>LandPlane</v>
      </c>
      <c r="C1927" s="11" t="str">
        <f>CONCATENATE(Sheet2!F1927,"/",Sheet2!E1927)</f>
        <v>1/Piston</v>
      </c>
      <c r="D1927" t="str">
        <f>CONCATENATE(Sheet2!B1927,", ",Sheet2!C1927)</f>
        <v>ALPI, Pioneer 300</v>
      </c>
    </row>
    <row r="1928" spans="1:4" x14ac:dyDescent="0.2">
      <c r="A1928" t="str">
        <f>Sheet2!A1928</f>
        <v>PNR4</v>
      </c>
      <c r="B1928" t="str">
        <f ca="1">'Query Example'!D1928</f>
        <v>LandPlane</v>
      </c>
      <c r="C1928" s="11" t="str">
        <f>CONCATENATE(Sheet2!F1928,"/",Sheet2!E1928)</f>
        <v>1/Piston</v>
      </c>
      <c r="D1928" t="str">
        <f>CONCATENATE(Sheet2!B1928,", ",Sheet2!C1928)</f>
        <v>ALPI, Pioneer 400</v>
      </c>
    </row>
    <row r="1929" spans="1:4" x14ac:dyDescent="0.2">
      <c r="A1929" t="str">
        <f>Sheet2!A1929</f>
        <v>PNTH</v>
      </c>
      <c r="B1929" t="str">
        <f ca="1">'Query Example'!D1929</f>
        <v>LandPlane</v>
      </c>
      <c r="C1929" s="11" t="str">
        <f>CONCATENATE(Sheet2!F1929,"/",Sheet2!E1929)</f>
        <v>1/Piston</v>
      </c>
      <c r="D1929" t="str">
        <f>CONCATENATE(Sheet2!B1929,", ",Sheet2!C1929)</f>
        <v>SPORT PERFORMANCE, Panther</v>
      </c>
    </row>
    <row r="1930" spans="1:4" x14ac:dyDescent="0.2">
      <c r="A1930" t="str">
        <f>Sheet2!A1930</f>
        <v>PO2</v>
      </c>
      <c r="B1930" t="str">
        <f ca="1">'Query Example'!D1930</f>
        <v>LandPlane</v>
      </c>
      <c r="C1930" s="11" t="str">
        <f>CONCATENATE(Sheet2!F1930,"/",Sheet2!E1930)</f>
        <v>1/Piston</v>
      </c>
      <c r="D1930" t="str">
        <f>CONCATENATE(Sheet2!B1930,", ",Sheet2!C1930)</f>
        <v>POLIKARPOV, Po-2</v>
      </c>
    </row>
    <row r="1931" spans="1:4" x14ac:dyDescent="0.2">
      <c r="A1931" t="str">
        <f>Sheet2!A1931</f>
        <v>PO60</v>
      </c>
      <c r="B1931" t="str">
        <f ca="1">'Query Example'!D1931</f>
        <v>LandPlane</v>
      </c>
      <c r="C1931" s="11" t="str">
        <f>CONCATENATE(Sheet2!F1931,"/",Sheet2!E1931)</f>
        <v>1/Piston</v>
      </c>
      <c r="D1931" t="str">
        <f>CONCATENATE(Sheet2!B1931,", ",Sheet2!C1931)</f>
        <v>POTEZ, 60 Sauterelle</v>
      </c>
    </row>
    <row r="1932" spans="1:4" x14ac:dyDescent="0.2">
      <c r="A1932" t="str">
        <f>Sheet2!A1932</f>
        <v>POLI</v>
      </c>
      <c r="B1932" t="str">
        <f ca="1">'Query Example'!D1932</f>
        <v>LandPlane</v>
      </c>
      <c r="C1932" s="11" t="str">
        <f>CONCATENATE(Sheet2!F1932,"/",Sheet2!E1932)</f>
        <v>1/Piston</v>
      </c>
      <c r="D1932" t="str">
        <f>CONCATENATE(Sheet2!B1932,", ",Sheet2!C1932)</f>
        <v>ALVAREZ, Polliwagen</v>
      </c>
    </row>
    <row r="1933" spans="1:4" x14ac:dyDescent="0.2">
      <c r="A1933" t="str">
        <f>Sheet2!A1933</f>
        <v>PONY</v>
      </c>
      <c r="B1933" t="str">
        <f ca="1">'Query Example'!D1933</f>
        <v>Amphibian</v>
      </c>
      <c r="C1933" s="11" t="str">
        <f>CONCATENATE(Sheet2!F1933,"/",Sheet2!E1933)</f>
        <v>1/Piston</v>
      </c>
      <c r="D1933" t="str">
        <f>CONCATENATE(Sheet2!B1933,", ",Sheet2!C1933)</f>
        <v>REDA, Pony</v>
      </c>
    </row>
    <row r="1934" spans="1:4" x14ac:dyDescent="0.2">
      <c r="A1934" t="str">
        <f>Sheet2!A1934</f>
        <v>PP2</v>
      </c>
      <c r="B1934" t="str">
        <f ca="1">'Query Example'!D1934</f>
        <v>LandPlane</v>
      </c>
      <c r="C1934" s="11" t="str">
        <f>CONCATENATE(Sheet2!F1934,"/",Sheet2!E1934)</f>
        <v>1/Piston</v>
      </c>
      <c r="D1934" t="str">
        <f>CONCATENATE(Sheet2!B1934,", ",Sheet2!C1934)</f>
        <v>PILATUS, P-2</v>
      </c>
    </row>
    <row r="1935" spans="1:4" x14ac:dyDescent="0.2">
      <c r="A1935" t="str">
        <f>Sheet2!A1935</f>
        <v>PP3</v>
      </c>
      <c r="B1935" t="str">
        <f ca="1">'Query Example'!D1935</f>
        <v>LandPlane</v>
      </c>
      <c r="C1935" s="11" t="str">
        <f>CONCATENATE(Sheet2!F1935,"/",Sheet2!E1935)</f>
        <v>1/Piston</v>
      </c>
      <c r="D1935" t="str">
        <f>CONCATENATE(Sheet2!B1935,", ",Sheet2!C1935)</f>
        <v>PILATUS, P-3</v>
      </c>
    </row>
    <row r="1936" spans="1:4" x14ac:dyDescent="0.2">
      <c r="A1936" t="str">
        <f>Sheet2!A1936</f>
        <v>PPRO</v>
      </c>
      <c r="B1936" t="str">
        <f ca="1">'Query Example'!D1936</f>
        <v>LandPlane</v>
      </c>
      <c r="C1936" s="11" t="str">
        <f>CONCATENATE(Sheet2!F1936,"/",Sheet2!E1936)</f>
        <v>1/Piston</v>
      </c>
      <c r="D1936" t="str">
        <f>CONCATENATE(Sheet2!B1936,", ",Sheet2!C1936)</f>
        <v>PERCIVAL, P-56 Provost</v>
      </c>
    </row>
    <row r="1937" spans="1:4" x14ac:dyDescent="0.2">
      <c r="A1937" t="str">
        <f>Sheet2!A1937</f>
        <v>PRBP</v>
      </c>
      <c r="B1937" t="str">
        <f ca="1">'Query Example'!D1937</f>
        <v>LandPlane</v>
      </c>
      <c r="C1937" s="11" t="str">
        <f>CONCATENATE(Sheet2!F1937,"/",Sheet2!E1937)</f>
        <v>1/Piston</v>
      </c>
      <c r="D1937" t="str">
        <f>CONCATENATE(Sheet2!B1937,", ",Sheet2!C1937)</f>
        <v>HOWARD HUGHES, Pocket Rocket PR-Bipe</v>
      </c>
    </row>
    <row r="1938" spans="1:4" x14ac:dyDescent="0.2">
      <c r="A1938" t="str">
        <f>Sheet2!A1938</f>
        <v>PRBR</v>
      </c>
      <c r="B1938" t="str">
        <f ca="1">'Query Example'!D1938</f>
        <v>LandPlane</v>
      </c>
      <c r="C1938" s="11" t="str">
        <f>CONCATENATE(Sheet2!F1938,"/",Sheet2!E1938)</f>
        <v>1/Piston</v>
      </c>
      <c r="D1938" t="str">
        <f>CONCATENATE(Sheet2!B1938,", ",Sheet2!C1938)</f>
        <v>HOWARD HUGHES, Pocket Rocket PR-Breeze</v>
      </c>
    </row>
    <row r="1939" spans="1:4" x14ac:dyDescent="0.2">
      <c r="A1939" t="str">
        <f>Sheet2!A1939</f>
        <v>PRCE</v>
      </c>
      <c r="B1939" t="str">
        <f ca="1">'Query Example'!D1939</f>
        <v>LandPlane</v>
      </c>
      <c r="C1939" s="11" t="str">
        <f>CONCATENATE(Sheet2!F1939,"/",Sheet2!E1939)</f>
        <v>2/Piston</v>
      </c>
      <c r="D1939" t="str">
        <f>CONCATENATE(Sheet2!B1939,", ",Sheet2!C1939)</f>
        <v>PERCIVAL, P-57 Sea Prince</v>
      </c>
    </row>
    <row r="1940" spans="1:4" x14ac:dyDescent="0.2">
      <c r="A1940" t="str">
        <f>Sheet2!A1940</f>
        <v>PREN</v>
      </c>
      <c r="B1940" t="str">
        <f ca="1">'Query Example'!D1940</f>
        <v>LandPlane</v>
      </c>
      <c r="C1940" s="11" t="str">
        <f>CONCATENATE(Sheet2!F1940,"/",Sheet2!E1940)</f>
        <v>1/Piston</v>
      </c>
      <c r="D1940" t="str">
        <f>CONCATENATE(Sheet2!B1940,", ",Sheet2!C1940)</f>
        <v>PERCIVAL, P-40 Prentice</v>
      </c>
    </row>
    <row r="1941" spans="1:4" x14ac:dyDescent="0.2">
      <c r="A1941" t="str">
        <f>Sheet2!A1941</f>
        <v>PRET</v>
      </c>
      <c r="B1941" t="str">
        <f ca="1">'Query Example'!D1941</f>
        <v>LandPlane</v>
      </c>
      <c r="C1941" s="11" t="str">
        <f>CONCATENATE(Sheet2!F1941,"/",Sheet2!E1941)</f>
        <v>1/Piston</v>
      </c>
      <c r="D1941" t="str">
        <f>CONCATENATE(Sheet2!B1941,", ",Sheet2!C1941)</f>
        <v>GM&amp;T, GM&amp;T Pretty Flight</v>
      </c>
    </row>
    <row r="1942" spans="1:4" x14ac:dyDescent="0.2">
      <c r="A1942" t="str">
        <f>Sheet2!A1942</f>
        <v>PREX</v>
      </c>
      <c r="B1942" t="str">
        <f ca="1">'Query Example'!D1942</f>
        <v>LandPlane</v>
      </c>
      <c r="C1942" s="11" t="str">
        <f>CONCATENATE(Sheet2!F1942,"/",Sheet2!E1942)</f>
        <v>1/Piston</v>
      </c>
      <c r="D1942" t="str">
        <f>CONCATENATE(Sheet2!B1942,", ",Sheet2!C1942)</f>
        <v>PRIVATE EXPLORER, Private Explorer</v>
      </c>
    </row>
    <row r="1943" spans="1:4" x14ac:dyDescent="0.2">
      <c r="A1943" t="str">
        <f>Sheet2!A1943</f>
        <v>PRIM</v>
      </c>
      <c r="B1943" t="str">
        <f ca="1">'Query Example'!D1943</f>
        <v>LandPlane</v>
      </c>
      <c r="C1943" s="11" t="str">
        <f>CONCATENATE(Sheet2!F1943,"/",Sheet2!E1943)</f>
        <v>1/Piston</v>
      </c>
      <c r="D1943" t="str">
        <f>CONCATENATE(Sheet2!B1943,", ",Sheet2!C1943)</f>
        <v>BLACKSHAPE, Bk-100 Prime</v>
      </c>
    </row>
    <row r="1944" spans="1:4" x14ac:dyDescent="0.2">
      <c r="A1944" t="str">
        <f>Sheet2!A1944</f>
        <v>PRM1</v>
      </c>
      <c r="B1944" t="str">
        <f ca="1">'Query Example'!D1944</f>
        <v>LandPlane</v>
      </c>
      <c r="C1944" s="11" t="str">
        <f>CONCATENATE(Sheet2!F1944,"/",Sheet2!E1944)</f>
        <v>2/Jet</v>
      </c>
      <c r="D1944" t="str">
        <f>CONCATENATE(Sheet2!B1944,", ",Sheet2!C1944)</f>
        <v>HAWKER BEECHCRAFT, 390 Premier 1</v>
      </c>
    </row>
    <row r="1945" spans="1:4" x14ac:dyDescent="0.2">
      <c r="A1945" t="str">
        <f>Sheet2!A1945</f>
        <v>PROC</v>
      </c>
      <c r="B1945" t="str">
        <f ca="1">'Query Example'!D1945</f>
        <v>LandPlane</v>
      </c>
      <c r="C1945" s="11" t="str">
        <f>CONCATENATE(Sheet2!F1945,"/",Sheet2!E1945)</f>
        <v>1/Piston</v>
      </c>
      <c r="D1945" t="str">
        <f>CONCATENATE(Sheet2!B1945,", ",Sheet2!C1945)</f>
        <v>PERCIVAL, P-28 Proctor</v>
      </c>
    </row>
    <row r="1946" spans="1:4" x14ac:dyDescent="0.2">
      <c r="A1946" t="str">
        <f>Sheet2!A1946</f>
        <v>PROT</v>
      </c>
      <c r="B1946" t="str">
        <f ca="1">'Query Example'!D1946</f>
        <v>LandPlane</v>
      </c>
      <c r="C1946" s="11" t="str">
        <f>CONCATENATE(Sheet2!F1946,"/",Sheet2!E1946)</f>
        <v>1/Piston</v>
      </c>
      <c r="D1946" t="str">
        <f>CONCATENATE(Sheet2!B1946,", ",Sheet2!C1946)</f>
        <v>CZAW, Parrot</v>
      </c>
    </row>
    <row r="1947" spans="1:4" x14ac:dyDescent="0.2">
      <c r="A1947" t="str">
        <f>Sheet2!A1947</f>
        <v>PROW</v>
      </c>
      <c r="B1947" t="str">
        <f ca="1">'Query Example'!D1947</f>
        <v>LandPlane</v>
      </c>
      <c r="C1947" s="11" t="str">
        <f>CONCATENATE(Sheet2!F1947,"/",Sheet2!E1947)</f>
        <v>1/Piston</v>
      </c>
      <c r="D1947" t="str">
        <f>CONCATENATE(Sheet2!B1947,", ",Sheet2!C1947)</f>
        <v>PROWLER, Jaguar</v>
      </c>
    </row>
    <row r="1948" spans="1:4" x14ac:dyDescent="0.2">
      <c r="A1948" t="str">
        <f>Sheet2!A1948</f>
        <v>PRPR</v>
      </c>
      <c r="B1948" t="str">
        <f ca="1">'Query Example'!D1948</f>
        <v>LandPlane</v>
      </c>
      <c r="C1948" s="11" t="str">
        <f>CONCATENATE(Sheet2!F1948,"/",Sheet2!E1948)</f>
        <v>1/Piston</v>
      </c>
      <c r="D1948" t="str">
        <f>CONCATENATE(Sheet2!B1948,", ",Sheet2!C1948)</f>
        <v>HOWARD HUGHES, Pocket Rocket PR-582</v>
      </c>
    </row>
    <row r="1949" spans="1:4" x14ac:dyDescent="0.2">
      <c r="A1949" t="str">
        <f>Sheet2!A1949</f>
        <v>PRTS</v>
      </c>
      <c r="B1949" t="str">
        <f ca="1">'Query Example'!D1949</f>
        <v>LandPlane</v>
      </c>
      <c r="C1949" s="11" t="str">
        <f>CONCATENATE(Sheet2!F1949,"/",Sheet2!E1949)</f>
        <v>2/Jet</v>
      </c>
      <c r="D1949" t="str">
        <f>CONCATENATE(Sheet2!B1949,", ",Sheet2!C1949)</f>
        <v>SCALED, 281 Proteus</v>
      </c>
    </row>
    <row r="1950" spans="1:4" x14ac:dyDescent="0.2">
      <c r="A1950" t="str">
        <f>Sheet2!A1950</f>
        <v>PRXT</v>
      </c>
      <c r="B1950" t="str">
        <f ca="1">'Query Example'!D1950</f>
        <v>LandPlane</v>
      </c>
      <c r="C1950" s="11" t="str">
        <f>CONCATENATE(Sheet2!F1950,"/",Sheet2!E1950)</f>
        <v>1/Turboprop/Turboshaft</v>
      </c>
      <c r="D1950" t="str">
        <f>CONCATENATE(Sheet2!B1950,", ",Sheet2!C1950)</f>
        <v>PRIVATE EXPLORER, T-Explorer</v>
      </c>
    </row>
    <row r="1951" spans="1:4" x14ac:dyDescent="0.2">
      <c r="A1951" t="str">
        <f>Sheet2!A1951</f>
        <v>PSTM</v>
      </c>
      <c r="B1951" t="str">
        <f ca="1">'Query Example'!D1951</f>
        <v>LandPlane</v>
      </c>
      <c r="C1951" s="11" t="str">
        <f>CONCATENATE(Sheet2!F1951,"/",Sheet2!E1951)</f>
        <v>1/Piston</v>
      </c>
      <c r="D1951" t="str">
        <f>CONCATENATE(Sheet2!B1951,", ",Sheet2!C1951)</f>
        <v>PODESVA, Stearman</v>
      </c>
    </row>
    <row r="1952" spans="1:4" x14ac:dyDescent="0.2">
      <c r="A1952" t="str">
        <f>Sheet2!A1952</f>
        <v>PSW4</v>
      </c>
      <c r="B1952" t="str">
        <f ca="1">'Query Example'!D1952</f>
        <v>Helicopter</v>
      </c>
      <c r="C1952" s="11" t="str">
        <f>CONCATENATE(Sheet2!F1952,"/",Sheet2!E1952)</f>
        <v>1/Turboprop/Turboshaft</v>
      </c>
      <c r="D1952" t="str">
        <f>CONCATENATE(Sheet2!B1952,", ",Sheet2!C1952)</f>
        <v>PZL-SWIDNIK, SW-4</v>
      </c>
    </row>
    <row r="1953" spans="1:4" x14ac:dyDescent="0.2">
      <c r="A1953" t="str">
        <f>Sheet2!A1953</f>
        <v>PT21</v>
      </c>
      <c r="B1953" t="str">
        <f ca="1">'Query Example'!D1953</f>
        <v>LandPlane</v>
      </c>
      <c r="C1953" s="11" t="str">
        <f>CONCATENATE(Sheet2!F1953,"/",Sheet2!E1953)</f>
        <v>1/Piston</v>
      </c>
      <c r="D1953" t="str">
        <f>CONCATENATE(Sheet2!B1953,", ",Sheet2!C1953)</f>
        <v>POTTIER, P-210 Coati</v>
      </c>
    </row>
    <row r="1954" spans="1:4" x14ac:dyDescent="0.2">
      <c r="A1954" t="str">
        <f>Sheet2!A1954</f>
        <v>PT22</v>
      </c>
      <c r="B1954" t="str">
        <f ca="1">'Query Example'!D1954</f>
        <v>LandPlane</v>
      </c>
      <c r="C1954" s="11" t="str">
        <f>CONCATENATE(Sheet2!F1954,"/",Sheet2!E1954)</f>
        <v>1/Piston</v>
      </c>
      <c r="D1954" t="str">
        <f>CONCATENATE(Sheet2!B1954,", ",Sheet2!C1954)</f>
        <v>RYAN, PT-22 Recruit</v>
      </c>
    </row>
    <row r="1955" spans="1:4" x14ac:dyDescent="0.2">
      <c r="A1955" t="str">
        <f>Sheet2!A1955</f>
        <v>PT70</v>
      </c>
      <c r="B1955" t="str">
        <f ca="1">'Query Example'!D1955</f>
        <v>LandPlane</v>
      </c>
      <c r="C1955" s="11" t="str">
        <f>CONCATENATE(Sheet2!F1955,"/",Sheet2!E1955)</f>
        <v>1/Piston</v>
      </c>
      <c r="D1955" t="str">
        <f>CONCATENATE(Sheet2!B1955,", ",Sheet2!C1955)</f>
        <v>POTTIER, P-170</v>
      </c>
    </row>
    <row r="1956" spans="1:4" x14ac:dyDescent="0.2">
      <c r="A1956" t="str">
        <f>Sheet2!A1956</f>
        <v>PT80</v>
      </c>
      <c r="B1956" t="str">
        <f ca="1">'Query Example'!D1956</f>
        <v>LandPlane</v>
      </c>
      <c r="C1956" s="11" t="str">
        <f>CONCATENATE(Sheet2!F1956,"/",Sheet2!E1956)</f>
        <v>1/Piston</v>
      </c>
      <c r="D1956" t="str">
        <f>CONCATENATE(Sheet2!B1956,", ",Sheet2!C1956)</f>
        <v>POTTIER, P-180</v>
      </c>
    </row>
    <row r="1957" spans="1:4" x14ac:dyDescent="0.2">
      <c r="A1957" t="str">
        <f>Sheet2!A1957</f>
        <v>PTMS</v>
      </c>
      <c r="B1957" t="str">
        <f ca="1">'Query Example'!D1957</f>
        <v>LandPlane</v>
      </c>
      <c r="C1957" s="11" t="str">
        <f>CONCATENATE(Sheet2!F1957,"/",Sheet2!E1957)</f>
        <v>1/Piston</v>
      </c>
      <c r="D1957" t="str">
        <f>CONCATENATE(Sheet2!B1957,", ",Sheet2!C1957)</f>
        <v>PITTS, S-12 Macho Stinker</v>
      </c>
    </row>
    <row r="1958" spans="1:4" x14ac:dyDescent="0.2">
      <c r="A1958" t="str">
        <f>Sheet2!A1958</f>
        <v>PTS1</v>
      </c>
      <c r="B1958" t="str">
        <f ca="1">'Query Example'!D1958</f>
        <v>LandPlane</v>
      </c>
      <c r="C1958" s="11" t="str">
        <f>CONCATENATE(Sheet2!F1958,"/",Sheet2!E1958)</f>
        <v>1/Piston</v>
      </c>
      <c r="D1958" t="str">
        <f>CONCATENATE(Sheet2!B1958,", ",Sheet2!C1958)</f>
        <v>PITTS, S-1 Special</v>
      </c>
    </row>
    <row r="1959" spans="1:4" x14ac:dyDescent="0.2">
      <c r="A1959" t="str">
        <f>Sheet2!A1959</f>
        <v>PTS2</v>
      </c>
      <c r="B1959" t="str">
        <f ca="1">'Query Example'!D1959</f>
        <v>LandPlane</v>
      </c>
      <c r="C1959" s="11" t="str">
        <f>CONCATENATE(Sheet2!F1959,"/",Sheet2!E1959)</f>
        <v>1/Piston</v>
      </c>
      <c r="D1959" t="str">
        <f>CONCATENATE(Sheet2!B1959,", ",Sheet2!C1959)</f>
        <v>PITTS, S-2 Special</v>
      </c>
    </row>
    <row r="1960" spans="1:4" x14ac:dyDescent="0.2">
      <c r="A1960" t="str">
        <f>Sheet2!A1960</f>
        <v>PTSS</v>
      </c>
      <c r="B1960" t="str">
        <f ca="1">'Query Example'!D1960</f>
        <v>LandPlane</v>
      </c>
      <c r="C1960" s="11" t="str">
        <f>CONCATENATE(Sheet2!F1960,"/",Sheet2!E1960)</f>
        <v>1/Piston</v>
      </c>
      <c r="D1960" t="str">
        <f>CONCATENATE(Sheet2!B1960,", ",Sheet2!C1960)</f>
        <v>PITTS, S-1-11 Super Stinker</v>
      </c>
    </row>
    <row r="1961" spans="1:4" x14ac:dyDescent="0.2">
      <c r="A1961" t="str">
        <f>Sheet2!A1961</f>
        <v>PUL6</v>
      </c>
      <c r="B1961" t="str">
        <f ca="1">'Query Example'!D1961</f>
        <v>LandPlane</v>
      </c>
      <c r="C1961" s="11" t="str">
        <f>CONCATENATE(Sheet2!F1961,"/",Sheet2!E1961)</f>
        <v>1/Piston</v>
      </c>
      <c r="D1961" t="str">
        <f>CONCATENATE(Sheet2!B1961,", ",Sheet2!C1961)</f>
        <v>PULSAR, Super Pulsar 600</v>
      </c>
    </row>
    <row r="1962" spans="1:4" x14ac:dyDescent="0.2">
      <c r="A1962" t="str">
        <f>Sheet2!A1962</f>
        <v>PULR</v>
      </c>
      <c r="B1962" t="str">
        <f ca="1">'Query Example'!D1962</f>
        <v>LandPlane</v>
      </c>
      <c r="C1962" s="11" t="str">
        <f>CONCATENATE(Sheet2!F1962,"/",Sheet2!E1962)</f>
        <v>1/Piston</v>
      </c>
      <c r="D1962" t="str">
        <f>CONCATENATE(Sheet2!B1962,", ",Sheet2!C1962)</f>
        <v>P&amp;M AVIATION, PulsR</v>
      </c>
    </row>
    <row r="1963" spans="1:4" x14ac:dyDescent="0.2">
      <c r="A1963" t="str">
        <f>Sheet2!A1963</f>
        <v>PULS</v>
      </c>
      <c r="B1963" t="str">
        <f ca="1">'Query Example'!D1963</f>
        <v>LandPlane</v>
      </c>
      <c r="C1963" s="11" t="str">
        <f>CONCATENATE(Sheet2!F1963,"/",Sheet2!E1963)</f>
        <v>1/Piston</v>
      </c>
      <c r="D1963" t="str">
        <f>CONCATENATE(Sheet2!B1963,", ",Sheet2!C1963)</f>
        <v>AERO DESIGNS, Pulsar</v>
      </c>
    </row>
    <row r="1964" spans="1:4" x14ac:dyDescent="0.2">
      <c r="A1964" t="str">
        <f>Sheet2!A1964</f>
        <v>PUMA</v>
      </c>
      <c r="B1964" t="str">
        <f ca="1">'Query Example'!D1964</f>
        <v>Helicopter</v>
      </c>
      <c r="C1964" s="11" t="str">
        <f>CONCATENATE(Sheet2!F1964,"/",Sheet2!E1964)</f>
        <v>2/Turboprop/Turboshaft</v>
      </c>
      <c r="D1964" t="str">
        <f>CONCATENATE(Sheet2!B1964,", ",Sheet2!C1964)</f>
        <v>AEROSPATIALE, SA-330 Puma</v>
      </c>
    </row>
    <row r="1965" spans="1:4" x14ac:dyDescent="0.2">
      <c r="A1965" t="str">
        <f>Sheet2!A1965</f>
        <v>PUP</v>
      </c>
      <c r="B1965" t="str">
        <f ca="1">'Query Example'!D1965</f>
        <v>LandPlane</v>
      </c>
      <c r="C1965" s="11" t="str">
        <f>CONCATENATE(Sheet2!F1965,"/",Sheet2!E1965)</f>
        <v>1/Piston</v>
      </c>
      <c r="D1965" t="str">
        <f>CONCATENATE(Sheet2!B1965,", ",Sheet2!C1965)</f>
        <v>BEAGLE, B-121 Pup</v>
      </c>
    </row>
    <row r="1966" spans="1:4" x14ac:dyDescent="0.2">
      <c r="A1966" t="str">
        <f>Sheet2!A1966</f>
        <v>PURS</v>
      </c>
      <c r="B1966" t="str">
        <f ca="1">'Query Example'!D1966</f>
        <v>LandPlane</v>
      </c>
      <c r="C1966" s="11" t="str">
        <f>CONCATENATE(Sheet2!F1966,"/",Sheet2!E1966)</f>
        <v>1/Piston</v>
      </c>
      <c r="D1966" t="str">
        <f>CONCATENATE(Sheet2!B1966,", ",Sheet2!C1966)</f>
        <v>RANS, S-11 Pursuit</v>
      </c>
    </row>
    <row r="1967" spans="1:4" x14ac:dyDescent="0.2">
      <c r="A1967" t="str">
        <f>Sheet2!A1967</f>
        <v>PUSH</v>
      </c>
      <c r="B1967" t="str">
        <f ca="1">'Query Example'!D1967</f>
        <v>LandPlane</v>
      </c>
      <c r="C1967" s="11" t="str">
        <f>CONCATENATE(Sheet2!F1967,"/",Sheet2!E1967)</f>
        <v>1/Piston</v>
      </c>
      <c r="D1967" t="str">
        <f>CONCATENATE(Sheet2!B1967,", ",Sheet2!C1967)</f>
        <v>PRESCOTT, Pusher</v>
      </c>
    </row>
    <row r="1968" spans="1:4" x14ac:dyDescent="0.2">
      <c r="A1968" t="str">
        <f>Sheet2!A1968</f>
        <v>PW4</v>
      </c>
      <c r="B1968" t="str">
        <f ca="1">'Query Example'!D1968</f>
        <v>LandPlane</v>
      </c>
      <c r="C1968" s="11" t="str">
        <f>CONCATENATE(Sheet2!F1968,"/",Sheet2!E1968)</f>
        <v>1/Piston</v>
      </c>
      <c r="D1968" t="str">
        <f>CONCATENATE(Sheet2!B1968,", ",Sheet2!C1968)</f>
        <v>POLITECHNIKA WARSZAWSKA, PW-4</v>
      </c>
    </row>
    <row r="1969" spans="1:4" x14ac:dyDescent="0.2">
      <c r="A1969" t="str">
        <f>Sheet2!A1969</f>
        <v>PZ01</v>
      </c>
      <c r="B1969" t="str">
        <f ca="1">'Query Example'!D1969</f>
        <v>LandPlane</v>
      </c>
      <c r="C1969" s="11" t="str">
        <f>CONCATENATE(Sheet2!F1969,"/",Sheet2!E1969)</f>
        <v>1/Piston</v>
      </c>
      <c r="D1969" t="str">
        <f>CONCATENATE(Sheet2!B1969,", ",Sheet2!C1969)</f>
        <v>PZL-OKECIE, PZL-101 Gawron</v>
      </c>
    </row>
    <row r="1970" spans="1:4" x14ac:dyDescent="0.2">
      <c r="A1970" t="str">
        <f>Sheet2!A1970</f>
        <v>PZ02</v>
      </c>
      <c r="B1970" t="str">
        <f ca="1">'Query Example'!D1970</f>
        <v>LandPlane</v>
      </c>
      <c r="C1970" s="11" t="str">
        <f>CONCATENATE(Sheet2!F1970,"/",Sheet2!E1970)</f>
        <v>1/Piston</v>
      </c>
      <c r="D1970" t="str">
        <f>CONCATENATE(Sheet2!B1970,", ",Sheet2!C1970)</f>
        <v>PZL-OKECIE, PZL-102 Kos</v>
      </c>
    </row>
    <row r="1971" spans="1:4" x14ac:dyDescent="0.2">
      <c r="A1971" t="str">
        <f>Sheet2!A1971</f>
        <v>PZ04</v>
      </c>
      <c r="B1971" t="str">
        <f ca="1">'Query Example'!D1971</f>
        <v>LandPlane</v>
      </c>
      <c r="C1971" s="11" t="str">
        <f>CONCATENATE(Sheet2!F1971,"/",Sheet2!E1971)</f>
        <v>1/Piston</v>
      </c>
      <c r="D1971" t="str">
        <f>CONCATENATE(Sheet2!B1971,", ",Sheet2!C1971)</f>
        <v>PZL-OKECIE, PZL-104 Wilga 35</v>
      </c>
    </row>
    <row r="1972" spans="1:4" x14ac:dyDescent="0.2">
      <c r="A1972" t="str">
        <f>Sheet2!A1972</f>
        <v>PZ05</v>
      </c>
      <c r="B1972" t="str">
        <f ca="1">'Query Example'!D1972</f>
        <v>LandPlane</v>
      </c>
      <c r="C1972" s="11" t="str">
        <f>CONCATENATE(Sheet2!F1972,"/",Sheet2!E1972)</f>
        <v>1/Piston</v>
      </c>
      <c r="D1972" t="str">
        <f>CONCATENATE(Sheet2!B1972,", ",Sheet2!C1972)</f>
        <v>PZL-OKECIE, PZL-105 Flaming</v>
      </c>
    </row>
    <row r="1973" spans="1:4" x14ac:dyDescent="0.2">
      <c r="A1973" t="str">
        <f>Sheet2!A1973</f>
        <v>PZ06</v>
      </c>
      <c r="B1973" t="str">
        <f ca="1">'Query Example'!D1973</f>
        <v>LandPlane</v>
      </c>
      <c r="C1973" s="11" t="str">
        <f>CONCATENATE(Sheet2!F1973,"/",Sheet2!E1973)</f>
        <v>1/Piston</v>
      </c>
      <c r="D1973" t="str">
        <f>CONCATENATE(Sheet2!B1973,", ",Sheet2!C1973)</f>
        <v>PZL-OKECIE, PZL-106A Kruk</v>
      </c>
    </row>
    <row r="1974" spans="1:4" x14ac:dyDescent="0.2">
      <c r="A1974" t="str">
        <f>Sheet2!A1974</f>
        <v>PZ12</v>
      </c>
      <c r="B1974" t="str">
        <f ca="1">'Query Example'!D1974</f>
        <v>LandPlane</v>
      </c>
      <c r="C1974" s="11" t="str">
        <f>CONCATENATE(Sheet2!F1974,"/",Sheet2!E1974)</f>
        <v>1/Piston</v>
      </c>
      <c r="D1974" t="str">
        <f>CONCATENATE(Sheet2!B1974,", ",Sheet2!C1974)</f>
        <v>PZL-OKECIE, PZL-112 Junior</v>
      </c>
    </row>
    <row r="1975" spans="1:4" x14ac:dyDescent="0.2">
      <c r="A1975" t="str">
        <f>Sheet2!A1975</f>
        <v>PZ26</v>
      </c>
      <c r="B1975" t="str">
        <f ca="1">'Query Example'!D1975</f>
        <v>LandPlane</v>
      </c>
      <c r="C1975" s="11" t="str">
        <f>CONCATENATE(Sheet2!F1975,"/",Sheet2!E1975)</f>
        <v>1/Piston</v>
      </c>
      <c r="D1975" t="str">
        <f>CONCATENATE(Sheet2!B1975,", ",Sheet2!C1975)</f>
        <v>PZL-OKECIE, PZL-126 Mrówka</v>
      </c>
    </row>
    <row r="1976" spans="1:4" x14ac:dyDescent="0.2">
      <c r="A1976" t="str">
        <f>Sheet2!A1976</f>
        <v>PZ3T</v>
      </c>
      <c r="B1976" t="str">
        <f ca="1">'Query Example'!D1976</f>
        <v>LandPlane</v>
      </c>
      <c r="C1976" s="11" t="str">
        <f>CONCATENATE(Sheet2!F1976,"/",Sheet2!E1976)</f>
        <v>1/Turboprop/Turboshaft</v>
      </c>
      <c r="D1976" t="str">
        <f>CONCATENATE(Sheet2!B1976,", ",Sheet2!C1976)</f>
        <v>PZL-OKECIE, PZL-130 Orlik</v>
      </c>
    </row>
    <row r="1977" spans="1:4" x14ac:dyDescent="0.2">
      <c r="A1977" t="str">
        <f>Sheet2!A1977</f>
        <v>PZ4M</v>
      </c>
      <c r="B1977" t="str">
        <f ca="1">'Query Example'!D1977</f>
        <v>LandPlane</v>
      </c>
      <c r="C1977" s="11" t="str">
        <f>CONCATENATE(Sheet2!F1977,"/",Sheet2!E1977)</f>
        <v>1/Piston</v>
      </c>
      <c r="D1977" t="str">
        <f>CONCATENATE(Sheet2!B1977,", ",Sheet2!C1977)</f>
        <v>PZL-OKECIE, PZL-104M Wilga 2000</v>
      </c>
    </row>
    <row r="1978" spans="1:4" x14ac:dyDescent="0.2">
      <c r="A1978" t="str">
        <f>Sheet2!A1978</f>
        <v>PZ6T</v>
      </c>
      <c r="B1978" t="str">
        <f ca="1">'Query Example'!D1978</f>
        <v>LandPlane</v>
      </c>
      <c r="C1978" s="11" t="str">
        <f>CONCATENATE(Sheet2!F1978,"/",Sheet2!E1978)</f>
        <v>1/Turboprop/Turboshaft</v>
      </c>
      <c r="D1978" t="str">
        <f>CONCATENATE(Sheet2!B1978,", ",Sheet2!C1978)</f>
        <v>PZL-OKECIE, PZL-106AT Turbo Kruk</v>
      </c>
    </row>
    <row r="1979" spans="1:4" x14ac:dyDescent="0.2">
      <c r="A1979" t="str">
        <f>Sheet2!A1979</f>
        <v>Q01</v>
      </c>
      <c r="B1979" t="str">
        <f ca="1">'Query Example'!D1979</f>
        <v>LandPlane</v>
      </c>
      <c r="C1979" s="11" t="str">
        <f>CONCATENATE(Sheet2!F1979,"/",Sheet2!E1979)</f>
        <v>1/Piston</v>
      </c>
      <c r="D1979" t="str">
        <f>CONCATENATE(Sheet2!B1979,", ",Sheet2!C1979)</f>
        <v>REINER STEMME, Q-01</v>
      </c>
    </row>
    <row r="1980" spans="1:4" x14ac:dyDescent="0.2">
      <c r="A1980" t="str">
        <f>Sheet2!A1980</f>
        <v>Q1</v>
      </c>
      <c r="B1980" t="str">
        <f ca="1">'Query Example'!D1980</f>
        <v>LandPlane</v>
      </c>
      <c r="C1980" s="11" t="str">
        <f>CONCATENATE(Sheet2!F1980,"/",Sheet2!E1980)</f>
        <v>1/Piston</v>
      </c>
      <c r="D1980" t="str">
        <f>CONCATENATE(Sheet2!B1980,", ",Sheet2!C1980)</f>
        <v>GENERAL ATOMICS, MQ-1 Predator</v>
      </c>
    </row>
    <row r="1981" spans="1:4" x14ac:dyDescent="0.2">
      <c r="A1981" t="str">
        <f>Sheet2!A1981</f>
        <v>Q25</v>
      </c>
      <c r="B1981" t="str">
        <f ca="1">'Query Example'!D1981</f>
        <v>LandPlane</v>
      </c>
      <c r="C1981" s="11" t="str">
        <f>CONCATENATE(Sheet2!F1981,"/",Sheet2!E1981)</f>
        <v>1/Jet</v>
      </c>
      <c r="D1981" t="str">
        <f>CONCATENATE(Sheet2!B1981,", ",Sheet2!C1981)</f>
        <v>BOEING, MQ-25 Stingray</v>
      </c>
    </row>
    <row r="1982" spans="1:4" x14ac:dyDescent="0.2">
      <c r="A1982" t="str">
        <f>Sheet2!A1982</f>
        <v>Q4</v>
      </c>
      <c r="B1982" t="str">
        <f ca="1">'Query Example'!D1982</f>
        <v>LandPlane</v>
      </c>
      <c r="C1982" s="11" t="str">
        <f>CONCATENATE(Sheet2!F1982,"/",Sheet2!E1982)</f>
        <v>1/Jet</v>
      </c>
      <c r="D1982" t="str">
        <f>CONCATENATE(Sheet2!B1982,", ",Sheet2!C1982)</f>
        <v>NORTHROP GRUMMAN, RQ-4 Global Hawk</v>
      </c>
    </row>
    <row r="1983" spans="1:4" x14ac:dyDescent="0.2">
      <c r="A1983" t="str">
        <f>Sheet2!A1983</f>
        <v>Q5</v>
      </c>
      <c r="B1983" t="str">
        <f ca="1">'Query Example'!D1983</f>
        <v>LandPlane</v>
      </c>
      <c r="C1983" s="11" t="str">
        <f>CONCATENATE(Sheet2!F1983,"/",Sheet2!E1983)</f>
        <v>2/Jet</v>
      </c>
      <c r="D1983" t="str">
        <f>CONCATENATE(Sheet2!B1983,", ",Sheet2!C1983)</f>
        <v>NANCHANG, Q-5</v>
      </c>
    </row>
    <row r="1984" spans="1:4" x14ac:dyDescent="0.2">
      <c r="A1984" t="str">
        <f>Sheet2!A1984</f>
        <v>Q9</v>
      </c>
      <c r="B1984" t="str">
        <f ca="1">'Query Example'!D1984</f>
        <v>LandPlane</v>
      </c>
      <c r="C1984" s="11" t="str">
        <f>CONCATENATE(Sheet2!F1984,"/",Sheet2!E1984)</f>
        <v>1/Turboprop/Turboshaft</v>
      </c>
      <c r="D1984" t="str">
        <f>CONCATENATE(Sheet2!B1984,", ",Sheet2!C1984)</f>
        <v>GENERAL ATOMICS, MQ-9 Reaper</v>
      </c>
    </row>
    <row r="1985" spans="1:4" x14ac:dyDescent="0.2">
      <c r="A1985" t="str">
        <f>Sheet2!A1985</f>
        <v>QAIL</v>
      </c>
      <c r="B1985" t="str">
        <f ca="1">'Query Example'!D1985</f>
        <v>LandPlane</v>
      </c>
      <c r="C1985" s="11" t="str">
        <f>CONCATENATE(Sheet2!F1985,"/",Sheet2!E1985)</f>
        <v>1/Piston</v>
      </c>
      <c r="D1985" t="str">
        <f>CONCATENATE(Sheet2!B1985,", ",Sheet2!C1985)</f>
        <v>AEROSPORT, Quail</v>
      </c>
    </row>
    <row r="1986" spans="1:4" x14ac:dyDescent="0.2">
      <c r="A1986" t="str">
        <f>Sheet2!A1986</f>
        <v>QALT</v>
      </c>
      <c r="B1986" t="str">
        <f ca="1">'Query Example'!D1986</f>
        <v>LandPlane</v>
      </c>
      <c r="C1986" s="11" t="str">
        <f>CONCATENATE(Sheet2!F1986,"/",Sheet2!E1986)</f>
        <v>1/Piston</v>
      </c>
      <c r="D1986" t="str">
        <f>CONCATENATE(Sheet2!B1986,", ",Sheet2!C1986)</f>
        <v>FMP, Qualt</v>
      </c>
    </row>
    <row r="1987" spans="1:4" x14ac:dyDescent="0.2">
      <c r="A1987" t="str">
        <f>Sheet2!A1987</f>
        <v>QEST</v>
      </c>
      <c r="B1987" t="str">
        <f ca="1">'Query Example'!D1987</f>
        <v>LandPlane</v>
      </c>
      <c r="C1987" s="11" t="str">
        <f>CONCATENATE(Sheet2!F1987,"/",Sheet2!E1987)</f>
        <v>1/Piston</v>
      </c>
      <c r="D1987" t="str">
        <f>CONCATENATE(Sheet2!B1987,", ",Sheet2!C1987)</f>
        <v>OMNI-WELD, Questor</v>
      </c>
    </row>
    <row r="1988" spans="1:4" x14ac:dyDescent="0.2">
      <c r="A1988" t="str">
        <f>Sheet2!A1988</f>
        <v>QIC2</v>
      </c>
      <c r="B1988" t="str">
        <f ca="1">'Query Example'!D1988</f>
        <v>LandPlane</v>
      </c>
      <c r="C1988" s="11" t="str">
        <f>CONCATENATE(Sheet2!F1988,"/",Sheet2!E1988)</f>
        <v>1/Piston</v>
      </c>
      <c r="D1988" t="str">
        <f>CONCATENATE(Sheet2!B1988,", ",Sheet2!C1988)</f>
        <v>QUICKIE, Quickie Q2</v>
      </c>
    </row>
    <row r="1989" spans="1:4" x14ac:dyDescent="0.2">
      <c r="A1989" t="str">
        <f>Sheet2!A1989</f>
        <v>QINT</v>
      </c>
      <c r="B1989" t="str">
        <f ca="1">'Query Example'!D1989</f>
        <v>LandPlane</v>
      </c>
      <c r="C1989" s="11" t="str">
        <f>CONCATENATE(Sheet2!F1989,"/",Sheet2!E1989)</f>
        <v>1/Piston</v>
      </c>
      <c r="D1989" t="str">
        <f>CONCATENATE(Sheet2!B1989,", ",Sheet2!C1989)</f>
        <v>SCHEMPP-HIRTH, Quintus</v>
      </c>
    </row>
    <row r="1990" spans="1:4" x14ac:dyDescent="0.2">
      <c r="A1990" t="str">
        <f>Sheet2!A1990</f>
        <v>QR01</v>
      </c>
      <c r="B1990" t="str">
        <f ca="1">'Query Example'!D1990</f>
        <v>LandPlane</v>
      </c>
      <c r="C1990" s="11" t="str">
        <f>CONCATENATE(Sheet2!F1990,"/",Sheet2!E1990)</f>
        <v>1/Piston</v>
      </c>
      <c r="D1990" t="str">
        <f>CONCATENATE(Sheet2!B1990,", ",Sheet2!C1990)</f>
        <v>QUERCY, CQR-01</v>
      </c>
    </row>
    <row r="1991" spans="1:4" x14ac:dyDescent="0.2">
      <c r="A1991" t="str">
        <f>Sheet2!A1991</f>
        <v>QUAS</v>
      </c>
      <c r="B1991" t="str">
        <f ca="1">'Query Example'!D1991</f>
        <v>LandPlane</v>
      </c>
      <c r="C1991" s="11" t="str">
        <f>CONCATENATE(Sheet2!F1991,"/",Sheet2!E1991)</f>
        <v>1/Piston</v>
      </c>
      <c r="D1991" t="str">
        <f>CONCATENATE(Sheet2!B1991,", ",Sheet2!C1991)</f>
        <v>AEROALCOOL, Quasar Lite</v>
      </c>
    </row>
    <row r="1992" spans="1:4" x14ac:dyDescent="0.2">
      <c r="A1992" t="str">
        <f>Sheet2!A1992</f>
        <v>QUIC</v>
      </c>
      <c r="B1992" t="str">
        <f ca="1">'Query Example'!D1992</f>
        <v>LandPlane</v>
      </c>
      <c r="C1992" s="11" t="str">
        <f>CONCATENATE(Sheet2!F1992,"/",Sheet2!E1992)</f>
        <v>1/Piston</v>
      </c>
      <c r="D1992" t="str">
        <f>CONCATENATE(Sheet2!B1992,", ",Sheet2!C1992)</f>
        <v>QUICKIE, Quickie</v>
      </c>
    </row>
    <row r="1993" spans="1:4" x14ac:dyDescent="0.2">
      <c r="A1993" t="str">
        <f>Sheet2!A1993</f>
        <v>R100</v>
      </c>
      <c r="B1993" t="str">
        <f ca="1">'Query Example'!D1993</f>
        <v>LandPlane</v>
      </c>
      <c r="C1993" s="11" t="str">
        <f>CONCATENATE(Sheet2!F1993,"/",Sheet2!E1993)</f>
        <v>1/Piston</v>
      </c>
      <c r="D1993" t="str">
        <f>CONCATENATE(Sheet2!B1993,", ",Sheet2!C1993)</f>
        <v>ROBIN, R-1180 Aiglon</v>
      </c>
    </row>
    <row r="1994" spans="1:4" x14ac:dyDescent="0.2">
      <c r="A1994" t="str">
        <f>Sheet2!A1994</f>
        <v>R109</v>
      </c>
      <c r="B1994" t="str">
        <f ca="1">'Query Example'!D1994</f>
        <v>LandPlane</v>
      </c>
      <c r="C1994" s="11" t="str">
        <f>CONCATENATE(Sheet2!F1994,"/",Sheet2!E1994)</f>
        <v>1/Piston</v>
      </c>
      <c r="D1994" t="str">
        <f>CONCATENATE(Sheet2!B1994,", ",Sheet2!C1994)</f>
        <v>RIHN, DR-109 Rhino</v>
      </c>
    </row>
    <row r="1995" spans="1:4" x14ac:dyDescent="0.2">
      <c r="A1995" t="str">
        <f>Sheet2!A1995</f>
        <v>R11</v>
      </c>
      <c r="B1995" t="str">
        <f ca="1">'Query Example'!D1995</f>
        <v>LandPlane</v>
      </c>
      <c r="C1995" s="11" t="str">
        <f>CONCATENATE(Sheet2!F1995,"/",Sheet2!E1995)</f>
        <v>1/Piston</v>
      </c>
      <c r="D1995" t="str">
        <f>CONCATENATE(Sheet2!B1995,", ",Sheet2!C1995)</f>
        <v>RUPERT, R-11</v>
      </c>
    </row>
    <row r="1996" spans="1:4" x14ac:dyDescent="0.2">
      <c r="A1996" t="str">
        <f>Sheet2!A1996</f>
        <v>R135</v>
      </c>
      <c r="B1996" t="str">
        <f ca="1">'Query Example'!D1996</f>
        <v>LandPlane</v>
      </c>
      <c r="C1996" s="11" t="str">
        <f>CONCATENATE(Sheet2!F1996,"/",Sheet2!E1996)</f>
        <v>4/Jet</v>
      </c>
      <c r="D1996" t="str">
        <f>CONCATENATE(Sheet2!B1996,", ",Sheet2!C1996)</f>
        <v>BOEING, RC-135</v>
      </c>
    </row>
    <row r="1997" spans="1:4" x14ac:dyDescent="0.2">
      <c r="A1997" t="str">
        <f>Sheet2!A1997</f>
        <v>R185</v>
      </c>
      <c r="B1997" t="str">
        <f ca="1">'Query Example'!D1997</f>
        <v>LandPlane</v>
      </c>
      <c r="C1997" s="11" t="str">
        <f>CONCATENATE(Sheet2!F1997,"/",Sheet2!E1997)</f>
        <v>1/Piston</v>
      </c>
      <c r="D1997" t="str">
        <f>CONCATENATE(Sheet2!B1997,", ",Sheet2!C1997)</f>
        <v>JOHNSON, Rocket 185</v>
      </c>
    </row>
    <row r="1998" spans="1:4" x14ac:dyDescent="0.2">
      <c r="A1998" t="str">
        <f>Sheet2!A1998</f>
        <v>R2</v>
      </c>
      <c r="B1998" t="str">
        <f ca="1">'Query Example'!D1998</f>
        <v>SeaPlane</v>
      </c>
      <c r="C1998" s="11" t="str">
        <f>CONCATENATE(Sheet2!F1998,"/",Sheet2!E1998)</f>
        <v>1/Piston</v>
      </c>
      <c r="D1998" t="str">
        <f>CONCATENATE(Sheet2!B1998,", ",Sheet2!C1998)</f>
        <v>SAU, R-02 Robert</v>
      </c>
    </row>
    <row r="1999" spans="1:4" x14ac:dyDescent="0.2">
      <c r="A1999" t="str">
        <f>Sheet2!A1999</f>
        <v>R200</v>
      </c>
      <c r="B1999" t="str">
        <f ca="1">'Query Example'!D1999</f>
        <v>LandPlane</v>
      </c>
      <c r="C1999" s="11" t="str">
        <f>CONCATENATE(Sheet2!F1999,"/",Sheet2!E1999)</f>
        <v>1/Piston</v>
      </c>
      <c r="D1999" t="str">
        <f>CONCATENATE(Sheet2!B1999,", ",Sheet2!C1999)</f>
        <v>ROBIN, R-2100 Super Club</v>
      </c>
    </row>
    <row r="2000" spans="1:4" x14ac:dyDescent="0.2">
      <c r="A2000" t="str">
        <f>Sheet2!A2000</f>
        <v>R22</v>
      </c>
      <c r="B2000" t="str">
        <f ca="1">'Query Example'!D2000</f>
        <v>Helicopter</v>
      </c>
      <c r="C2000" s="11" t="str">
        <f>CONCATENATE(Sheet2!F2000,"/",Sheet2!E2000)</f>
        <v>1/Piston</v>
      </c>
      <c r="D2000" t="str">
        <f>CONCATENATE(Sheet2!B2000,", ",Sheet2!C2000)</f>
        <v>ROBINSON, R-22</v>
      </c>
    </row>
    <row r="2001" spans="1:4" x14ac:dyDescent="0.2">
      <c r="A2001" t="str">
        <f>Sheet2!A2001</f>
        <v>R300</v>
      </c>
      <c r="B2001" t="str">
        <f ca="1">'Query Example'!D2001</f>
        <v>LandPlane</v>
      </c>
      <c r="C2001" s="11" t="str">
        <f>CONCATENATE(Sheet2!F2001,"/",Sheet2!E2001)</f>
        <v>1/Piston</v>
      </c>
      <c r="D2001" t="str">
        <f>CONCATENATE(Sheet2!B2001,", ",Sheet2!C2001)</f>
        <v>ROBIN, R-300</v>
      </c>
    </row>
    <row r="2002" spans="1:4" x14ac:dyDescent="0.2">
      <c r="A2002" t="str">
        <f>Sheet2!A2002</f>
        <v>R4</v>
      </c>
      <c r="B2002" t="str">
        <f ca="1">'Query Example'!D2002</f>
        <v>Helicopter</v>
      </c>
      <c r="C2002" s="11" t="str">
        <f>CONCATENATE(Sheet2!F2002,"/",Sheet2!E2002)</f>
        <v>1/Piston</v>
      </c>
      <c r="D2002" t="str">
        <f>CONCATENATE(Sheet2!B2002,", ",Sheet2!C2002)</f>
        <v>SIKORSKY, R-4 Hoverfly</v>
      </c>
    </row>
    <row r="2003" spans="1:4" x14ac:dyDescent="0.2">
      <c r="A2003" t="str">
        <f>Sheet2!A2003</f>
        <v>R44</v>
      </c>
      <c r="B2003" t="str">
        <f ca="1">'Query Example'!D2003</f>
        <v>Helicopter</v>
      </c>
      <c r="C2003" s="11" t="str">
        <f>CONCATENATE(Sheet2!F2003,"/",Sheet2!E2003)</f>
        <v>1/Piston</v>
      </c>
      <c r="D2003" t="str">
        <f>CONCATENATE(Sheet2!B2003,", ",Sheet2!C2003)</f>
        <v>ROBINSON, R-44 Raven</v>
      </c>
    </row>
    <row r="2004" spans="1:4" x14ac:dyDescent="0.2">
      <c r="A2004" t="str">
        <f>Sheet2!A2004</f>
        <v>R66</v>
      </c>
      <c r="B2004" t="str">
        <f ca="1">'Query Example'!D2004</f>
        <v>Helicopter</v>
      </c>
      <c r="C2004" s="11" t="str">
        <f>CONCATENATE(Sheet2!F2004,"/",Sheet2!E2004)</f>
        <v>1/Turboprop/Turboshaft</v>
      </c>
      <c r="D2004" t="str">
        <f>CONCATENATE(Sheet2!B2004,", ",Sheet2!C2004)</f>
        <v>ROBINSON, R-66</v>
      </c>
    </row>
    <row r="2005" spans="1:4" x14ac:dyDescent="0.2">
      <c r="A2005" t="str">
        <f>Sheet2!A2005</f>
        <v>R721</v>
      </c>
      <c r="B2005" t="str">
        <f ca="1">'Query Example'!D2005</f>
        <v>LandPlane</v>
      </c>
      <c r="C2005" s="11" t="str">
        <f>CONCATENATE(Sheet2!F2005,"/",Sheet2!E2005)</f>
        <v>3/Jet</v>
      </c>
      <c r="D2005" t="str">
        <f>CONCATENATE(Sheet2!B2005,", ",Sheet2!C2005)</f>
        <v>BOEING, 727-100RE Super 27</v>
      </c>
    </row>
    <row r="2006" spans="1:4" x14ac:dyDescent="0.2">
      <c r="A2006" t="str">
        <f>Sheet2!A2006</f>
        <v>R722</v>
      </c>
      <c r="B2006" t="str">
        <f ca="1">'Query Example'!D2006</f>
        <v>LandPlane</v>
      </c>
      <c r="C2006" s="11" t="str">
        <f>CONCATENATE(Sheet2!F2006,"/",Sheet2!E2006)</f>
        <v>3/Jet</v>
      </c>
      <c r="D2006" t="str">
        <f>CONCATENATE(Sheet2!B2006,", ",Sheet2!C2006)</f>
        <v>BOEING, 727-200RE Super 27</v>
      </c>
    </row>
    <row r="2007" spans="1:4" x14ac:dyDescent="0.2">
      <c r="A2007" t="str">
        <f>Sheet2!A2007</f>
        <v>R90F</v>
      </c>
      <c r="B2007" t="str">
        <f ca="1">'Query Example'!D2007</f>
        <v>LandPlane</v>
      </c>
      <c r="C2007" s="11" t="str">
        <f>CONCATENATE(Sheet2!F2007,"/",Sheet2!E2007)</f>
        <v>1/Piston</v>
      </c>
      <c r="D2007" t="str">
        <f>CONCATENATE(Sheet2!B2007,", ",Sheet2!C2007)</f>
        <v>RUSCHMEYER, R-90-230FG</v>
      </c>
    </row>
    <row r="2008" spans="1:4" x14ac:dyDescent="0.2">
      <c r="A2008" t="str">
        <f>Sheet2!A2008</f>
        <v>R90R</v>
      </c>
      <c r="B2008" t="str">
        <f ca="1">'Query Example'!D2008</f>
        <v>LandPlane</v>
      </c>
      <c r="C2008" s="11" t="str">
        <f>CONCATENATE(Sheet2!F2008,"/",Sheet2!E2008)</f>
        <v>1/Piston</v>
      </c>
      <c r="D2008" t="str">
        <f>CONCATENATE(Sheet2!B2008,", ",Sheet2!C2008)</f>
        <v>RUSCHMEYER, R-90-230RG</v>
      </c>
    </row>
    <row r="2009" spans="1:4" x14ac:dyDescent="0.2">
      <c r="A2009" t="str">
        <f>Sheet2!A2009</f>
        <v>R90T</v>
      </c>
      <c r="B2009" t="str">
        <f ca="1">'Query Example'!D2009</f>
        <v>LandPlane</v>
      </c>
      <c r="C2009" s="11" t="str">
        <f>CONCATENATE(Sheet2!F2009,"/",Sheet2!E2009)</f>
        <v>1/Turboprop/Turboshaft</v>
      </c>
      <c r="D2009" t="str">
        <f>CONCATENATE(Sheet2!B2009,", ",Sheet2!C2009)</f>
        <v>RUSCHMEYER, R-90-420AT</v>
      </c>
    </row>
    <row r="2010" spans="1:4" x14ac:dyDescent="0.2">
      <c r="A2010" t="str">
        <f>Sheet2!A2010</f>
        <v>RA14</v>
      </c>
      <c r="B2010" t="str">
        <f ca="1">'Query Example'!D2010</f>
        <v>LandPlane</v>
      </c>
      <c r="C2010" s="11" t="str">
        <f>CONCATENATE(Sheet2!F2010,"/",Sheet2!E2010)</f>
        <v>1/Piston</v>
      </c>
      <c r="D2010" t="str">
        <f>CONCATENATE(Sheet2!B2010,", ",Sheet2!C2010)</f>
        <v>ADAM (1), RA-14 Loisirs</v>
      </c>
    </row>
    <row r="2011" spans="1:4" x14ac:dyDescent="0.2">
      <c r="A2011" t="str">
        <f>Sheet2!A2011</f>
        <v>RA17</v>
      </c>
      <c r="B2011" t="str">
        <f ca="1">'Query Example'!D2011</f>
        <v>LandPlane</v>
      </c>
      <c r="C2011" s="11" t="str">
        <f>CONCATENATE(Sheet2!F2011,"/",Sheet2!E2011)</f>
        <v>1/Piston</v>
      </c>
      <c r="D2011" t="str">
        <f>CONCATENATE(Sheet2!B2011,", ",Sheet2!C2011)</f>
        <v>ADAM (1), RA-17</v>
      </c>
    </row>
    <row r="2012" spans="1:4" x14ac:dyDescent="0.2">
      <c r="A2012" t="str">
        <f>Sheet2!A2012</f>
        <v>RAF2</v>
      </c>
      <c r="B2012" t="str">
        <f ca="1">'Query Example'!D2012</f>
        <v>Gyrocopter</v>
      </c>
      <c r="C2012" s="11" t="str">
        <f>CONCATENATE(Sheet2!F2012,"/",Sheet2!E2012)</f>
        <v>1/Piston</v>
      </c>
      <c r="D2012" t="str">
        <f>CONCATENATE(Sheet2!B2012,", ",Sheet2!C2012)</f>
        <v>ROTARY AIR FORCE, RAF-2000</v>
      </c>
    </row>
    <row r="2013" spans="1:4" x14ac:dyDescent="0.2">
      <c r="A2013" t="str">
        <f>Sheet2!A2013</f>
        <v>RAID</v>
      </c>
      <c r="B2013" t="str">
        <f ca="1">'Query Example'!D2013</f>
        <v>LandPlane</v>
      </c>
      <c r="C2013" s="11" t="str">
        <f>CONCATENATE(Sheet2!F2013,"/",Sheet2!E2013)</f>
        <v>1/Piston</v>
      </c>
      <c r="D2013" t="str">
        <f>CONCATENATE(Sheet2!B2013,", ",Sheet2!C2013)</f>
        <v>SKY RAIDER, Super Sky Raider</v>
      </c>
    </row>
    <row r="2014" spans="1:4" x14ac:dyDescent="0.2">
      <c r="A2014" t="str">
        <f>Sheet2!A2014</f>
        <v>RAIL</v>
      </c>
      <c r="B2014" t="str">
        <f ca="1">'Query Example'!D2014</f>
        <v>LandPlane</v>
      </c>
      <c r="C2014" s="11" t="str">
        <f>CONCATENATE(Sheet2!F2014,"/",Sheet2!E2014)</f>
        <v>1/Piston</v>
      </c>
      <c r="D2014" t="str">
        <f>CONCATENATE(Sheet2!B2014,", ",Sheet2!C2014)</f>
        <v>AEROSPORT, Rail</v>
      </c>
    </row>
    <row r="2015" spans="1:4" x14ac:dyDescent="0.2">
      <c r="A2015" t="str">
        <f>Sheet2!A2015</f>
        <v>RALL</v>
      </c>
      <c r="B2015" t="str">
        <f ca="1">'Query Example'!D2015</f>
        <v>LandPlane</v>
      </c>
      <c r="C2015" s="11" t="str">
        <f>CONCATENATE(Sheet2!F2015,"/",Sheet2!E2015)</f>
        <v>1/Piston</v>
      </c>
      <c r="D2015" t="str">
        <f>CONCATENATE(Sheet2!B2015,", ",Sheet2!C2015)</f>
        <v>MORANE-SAULNIER, MS-880 Rallye Club</v>
      </c>
    </row>
    <row r="2016" spans="1:4" x14ac:dyDescent="0.2">
      <c r="A2016" t="str">
        <f>Sheet2!A2016</f>
        <v>RANG</v>
      </c>
      <c r="B2016" t="str">
        <f ca="1">'Query Example'!D2016</f>
        <v>LandPlane</v>
      </c>
      <c r="C2016" s="11" t="str">
        <f>CONCATENATE(Sheet2!F2016,"/",Sheet2!E2016)</f>
        <v>1/Piston</v>
      </c>
      <c r="D2016" t="str">
        <f>CONCATENATE(Sheet2!B2016,", ",Sheet2!C2016)</f>
        <v>NAVION, Rangemaster</v>
      </c>
    </row>
    <row r="2017" spans="1:4" x14ac:dyDescent="0.2">
      <c r="A2017" t="str">
        <f>Sheet2!A2017</f>
        <v>RARO</v>
      </c>
      <c r="B2017" t="str">
        <f ca="1">'Query Example'!D2017</f>
        <v>LandPlane</v>
      </c>
      <c r="C2017" s="11" t="str">
        <f>CONCATENATE(Sheet2!F2017,"/",Sheet2!E2017)</f>
        <v>1/Piston</v>
      </c>
      <c r="D2017" t="str">
        <f>CONCATENATE(Sheet2!B2017,", ",Sheet2!C2017)</f>
        <v>NEW CENTURY, Radial Rocket</v>
      </c>
    </row>
    <row r="2018" spans="1:4" x14ac:dyDescent="0.2">
      <c r="A2018" t="str">
        <f>Sheet2!A2018</f>
        <v>RAV3</v>
      </c>
      <c r="B2018" t="str">
        <f ca="1">'Query Example'!D2018</f>
        <v>LandPlane</v>
      </c>
      <c r="C2018" s="11" t="str">
        <f>CONCATENATE(Sheet2!F2018,"/",Sheet2!E2018)</f>
        <v>1/Piston</v>
      </c>
      <c r="D2018" t="str">
        <f>CONCATENATE(Sheet2!B2018,", ",Sheet2!C2018)</f>
        <v>RAVIN, Ravin 300</v>
      </c>
    </row>
    <row r="2019" spans="1:4" x14ac:dyDescent="0.2">
      <c r="A2019" t="str">
        <f>Sheet2!A2019</f>
        <v>RAV5</v>
      </c>
      <c r="B2019" t="str">
        <f ca="1">'Query Example'!D2019</f>
        <v>LandPlane</v>
      </c>
      <c r="C2019" s="11" t="str">
        <f>CONCATENATE(Sheet2!F2019,"/",Sheet2!E2019)</f>
        <v>1/Piston</v>
      </c>
      <c r="D2019" t="str">
        <f>CONCATENATE(Sheet2!B2019,", ",Sheet2!C2019)</f>
        <v>RAVIN, Ravin 500</v>
      </c>
    </row>
    <row r="2020" spans="1:4" x14ac:dyDescent="0.2">
      <c r="A2020" t="str">
        <f>Sheet2!A2020</f>
        <v>RAZM</v>
      </c>
      <c r="B2020" t="str">
        <f ca="1">'Query Example'!D2020</f>
        <v>LandPlane</v>
      </c>
      <c r="C2020" s="11" t="str">
        <f>CONCATENATE(Sheet2!F2020,"/",Sheet2!E2020)</f>
        <v>1/Piston</v>
      </c>
      <c r="D2020" t="str">
        <f>CONCATENATE(Sheet2!B2020,", ",Sheet2!C2020)</f>
        <v>SAINT GERMAIN, Raz-Mut</v>
      </c>
    </row>
    <row r="2021" spans="1:4" x14ac:dyDescent="0.2">
      <c r="A2021" t="str">
        <f>Sheet2!A2021</f>
        <v>RBEL</v>
      </c>
      <c r="B2021" t="str">
        <f ca="1">'Query Example'!D2021</f>
        <v>LandPlane</v>
      </c>
      <c r="C2021" s="11" t="str">
        <f>CONCATENATE(Sheet2!F2021,"/",Sheet2!E2021)</f>
        <v>1/Piston</v>
      </c>
      <c r="D2021" t="str">
        <f>CONCATENATE(Sheet2!B2021,", ",Sheet2!C2021)</f>
        <v>MURPHY, Rebel</v>
      </c>
    </row>
    <row r="2022" spans="1:4" x14ac:dyDescent="0.2">
      <c r="A2022" t="str">
        <f>Sheet2!A2022</f>
        <v>RC3</v>
      </c>
      <c r="B2022" t="str">
        <f ca="1">'Query Example'!D2022</f>
        <v>Amphibian</v>
      </c>
      <c r="C2022" s="11" t="str">
        <f>CONCATENATE(Sheet2!F2022,"/",Sheet2!E2022)</f>
        <v>1/Piston</v>
      </c>
      <c r="D2022" t="str">
        <f>CONCATENATE(Sheet2!B2022,", ",Sheet2!C2022)</f>
        <v>REPUBLIC, RC-3 Seabee</v>
      </c>
    </row>
    <row r="2023" spans="1:4" x14ac:dyDescent="0.2">
      <c r="A2023" t="str">
        <f>Sheet2!A2023</f>
        <v>RC70</v>
      </c>
      <c r="B2023" t="str">
        <f ca="1">'Query Example'!D2023</f>
        <v>LandPlane</v>
      </c>
      <c r="C2023" s="11" t="str">
        <f>CONCATENATE(Sheet2!F2023,"/",Sheet2!E2023)</f>
        <v>2/Piston</v>
      </c>
      <c r="D2023" t="str">
        <f>CONCATENATE(Sheet2!B2023,", ",Sheet2!C2023)</f>
        <v>ROCKWELL, Commander 700</v>
      </c>
    </row>
    <row r="2024" spans="1:4" x14ac:dyDescent="0.2">
      <c r="A2024" t="str">
        <f>Sheet2!A2024</f>
        <v>RCAL</v>
      </c>
      <c r="B2024" t="str">
        <f ca="1">'Query Example'!D2024</f>
        <v>LandPlane</v>
      </c>
      <c r="C2024" s="11" t="str">
        <f>CONCATENATE(Sheet2!F2024,"/",Sheet2!E2024)</f>
        <v>1/Piston</v>
      </c>
      <c r="D2024" t="str">
        <f>CONCATENATE(Sheet2!B2024,", ",Sheet2!C2024)</f>
        <v>MURPHY, Radical</v>
      </c>
    </row>
    <row r="2025" spans="1:4" x14ac:dyDescent="0.2">
      <c r="A2025" t="str">
        <f>Sheet2!A2025</f>
        <v>RD03</v>
      </c>
      <c r="B2025" t="str">
        <f ca="1">'Query Example'!D2025</f>
        <v>LandPlane</v>
      </c>
      <c r="C2025" s="11" t="str">
        <f>CONCATENATE(Sheet2!F2025,"/",Sheet2!E2025)</f>
        <v>1/Piston</v>
      </c>
      <c r="D2025" t="str">
        <f>CONCATENATE(Sheet2!B2025,", ",Sheet2!C2025)</f>
        <v>DURUBLE, RD-03 Edelweiss</v>
      </c>
    </row>
    <row r="2026" spans="1:4" x14ac:dyDescent="0.2">
      <c r="A2026" t="str">
        <f>Sheet2!A2026</f>
        <v>RD20</v>
      </c>
      <c r="B2026" t="str">
        <f ca="1">'Query Example'!D2026</f>
        <v>LandPlane</v>
      </c>
      <c r="C2026" s="11" t="str">
        <f>CONCATENATE(Sheet2!F2026,"/",Sheet2!E2026)</f>
        <v>1/Piston</v>
      </c>
      <c r="D2026" t="str">
        <f>CONCATENATE(Sheet2!B2026,", ",Sheet2!C2026)</f>
        <v>DENIZE, RD-20 Raid Driver</v>
      </c>
    </row>
    <row r="2027" spans="1:4" x14ac:dyDescent="0.2">
      <c r="A2027" t="str">
        <f>Sheet2!A2027</f>
        <v>RDH2</v>
      </c>
      <c r="B2027" t="str">
        <f ca="1">'Query Example'!D2027</f>
        <v>LandPlane</v>
      </c>
      <c r="C2027" s="11" t="str">
        <f>CONCATENATE(Sheet2!F2027,"/",Sheet2!E2027)</f>
        <v>1/Piston</v>
      </c>
      <c r="D2027" t="str">
        <f>CONCATENATE(Sheet2!B2027,", ",Sheet2!C2027)</f>
        <v>REDFERN, DH-2</v>
      </c>
    </row>
    <row r="2028" spans="1:4" x14ac:dyDescent="0.2">
      <c r="A2028" t="str">
        <f>Sheet2!A2028</f>
        <v>RELI</v>
      </c>
      <c r="B2028" t="str">
        <f ca="1">'Query Example'!D2028</f>
        <v>LandPlane</v>
      </c>
      <c r="C2028" s="11" t="str">
        <f>CONCATENATE(Sheet2!F2028,"/",Sheet2!E2028)</f>
        <v>1/Piston</v>
      </c>
      <c r="D2028" t="str">
        <f>CONCATENATE(Sheet2!B2028,", ",Sheet2!C2028)</f>
        <v>STINSON, AT-19 Reliant</v>
      </c>
    </row>
    <row r="2029" spans="1:4" x14ac:dyDescent="0.2">
      <c r="A2029" t="str">
        <f>Sheet2!A2029</f>
        <v>RENE</v>
      </c>
      <c r="B2029" t="str">
        <f ca="1">'Query Example'!D2029</f>
        <v>LandPlane</v>
      </c>
      <c r="C2029" s="11" t="str">
        <f>CONCATENATE(Sheet2!F2029,"/",Sheet2!E2029)</f>
        <v>1/Piston</v>
      </c>
      <c r="D2029" t="str">
        <f>CONCATENATE(Sheet2!B2029,", ",Sheet2!C2029)</f>
        <v>MURPHY, Renegade</v>
      </c>
    </row>
    <row r="2030" spans="1:4" x14ac:dyDescent="0.2">
      <c r="A2030" t="str">
        <f>Sheet2!A2030</f>
        <v>REV6</v>
      </c>
      <c r="B2030" t="str">
        <f ca="1">'Query Example'!D2030</f>
        <v>Gyrocopter</v>
      </c>
      <c r="C2030" s="11" t="str">
        <f>CONCATENATE(Sheet2!F2030,"/",Sheet2!E2030)</f>
        <v>1/Turboprop/Turboshaft</v>
      </c>
      <c r="D2030" t="str">
        <f>CONCATENATE(Sheet2!B2030,", ",Sheet2!C2030)</f>
        <v>GROEN, Revcon 6G</v>
      </c>
    </row>
    <row r="2031" spans="1:4" x14ac:dyDescent="0.2">
      <c r="A2031" t="str">
        <f>Sheet2!A2031</f>
        <v>RF10</v>
      </c>
      <c r="B2031" t="str">
        <f ca="1">'Query Example'!D2031</f>
        <v>LandPlane</v>
      </c>
      <c r="C2031" s="11" t="str">
        <f>CONCATENATE(Sheet2!F2031,"/",Sheet2!E2031)</f>
        <v>1/Piston</v>
      </c>
      <c r="D2031" t="str">
        <f>CONCATENATE(Sheet2!B2031,", ",Sheet2!C2031)</f>
        <v>FOURNIER, RF-10</v>
      </c>
    </row>
    <row r="2032" spans="1:4" x14ac:dyDescent="0.2">
      <c r="A2032" t="str">
        <f>Sheet2!A2032</f>
        <v>RF3</v>
      </c>
      <c r="B2032" t="str">
        <f ca="1">'Query Example'!D2032</f>
        <v>LandPlane</v>
      </c>
      <c r="C2032" s="11" t="str">
        <f>CONCATENATE(Sheet2!F2032,"/",Sheet2!E2032)</f>
        <v>1/Piston</v>
      </c>
      <c r="D2032" t="str">
        <f>CONCATENATE(Sheet2!B2032,", ",Sheet2!C2032)</f>
        <v>FOURNIER, RF-3</v>
      </c>
    </row>
    <row r="2033" spans="1:4" x14ac:dyDescent="0.2">
      <c r="A2033" t="str">
        <f>Sheet2!A2033</f>
        <v>RF4</v>
      </c>
      <c r="B2033" t="str">
        <f ca="1">'Query Example'!D2033</f>
        <v>LandPlane</v>
      </c>
      <c r="C2033" s="11" t="str">
        <f>CONCATENATE(Sheet2!F2033,"/",Sheet2!E2033)</f>
        <v>1/Piston</v>
      </c>
      <c r="D2033" t="str">
        <f>CONCATENATE(Sheet2!B2033,", ",Sheet2!C2033)</f>
        <v>FOURNIER, RF-4</v>
      </c>
    </row>
    <row r="2034" spans="1:4" x14ac:dyDescent="0.2">
      <c r="A2034" t="str">
        <f>Sheet2!A2034</f>
        <v>RF47</v>
      </c>
      <c r="B2034" t="str">
        <f ca="1">'Query Example'!D2034</f>
        <v>LandPlane</v>
      </c>
      <c r="C2034" s="11" t="str">
        <f>CONCATENATE(Sheet2!F2034,"/",Sheet2!E2034)</f>
        <v>1/Piston</v>
      </c>
      <c r="D2034" t="str">
        <f>CONCATENATE(Sheet2!B2034,", ",Sheet2!C2034)</f>
        <v>FOURNIER, RF-47</v>
      </c>
    </row>
    <row r="2035" spans="1:4" x14ac:dyDescent="0.2">
      <c r="A2035" t="str">
        <f>Sheet2!A2035</f>
        <v>RF5</v>
      </c>
      <c r="B2035" t="str">
        <f ca="1">'Query Example'!D2035</f>
        <v>LandPlane</v>
      </c>
      <c r="C2035" s="11" t="str">
        <f>CONCATENATE(Sheet2!F2035,"/",Sheet2!E2035)</f>
        <v>1/Piston</v>
      </c>
      <c r="D2035" t="str">
        <f>CONCATENATE(Sheet2!B2035,", ",Sheet2!C2035)</f>
        <v>FOURNIER, RF-5</v>
      </c>
    </row>
    <row r="2036" spans="1:4" x14ac:dyDescent="0.2">
      <c r="A2036" t="str">
        <f>Sheet2!A2036</f>
        <v>RF6</v>
      </c>
      <c r="B2036" t="str">
        <f ca="1">'Query Example'!D2036</f>
        <v>LandPlane</v>
      </c>
      <c r="C2036" s="11" t="str">
        <f>CONCATENATE(Sheet2!F2036,"/",Sheet2!E2036)</f>
        <v>1/Piston</v>
      </c>
      <c r="D2036" t="str">
        <f>CONCATENATE(Sheet2!B2036,", ",Sheet2!C2036)</f>
        <v>FOURNIER, RF-6</v>
      </c>
    </row>
    <row r="2037" spans="1:4" x14ac:dyDescent="0.2">
      <c r="A2037" t="str">
        <f>Sheet2!A2037</f>
        <v>RF9</v>
      </c>
      <c r="B2037" t="str">
        <f ca="1">'Query Example'!D2037</f>
        <v>LandPlane</v>
      </c>
      <c r="C2037" s="11" t="str">
        <f>CONCATENATE(Sheet2!F2037,"/",Sheet2!E2037)</f>
        <v>1/Piston</v>
      </c>
      <c r="D2037" t="str">
        <f>CONCATENATE(Sheet2!B2037,", ",Sheet2!C2037)</f>
        <v>FOURNIER, RF-9</v>
      </c>
    </row>
    <row r="2038" spans="1:4" x14ac:dyDescent="0.2">
      <c r="A2038" t="str">
        <f>Sheet2!A2038</f>
        <v>RFAL</v>
      </c>
      <c r="B2038" t="str">
        <f ca="1">'Query Example'!D2038</f>
        <v>LandPlane</v>
      </c>
      <c r="C2038" s="11" t="str">
        <f>CONCATENATE(Sheet2!F2038,"/",Sheet2!E2038)</f>
        <v>2/Jet</v>
      </c>
      <c r="D2038" t="str">
        <f>CONCATENATE(Sheet2!B2038,", ",Sheet2!C2038)</f>
        <v>DASSAULT, Rafale</v>
      </c>
    </row>
    <row r="2039" spans="1:4" x14ac:dyDescent="0.2">
      <c r="A2039" t="str">
        <f>Sheet2!A2039</f>
        <v>RGNT</v>
      </c>
      <c r="B2039" t="str">
        <f ca="1">'Query Example'!D2039</f>
        <v>LandPlane</v>
      </c>
      <c r="C2039" s="11" t="str">
        <f>CONCATENATE(Sheet2!F2039,"/",Sheet2!E2039)</f>
        <v>1/Piston</v>
      </c>
      <c r="D2039" t="str">
        <f>CONCATENATE(Sheet2!B2039,", ",Sheet2!C2039)</f>
        <v>NEIVA, C-42 Regente</v>
      </c>
    </row>
    <row r="2040" spans="1:4" x14ac:dyDescent="0.2">
      <c r="A2040" t="str">
        <f>Sheet2!A2040</f>
        <v>RISN</v>
      </c>
      <c r="B2040" t="str">
        <f ca="1">'Query Example'!D2040</f>
        <v>LandPlane</v>
      </c>
      <c r="C2040" s="11" t="str">
        <f>CONCATENATE(Sheet2!F2040,"/",Sheet2!E2040)</f>
        <v>1/Piston</v>
      </c>
      <c r="D2040" t="str">
        <f>CONCATENATE(Sheet2!B2040,", ",Sheet2!C2040)</f>
        <v>SWISS EXCELLENCE, Risen</v>
      </c>
    </row>
    <row r="2041" spans="1:4" x14ac:dyDescent="0.2">
      <c r="A2041" t="str">
        <f>Sheet2!A2041</f>
        <v>RJ03</v>
      </c>
      <c r="B2041" t="str">
        <f ca="1">'Query Example'!D2041</f>
        <v>LandPlane</v>
      </c>
      <c r="C2041" s="11" t="str">
        <f>CONCATENATE(Sheet2!F2041,"/",Sheet2!E2041)</f>
        <v>1/Piston</v>
      </c>
      <c r="D2041" t="str">
        <f>CONCATENATE(Sheet2!B2041,", ",Sheet2!C2041)</f>
        <v>JUNQUA, RJ-03 Ibis</v>
      </c>
    </row>
    <row r="2042" spans="1:4" x14ac:dyDescent="0.2">
      <c r="A2042" t="str">
        <f>Sheet2!A2042</f>
        <v>RJ1H</v>
      </c>
      <c r="B2042" t="str">
        <f ca="1">'Query Example'!D2042</f>
        <v>LandPlane</v>
      </c>
      <c r="C2042" s="11" t="str">
        <f>CONCATENATE(Sheet2!F2042,"/",Sheet2!E2042)</f>
        <v>4/Jet</v>
      </c>
      <c r="D2042" t="str">
        <f>CONCATENATE(Sheet2!B2042,", ",Sheet2!C2042)</f>
        <v>BRITISH AEROSPACE, RJ-100</v>
      </c>
    </row>
    <row r="2043" spans="1:4" x14ac:dyDescent="0.2">
      <c r="A2043" t="str">
        <f>Sheet2!A2043</f>
        <v>RJ70</v>
      </c>
      <c r="B2043" t="str">
        <f ca="1">'Query Example'!D2043</f>
        <v>LandPlane</v>
      </c>
      <c r="C2043" s="11" t="str">
        <f>CONCATENATE(Sheet2!F2043,"/",Sheet2!E2043)</f>
        <v>4/Jet</v>
      </c>
      <c r="D2043" t="str">
        <f>CONCATENATE(Sheet2!B2043,", ",Sheet2!C2043)</f>
        <v>BRITISH AEROSPACE, RJ-70</v>
      </c>
    </row>
    <row r="2044" spans="1:4" x14ac:dyDescent="0.2">
      <c r="A2044" t="str">
        <f>Sheet2!A2044</f>
        <v>RJ85</v>
      </c>
      <c r="B2044" t="str">
        <f ca="1">'Query Example'!D2044</f>
        <v>LandPlane</v>
      </c>
      <c r="C2044" s="11" t="str">
        <f>CONCATENATE(Sheet2!F2044,"/",Sheet2!E2044)</f>
        <v>4/Jet</v>
      </c>
      <c r="D2044" t="str">
        <f>CONCATENATE(Sheet2!B2044,", ",Sheet2!C2044)</f>
        <v>BRITISH AEROSPACE, RJ-85</v>
      </c>
    </row>
    <row r="2045" spans="1:4" x14ac:dyDescent="0.2">
      <c r="A2045" t="str">
        <f>Sheet2!A2045</f>
        <v>RK5</v>
      </c>
      <c r="B2045" t="str">
        <f ca="1">'Query Example'!D2045</f>
        <v>LandPlane</v>
      </c>
      <c r="C2045" s="11" t="str">
        <f>CONCATENATE(Sheet2!F2045,"/",Sheet2!E2045)</f>
        <v>1/Piston</v>
      </c>
      <c r="D2045" t="str">
        <f>CONCATENATE(Sheet2!B2045,", ",Sheet2!C2045)</f>
        <v>KALINAUSKAS, RK-5</v>
      </c>
    </row>
    <row r="2046" spans="1:4" x14ac:dyDescent="0.2">
      <c r="A2046" t="str">
        <f>Sheet2!A2046</f>
        <v>RLU1</v>
      </c>
      <c r="B2046" t="str">
        <f ca="1">'Query Example'!D2046</f>
        <v>LandPlane</v>
      </c>
      <c r="C2046" s="11" t="str">
        <f>CONCATENATE(Sheet2!F2046,"/",Sheet2!E2046)</f>
        <v>1/Piston</v>
      </c>
      <c r="D2046" t="str">
        <f>CONCATENATE(Sheet2!B2046,", ",Sheet2!C2046)</f>
        <v>RLU, RLU-1 Breezy</v>
      </c>
    </row>
    <row r="2047" spans="1:4" x14ac:dyDescent="0.2">
      <c r="A2047" t="str">
        <f>Sheet2!A2047</f>
        <v>RMOU</v>
      </c>
      <c r="B2047" t="str">
        <f ca="1">'Query Example'!D2047</f>
        <v>Helicopter</v>
      </c>
      <c r="C2047" s="11" t="str">
        <f>CONCATENATE(Sheet2!F2047,"/",Sheet2!E2047)</f>
        <v>1/Turboprop/Turboshaft</v>
      </c>
      <c r="D2047" t="str">
        <f>CONCATENATE(Sheet2!B2047,", ",Sheet2!C2047)</f>
        <v>HILLBERG, EH1-01 Rotormouse</v>
      </c>
    </row>
    <row r="2048" spans="1:4" x14ac:dyDescent="0.2">
      <c r="A2048" t="str">
        <f>Sheet2!A2048</f>
        <v>RNGR</v>
      </c>
      <c r="B2048" t="str">
        <f ca="1">'Query Example'!D2048</f>
        <v>LandPlane</v>
      </c>
      <c r="C2048" s="11" t="str">
        <f>CONCATENATE(Sheet2!F2048,"/",Sheet2!E2048)</f>
        <v>1/Piston</v>
      </c>
      <c r="D2048" t="str">
        <f>CONCATENATE(Sheet2!B2048,", ",Sheet2!C2048)</f>
        <v>DAC, RangeR</v>
      </c>
    </row>
    <row r="2049" spans="1:4" x14ac:dyDescent="0.2">
      <c r="A2049" t="str">
        <f>Sheet2!A2049</f>
        <v>ROAR</v>
      </c>
      <c r="B2049" t="str">
        <f ca="1">'Query Example'!D2049</f>
        <v>LandPlane</v>
      </c>
      <c r="C2049" s="11" t="str">
        <f>CONCATENATE(Sheet2!F2049,"/",Sheet2!E2049)</f>
        <v>1/Rocket</v>
      </c>
      <c r="D2049" t="str">
        <f>CONCATENATE(Sheet2!B2049,", ",Sheet2!C2049)</f>
        <v>VELOCITY, Rocket Racer</v>
      </c>
    </row>
    <row r="2050" spans="1:4" x14ac:dyDescent="0.2">
      <c r="A2050" t="str">
        <f>Sheet2!A2050</f>
        <v>RODS</v>
      </c>
      <c r="B2050" t="str">
        <f ca="1">'Query Example'!D2050</f>
        <v>LandPlane</v>
      </c>
      <c r="C2050" s="11" t="str">
        <f>CONCATENATE(Sheet2!F2050,"/",Sheet2!E2050)</f>
        <v>1/Piston</v>
      </c>
      <c r="D2050" t="str">
        <f>CONCATENATE(Sheet2!B2050,", ",Sheet2!C2050)</f>
        <v>RIHN, DR-107 One Design</v>
      </c>
    </row>
    <row r="2051" spans="1:4" x14ac:dyDescent="0.2">
      <c r="A2051" t="str">
        <f>Sheet2!A2051</f>
        <v>ROND</v>
      </c>
      <c r="B2051" t="str">
        <f ca="1">'Query Example'!D2051</f>
        <v>LandPlane</v>
      </c>
      <c r="C2051" s="11" t="str">
        <f>CONCATENATE(Sheet2!F2051,"/",Sheet2!E2051)</f>
        <v>1/Piston</v>
      </c>
      <c r="D2051" t="str">
        <f>CONCATENATE(Sheet2!B2051,", ",Sheet2!C2051)</f>
        <v>AMBROSINI, F-4 Rondone</v>
      </c>
    </row>
    <row r="2052" spans="1:4" x14ac:dyDescent="0.2">
      <c r="A2052" t="str">
        <f>Sheet2!A2052</f>
        <v>ROSE</v>
      </c>
      <c r="B2052" t="str">
        <f ca="1">'Query Example'!D2052</f>
        <v>LandPlane</v>
      </c>
      <c r="C2052" s="11" t="str">
        <f>CONCATENATE(Sheet2!F2052,"/",Sheet2!E2052)</f>
        <v>1/Piston</v>
      </c>
      <c r="D2052" t="str">
        <f>CONCATENATE(Sheet2!B2052,", ",Sheet2!C2052)</f>
        <v>MAUPIN, Windrose</v>
      </c>
    </row>
    <row r="2053" spans="1:4" x14ac:dyDescent="0.2">
      <c r="A2053" t="str">
        <f>Sheet2!A2053</f>
        <v>RP1</v>
      </c>
      <c r="B2053" t="str">
        <f ca="1">'Query Example'!D2053</f>
        <v>Helicopter</v>
      </c>
      <c r="C2053" s="11" t="str">
        <f>CONCATENATE(Sheet2!F2053,"/",Sheet2!E2053)</f>
        <v>2/Turboprop/Turboshaft</v>
      </c>
      <c r="D2053" t="str">
        <f>CONCATENATE(Sheet2!B2053,", ",Sheet2!C2053)</f>
        <v>MITSUBISHI, RP-1</v>
      </c>
    </row>
    <row r="2054" spans="1:4" x14ac:dyDescent="0.2">
      <c r="A2054" t="str">
        <f>Sheet2!A2054</f>
        <v>RPUP</v>
      </c>
      <c r="B2054" t="str">
        <f ca="1">'Query Example'!D2054</f>
        <v>Gyrocopter</v>
      </c>
      <c r="C2054" s="11" t="str">
        <f>CONCATENATE(Sheet2!F2054,"/",Sheet2!E2054)</f>
        <v>1/Piston</v>
      </c>
      <c r="D2054" t="str">
        <f>CONCATENATE(Sheet2!B2054,", ",Sheet2!C2054)</f>
        <v>LITTLE WING, LW-4 Roto-Pup</v>
      </c>
    </row>
    <row r="2055" spans="1:4" x14ac:dyDescent="0.2">
      <c r="A2055" t="str">
        <f>Sheet2!A2055</f>
        <v>RS12</v>
      </c>
      <c r="B2055" t="str">
        <f ca="1">'Query Example'!D2055</f>
        <v>LandPlane</v>
      </c>
      <c r="C2055" s="11" t="str">
        <f>CONCATENATE(Sheet2!F2055,"/",Sheet2!E2055)</f>
        <v>1/Piston</v>
      </c>
      <c r="D2055" t="str">
        <f>CONCATENATE(Sheet2!B2055,", ",Sheet2!C2055)</f>
        <v>RANS, S-12 Airaile</v>
      </c>
    </row>
    <row r="2056" spans="1:4" x14ac:dyDescent="0.2">
      <c r="A2056" t="str">
        <f>Sheet2!A2056</f>
        <v>RS18</v>
      </c>
      <c r="B2056" t="str">
        <f ca="1">'Query Example'!D2056</f>
        <v>LandPlane</v>
      </c>
      <c r="C2056" s="11" t="str">
        <f>CONCATENATE(Sheet2!F2056,"/",Sheet2!E2056)</f>
        <v>1/Piston</v>
      </c>
      <c r="D2056" t="str">
        <f>CONCATENATE(Sheet2!B2056,", ",Sheet2!C2056)</f>
        <v>SPORTAVIA-PUTZER, RS-180 Sportsman</v>
      </c>
    </row>
    <row r="2057" spans="1:4" x14ac:dyDescent="0.2">
      <c r="A2057" t="str">
        <f>Sheet2!A2057</f>
        <v>RS20</v>
      </c>
      <c r="B2057" t="str">
        <f ca="1">'Query Example'!D2057</f>
        <v>LandPlane</v>
      </c>
      <c r="C2057" s="11" t="str">
        <f>CONCATENATE(Sheet2!F2057,"/",Sheet2!E2057)</f>
        <v>1/Piston</v>
      </c>
      <c r="D2057" t="str">
        <f>CONCATENATE(Sheet2!B2057,", ",Sheet2!C2057)</f>
        <v>RANS, S-20 Raven</v>
      </c>
    </row>
    <row r="2058" spans="1:4" x14ac:dyDescent="0.2">
      <c r="A2058" t="str">
        <f>Sheet2!A2058</f>
        <v>RS21</v>
      </c>
      <c r="B2058" t="str">
        <f ca="1">'Query Example'!D2058</f>
        <v>LandPlane</v>
      </c>
      <c r="C2058" s="11" t="str">
        <f>CONCATENATE(Sheet2!F2058,"/",Sheet2!E2058)</f>
        <v>1/Piston</v>
      </c>
      <c r="D2058" t="str">
        <f>CONCATENATE(Sheet2!B2058,", ",Sheet2!C2058)</f>
        <v>RANS, S-21 Outbound</v>
      </c>
    </row>
    <row r="2059" spans="1:4" x14ac:dyDescent="0.2">
      <c r="A2059" t="str">
        <f>Sheet2!A2059</f>
        <v>RTA4</v>
      </c>
      <c r="B2059" t="str">
        <f ca="1">'Query Example'!D2059</f>
        <v>LandPlane</v>
      </c>
      <c r="C2059" s="11" t="str">
        <f>CONCATENATE(Sheet2!F2059,"/",Sheet2!E2059)</f>
        <v>1/Piston</v>
      </c>
      <c r="D2059" t="str">
        <f>CONCATENATE(Sheet2!B2059,", ",Sheet2!C2059)</f>
        <v>RTAF, RTAF-4 Chandra</v>
      </c>
    </row>
    <row r="2060" spans="1:4" x14ac:dyDescent="0.2">
      <c r="A2060" t="str">
        <f>Sheet2!A2060</f>
        <v>RUBI</v>
      </c>
      <c r="B2060" t="str">
        <f ca="1">'Query Example'!D2060</f>
        <v>LandPlane</v>
      </c>
      <c r="C2060" s="11" t="str">
        <f>CONCATENATE(Sheet2!F2060,"/",Sheet2!E2060)</f>
        <v>1/Piston</v>
      </c>
      <c r="D2060" t="str">
        <f>CONCATENATE(Sheet2!B2060,", ",Sheet2!C2060)</f>
        <v>SCINTEX, ML-250 Rubis</v>
      </c>
    </row>
    <row r="2061" spans="1:4" x14ac:dyDescent="0.2">
      <c r="A2061" t="str">
        <f>Sheet2!A2061</f>
        <v>RV10</v>
      </c>
      <c r="B2061" t="str">
        <f ca="1">'Query Example'!D2061</f>
        <v>LandPlane</v>
      </c>
      <c r="C2061" s="11" t="str">
        <f>CONCATENATE(Sheet2!F2061,"/",Sheet2!E2061)</f>
        <v>1/Piston</v>
      </c>
      <c r="D2061" t="str">
        <f>CONCATENATE(Sheet2!B2061,", ",Sheet2!C2061)</f>
        <v>VAN'S, RV-10</v>
      </c>
    </row>
    <row r="2062" spans="1:4" x14ac:dyDescent="0.2">
      <c r="A2062" t="str">
        <f>Sheet2!A2062</f>
        <v>RV12</v>
      </c>
      <c r="B2062" t="str">
        <f ca="1">'Query Example'!D2062</f>
        <v>LandPlane</v>
      </c>
      <c r="C2062" s="11" t="str">
        <f>CONCATENATE(Sheet2!F2062,"/",Sheet2!E2062)</f>
        <v>1/Piston</v>
      </c>
      <c r="D2062" t="str">
        <f>CONCATENATE(Sheet2!B2062,", ",Sheet2!C2062)</f>
        <v>VAN'S, RV-12</v>
      </c>
    </row>
    <row r="2063" spans="1:4" x14ac:dyDescent="0.2">
      <c r="A2063" t="str">
        <f>Sheet2!A2063</f>
        <v>RV14</v>
      </c>
      <c r="B2063" t="str">
        <f ca="1">'Query Example'!D2063</f>
        <v>LandPlane</v>
      </c>
      <c r="C2063" s="11" t="str">
        <f>CONCATENATE(Sheet2!F2063,"/",Sheet2!E2063)</f>
        <v>1/Piston</v>
      </c>
      <c r="D2063" t="str">
        <f>CONCATENATE(Sheet2!B2063,", ",Sheet2!C2063)</f>
        <v>VAN'S, RV-14</v>
      </c>
    </row>
    <row r="2064" spans="1:4" x14ac:dyDescent="0.2">
      <c r="A2064" t="str">
        <f>Sheet2!A2064</f>
        <v>RV3</v>
      </c>
      <c r="B2064" t="str">
        <f ca="1">'Query Example'!D2064</f>
        <v>LandPlane</v>
      </c>
      <c r="C2064" s="11" t="str">
        <f>CONCATENATE(Sheet2!F2064,"/",Sheet2!E2064)</f>
        <v>1/Piston</v>
      </c>
      <c r="D2064" t="str">
        <f>CONCATENATE(Sheet2!B2064,", ",Sheet2!C2064)</f>
        <v>VAN'S, RV-3</v>
      </c>
    </row>
    <row r="2065" spans="1:4" x14ac:dyDescent="0.2">
      <c r="A2065" t="str">
        <f>Sheet2!A2065</f>
        <v>RV4</v>
      </c>
      <c r="B2065" t="str">
        <f ca="1">'Query Example'!D2065</f>
        <v>LandPlane</v>
      </c>
      <c r="C2065" s="11" t="str">
        <f>CONCATENATE(Sheet2!F2065,"/",Sheet2!E2065)</f>
        <v>1/Piston</v>
      </c>
      <c r="D2065" t="str">
        <f>CONCATENATE(Sheet2!B2065,", ",Sheet2!C2065)</f>
        <v>VAN'S, RV-4</v>
      </c>
    </row>
    <row r="2066" spans="1:4" x14ac:dyDescent="0.2">
      <c r="A2066" t="str">
        <f>Sheet2!A2066</f>
        <v>RV4T</v>
      </c>
      <c r="B2066" t="str">
        <f ca="1">'Query Example'!D2066</f>
        <v>LandPlane</v>
      </c>
      <c r="C2066" s="11" t="str">
        <f>CONCATENATE(Sheet2!F2066,"/",Sheet2!E2066)</f>
        <v>1/Turboprop/Turboshaft</v>
      </c>
      <c r="D2066" t="str">
        <f>CONCATENATE(Sheet2!B2066,", ",Sheet2!C2066)</f>
        <v>VAN'S, RV-4T</v>
      </c>
    </row>
    <row r="2067" spans="1:4" x14ac:dyDescent="0.2">
      <c r="A2067" t="str">
        <f>Sheet2!A2067</f>
        <v>RV6</v>
      </c>
      <c r="B2067" t="str">
        <f ca="1">'Query Example'!D2067</f>
        <v>LandPlane</v>
      </c>
      <c r="C2067" s="11" t="str">
        <f>CONCATENATE(Sheet2!F2067,"/",Sheet2!E2067)</f>
        <v>1/Piston</v>
      </c>
      <c r="D2067" t="str">
        <f>CONCATENATE(Sheet2!B2067,", ",Sheet2!C2067)</f>
        <v>VAN'S, RV-6</v>
      </c>
    </row>
    <row r="2068" spans="1:4" x14ac:dyDescent="0.2">
      <c r="A2068" t="str">
        <f>Sheet2!A2068</f>
        <v>RV7</v>
      </c>
      <c r="B2068" t="str">
        <f ca="1">'Query Example'!D2068</f>
        <v>LandPlane</v>
      </c>
      <c r="C2068" s="11" t="str">
        <f>CONCATENATE(Sheet2!F2068,"/",Sheet2!E2068)</f>
        <v>1/Piston</v>
      </c>
      <c r="D2068" t="str">
        <f>CONCATENATE(Sheet2!B2068,", ",Sheet2!C2068)</f>
        <v>VAN'S, RV-7</v>
      </c>
    </row>
    <row r="2069" spans="1:4" x14ac:dyDescent="0.2">
      <c r="A2069" t="str">
        <f>Sheet2!A2069</f>
        <v>RV8</v>
      </c>
      <c r="B2069" t="str">
        <f ca="1">'Query Example'!D2069</f>
        <v>LandPlane</v>
      </c>
      <c r="C2069" s="11" t="str">
        <f>CONCATENATE(Sheet2!F2069,"/",Sheet2!E2069)</f>
        <v>1/Piston</v>
      </c>
      <c r="D2069" t="str">
        <f>CONCATENATE(Sheet2!B2069,", ",Sheet2!C2069)</f>
        <v>VAN'S, RV-8</v>
      </c>
    </row>
    <row r="2070" spans="1:4" x14ac:dyDescent="0.2">
      <c r="A2070" t="str">
        <f>Sheet2!A2070</f>
        <v>RV9</v>
      </c>
      <c r="B2070" t="str">
        <f ca="1">'Query Example'!D2070</f>
        <v>LandPlane</v>
      </c>
      <c r="C2070" s="11" t="str">
        <f>CONCATENATE(Sheet2!F2070,"/",Sheet2!E2070)</f>
        <v>1/Piston</v>
      </c>
      <c r="D2070" t="str">
        <f>CONCATENATE(Sheet2!B2070,", ",Sheet2!C2070)</f>
        <v>VAN'S, RV-9</v>
      </c>
    </row>
    <row r="2071" spans="1:4" x14ac:dyDescent="0.2">
      <c r="A2071" t="str">
        <f>Sheet2!A2071</f>
        <v>RVAL</v>
      </c>
      <c r="B2071" t="str">
        <f ca="1">'Query Example'!D2071</f>
        <v>Helicopter</v>
      </c>
      <c r="C2071" s="11" t="str">
        <f>CONCATENATE(Sheet2!F2071,"/",Sheet2!E2071)</f>
        <v>2/Turboprop/Turboshaft</v>
      </c>
      <c r="D2071" t="str">
        <f>CONCATENATE(Sheet2!B2071,", ",Sheet2!C2071)</f>
        <v>DENEL, AH-2 Rooivalk</v>
      </c>
    </row>
    <row r="2072" spans="1:4" x14ac:dyDescent="0.2">
      <c r="A2072" t="str">
        <f>Sheet2!A2072</f>
        <v>RW19</v>
      </c>
      <c r="B2072" t="str">
        <f ca="1">'Query Example'!D2072</f>
        <v>LandPlane</v>
      </c>
      <c r="C2072" s="11" t="str">
        <f>CONCATENATE(Sheet2!F2072,"/",Sheet2!E2072)</f>
        <v>1/Piston</v>
      </c>
      <c r="D2072" t="str">
        <f>CONCATENATE(Sheet2!B2072,", ",Sheet2!C2072)</f>
        <v>RAGWING, RW-19 Stork</v>
      </c>
    </row>
    <row r="2073" spans="1:4" x14ac:dyDescent="0.2">
      <c r="A2073" t="str">
        <f>Sheet2!A2073</f>
        <v>RW20</v>
      </c>
      <c r="B2073" t="str">
        <f ca="1">'Query Example'!D2073</f>
        <v>LandPlane</v>
      </c>
      <c r="C2073" s="11" t="str">
        <f>CONCATENATE(Sheet2!F2073,"/",Sheet2!E2073)</f>
        <v>1/Piston</v>
      </c>
      <c r="D2073" t="str">
        <f>CONCATENATE(Sheet2!B2073,", ",Sheet2!C2073)</f>
        <v>RAGWING, RW-20 Stork</v>
      </c>
    </row>
    <row r="2074" spans="1:4" x14ac:dyDescent="0.2">
      <c r="A2074" t="str">
        <f>Sheet2!A2074</f>
        <v>RW22</v>
      </c>
      <c r="B2074" t="str">
        <f ca="1">'Query Example'!D2074</f>
        <v>LandPlane</v>
      </c>
      <c r="C2074" s="11" t="str">
        <f>CONCATENATE(Sheet2!F2074,"/",Sheet2!E2074)</f>
        <v>1/Piston</v>
      </c>
      <c r="D2074" t="str">
        <f>CONCATENATE(Sheet2!B2074,", ",Sheet2!C2074)</f>
        <v>RAGWING, RW-22 Tiger Moth</v>
      </c>
    </row>
    <row r="2075" spans="1:4" x14ac:dyDescent="0.2">
      <c r="A2075" t="str">
        <f>Sheet2!A2075</f>
        <v>RW26</v>
      </c>
      <c r="B2075" t="str">
        <f ca="1">'Query Example'!D2075</f>
        <v>LandPlane</v>
      </c>
      <c r="C2075" s="11" t="str">
        <f>CONCATENATE(Sheet2!F2075,"/",Sheet2!E2075)</f>
        <v>1/Piston</v>
      </c>
      <c r="D2075" t="str">
        <f>CONCATENATE(Sheet2!B2075,", ",Sheet2!C2075)</f>
        <v>RAGWING, RW-26 Special 2</v>
      </c>
    </row>
    <row r="2076" spans="1:4" x14ac:dyDescent="0.2">
      <c r="A2076" t="str">
        <f>Sheet2!A2076</f>
        <v>RW3</v>
      </c>
      <c r="B2076" t="str">
        <f ca="1">'Query Example'!D2076</f>
        <v>LandPlane</v>
      </c>
      <c r="C2076" s="11" t="str">
        <f>CONCATENATE(Sheet2!F2076,"/",Sheet2!E2076)</f>
        <v>1/Piston</v>
      </c>
      <c r="D2076" t="str">
        <f>CONCATENATE(Sheet2!B2076,", ",Sheet2!C2076)</f>
        <v>RHEIN-WEST-FLUG, RW-3 Multoplane</v>
      </c>
    </row>
    <row r="2077" spans="1:4" x14ac:dyDescent="0.2">
      <c r="A2077" t="str">
        <f>Sheet2!A2077</f>
        <v>RYSA</v>
      </c>
      <c r="B2077" t="str">
        <f ca="1">'Query Example'!D2077</f>
        <v>LandPlane</v>
      </c>
      <c r="C2077" s="11" t="str">
        <f>CONCATENATE(Sheet2!F2077,"/",Sheet2!E2077)</f>
        <v>2/Turboprop/Turboshaft</v>
      </c>
      <c r="D2077" t="str">
        <f>CONCATENATE(Sheet2!B2077,", ",Sheet2!C2077)</f>
        <v>TECHNOAVIA, Rysachok</v>
      </c>
    </row>
    <row r="2078" spans="1:4" x14ac:dyDescent="0.2">
      <c r="A2078" t="str">
        <f>Sheet2!A2078</f>
        <v>RYST</v>
      </c>
      <c r="B2078" t="str">
        <f ca="1">'Query Example'!D2078</f>
        <v>LandPlane</v>
      </c>
      <c r="C2078" s="11" t="str">
        <f>CONCATENATE(Sheet2!F2078,"/",Sheet2!E2078)</f>
        <v>1/Piston</v>
      </c>
      <c r="D2078" t="str">
        <f>CONCATENATE(Sheet2!B2078,", ",Sheet2!C2078)</f>
        <v>RYAN, ST-A</v>
      </c>
    </row>
    <row r="2079" spans="1:4" x14ac:dyDescent="0.2">
      <c r="A2079" t="str">
        <f>Sheet2!A2079</f>
        <v>S05F</v>
      </c>
      <c r="B2079" t="str">
        <f ca="1">'Query Example'!D2079</f>
        <v>LandPlane</v>
      </c>
      <c r="C2079" s="11" t="str">
        <f>CONCATENATE(Sheet2!F2079,"/",Sheet2!E2079)</f>
        <v>1/Piston</v>
      </c>
      <c r="D2079" t="str">
        <f>CONCATENATE(Sheet2!B2079,", ",Sheet2!C2079)</f>
        <v>SIAI-MARCHETTI, S-205-18F</v>
      </c>
    </row>
    <row r="2080" spans="1:4" x14ac:dyDescent="0.2">
      <c r="A2080" t="str">
        <f>Sheet2!A2080</f>
        <v>S05R</v>
      </c>
      <c r="B2080" t="str">
        <f ca="1">'Query Example'!D2080</f>
        <v>LandPlane</v>
      </c>
      <c r="C2080" s="11" t="str">
        <f>CONCATENATE(Sheet2!F2080,"/",Sheet2!E2080)</f>
        <v>1/Piston</v>
      </c>
      <c r="D2080" t="str">
        <f>CONCATENATE(Sheet2!B2080,", ",Sheet2!C2080)</f>
        <v>SIAI-MARCHETTI, S-205-18R</v>
      </c>
    </row>
    <row r="2081" spans="1:4" x14ac:dyDescent="0.2">
      <c r="A2081" t="str">
        <f>Sheet2!A2081</f>
        <v>S1</v>
      </c>
      <c r="B2081" t="str">
        <f ca="1">'Query Example'!D2081</f>
        <v>LandPlane</v>
      </c>
      <c r="C2081" s="11" t="str">
        <f>CONCATENATE(Sheet2!F2081,"/",Sheet2!E2081)</f>
        <v>1/Piston</v>
      </c>
      <c r="D2081" t="str">
        <f>CONCATENATE(Sheet2!B2081,", ",Sheet2!C2081)</f>
        <v>INTERSTATE, S-1 Cadet</v>
      </c>
    </row>
    <row r="2082" spans="1:4" x14ac:dyDescent="0.2">
      <c r="A2082" t="str">
        <f>Sheet2!A2082</f>
        <v>S10</v>
      </c>
      <c r="B2082" t="str">
        <f ca="1">'Query Example'!D2082</f>
        <v>LandPlane</v>
      </c>
      <c r="C2082" s="11" t="str">
        <f>CONCATENATE(Sheet2!F2082,"/",Sheet2!E2082)</f>
        <v>1/Piston</v>
      </c>
      <c r="D2082" t="str">
        <f>CONCATENATE(Sheet2!B2082,", ",Sheet2!C2082)</f>
        <v>STINSON, 10 Voyager</v>
      </c>
    </row>
    <row r="2083" spans="1:4" x14ac:dyDescent="0.2">
      <c r="A2083" t="str">
        <f>Sheet2!A2083</f>
        <v>S107</v>
      </c>
      <c r="B2083" t="str">
        <f ca="1">'Query Example'!D2083</f>
        <v>SeaPlane</v>
      </c>
      <c r="C2083" s="11" t="str">
        <f>CONCATENATE(Sheet2!F2083,"/",Sheet2!E2083)</f>
        <v>1/Piston</v>
      </c>
      <c r="D2083" t="str">
        <f>CONCATENATE(Sheet2!B2083,", ",Sheet2!C2083)</f>
        <v>SPRATT, 107</v>
      </c>
    </row>
    <row r="2084" spans="1:4" x14ac:dyDescent="0.2">
      <c r="A2084" t="str">
        <f>Sheet2!A2084</f>
        <v>S108</v>
      </c>
      <c r="B2084" t="str">
        <f ca="1">'Query Example'!D2084</f>
        <v>LandPlane</v>
      </c>
      <c r="C2084" s="11" t="str">
        <f>CONCATENATE(Sheet2!F2084,"/",Sheet2!E2084)</f>
        <v>1/Piston</v>
      </c>
      <c r="D2084" t="str">
        <f>CONCATENATE(Sheet2!B2084,", ",Sheet2!C2084)</f>
        <v>STINSON, 108 Station Wagon</v>
      </c>
    </row>
    <row r="2085" spans="1:4" x14ac:dyDescent="0.2">
      <c r="A2085" t="str">
        <f>Sheet2!A2085</f>
        <v>S10S</v>
      </c>
      <c r="B2085" t="str">
        <f ca="1">'Query Example'!D2085</f>
        <v>LandPlane</v>
      </c>
      <c r="C2085" s="11" t="str">
        <f>CONCATENATE(Sheet2!F2085,"/",Sheet2!E2085)</f>
        <v>1/Piston</v>
      </c>
      <c r="D2085" t="str">
        <f>CONCATENATE(Sheet2!B2085,", ",Sheet2!C2085)</f>
        <v>STEMME, S-10 Chrysalis</v>
      </c>
    </row>
    <row r="2086" spans="1:4" x14ac:dyDescent="0.2">
      <c r="A2086" t="str">
        <f>Sheet2!A2086</f>
        <v>S11</v>
      </c>
      <c r="B2086" t="str">
        <f ca="1">'Query Example'!D2086</f>
        <v>LandPlane</v>
      </c>
      <c r="C2086" s="11" t="str">
        <f>CONCATENATE(Sheet2!F2086,"/",Sheet2!E2086)</f>
        <v>1/Piston</v>
      </c>
      <c r="D2086" t="str">
        <f>CONCATENATE(Sheet2!B2086,", ",Sheet2!C2086)</f>
        <v>FOKKER, S-11 Instructor</v>
      </c>
    </row>
    <row r="2087" spans="1:4" x14ac:dyDescent="0.2">
      <c r="A2087" t="str">
        <f>Sheet2!A2087</f>
        <v>S12</v>
      </c>
      <c r="B2087" t="str">
        <f ca="1">'Query Example'!D2087</f>
        <v>Amphibian</v>
      </c>
      <c r="C2087" s="11" t="str">
        <f>CONCATENATE(Sheet2!F2087,"/",Sheet2!E2087)</f>
        <v>1/Piston</v>
      </c>
      <c r="D2087" t="str">
        <f>CONCATENATE(Sheet2!B2087,", ",Sheet2!C2087)</f>
        <v>SPENCER, S-12 Air Car</v>
      </c>
    </row>
    <row r="2088" spans="1:4" x14ac:dyDescent="0.2">
      <c r="A2088" t="str">
        <f>Sheet2!A2088</f>
        <v>S122</v>
      </c>
      <c r="B2088" t="str">
        <f ca="1">'Query Example'!D2088</f>
        <v>LandPlane</v>
      </c>
      <c r="C2088" s="11" t="str">
        <f>CONCATENATE(Sheet2!F2088,"/",Sheet2!E2088)</f>
        <v>2/Piston</v>
      </c>
      <c r="D2088" t="str">
        <f>CONCATENATE(Sheet2!B2088,", ",Sheet2!C2088)</f>
        <v>SKYLINE, SL-122  Pchelka</v>
      </c>
    </row>
    <row r="2089" spans="1:4" x14ac:dyDescent="0.2">
      <c r="A2089" t="str">
        <f>Sheet2!A2089</f>
        <v>S12S</v>
      </c>
      <c r="B2089" t="str">
        <f ca="1">'Query Example'!D2089</f>
        <v>LandPlane</v>
      </c>
      <c r="C2089" s="11" t="str">
        <f>CONCATENATE(Sheet2!F2089,"/",Sheet2!E2089)</f>
        <v>1/Piston</v>
      </c>
      <c r="D2089" t="str">
        <f>CONCATENATE(Sheet2!B2089,", ",Sheet2!C2089)</f>
        <v>STEMME, S-12 Twin Voyager</v>
      </c>
    </row>
    <row r="2090" spans="1:4" x14ac:dyDescent="0.2">
      <c r="A2090" t="str">
        <f>Sheet2!A2090</f>
        <v>S15S</v>
      </c>
      <c r="B2090" t="str">
        <f ca="1">'Query Example'!D2090</f>
        <v>LandPlane</v>
      </c>
      <c r="C2090" s="11" t="str">
        <f>CONCATENATE(Sheet2!F2090,"/",Sheet2!E2090)</f>
        <v>1/Piston</v>
      </c>
      <c r="D2090" t="str">
        <f>CONCATENATE(Sheet2!B2090,", ",Sheet2!C2090)</f>
        <v>STEMME, S-15</v>
      </c>
    </row>
    <row r="2091" spans="1:4" x14ac:dyDescent="0.2">
      <c r="A2091" t="str">
        <f>Sheet2!A2091</f>
        <v>S15U</v>
      </c>
      <c r="B2091" t="str">
        <f ca="1">'Query Example'!D2091</f>
        <v>LandPlane</v>
      </c>
      <c r="C2091" s="11" t="str">
        <f>CONCATENATE(Sheet2!F2091,"/",Sheet2!E2091)</f>
        <v>1/Piston</v>
      </c>
      <c r="D2091" t="str">
        <f>CONCATENATE(Sheet2!B2091,", ",Sheet2!C2091)</f>
        <v>STEMME, S-15 Patroller</v>
      </c>
    </row>
    <row r="2092" spans="1:4" x14ac:dyDescent="0.2">
      <c r="A2092" t="str">
        <f>Sheet2!A2092</f>
        <v>S200</v>
      </c>
      <c r="B2092" t="str">
        <f ca="1">'Query Example'!D2092</f>
        <v>LandPlane</v>
      </c>
      <c r="C2092" s="11" t="str">
        <f>CONCATENATE(Sheet2!F2092,"/",Sheet2!E2092)</f>
        <v>1/Jet</v>
      </c>
      <c r="D2092" t="str">
        <f>CONCATENATE(Sheet2!B2092,", ",Sheet2!C2092)</f>
        <v>SIPA, S-200 Minijet</v>
      </c>
    </row>
    <row r="2093" spans="1:4" x14ac:dyDescent="0.2">
      <c r="A2093" t="str">
        <f>Sheet2!A2093</f>
        <v>S202</v>
      </c>
      <c r="B2093" t="str">
        <f ca="1">'Query Example'!D2093</f>
        <v>Amphibian</v>
      </c>
      <c r="C2093" s="11" t="str">
        <f>CONCATENATE(Sheet2!F2093,"/",Sheet2!E2093)</f>
        <v>2/Piston</v>
      </c>
      <c r="D2093" t="str">
        <f>CONCATENATE(Sheet2!B2093,", ",Sheet2!C2093)</f>
        <v>SGAU, S-202</v>
      </c>
    </row>
    <row r="2094" spans="1:4" x14ac:dyDescent="0.2">
      <c r="A2094" t="str">
        <f>Sheet2!A2094</f>
        <v>S208</v>
      </c>
      <c r="B2094" t="str">
        <f ca="1">'Query Example'!D2094</f>
        <v>LandPlane</v>
      </c>
      <c r="C2094" s="11" t="str">
        <f>CONCATENATE(Sheet2!F2094,"/",Sheet2!E2094)</f>
        <v>1/Piston</v>
      </c>
      <c r="D2094" t="str">
        <f>CONCATENATE(Sheet2!B2094,", ",Sheet2!C2094)</f>
        <v>SIAI-MARCHETTI, S-208</v>
      </c>
    </row>
    <row r="2095" spans="1:4" x14ac:dyDescent="0.2">
      <c r="A2095" t="str">
        <f>Sheet2!A2095</f>
        <v>S21</v>
      </c>
      <c r="B2095" t="str">
        <f ca="1">'Query Example'!D2095</f>
        <v>LandPlane</v>
      </c>
      <c r="C2095" s="11" t="str">
        <f>CONCATENATE(Sheet2!F2095,"/",Sheet2!E2095)</f>
        <v>1/Piston</v>
      </c>
      <c r="D2095" t="str">
        <f>CONCATENATE(Sheet2!B2095,", ",Sheet2!C2095)</f>
        <v>MACDONALD, S-21</v>
      </c>
    </row>
    <row r="2096" spans="1:4" x14ac:dyDescent="0.2">
      <c r="A2096" t="str">
        <f>Sheet2!A2096</f>
        <v>S211</v>
      </c>
      <c r="B2096" t="str">
        <f ca="1">'Query Example'!D2096</f>
        <v>LandPlane</v>
      </c>
      <c r="C2096" s="11" t="str">
        <f>CONCATENATE(Sheet2!F2096,"/",Sheet2!E2096)</f>
        <v>1/Jet</v>
      </c>
      <c r="D2096" t="str">
        <f>CONCATENATE(Sheet2!B2096,", ",Sheet2!C2096)</f>
        <v>SIAI-MARCHETTI, S-211</v>
      </c>
    </row>
    <row r="2097" spans="1:4" x14ac:dyDescent="0.2">
      <c r="A2097" t="str">
        <f>Sheet2!A2097</f>
        <v>S223</v>
      </c>
      <c r="B2097" t="str">
        <f ca="1">'Query Example'!D2097</f>
        <v>LandPlane</v>
      </c>
      <c r="C2097" s="11" t="str">
        <f>CONCATENATE(Sheet2!F2097,"/",Sheet2!E2097)</f>
        <v>1/Piston</v>
      </c>
      <c r="D2097" t="str">
        <f>CONCATENATE(Sheet2!B2097,", ",Sheet2!C2097)</f>
        <v>MBB, 223 Flamingo</v>
      </c>
    </row>
    <row r="2098" spans="1:4" x14ac:dyDescent="0.2">
      <c r="A2098" t="str">
        <f>Sheet2!A2098</f>
        <v>S22T</v>
      </c>
      <c r="B2098" t="str">
        <f ca="1">'Query Example'!D2098</f>
        <v>LandPlane</v>
      </c>
      <c r="C2098" s="11" t="str">
        <f>CONCATENATE(Sheet2!F2098,"/",Sheet2!E2098)</f>
        <v>1/Piston</v>
      </c>
      <c r="D2098" t="str">
        <f>CONCATENATE(Sheet2!B2098,", ",Sheet2!C2098)</f>
        <v>CIRRUS, SR-22 Turbo</v>
      </c>
    </row>
    <row r="2099" spans="1:4" x14ac:dyDescent="0.2">
      <c r="A2099" t="str">
        <f>Sheet2!A2099</f>
        <v>S274</v>
      </c>
      <c r="B2099" t="str">
        <f ca="1">'Query Example'!D2099</f>
        <v>Helicopter</v>
      </c>
      <c r="C2099" s="11" t="str">
        <f>CONCATENATE(Sheet2!F2099,"/",Sheet2!E2099)</f>
        <v>1/Turboprop/Turboshaft</v>
      </c>
      <c r="D2099" t="str">
        <f>CONCATENATE(Sheet2!B2099,", ",Sheet2!C2099)</f>
        <v>IRGC, Shahed 274</v>
      </c>
    </row>
    <row r="2100" spans="1:4" x14ac:dyDescent="0.2">
      <c r="A2100" t="str">
        <f>Sheet2!A2100</f>
        <v>S278</v>
      </c>
      <c r="B2100" t="str">
        <f ca="1">'Query Example'!D2100</f>
        <v>Helicopter</v>
      </c>
      <c r="C2100" s="11" t="str">
        <f>CONCATENATE(Sheet2!F2100,"/",Sheet2!E2100)</f>
        <v>1/Turboprop/Turboshaft</v>
      </c>
      <c r="D2100" t="str">
        <f>CONCATENATE(Sheet2!B2100,", ",Sheet2!C2100)</f>
        <v>HESA, Shahed 278</v>
      </c>
    </row>
    <row r="2101" spans="1:4" x14ac:dyDescent="0.2">
      <c r="A2101" t="str">
        <f>Sheet2!A2101</f>
        <v>S285</v>
      </c>
      <c r="B2101" t="str">
        <f ca="1">'Query Example'!D2101</f>
        <v>Helicopter</v>
      </c>
      <c r="C2101" s="11" t="str">
        <f>CONCATENATE(Sheet2!F2101,"/",Sheet2!E2101)</f>
        <v>1/Turboprop/Turboshaft</v>
      </c>
      <c r="D2101" t="str">
        <f>CONCATENATE(Sheet2!B2101,", ",Sheet2!C2101)</f>
        <v>HESA, Shahed 285</v>
      </c>
    </row>
    <row r="2102" spans="1:4" x14ac:dyDescent="0.2">
      <c r="A2102" t="str">
        <f>Sheet2!A2102</f>
        <v>S2P</v>
      </c>
      <c r="B2102" t="str">
        <f ca="1">'Query Example'!D2102</f>
        <v>LandPlane</v>
      </c>
      <c r="C2102" s="11" t="str">
        <f>CONCATENATE(Sheet2!F2102,"/",Sheet2!E2102)</f>
        <v>2/Piston</v>
      </c>
      <c r="D2102" t="str">
        <f>CONCATENATE(Sheet2!B2102,", ",Sheet2!C2102)</f>
        <v>GRUMMAN, S-2 Tracker</v>
      </c>
    </row>
    <row r="2103" spans="1:4" x14ac:dyDescent="0.2">
      <c r="A2103" t="str">
        <f>Sheet2!A2103</f>
        <v>S2T</v>
      </c>
      <c r="B2103" t="str">
        <f ca="1">'Query Example'!D2103</f>
        <v>LandPlane</v>
      </c>
      <c r="C2103" s="11" t="str">
        <f>CONCATENATE(Sheet2!F2103,"/",Sheet2!E2103)</f>
        <v>2/Turboprop/Turboshaft</v>
      </c>
      <c r="D2103" t="str">
        <f>CONCATENATE(Sheet2!B2103,", ",Sheet2!C2103)</f>
        <v>GRUMMAN, S-2 Turbo Tracker</v>
      </c>
    </row>
    <row r="2104" spans="1:4" x14ac:dyDescent="0.2">
      <c r="A2104" t="str">
        <f>Sheet2!A2104</f>
        <v>S3</v>
      </c>
      <c r="B2104" t="str">
        <f ca="1">'Query Example'!D2104</f>
        <v>LandPlane</v>
      </c>
      <c r="C2104" s="11" t="str">
        <f>CONCATENATE(Sheet2!F2104,"/",Sheet2!E2104)</f>
        <v>2/Jet</v>
      </c>
      <c r="D2104" t="str">
        <f>CONCATENATE(Sheet2!B2104,", ",Sheet2!C2104)</f>
        <v>LOCKHEED, S-3 Viking</v>
      </c>
    </row>
    <row r="2105" spans="1:4" x14ac:dyDescent="0.2">
      <c r="A2105" t="str">
        <f>Sheet2!A2105</f>
        <v>S330</v>
      </c>
      <c r="B2105" t="str">
        <f ca="1">'Query Example'!D2105</f>
        <v>Helicopter</v>
      </c>
      <c r="C2105" s="11" t="str">
        <f>CONCATENATE(Sheet2!F2105,"/",Sheet2!E2105)</f>
        <v>1/Turboprop/Turboshaft</v>
      </c>
      <c r="D2105" t="str">
        <f>CONCATENATE(Sheet2!B2105,", ",Sheet2!C2105)</f>
        <v>SIKORSKY, S-333</v>
      </c>
    </row>
    <row r="2106" spans="1:4" x14ac:dyDescent="0.2">
      <c r="A2106" t="str">
        <f>Sheet2!A2106</f>
        <v>S355</v>
      </c>
      <c r="B2106" t="str">
        <f ca="1">'Query Example'!D2106</f>
        <v>LandPlane</v>
      </c>
      <c r="C2106" s="11" t="str">
        <f>CONCATENATE(Sheet2!F2106,"/",Sheet2!E2106)</f>
        <v>1/Piston</v>
      </c>
      <c r="D2106" t="str">
        <f>CONCATENATE(Sheet2!B2106,", ",Sheet2!C2106)</f>
        <v>SCALED, 355 Firebird</v>
      </c>
    </row>
    <row r="2107" spans="1:4" x14ac:dyDescent="0.2">
      <c r="A2107" t="str">
        <f>Sheet2!A2107</f>
        <v>S360</v>
      </c>
      <c r="B2107" t="str">
        <f ca="1">'Query Example'!D2107</f>
        <v>Helicopter</v>
      </c>
      <c r="C2107" s="11" t="str">
        <f>CONCATENATE(Sheet2!F2107,"/",Sheet2!E2107)</f>
        <v>1/Turboprop/Turboshaft</v>
      </c>
      <c r="D2107" t="str">
        <f>CONCATENATE(Sheet2!B2107,", ",Sheet2!C2107)</f>
        <v>AEROSPATIALE, SA-360 Dauphin</v>
      </c>
    </row>
    <row r="2108" spans="1:4" x14ac:dyDescent="0.2">
      <c r="A2108" t="str">
        <f>Sheet2!A2108</f>
        <v>S37</v>
      </c>
      <c r="B2108" t="str">
        <f ca="1">'Query Example'!D2108</f>
        <v>LandPlane</v>
      </c>
      <c r="C2108" s="11" t="str">
        <f>CONCATENATE(Sheet2!F2108,"/",Sheet2!E2108)</f>
        <v>2/Jet</v>
      </c>
      <c r="D2108" t="str">
        <f>CONCATENATE(Sheet2!B2108,", ",Sheet2!C2108)</f>
        <v>SUKHOI, S-37 Berkut</v>
      </c>
    </row>
    <row r="2109" spans="1:4" x14ac:dyDescent="0.2">
      <c r="A2109" t="str">
        <f>Sheet2!A2109</f>
        <v>S38</v>
      </c>
      <c r="B2109" t="str">
        <f ca="1">'Query Example'!D2109</f>
        <v>Amphibian</v>
      </c>
      <c r="C2109" s="11" t="str">
        <f>CONCATENATE(Sheet2!F2109,"/",Sheet2!E2109)</f>
        <v>2/Piston</v>
      </c>
      <c r="D2109" t="str">
        <f>CONCATENATE(Sheet2!B2109,", ",Sheet2!C2109)</f>
        <v>SIKORSKY, S-38 Replica</v>
      </c>
    </row>
    <row r="2110" spans="1:4" x14ac:dyDescent="0.2">
      <c r="A2110" t="str">
        <f>Sheet2!A2110</f>
        <v>S39</v>
      </c>
      <c r="B2110" t="str">
        <f ca="1">'Query Example'!D2110</f>
        <v>Amphibian</v>
      </c>
      <c r="C2110" s="11" t="str">
        <f>CONCATENATE(Sheet2!F2110,"/",Sheet2!E2110)</f>
        <v>1/Piston</v>
      </c>
      <c r="D2110" t="str">
        <f>CONCATENATE(Sheet2!B2110,", ",Sheet2!C2110)</f>
        <v>SIKORSKY, S-39</v>
      </c>
    </row>
    <row r="2111" spans="1:4" x14ac:dyDescent="0.2">
      <c r="A2111" t="str">
        <f>Sheet2!A2111</f>
        <v>S4</v>
      </c>
      <c r="B2111" t="str">
        <f ca="1">'Query Example'!D2111</f>
        <v>LandPlane</v>
      </c>
      <c r="C2111" s="11" t="str">
        <f>CONCATENATE(Sheet2!F2111,"/",Sheet2!E2111)</f>
        <v>1/Piston</v>
      </c>
      <c r="D2111" t="str">
        <f>CONCATENATE(Sheet2!B2111,", ",Sheet2!C2111)</f>
        <v>ARCTIC, S-4 Privateer</v>
      </c>
    </row>
    <row r="2112" spans="1:4" x14ac:dyDescent="0.2">
      <c r="A2112" t="str">
        <f>Sheet2!A2112</f>
        <v>S400</v>
      </c>
      <c r="B2112" t="str">
        <f ca="1">'Query Example'!D2112</f>
        <v>SeaPlane</v>
      </c>
      <c r="C2112" s="11" t="str">
        <f>CONCATENATE(Sheet2!F2112,"/",Sheet2!E2112)</f>
        <v>2/Piston</v>
      </c>
      <c r="D2112" t="str">
        <f>CONCATENATE(Sheet2!B2112,", ",Sheet2!C2112)</f>
        <v>SGAU, S-400 Kapitan</v>
      </c>
    </row>
    <row r="2113" spans="1:4" x14ac:dyDescent="0.2">
      <c r="A2113" t="str">
        <f>Sheet2!A2113</f>
        <v>S434</v>
      </c>
      <c r="B2113" t="str">
        <f ca="1">'Query Example'!D2113</f>
        <v>Helicopter</v>
      </c>
      <c r="C2113" s="11" t="str">
        <f>CONCATENATE(Sheet2!F2113,"/",Sheet2!E2113)</f>
        <v>1/Turboprop/Turboshaft</v>
      </c>
      <c r="D2113" t="str">
        <f>CONCATENATE(Sheet2!B2113,", ",Sheet2!C2113)</f>
        <v>SIKORSKY, S-434</v>
      </c>
    </row>
    <row r="2114" spans="1:4" x14ac:dyDescent="0.2">
      <c r="A2114" t="str">
        <f>Sheet2!A2114</f>
        <v>S45</v>
      </c>
      <c r="B2114" t="str">
        <f ca="1">'Query Example'!D2114</f>
        <v>LandPlane</v>
      </c>
      <c r="C2114" s="11" t="str">
        <f>CONCATENATE(Sheet2!F2114,"/",Sheet2!E2114)</f>
        <v>1/Piston</v>
      </c>
      <c r="D2114" t="str">
        <f>CONCATENATE(Sheet2!B2114,", ",Sheet2!C2114)</f>
        <v>PARTENAIR, S-45 Mystere</v>
      </c>
    </row>
    <row r="2115" spans="1:4" x14ac:dyDescent="0.2">
      <c r="A2115" t="str">
        <f>Sheet2!A2115</f>
        <v>S450</v>
      </c>
      <c r="B2115" t="str">
        <f ca="1">'Query Example'!D2115</f>
        <v>LandPlane</v>
      </c>
      <c r="C2115" s="11" t="str">
        <f>CONCATENATE(Sheet2!F2115,"/",Sheet2!E2115)</f>
        <v>1/Piston</v>
      </c>
      <c r="D2115" t="str">
        <f>CONCATENATE(Sheet2!B2115,", ",Sheet2!C2115)</f>
        <v>AERO-EAST-EUROPE, SILA-450</v>
      </c>
    </row>
    <row r="2116" spans="1:4" x14ac:dyDescent="0.2">
      <c r="A2116" t="str">
        <f>Sheet2!A2116</f>
        <v>S51</v>
      </c>
      <c r="B2116" t="str">
        <f ca="1">'Query Example'!D2116</f>
        <v>Helicopter</v>
      </c>
      <c r="C2116" s="11" t="str">
        <f>CONCATENATE(Sheet2!F2116,"/",Sheet2!E2116)</f>
        <v>1/Piston</v>
      </c>
      <c r="D2116" t="str">
        <f>CONCATENATE(Sheet2!B2116,", ",Sheet2!C2116)</f>
        <v>SIKORSKY, S-51</v>
      </c>
    </row>
    <row r="2117" spans="1:4" x14ac:dyDescent="0.2">
      <c r="A2117" t="str">
        <f>Sheet2!A2117</f>
        <v>S51D</v>
      </c>
      <c r="B2117" t="str">
        <f ca="1">'Query Example'!D2117</f>
        <v>LandPlane</v>
      </c>
      <c r="C2117" s="11" t="str">
        <f>CONCATENATE(Sheet2!F2117,"/",Sheet2!E2117)</f>
        <v>1/Piston</v>
      </c>
      <c r="D2117" t="str">
        <f>CONCATENATE(Sheet2!B2117,", ",Sheet2!C2117)</f>
        <v>STEWART (1), S-51D</v>
      </c>
    </row>
    <row r="2118" spans="1:4" x14ac:dyDescent="0.2">
      <c r="A2118" t="str">
        <f>Sheet2!A2118</f>
        <v>S52</v>
      </c>
      <c r="B2118" t="str">
        <f ca="1">'Query Example'!D2118</f>
        <v>Helicopter</v>
      </c>
      <c r="C2118" s="11" t="str">
        <f>CONCATENATE(Sheet2!F2118,"/",Sheet2!E2118)</f>
        <v>1/Piston</v>
      </c>
      <c r="D2118" t="str">
        <f>CONCATENATE(Sheet2!B2118,", ",Sheet2!C2118)</f>
        <v>SIKORSKY, S-52</v>
      </c>
    </row>
    <row r="2119" spans="1:4" x14ac:dyDescent="0.2">
      <c r="A2119" t="str">
        <f>Sheet2!A2119</f>
        <v>S55P</v>
      </c>
      <c r="B2119" t="str">
        <f ca="1">'Query Example'!D2119</f>
        <v>Helicopter</v>
      </c>
      <c r="C2119" s="11" t="str">
        <f>CONCATENATE(Sheet2!F2119,"/",Sheet2!E2119)</f>
        <v>1/Piston</v>
      </c>
      <c r="D2119" t="str">
        <f>CONCATENATE(Sheet2!B2119,", ",Sheet2!C2119)</f>
        <v>SIKORSKY, S-55</v>
      </c>
    </row>
    <row r="2120" spans="1:4" x14ac:dyDescent="0.2">
      <c r="A2120" t="str">
        <f>Sheet2!A2120</f>
        <v>S55T</v>
      </c>
      <c r="B2120" t="str">
        <f ca="1">'Query Example'!D2120</f>
        <v>Helicopter</v>
      </c>
      <c r="C2120" s="11" t="str">
        <f>CONCATENATE(Sheet2!F2120,"/",Sheet2!E2120)</f>
        <v>1/Turboprop/Turboshaft</v>
      </c>
      <c r="D2120" t="str">
        <f>CONCATENATE(Sheet2!B2120,", ",Sheet2!C2120)</f>
        <v>SIKORSKY, S-55T</v>
      </c>
    </row>
    <row r="2121" spans="1:4" x14ac:dyDescent="0.2">
      <c r="A2121" t="str">
        <f>Sheet2!A2121</f>
        <v>S58P</v>
      </c>
      <c r="B2121" t="str">
        <f ca="1">'Query Example'!D2121</f>
        <v>Helicopter</v>
      </c>
      <c r="C2121" s="11" t="str">
        <f>CONCATENATE(Sheet2!F2121,"/",Sheet2!E2121)</f>
        <v>1/Piston</v>
      </c>
      <c r="D2121" t="str">
        <f>CONCATENATE(Sheet2!B2121,", ",Sheet2!C2121)</f>
        <v>SIKORSKY, S-58</v>
      </c>
    </row>
    <row r="2122" spans="1:4" x14ac:dyDescent="0.2">
      <c r="A2122" t="str">
        <f>Sheet2!A2122</f>
        <v>S58T</v>
      </c>
      <c r="B2122" t="str">
        <f ca="1">'Query Example'!D2122</f>
        <v>Helicopter</v>
      </c>
      <c r="C2122" s="11" t="str">
        <f>CONCATENATE(Sheet2!F2122,"/",Sheet2!E2122)</f>
        <v>1/Turboprop/Turboshaft</v>
      </c>
      <c r="D2122" t="str">
        <f>CONCATENATE(Sheet2!B2122,", ",Sheet2!C2122)</f>
        <v>SIKORSKY, S-58T</v>
      </c>
    </row>
    <row r="2123" spans="1:4" x14ac:dyDescent="0.2">
      <c r="A2123" t="str">
        <f>Sheet2!A2123</f>
        <v>S6</v>
      </c>
      <c r="B2123" t="str">
        <f ca="1">'Query Example'!D2123</f>
        <v>LandPlane</v>
      </c>
      <c r="C2123" s="11" t="str">
        <f>CONCATENATE(Sheet2!F2123,"/",Sheet2!E2123)</f>
        <v>1/Piston</v>
      </c>
      <c r="D2123" t="str">
        <f>CONCATENATE(Sheet2!B2123,", ",Sheet2!C2123)</f>
        <v>STEMME, S-6</v>
      </c>
    </row>
    <row r="2124" spans="1:4" x14ac:dyDescent="0.2">
      <c r="A2124" t="str">
        <f>Sheet2!A2124</f>
        <v>S601</v>
      </c>
      <c r="B2124" t="str">
        <f ca="1">'Query Example'!D2124</f>
        <v>LandPlane</v>
      </c>
      <c r="C2124" s="11" t="str">
        <f>CONCATENATE(Sheet2!F2124,"/",Sheet2!E2124)</f>
        <v>2/Jet</v>
      </c>
      <c r="D2124" t="str">
        <f>CONCATENATE(Sheet2!B2124,", ",Sheet2!C2124)</f>
        <v>AEROSPATIALE, SN-601 Corvette</v>
      </c>
    </row>
    <row r="2125" spans="1:4" x14ac:dyDescent="0.2">
      <c r="A2125" t="str">
        <f>Sheet2!A2125</f>
        <v>S61</v>
      </c>
      <c r="B2125" t="str">
        <f ca="1">'Query Example'!D2125</f>
        <v>Helicopter</v>
      </c>
      <c r="C2125" s="11" t="str">
        <f>CONCATENATE(Sheet2!F2125,"/",Sheet2!E2125)</f>
        <v>2/Turboprop/Turboshaft</v>
      </c>
      <c r="D2125" t="str">
        <f>CONCATENATE(Sheet2!B2125,", ",Sheet2!C2125)</f>
        <v>SIKORSKY, S-61A</v>
      </c>
    </row>
    <row r="2126" spans="1:4" x14ac:dyDescent="0.2">
      <c r="A2126" t="str">
        <f>Sheet2!A2126</f>
        <v>S61R</v>
      </c>
      <c r="B2126" t="str">
        <f ca="1">'Query Example'!D2126</f>
        <v>Helicopter</v>
      </c>
      <c r="C2126" s="11" t="str">
        <f>CONCATENATE(Sheet2!F2126,"/",Sheet2!E2126)</f>
        <v>2/Turboprop/Turboshaft</v>
      </c>
      <c r="D2126" t="str">
        <f>CONCATENATE(Sheet2!B2126,", ",Sheet2!C2126)</f>
        <v>SIKORSKY, S-61R</v>
      </c>
    </row>
    <row r="2127" spans="1:4" x14ac:dyDescent="0.2">
      <c r="A2127" t="str">
        <f>Sheet2!A2127</f>
        <v>S62</v>
      </c>
      <c r="B2127" t="str">
        <f ca="1">'Query Example'!D2127</f>
        <v>Helicopter</v>
      </c>
      <c r="C2127" s="11" t="str">
        <f>CONCATENATE(Sheet2!F2127,"/",Sheet2!E2127)</f>
        <v>1/Turboprop/Turboshaft</v>
      </c>
      <c r="D2127" t="str">
        <f>CONCATENATE(Sheet2!B2127,", ",Sheet2!C2127)</f>
        <v>SIKORSKY, S-62</v>
      </c>
    </row>
    <row r="2128" spans="1:4" x14ac:dyDescent="0.2">
      <c r="A2128" t="str">
        <f>Sheet2!A2128</f>
        <v>S64</v>
      </c>
      <c r="B2128" t="str">
        <f ca="1">'Query Example'!D2128</f>
        <v>Helicopter</v>
      </c>
      <c r="C2128" s="11" t="str">
        <f>CONCATENATE(Sheet2!F2128,"/",Sheet2!E2128)</f>
        <v>2/Turboprop/Turboshaft</v>
      </c>
      <c r="D2128" t="str">
        <f>CONCATENATE(Sheet2!B2128,", ",Sheet2!C2128)</f>
        <v>SIKORSKY, S-64 Skycrane</v>
      </c>
    </row>
    <row r="2129" spans="1:4" x14ac:dyDescent="0.2">
      <c r="A2129" t="str">
        <f>Sheet2!A2129</f>
        <v>S65C</v>
      </c>
      <c r="B2129" t="str">
        <f ca="1">'Query Example'!D2129</f>
        <v>Helicopter</v>
      </c>
      <c r="C2129" s="11" t="str">
        <f>CONCATENATE(Sheet2!F2129,"/",Sheet2!E2129)</f>
        <v>2/Turboprop/Turboshaft</v>
      </c>
      <c r="D2129" t="str">
        <f>CONCATENATE(Sheet2!B2129,", ",Sheet2!C2129)</f>
        <v>AEROSPATIALE, SA-365C Dauphin 2</v>
      </c>
    </row>
    <row r="2130" spans="1:4" x14ac:dyDescent="0.2">
      <c r="A2130" t="str">
        <f>Sheet2!A2130</f>
        <v>S76</v>
      </c>
      <c r="B2130" t="str">
        <f ca="1">'Query Example'!D2130</f>
        <v>Helicopter</v>
      </c>
      <c r="C2130" s="11" t="str">
        <f>CONCATENATE(Sheet2!F2130,"/",Sheet2!E2130)</f>
        <v>2/Turboprop/Turboshaft</v>
      </c>
      <c r="D2130" t="str">
        <f>CONCATENATE(Sheet2!B2130,", ",Sheet2!C2130)</f>
        <v>SIKORSKY, S-76</v>
      </c>
    </row>
    <row r="2131" spans="1:4" x14ac:dyDescent="0.2">
      <c r="A2131" t="str">
        <f>Sheet2!A2131</f>
        <v>S900</v>
      </c>
      <c r="B2131" t="str">
        <f ca="1">'Query Example'!D2131</f>
        <v>LandPlane</v>
      </c>
      <c r="C2131" s="11" t="str">
        <f>CONCATENATE(Sheet2!F2131,"/",Sheet2!E2131)</f>
        <v>1/Piston</v>
      </c>
      <c r="D2131" t="str">
        <f>CONCATENATE(Sheet2!B2131,", ",Sheet2!C2131)</f>
        <v>SIPA, S-901</v>
      </c>
    </row>
    <row r="2132" spans="1:4" x14ac:dyDescent="0.2">
      <c r="A2132" t="str">
        <f>Sheet2!A2132</f>
        <v>S92</v>
      </c>
      <c r="B2132" t="str">
        <f ca="1">'Query Example'!D2132</f>
        <v>Helicopter</v>
      </c>
      <c r="C2132" s="11" t="str">
        <f>CONCATENATE(Sheet2!F2132,"/",Sheet2!E2132)</f>
        <v>2/Turboprop/Turboshaft</v>
      </c>
      <c r="D2132" t="str">
        <f>CONCATENATE(Sheet2!B2132,", ",Sheet2!C2132)</f>
        <v>SIKORSKY, S-92 Helibus</v>
      </c>
    </row>
    <row r="2133" spans="1:4" x14ac:dyDescent="0.2">
      <c r="A2133" t="str">
        <f>Sheet2!A2133</f>
        <v>S97</v>
      </c>
      <c r="B2133" t="str">
        <f ca="1">'Query Example'!D2133</f>
        <v>Helicopter</v>
      </c>
      <c r="C2133" s="11" t="str">
        <f>CONCATENATE(Sheet2!F2133,"/",Sheet2!E2133)</f>
        <v>1/Turboprop/Turboshaft</v>
      </c>
      <c r="D2133" t="str">
        <f>CONCATENATE(Sheet2!B2133,", ",Sheet2!C2133)</f>
        <v>SIKORSKY, S-97 Raider</v>
      </c>
    </row>
    <row r="2134" spans="1:4" x14ac:dyDescent="0.2">
      <c r="A2134" t="str">
        <f>Sheet2!A2134</f>
        <v>SA02</v>
      </c>
      <c r="B2134" t="str">
        <f ca="1">'Query Example'!D2134</f>
        <v>LandPlane</v>
      </c>
      <c r="C2134" s="11" t="str">
        <f>CONCATENATE(Sheet2!F2134,"/",Sheet2!E2134)</f>
        <v>1/Piston</v>
      </c>
      <c r="D2134" t="str">
        <f>CONCATENATE(Sheet2!B2134,", ",Sheet2!C2134)</f>
        <v>K &amp; S, SA-102.5 Cavalier</v>
      </c>
    </row>
    <row r="2135" spans="1:4" x14ac:dyDescent="0.2">
      <c r="A2135" t="str">
        <f>Sheet2!A2135</f>
        <v>SA03</v>
      </c>
      <c r="B2135" t="str">
        <f ca="1">'Query Example'!D2135</f>
        <v>LandPlane</v>
      </c>
      <c r="C2135" s="11" t="str">
        <f>CONCATENATE(Sheet2!F2135,"/",Sheet2!E2135)</f>
        <v>1/Piston</v>
      </c>
      <c r="D2135" t="str">
        <f>CONCATENATE(Sheet2!B2135,", ",Sheet2!C2135)</f>
        <v>K &amp; S, SA-103 Cavalier</v>
      </c>
    </row>
    <row r="2136" spans="1:4" x14ac:dyDescent="0.2">
      <c r="A2136" t="str">
        <f>Sheet2!A2136</f>
        <v>SA04</v>
      </c>
      <c r="B2136" t="str">
        <f ca="1">'Query Example'!D2136</f>
        <v>LandPlane</v>
      </c>
      <c r="C2136" s="11" t="str">
        <f>CONCATENATE(Sheet2!F2136,"/",Sheet2!E2136)</f>
        <v>1/Piston</v>
      </c>
      <c r="D2136" t="str">
        <f>CONCATENATE(Sheet2!B2136,", ",Sheet2!C2136)</f>
        <v>K &amp; S, SA-104 Cavalier</v>
      </c>
    </row>
    <row r="2137" spans="1:4" x14ac:dyDescent="0.2">
      <c r="A2137" t="str">
        <f>Sheet2!A2137</f>
        <v>SA05</v>
      </c>
      <c r="B2137" t="str">
        <f ca="1">'Query Example'!D2137</f>
        <v>LandPlane</v>
      </c>
      <c r="C2137" s="11" t="str">
        <f>CONCATENATE(Sheet2!F2137,"/",Sheet2!E2137)</f>
        <v>1/Piston</v>
      </c>
      <c r="D2137" t="str">
        <f>CONCATENATE(Sheet2!B2137,", ",Sheet2!C2137)</f>
        <v>K &amp; S, SA-105 Super Cavalier</v>
      </c>
    </row>
    <row r="2138" spans="1:4" x14ac:dyDescent="0.2">
      <c r="A2138" t="str">
        <f>Sheet2!A2138</f>
        <v>SA10</v>
      </c>
      <c r="B2138" t="str">
        <f ca="1">'Query Example'!D2138</f>
        <v>LandPlane</v>
      </c>
      <c r="C2138" s="11" t="str">
        <f>CONCATENATE(Sheet2!F2138,"/",Sheet2!E2138)</f>
        <v>1/Piston</v>
      </c>
      <c r="D2138" t="str">
        <f>CONCATENATE(Sheet2!B2138,", ",Sheet2!C2138)</f>
        <v>STOLP, SA-100 Starduster</v>
      </c>
    </row>
    <row r="2139" spans="1:4" x14ac:dyDescent="0.2">
      <c r="A2139" t="str">
        <f>Sheet2!A2139</f>
        <v>SA11</v>
      </c>
      <c r="B2139" t="str">
        <f ca="1">'Query Example'!D2139</f>
        <v>LandPlane</v>
      </c>
      <c r="C2139" s="11" t="str">
        <f>CONCATENATE(Sheet2!F2139,"/",Sheet2!E2139)</f>
        <v>1/Piston</v>
      </c>
      <c r="D2139" t="str">
        <f>CONCATENATE(Sheet2!B2139,", ",Sheet2!C2139)</f>
        <v>STITS, SA-11 Playmate</v>
      </c>
    </row>
    <row r="2140" spans="1:4" x14ac:dyDescent="0.2">
      <c r="A2140" t="str">
        <f>Sheet2!A2140</f>
        <v>SA2</v>
      </c>
      <c r="B2140" t="str">
        <f ca="1">'Query Example'!D2140</f>
        <v>LandPlane</v>
      </c>
      <c r="C2140" s="11" t="str">
        <f>CONCATENATE(Sheet2!F2140,"/",Sheet2!E2140)</f>
        <v>1/Piston</v>
      </c>
      <c r="D2140" t="str">
        <f>CONCATENATE(Sheet2!B2140,", ",Sheet2!C2140)</f>
        <v>ICP, SA-2 Rampage</v>
      </c>
    </row>
    <row r="2141" spans="1:4" x14ac:dyDescent="0.2">
      <c r="A2141" t="str">
        <f>Sheet2!A2141</f>
        <v>SA20</v>
      </c>
      <c r="B2141" t="str">
        <f ca="1">'Query Example'!D2141</f>
        <v>Amphibian</v>
      </c>
      <c r="C2141" s="11" t="str">
        <f>CONCATENATE(Sheet2!F2141,"/",Sheet2!E2141)</f>
        <v>1/Piston</v>
      </c>
      <c r="D2141" t="str">
        <f>CONCATENATE(Sheet2!B2141,", ",Sheet2!C2141)</f>
        <v>BERIEV, SA-20</v>
      </c>
    </row>
    <row r="2142" spans="1:4" x14ac:dyDescent="0.2">
      <c r="A2142" t="str">
        <f>Sheet2!A2142</f>
        <v>SA3</v>
      </c>
      <c r="B2142" t="str">
        <f ca="1">'Query Example'!D2142</f>
        <v>LandPlane</v>
      </c>
      <c r="C2142" s="11" t="str">
        <f>CONCATENATE(Sheet2!F2142,"/",Sheet2!E2142)</f>
        <v>1/Piston</v>
      </c>
      <c r="D2142" t="str">
        <f>CONCATENATE(Sheet2!B2142,", ",Sheet2!C2142)</f>
        <v>STITS, SA-3 Playboy</v>
      </c>
    </row>
    <row r="2143" spans="1:4" x14ac:dyDescent="0.2">
      <c r="A2143" t="str">
        <f>Sheet2!A2143</f>
        <v>SA30</v>
      </c>
      <c r="B2143" t="str">
        <f ca="1">'Query Example'!D2143</f>
        <v>LandPlane</v>
      </c>
      <c r="C2143" s="11" t="str">
        <f>CONCATENATE(Sheet2!F2143,"/",Sheet2!E2143)</f>
        <v>1/Piston</v>
      </c>
      <c r="D2143" t="str">
        <f>CONCATENATE(Sheet2!B2143,", ",Sheet2!C2143)</f>
        <v>STOLP, SA-300 Starduster Too</v>
      </c>
    </row>
    <row r="2144" spans="1:4" x14ac:dyDescent="0.2">
      <c r="A2144" t="str">
        <f>Sheet2!A2144</f>
        <v>SA37</v>
      </c>
      <c r="B2144" t="str">
        <f ca="1">'Query Example'!D2144</f>
        <v>LandPlane</v>
      </c>
      <c r="C2144" s="11" t="str">
        <f>CONCATENATE(Sheet2!F2144,"/",Sheet2!E2144)</f>
        <v>1/Piston</v>
      </c>
      <c r="D2144" t="str">
        <f>CONCATENATE(Sheet2!B2144,", ",Sheet2!C2144)</f>
        <v>SCHWEIZER, SA-2-37 Condor</v>
      </c>
    </row>
    <row r="2145" spans="1:4" x14ac:dyDescent="0.2">
      <c r="A2145" t="str">
        <f>Sheet2!A2145</f>
        <v>SA38</v>
      </c>
      <c r="B2145" t="str">
        <f ca="1">'Query Example'!D2145</f>
        <v>LandPlane</v>
      </c>
      <c r="C2145" s="11" t="str">
        <f>CONCATENATE(Sheet2!F2145,"/",Sheet2!E2145)</f>
        <v>2/Piston</v>
      </c>
      <c r="D2145" t="str">
        <f>CONCATENATE(Sheet2!B2145,", ",Sheet2!C2145)</f>
        <v>SCHWEIZER, SA-2-38A Twin Condor</v>
      </c>
    </row>
    <row r="2146" spans="1:4" x14ac:dyDescent="0.2">
      <c r="A2146" t="str">
        <f>Sheet2!A2146</f>
        <v>SA50</v>
      </c>
      <c r="B2146" t="str">
        <f ca="1">'Query Example'!D2146</f>
        <v>LandPlane</v>
      </c>
      <c r="C2146" s="11" t="str">
        <f>CONCATENATE(Sheet2!F2146,"/",Sheet2!E2146)</f>
        <v>1/Piston</v>
      </c>
      <c r="D2146" t="str">
        <f>CONCATENATE(Sheet2!B2146,", ",Sheet2!C2146)</f>
        <v>STOLP, SA-500 Starlet</v>
      </c>
    </row>
    <row r="2147" spans="1:4" x14ac:dyDescent="0.2">
      <c r="A2147" t="str">
        <f>Sheet2!A2147</f>
        <v>SA6</v>
      </c>
      <c r="B2147" t="str">
        <f ca="1">'Query Example'!D2147</f>
        <v>LandPlane</v>
      </c>
      <c r="C2147" s="11" t="str">
        <f>CONCATENATE(Sheet2!F2147,"/",Sheet2!E2147)</f>
        <v>1/Piston</v>
      </c>
      <c r="D2147" t="str">
        <f>CONCATENATE(Sheet2!B2147,", ",Sheet2!C2147)</f>
        <v>STITS, SA-6 Flut-R-Bug</v>
      </c>
    </row>
    <row r="2148" spans="1:4" x14ac:dyDescent="0.2">
      <c r="A2148" t="str">
        <f>Sheet2!A2148</f>
        <v>SA6E</v>
      </c>
      <c r="B2148" t="str">
        <f ca="1">'Query Example'!D2148</f>
        <v>LandPlane</v>
      </c>
      <c r="C2148" s="11" t="str">
        <f>CONCATENATE(Sheet2!F2148,"/",Sheet2!E2148)</f>
        <v>1/Turboprop/Turboshaft</v>
      </c>
      <c r="D2148" t="str">
        <f>CONCATENATE(Sheet2!B2148,", ",Sheet2!C2148)</f>
        <v>SREYA, SA-6 Envoy</v>
      </c>
    </row>
    <row r="2149" spans="1:4" x14ac:dyDescent="0.2">
      <c r="A2149" t="str">
        <f>Sheet2!A2149</f>
        <v>SA7</v>
      </c>
      <c r="B2149" t="str">
        <f ca="1">'Query Example'!D2149</f>
        <v>LandPlane</v>
      </c>
      <c r="C2149" s="11" t="str">
        <f>CONCATENATE(Sheet2!F2149,"/",Sheet2!E2149)</f>
        <v>1/Piston</v>
      </c>
      <c r="D2149" t="str">
        <f>CONCATENATE(Sheet2!B2149,", ",Sheet2!C2149)</f>
        <v>STITS, SA-7 Sky-Coupe</v>
      </c>
    </row>
    <row r="2150" spans="1:4" x14ac:dyDescent="0.2">
      <c r="A2150" t="str">
        <f>Sheet2!A2150</f>
        <v>SA70</v>
      </c>
      <c r="B2150" t="str">
        <f ca="1">'Query Example'!D2150</f>
        <v>LandPlane</v>
      </c>
      <c r="C2150" s="11" t="str">
        <f>CONCATENATE(Sheet2!F2150,"/",Sheet2!E2150)</f>
        <v>1/Piston</v>
      </c>
      <c r="D2150" t="str">
        <f>CONCATENATE(Sheet2!B2150,", ",Sheet2!C2150)</f>
        <v>STOLP, SA-700 Acroduster</v>
      </c>
    </row>
    <row r="2151" spans="1:4" x14ac:dyDescent="0.2">
      <c r="A2151" t="str">
        <f>Sheet2!A2151</f>
        <v>SA75</v>
      </c>
      <c r="B2151" t="str">
        <f ca="1">'Query Example'!D2151</f>
        <v>LandPlane</v>
      </c>
      <c r="C2151" s="11" t="str">
        <f>CONCATENATE(Sheet2!F2151,"/",Sheet2!E2151)</f>
        <v>1/Piston</v>
      </c>
      <c r="D2151" t="str">
        <f>CONCATENATE(Sheet2!B2151,", ",Sheet2!C2151)</f>
        <v>STOLP, SA-750 Acroduster Too</v>
      </c>
    </row>
    <row r="2152" spans="1:4" x14ac:dyDescent="0.2">
      <c r="A2152" t="str">
        <f>Sheet2!A2152</f>
        <v>SA8T</v>
      </c>
      <c r="B2152" t="str">
        <f ca="1">'Query Example'!D2152</f>
        <v>LandPlane</v>
      </c>
      <c r="C2152" s="11" t="str">
        <f>CONCATENATE(Sheet2!F2152,"/",Sheet2!E2152)</f>
        <v>2/Turboprop/Turboshaft</v>
      </c>
      <c r="D2152" t="str">
        <f>CONCATENATE(Sheet2!B2152,", ",Sheet2!C2152)</f>
        <v>SCHWEIZER, SA-2-38B Twin Condor</v>
      </c>
    </row>
    <row r="2153" spans="1:4" x14ac:dyDescent="0.2">
      <c r="A2153" t="str">
        <f>Sheet2!A2153</f>
        <v>SAB2</v>
      </c>
      <c r="B2153" t="str">
        <f ca="1">'Query Example'!D2153</f>
        <v>LandPlane</v>
      </c>
      <c r="C2153" s="11" t="str">
        <f>CONCATENATE(Sheet2!F2153,"/",Sheet2!E2153)</f>
        <v>1/Piston</v>
      </c>
      <c r="D2153" t="str">
        <f>CONCATENATE(Sheet2!B2153,", ",Sheet2!C2153)</f>
        <v>ARNET PEREYRA, Sabre 2</v>
      </c>
    </row>
    <row r="2154" spans="1:4" x14ac:dyDescent="0.2">
      <c r="A2154" t="str">
        <f>Sheet2!A2154</f>
        <v>SABA</v>
      </c>
      <c r="B2154" t="str">
        <f ca="1">'Query Example'!D2154</f>
        <v>LandPlane</v>
      </c>
      <c r="C2154" s="11" t="str">
        <f>CONCATENATE(Sheet2!F2154,"/",Sheet2!E2154)</f>
        <v>1/Piston</v>
      </c>
      <c r="D2154" t="str">
        <f>CONCATENATE(Sheet2!B2154,", ",Sheet2!C2154)</f>
        <v>PARAVAR PARS, Saba</v>
      </c>
    </row>
    <row r="2155" spans="1:4" x14ac:dyDescent="0.2">
      <c r="A2155" t="str">
        <f>Sheet2!A2155</f>
        <v>SACE</v>
      </c>
      <c r="B2155" t="str">
        <f ca="1">'Query Example'!D2155</f>
        <v>LandPlane</v>
      </c>
      <c r="C2155" s="11" t="str">
        <f>CONCATENATE(Sheet2!F2155,"/",Sheet2!E2155)</f>
        <v>1/Piston</v>
      </c>
      <c r="D2155" t="str">
        <f>CONCATENATE(Sheet2!B2155,", ",Sheet2!C2155)</f>
        <v>POBER, Super Ace</v>
      </c>
    </row>
    <row r="2156" spans="1:4" x14ac:dyDescent="0.2">
      <c r="A2156" t="str">
        <f>Sheet2!A2156</f>
        <v>SACR</v>
      </c>
      <c r="B2156" t="str">
        <f ca="1">'Query Example'!D2156</f>
        <v>LandPlane</v>
      </c>
      <c r="C2156" s="11" t="str">
        <f>CONCATENATE(Sheet2!F2156,"/",Sheet2!E2156)</f>
        <v>1/Piston</v>
      </c>
      <c r="D2156" t="str">
        <f>CONCATENATE(Sheet2!B2156,", ",Sheet2!C2156)</f>
        <v>SMITH (3), Acro Advanced</v>
      </c>
    </row>
    <row r="2157" spans="1:4" x14ac:dyDescent="0.2">
      <c r="A2157" t="str">
        <f>Sheet2!A2157</f>
        <v>SAFF</v>
      </c>
      <c r="B2157" t="str">
        <f ca="1">'Query Example'!D2157</f>
        <v>LandPlane</v>
      </c>
      <c r="C2157" s="11" t="str">
        <f>CONCATENATE(Sheet2!F2157,"/",Sheet2!E2157)</f>
        <v>1/Piston</v>
      </c>
      <c r="D2157" t="str">
        <f>CONCATENATE(Sheet2!B2157,", ",Sheet2!C2157)</f>
        <v>HALSTED, Saffire</v>
      </c>
    </row>
    <row r="2158" spans="1:4" x14ac:dyDescent="0.2">
      <c r="A2158" t="str">
        <f>Sheet2!A2158</f>
        <v>SAH1</v>
      </c>
      <c r="B2158" t="str">
        <f ca="1">'Query Example'!D2158</f>
        <v>LandPlane</v>
      </c>
      <c r="C2158" s="11" t="str">
        <f>CONCATENATE(Sheet2!F2158,"/",Sheet2!E2158)</f>
        <v>1/Piston</v>
      </c>
      <c r="D2158" t="str">
        <f>CONCATENATE(Sheet2!B2158,", ",Sheet2!C2158)</f>
        <v>TRAGO MILLS, SAH-1</v>
      </c>
    </row>
    <row r="2159" spans="1:4" x14ac:dyDescent="0.2">
      <c r="A2159" t="str">
        <f>Sheet2!A2159</f>
        <v>SAKO</v>
      </c>
      <c r="B2159" t="str">
        <f ca="1">'Query Example'!D2159</f>
        <v>LandPlane</v>
      </c>
      <c r="C2159" s="11" t="str">
        <f>CONCATENATE(Sheet2!F2159,"/",Sheet2!E2159)</f>
        <v>1/Piston</v>
      </c>
      <c r="D2159" t="str">
        <f>CONCATENATE(Sheet2!B2159,", ",Sheet2!C2159)</f>
        <v>RANS, S-10 Sakota</v>
      </c>
    </row>
    <row r="2160" spans="1:4" x14ac:dyDescent="0.2">
      <c r="A2160" t="str">
        <f>Sheet2!A2160</f>
        <v>SALB</v>
      </c>
      <c r="B2160" t="str">
        <f ca="1">'Query Example'!D2160</f>
        <v>LandPlane</v>
      </c>
      <c r="C2160" s="11" t="str">
        <f>CONCATENATE(Sheet2!F2160,"/",Sheet2!E2160)</f>
        <v>1/Piston</v>
      </c>
      <c r="D2160" t="str">
        <f>CONCATENATE(Sheet2!B2160,", ",Sheet2!C2160)</f>
        <v>SKYGEAR, Albatross</v>
      </c>
    </row>
    <row r="2161" spans="1:4" x14ac:dyDescent="0.2">
      <c r="A2161" t="str">
        <f>Sheet2!A2161</f>
        <v>SAM</v>
      </c>
      <c r="B2161" t="str">
        <f ca="1">'Query Example'!D2161</f>
        <v>LandPlane</v>
      </c>
      <c r="C2161" s="11" t="str">
        <f>CONCATENATE(Sheet2!F2161,"/",Sheet2!E2161)</f>
        <v>1/Piston</v>
      </c>
      <c r="D2161" t="str">
        <f>CONCATENATE(Sheet2!B2161,", ",Sheet2!C2161)</f>
        <v>SAM AIRCRAFT, Sam</v>
      </c>
    </row>
    <row r="2162" spans="1:4" x14ac:dyDescent="0.2">
      <c r="A2162" t="str">
        <f>Sheet2!A2162</f>
        <v>SAND</v>
      </c>
      <c r="B2162" t="str">
        <f ca="1">'Query Example'!D2162</f>
        <v>SeaPlane</v>
      </c>
      <c r="C2162" s="11" t="str">
        <f>CONCATENATE(Sheet2!F2162,"/",Sheet2!E2162)</f>
        <v>4/Piston</v>
      </c>
      <c r="D2162" t="str">
        <f>CONCATENATE(Sheet2!B2162,", ",Sheet2!C2162)</f>
        <v>SHORT, S-25 Sandringham</v>
      </c>
    </row>
    <row r="2163" spans="1:4" x14ac:dyDescent="0.2">
      <c r="A2163" t="str">
        <f>Sheet2!A2163</f>
        <v>SAPH</v>
      </c>
      <c r="B2163" t="str">
        <f ca="1">'Query Example'!D2163</f>
        <v>LandPlane</v>
      </c>
      <c r="C2163" s="11" t="str">
        <f>CONCATENATE(Sheet2!F2163,"/",Sheet2!E2163)</f>
        <v>1/Piston</v>
      </c>
      <c r="D2163" t="str">
        <f>CONCATENATE(Sheet2!B2163,", ",Sheet2!C2163)</f>
        <v>PIEL, CP-1320 Saphir</v>
      </c>
    </row>
    <row r="2164" spans="1:4" x14ac:dyDescent="0.2">
      <c r="A2164" t="str">
        <f>Sheet2!A2164</f>
        <v>SASH</v>
      </c>
      <c r="B2164" t="str">
        <f ca="1">'Query Example'!D2164</f>
        <v>LandPlane</v>
      </c>
      <c r="C2164" s="11" t="str">
        <f>CONCATENATE(Sheet2!F2164,"/",Sheet2!E2164)</f>
        <v>2/Piston</v>
      </c>
      <c r="D2164" t="str">
        <f>CONCATENATE(Sheet2!B2164,", ",Sheet2!C2164)</f>
        <v>SHARK AIRCRAFT, Shark</v>
      </c>
    </row>
    <row r="2165" spans="1:4" x14ac:dyDescent="0.2">
      <c r="A2165" t="str">
        <f>Sheet2!A2165</f>
        <v>SASP</v>
      </c>
      <c r="B2165" t="str">
        <f ca="1">'Query Example'!D2165</f>
        <v>LandPlane</v>
      </c>
      <c r="C2165" s="11" t="str">
        <f>CONCATENATE(Sheet2!F2165,"/",Sheet2!E2165)</f>
        <v>1/Piston</v>
      </c>
      <c r="D2165" t="str">
        <f>CONCATENATE(Sheet2!B2165,", ",Sheet2!C2165)</f>
        <v>SUPERMARINE AIRCRAFT, Spitfire Mk25</v>
      </c>
    </row>
    <row r="2166" spans="1:4" x14ac:dyDescent="0.2">
      <c r="A2166" t="str">
        <f>Sheet2!A2166</f>
        <v>SASY</v>
      </c>
      <c r="B2166" t="str">
        <f ca="1">'Query Example'!D2166</f>
        <v>LandPlane</v>
      </c>
      <c r="C2166" s="11" t="str">
        <f>CONCATENATE(Sheet2!F2166,"/",Sheet2!E2166)</f>
        <v>1/Piston</v>
      </c>
      <c r="D2166" t="str">
        <f>CONCATENATE(Sheet2!B2166,", ",Sheet2!C2166)</f>
        <v>PROTECH, PT-2 Sassy</v>
      </c>
    </row>
    <row r="2167" spans="1:4" x14ac:dyDescent="0.2">
      <c r="A2167" t="str">
        <f>Sheet2!A2167</f>
        <v>SATA</v>
      </c>
      <c r="B2167" t="str">
        <f ca="1">'Query Example'!D2167</f>
        <v>LandPlane</v>
      </c>
      <c r="C2167" s="11" t="str">
        <f>CONCATENATE(Sheet2!F2167,"/",Sheet2!E2167)</f>
        <v>2/Jet</v>
      </c>
      <c r="D2167" t="str">
        <f>CONCATENATE(Sheet2!B2167,", ",Sheet2!C2167)</f>
        <v>HISPANO, HA-200 Saeta</v>
      </c>
    </row>
    <row r="2168" spans="1:4" x14ac:dyDescent="0.2">
      <c r="A2168" t="str">
        <f>Sheet2!A2168</f>
        <v>SAVA</v>
      </c>
      <c r="B2168" t="str">
        <f ca="1">'Query Example'!D2168</f>
        <v>LandPlane</v>
      </c>
      <c r="C2168" s="11" t="str">
        <f>CONCATENATE(Sheet2!F2168,"/",Sheet2!E2168)</f>
        <v>1/Piston</v>
      </c>
      <c r="D2168" t="str">
        <f>CONCATENATE(Sheet2!B2168,", ",Sheet2!C2168)</f>
        <v>SADLER, Vampire</v>
      </c>
    </row>
    <row r="2169" spans="1:4" x14ac:dyDescent="0.2">
      <c r="A2169" t="str">
        <f>Sheet2!A2169</f>
        <v>SAVG</v>
      </c>
      <c r="B2169" t="str">
        <f ca="1">'Query Example'!D2169</f>
        <v>LandPlane</v>
      </c>
      <c r="C2169" s="11" t="str">
        <f>CONCATENATE(Sheet2!F2169,"/",Sheet2!E2169)</f>
        <v>1/Piston</v>
      </c>
      <c r="D2169" t="str">
        <f>CONCATENATE(Sheet2!B2169,", ",Sheet2!C2169)</f>
        <v>ALMS, Callao</v>
      </c>
    </row>
    <row r="2170" spans="1:4" x14ac:dyDescent="0.2">
      <c r="A2170" t="str">
        <f>Sheet2!A2170</f>
        <v>SAVG</v>
      </c>
      <c r="B2170" t="str">
        <f ca="1">'Query Example'!D2170</f>
        <v>LandPlane</v>
      </c>
      <c r="C2170" s="11" t="str">
        <f>CONCATENATE(Sheet2!F2170,"/",Sheet2!E2170)</f>
        <v>1/Piston</v>
      </c>
      <c r="D2170" t="str">
        <f>CONCATENATE(Sheet2!B2170,", ",Sheet2!C2170)</f>
        <v>RUSSO, Savage</v>
      </c>
    </row>
    <row r="2171" spans="1:4" x14ac:dyDescent="0.2">
      <c r="A2171" t="str">
        <f>Sheet2!A2171</f>
        <v>SAVG</v>
      </c>
      <c r="B2171" t="str">
        <f ca="1">'Query Example'!D2171</f>
        <v>LandPlane</v>
      </c>
      <c r="C2171" s="11" t="str">
        <f>CONCATENATE(Sheet2!F2171,"/",Sheet2!E2171)</f>
        <v>1/Piston</v>
      </c>
      <c r="D2171" t="str">
        <f>CONCATENATE(Sheet2!B2171,", ",Sheet2!C2171)</f>
        <v>ZLIN AVIATION, Savage</v>
      </c>
    </row>
    <row r="2172" spans="1:4" x14ac:dyDescent="0.2">
      <c r="A2172" t="str">
        <f>Sheet2!A2172</f>
        <v>SB05</v>
      </c>
      <c r="B2172" t="str">
        <f ca="1">'Query Example'!D2172</f>
        <v>LandPlane</v>
      </c>
      <c r="C2172" s="11" t="str">
        <f>CONCATENATE(Sheet2!F2172,"/",Sheet2!E2172)</f>
        <v>2/Jet</v>
      </c>
      <c r="D2172" t="str">
        <f>CONCATENATE(Sheet2!B2172,", ",Sheet2!C2172)</f>
        <v>SAAB, 105</v>
      </c>
    </row>
    <row r="2173" spans="1:4" x14ac:dyDescent="0.2">
      <c r="A2173" t="str">
        <f>Sheet2!A2173</f>
        <v>SB20</v>
      </c>
      <c r="B2173" t="str">
        <f ca="1">'Query Example'!D2173</f>
        <v>LandPlane</v>
      </c>
      <c r="C2173" s="11" t="str">
        <f>CONCATENATE(Sheet2!F2173,"/",Sheet2!E2173)</f>
        <v>2/Turboprop/Turboshaft</v>
      </c>
      <c r="D2173" t="str">
        <f>CONCATENATE(Sheet2!B2173,", ",Sheet2!C2173)</f>
        <v>SAAB, 2000</v>
      </c>
    </row>
    <row r="2174" spans="1:4" x14ac:dyDescent="0.2">
      <c r="A2174" t="str">
        <f>Sheet2!A2174</f>
        <v>SB29</v>
      </c>
      <c r="B2174" t="str">
        <f ca="1">'Query Example'!D2174</f>
        <v>LandPlane</v>
      </c>
      <c r="C2174" s="11" t="str">
        <f>CONCATENATE(Sheet2!F2174,"/",Sheet2!E2174)</f>
        <v>1/Jet</v>
      </c>
      <c r="D2174" t="str">
        <f>CONCATENATE(Sheet2!B2174,", ",Sheet2!C2174)</f>
        <v>SAAB, 29</v>
      </c>
    </row>
    <row r="2175" spans="1:4" x14ac:dyDescent="0.2">
      <c r="A2175" t="str">
        <f>Sheet2!A2175</f>
        <v>SB32</v>
      </c>
      <c r="B2175" t="str">
        <f ca="1">'Query Example'!D2175</f>
        <v>LandPlane</v>
      </c>
      <c r="C2175" s="11" t="str">
        <f>CONCATENATE(Sheet2!F2175,"/",Sheet2!E2175)</f>
        <v>1/Jet</v>
      </c>
      <c r="D2175" t="str">
        <f>CONCATENATE(Sheet2!B2175,", ",Sheet2!C2175)</f>
        <v>SAAB, 32 Lansen</v>
      </c>
    </row>
    <row r="2176" spans="1:4" x14ac:dyDescent="0.2">
      <c r="A2176" t="str">
        <f>Sheet2!A2176</f>
        <v>SB35</v>
      </c>
      <c r="B2176" t="str">
        <f ca="1">'Query Example'!D2176</f>
        <v>LandPlane</v>
      </c>
      <c r="C2176" s="11" t="str">
        <f>CONCATENATE(Sheet2!F2176,"/",Sheet2!E2176)</f>
        <v>1/Jet</v>
      </c>
      <c r="D2176" t="str">
        <f>CONCATENATE(Sheet2!B2176,", ",Sheet2!C2176)</f>
        <v>SAAB, 35 Draken</v>
      </c>
    </row>
    <row r="2177" spans="1:4" x14ac:dyDescent="0.2">
      <c r="A2177" t="str">
        <f>Sheet2!A2177</f>
        <v>SB37</v>
      </c>
      <c r="B2177" t="str">
        <f ca="1">'Query Example'!D2177</f>
        <v>LandPlane</v>
      </c>
      <c r="C2177" s="11" t="str">
        <f>CONCATENATE(Sheet2!F2177,"/",Sheet2!E2177)</f>
        <v>1/Jet</v>
      </c>
      <c r="D2177" t="str">
        <f>CONCATENATE(Sheet2!B2177,", ",Sheet2!C2177)</f>
        <v>SAAB, 37 Viggen</v>
      </c>
    </row>
    <row r="2178" spans="1:4" x14ac:dyDescent="0.2">
      <c r="A2178" t="str">
        <f>Sheet2!A2178</f>
        <v>SB39</v>
      </c>
      <c r="B2178" t="str">
        <f ca="1">'Query Example'!D2178</f>
        <v>LandPlane</v>
      </c>
      <c r="C2178" s="11" t="str">
        <f>CONCATENATE(Sheet2!F2178,"/",Sheet2!E2178)</f>
        <v>1/Jet</v>
      </c>
      <c r="D2178" t="str">
        <f>CONCATENATE(Sheet2!B2178,", ",Sheet2!C2178)</f>
        <v>SAAB, 39 Gripen</v>
      </c>
    </row>
    <row r="2179" spans="1:4" x14ac:dyDescent="0.2">
      <c r="A2179" t="str">
        <f>Sheet2!A2179</f>
        <v>SB7</v>
      </c>
      <c r="B2179" t="str">
        <f ca="1">'Query Example'!D2179</f>
        <v>LandPlane</v>
      </c>
      <c r="C2179" s="11" t="str">
        <f>CONCATENATE(Sheet2!F2179,"/",Sheet2!E2179)</f>
        <v>1/Piston</v>
      </c>
      <c r="D2179" t="str">
        <f>CONCATENATE(Sheet2!B2179,", ",Sheet2!C2179)</f>
        <v>SEABIRD, SB-7 Seeker</v>
      </c>
    </row>
    <row r="2180" spans="1:4" x14ac:dyDescent="0.2">
      <c r="A2180" t="str">
        <f>Sheet2!A2180</f>
        <v>SB91</v>
      </c>
      <c r="B2180" t="str">
        <f ca="1">'Query Example'!D2180</f>
        <v>LandPlane</v>
      </c>
      <c r="C2180" s="11" t="str">
        <f>CONCATENATE(Sheet2!F2180,"/",Sheet2!E2180)</f>
        <v>1/Piston</v>
      </c>
      <c r="D2180" t="str">
        <f>CONCATENATE(Sheet2!B2180,", ",Sheet2!C2180)</f>
        <v>SAAB, 91 Safir</v>
      </c>
    </row>
    <row r="2181" spans="1:4" x14ac:dyDescent="0.2">
      <c r="A2181" t="str">
        <f>Sheet2!A2181</f>
        <v>SBD</v>
      </c>
      <c r="B2181" t="str">
        <f ca="1">'Query Example'!D2181</f>
        <v>LandPlane</v>
      </c>
      <c r="C2181" s="11" t="str">
        <f>CONCATENATE(Sheet2!F2181,"/",Sheet2!E2181)</f>
        <v>1/Piston</v>
      </c>
      <c r="D2181" t="str">
        <f>CONCATENATE(Sheet2!B2181,", ",Sheet2!C2181)</f>
        <v>DOUGLAS, SBD Dauntless</v>
      </c>
    </row>
    <row r="2182" spans="1:4" x14ac:dyDescent="0.2">
      <c r="A2182" t="str">
        <f>Sheet2!A2182</f>
        <v>SBLS</v>
      </c>
      <c r="B2182" t="str">
        <f ca="1">'Query Example'!D2182</f>
        <v>LandPlane</v>
      </c>
      <c r="C2182" s="11" t="str">
        <f>CONCATENATE(Sheet2!F2182,"/",Sheet2!E2182)</f>
        <v>2/Piston</v>
      </c>
      <c r="D2182" t="str">
        <f>CONCATENATE(Sheet2!B2182,", ",Sheet2!C2182)</f>
        <v>SLIPSTREAM, SkyBlaster</v>
      </c>
    </row>
    <row r="2183" spans="1:4" x14ac:dyDescent="0.2">
      <c r="A2183" t="str">
        <f>Sheet2!A2183</f>
        <v>SBM3</v>
      </c>
      <c r="B2183" t="str">
        <f ca="1">'Query Example'!D2183</f>
        <v>LandPlane</v>
      </c>
      <c r="C2183" s="11" t="str">
        <f>CONCATENATE(Sheet2!F2183,"/",Sheet2!E2183)</f>
        <v>1/Piston</v>
      </c>
      <c r="D2183" t="str">
        <f>CONCATENATE(Sheet2!B2183,", ",Sheet2!C2183)</f>
        <v>E &amp; K, SBM-03 Kos</v>
      </c>
    </row>
    <row r="2184" spans="1:4" x14ac:dyDescent="0.2">
      <c r="A2184" t="str">
        <f>Sheet2!A2184</f>
        <v>SBOY</v>
      </c>
      <c r="B2184" t="str">
        <f ca="1">'Query Example'!D2184</f>
        <v>LandPlane</v>
      </c>
      <c r="C2184" s="11" t="str">
        <f>CONCATENATE(Sheet2!F2184,"/",Sheet2!E2184)</f>
        <v>1/Piston</v>
      </c>
      <c r="D2184" t="str">
        <f>CONCATENATE(Sheet2!B2184,", ",Sheet2!C2184)</f>
        <v>INTERPLANE, Skyboy</v>
      </c>
    </row>
    <row r="2185" spans="1:4" x14ac:dyDescent="0.2">
      <c r="A2185" t="str">
        <f>Sheet2!A2185</f>
        <v>SBR1</v>
      </c>
      <c r="B2185" t="str">
        <f ca="1">'Query Example'!D2185</f>
        <v>LandPlane</v>
      </c>
      <c r="C2185" s="11" t="str">
        <f>CONCATENATE(Sheet2!F2185,"/",Sheet2!E2185)</f>
        <v>2/Jet</v>
      </c>
      <c r="D2185" t="str">
        <f>CONCATENATE(Sheet2!B2185,", ",Sheet2!C2185)</f>
        <v>NORTH AMERICAN, Sabreliner</v>
      </c>
    </row>
    <row r="2186" spans="1:4" x14ac:dyDescent="0.2">
      <c r="A2186" t="str">
        <f>Sheet2!A2186</f>
        <v>SBR2</v>
      </c>
      <c r="B2186" t="str">
        <f ca="1">'Query Example'!D2186</f>
        <v>LandPlane</v>
      </c>
      <c r="C2186" s="11" t="str">
        <f>CONCATENATE(Sheet2!F2186,"/",Sheet2!E2186)</f>
        <v>2/Jet</v>
      </c>
      <c r="D2186" t="str">
        <f>CONCATENATE(Sheet2!B2186,", ",Sheet2!C2186)</f>
        <v>ROCKWELL, Sabre 80</v>
      </c>
    </row>
    <row r="2187" spans="1:4" x14ac:dyDescent="0.2">
      <c r="A2187" t="str">
        <f>Sheet2!A2187</f>
        <v>SC01</v>
      </c>
      <c r="B2187" t="str">
        <f ca="1">'Query Example'!D2187</f>
        <v>LandPlane</v>
      </c>
      <c r="C2187" s="11" t="str">
        <f>CONCATENATE(Sheet2!F2187,"/",Sheet2!E2187)</f>
        <v>1/Piston</v>
      </c>
      <c r="D2187" t="str">
        <f>CONCATENATE(Sheet2!B2187,", ",Sheet2!C2187)</f>
        <v>GYROFLUG, SC-01 Speed Canard</v>
      </c>
    </row>
    <row r="2188" spans="1:4" x14ac:dyDescent="0.2">
      <c r="A2188" t="str">
        <f>Sheet2!A2188</f>
        <v>SC7</v>
      </c>
      <c r="B2188" t="str">
        <f ca="1">'Query Example'!D2188</f>
        <v>LandPlane</v>
      </c>
      <c r="C2188" s="11" t="str">
        <f>CONCATENATE(Sheet2!F2188,"/",Sheet2!E2188)</f>
        <v>2/Turboprop/Turboshaft</v>
      </c>
      <c r="D2188" t="str">
        <f>CONCATENATE(Sheet2!B2188,", ",Sheet2!C2188)</f>
        <v>SHORT, SC-7 Skyvan</v>
      </c>
    </row>
    <row r="2189" spans="1:4" x14ac:dyDescent="0.2">
      <c r="A2189" t="str">
        <f>Sheet2!A2189</f>
        <v>SCAM</v>
      </c>
      <c r="B2189" t="str">
        <f ca="1">'Query Example'!D2189</f>
        <v>LandPlane</v>
      </c>
      <c r="C2189" s="11" t="str">
        <f>CONCATENATE(Sheet2!F2189,"/",Sheet2!E2189)</f>
        <v>1/Piston</v>
      </c>
      <c r="D2189" t="str">
        <f>CONCATENATE(Sheet2!B2189,", ",Sheet2!C2189)</f>
        <v>AEROSPORT, Scamp</v>
      </c>
    </row>
    <row r="2190" spans="1:4" x14ac:dyDescent="0.2">
      <c r="A2190" t="str">
        <f>Sheet2!A2190</f>
        <v>SCEP</v>
      </c>
      <c r="B2190" t="str">
        <f ca="1">'Query Example'!D2190</f>
        <v>LandPlane</v>
      </c>
      <c r="C2190" s="11" t="str">
        <f>CONCATENATE(Sheet2!F2190,"/",Sheet2!E2190)</f>
        <v>1/Piston</v>
      </c>
      <c r="D2190" t="str">
        <f>CONCATENATE(Sheet2!B2190,", ",Sheet2!C2190)</f>
        <v>SLIPSTREAM, Scepter</v>
      </c>
    </row>
    <row r="2191" spans="1:4" x14ac:dyDescent="0.2">
      <c r="A2191" t="str">
        <f>Sheet2!A2191</f>
        <v>SCII</v>
      </c>
      <c r="B2191" t="str">
        <f ca="1">'Query Example'!D2191</f>
        <v>Gyrocopter</v>
      </c>
      <c r="C2191" s="11" t="str">
        <f>CONCATENATE(Sheet2!F2191,"/",Sheet2!E2191)</f>
        <v>1/Piston</v>
      </c>
      <c r="D2191" t="str">
        <f>CONCATENATE(Sheet2!B2191,", ",Sheet2!C2191)</f>
        <v>SPORT COPTER, SportCopter 2</v>
      </c>
    </row>
    <row r="2192" spans="1:4" x14ac:dyDescent="0.2">
      <c r="A2192" t="str">
        <f>Sheet2!A2192</f>
        <v>SCOM</v>
      </c>
      <c r="B2192" t="str">
        <f ca="1">'Query Example'!D2192</f>
        <v>LandPlane</v>
      </c>
      <c r="C2192" s="11" t="str">
        <f>CONCATENATE(Sheet2!F2192,"/",Sheet2!E2192)</f>
        <v>1/Piston</v>
      </c>
      <c r="D2192" t="str">
        <f>CONCATENATE(Sheet2!B2192,", ",Sheet2!C2192)</f>
        <v>AIRDALE, Comet</v>
      </c>
    </row>
    <row r="2193" spans="1:4" x14ac:dyDescent="0.2">
      <c r="A2193" t="str">
        <f>Sheet2!A2193</f>
        <v>SCOR</v>
      </c>
      <c r="B2193" t="str">
        <f ca="1">'Query Example'!D2193</f>
        <v>Helicopter</v>
      </c>
      <c r="C2193" s="11" t="str">
        <f>CONCATENATE(Sheet2!F2193,"/",Sheet2!E2193)</f>
        <v>1/Piston</v>
      </c>
      <c r="D2193" t="str">
        <f>CONCATENATE(Sheet2!B2193,", ",Sheet2!C2193)</f>
        <v>ROTORWAY, Scorpion</v>
      </c>
    </row>
    <row r="2194" spans="1:4" x14ac:dyDescent="0.2">
      <c r="A2194" t="str">
        <f>Sheet2!A2194</f>
        <v>SCOU</v>
      </c>
      <c r="B2194" t="str">
        <f ca="1">'Query Example'!D2194</f>
        <v>Helicopter</v>
      </c>
      <c r="C2194" s="11" t="str">
        <f>CONCATENATE(Sheet2!F2194,"/",Sheet2!E2194)</f>
        <v>1/Turboprop/Turboshaft</v>
      </c>
      <c r="D2194" t="str">
        <f>CONCATENATE(Sheet2!B2194,", ",Sheet2!C2194)</f>
        <v>WESTLAND, Scout</v>
      </c>
    </row>
    <row r="2195" spans="1:4" x14ac:dyDescent="0.2">
      <c r="A2195" t="str">
        <f>Sheet2!A2195</f>
        <v>SCRO</v>
      </c>
      <c r="B2195" t="str">
        <f ca="1">'Query Example'!D2195</f>
        <v>LandPlane</v>
      </c>
      <c r="C2195" s="11" t="str">
        <f>CONCATENATE(Sheet2!F2195,"/",Sheet2!E2195)</f>
        <v>1/Piston</v>
      </c>
      <c r="D2195" t="str">
        <f>CONCATENATE(Sheet2!B2195,", ",Sheet2!C2195)</f>
        <v>AKAFLIEG MUNCHEN, Mü-30 Schlacro</v>
      </c>
    </row>
    <row r="2196" spans="1:4" x14ac:dyDescent="0.2">
      <c r="A2196" t="str">
        <f>Sheet2!A2196</f>
        <v>SCTR</v>
      </c>
      <c r="B2196" t="str">
        <f ca="1">'Query Example'!D2196</f>
        <v>LandPlane</v>
      </c>
      <c r="C2196" s="11" t="str">
        <f>CONCATENATE(Sheet2!F2196,"/",Sheet2!E2196)</f>
        <v>1/Piston</v>
      </c>
      <c r="D2196" t="str">
        <f>CONCATENATE(Sheet2!B2196,", ",Sheet2!C2196)</f>
        <v>FLAGLOR, Scooter</v>
      </c>
    </row>
    <row r="2197" spans="1:4" x14ac:dyDescent="0.2">
      <c r="A2197" t="str">
        <f>Sheet2!A2197</f>
        <v>SCUB</v>
      </c>
      <c r="B2197" t="str">
        <f ca="1">'Query Example'!D2197</f>
        <v>LandPlane</v>
      </c>
      <c r="C2197" s="11" t="str">
        <f>CONCATENATE(Sheet2!F2197,"/",Sheet2!E2197)</f>
        <v>1/Piston</v>
      </c>
      <c r="D2197" t="str">
        <f>CONCATENATE(Sheet2!B2197,", ",Sheet2!C2197)</f>
        <v>AERO KUHLMANN, Scub</v>
      </c>
    </row>
    <row r="2198" spans="1:4" x14ac:dyDescent="0.2">
      <c r="A2198" t="str">
        <f>Sheet2!A2198</f>
        <v>SCW1</v>
      </c>
      <c r="B2198" t="str">
        <f ca="1">'Query Example'!D2198</f>
        <v>LandPlane</v>
      </c>
      <c r="C2198" s="11" t="str">
        <f>CONCATENATE(Sheet2!F2198,"/",Sheet2!E2198)</f>
        <v>1/Piston</v>
      </c>
      <c r="D2198" t="str">
        <f>CONCATENATE(Sheet2!B2198,", ",Sheet2!C2198)</f>
        <v>SCWAL, 101</v>
      </c>
    </row>
    <row r="2199" spans="1:4" x14ac:dyDescent="0.2">
      <c r="A2199" t="str">
        <f>Sheet2!A2199</f>
        <v>SD26</v>
      </c>
      <c r="B2199" t="str">
        <f ca="1">'Query Example'!D2199</f>
        <v>LandPlane</v>
      </c>
      <c r="C2199" s="11" t="str">
        <f>CONCATENATE(Sheet2!F2199,"/",Sheet2!E2199)</f>
        <v>1/Piston</v>
      </c>
      <c r="D2199" t="str">
        <f>CONCATENATE(Sheet2!B2199,", ",Sheet2!C2199)</f>
        <v>SKYDANCER, SD-260</v>
      </c>
    </row>
    <row r="2200" spans="1:4" x14ac:dyDescent="0.2">
      <c r="A2200" t="str">
        <f>Sheet2!A2200</f>
        <v>SD4</v>
      </c>
      <c r="B2200" t="str">
        <f ca="1">'Query Example'!D2200</f>
        <v>LandPlane</v>
      </c>
      <c r="C2200" s="11" t="str">
        <f>CONCATENATE(Sheet2!F2200,"/",Sheet2!E2200)</f>
        <v>1/Piston</v>
      </c>
      <c r="D2200" t="str">
        <f>CONCATENATE(Sheet2!B2200,", ",Sheet2!C2200)</f>
        <v>TOMARK, SD-4 Viper</v>
      </c>
    </row>
    <row r="2201" spans="1:4" x14ac:dyDescent="0.2">
      <c r="A2201" t="str">
        <f>Sheet2!A2201</f>
        <v>SDUS</v>
      </c>
      <c r="B2201" t="str">
        <f ca="1">'Query Example'!D2201</f>
        <v>LandPlane</v>
      </c>
      <c r="C2201" s="11" t="str">
        <f>CONCATENATE(Sheet2!F2201,"/",Sheet2!E2201)</f>
        <v>1/Piston</v>
      </c>
      <c r="D2201" t="str">
        <f>CONCATENATE(Sheet2!B2201,", ",Sheet2!C2201)</f>
        <v>STOLP, Super Starduster</v>
      </c>
    </row>
    <row r="2202" spans="1:4" x14ac:dyDescent="0.2">
      <c r="A2202" t="str">
        <f>Sheet2!A2202</f>
        <v>SE5A</v>
      </c>
      <c r="B2202" t="str">
        <f ca="1">'Query Example'!D2202</f>
        <v>LandPlane</v>
      </c>
      <c r="C2202" s="11" t="str">
        <f>CONCATENATE(Sheet2!F2202,"/",Sheet2!E2202)</f>
        <v>1/Piston</v>
      </c>
      <c r="D2202" t="str">
        <f>CONCATENATE(Sheet2!B2202,", ",Sheet2!C2202)</f>
        <v>RAF, SE-5A Replica</v>
      </c>
    </row>
    <row r="2203" spans="1:4" x14ac:dyDescent="0.2">
      <c r="A2203" t="str">
        <f>Sheet2!A2203</f>
        <v>SEAT</v>
      </c>
      <c r="B2203" t="str">
        <f ca="1">'Query Example'!D2203</f>
        <v>Amphibian</v>
      </c>
      <c r="C2203" s="11" t="str">
        <f>CONCATENATE(Sheet2!F2203,"/",Sheet2!E2203)</f>
        <v>1/Turboprop/Turboshaft</v>
      </c>
      <c r="D2203" t="str">
        <f>CONCATENATE(Sheet2!B2203,", ",Sheet2!C2203)</f>
        <v>SEAWIND, Turbine Seawind</v>
      </c>
    </row>
    <row r="2204" spans="1:4" x14ac:dyDescent="0.2">
      <c r="A2204" t="str">
        <f>Sheet2!A2204</f>
        <v>SEAW</v>
      </c>
      <c r="B2204" t="str">
        <f ca="1">'Query Example'!D2204</f>
        <v>Amphibian</v>
      </c>
      <c r="C2204" s="11" t="str">
        <f>CONCATENATE(Sheet2!F2204,"/",Sheet2!E2204)</f>
        <v>1/Piston</v>
      </c>
      <c r="D2204" t="str">
        <f>CONCATENATE(Sheet2!B2204,", ",Sheet2!C2204)</f>
        <v>SEAWIND, Seawind</v>
      </c>
    </row>
    <row r="2205" spans="1:4" x14ac:dyDescent="0.2">
      <c r="A2205" t="str">
        <f>Sheet2!A2205</f>
        <v>SERA</v>
      </c>
      <c r="B2205" t="str">
        <f ca="1">'Query Example'!D2205</f>
        <v>LandPlane</v>
      </c>
      <c r="C2205" s="11" t="str">
        <f>CONCATENATE(Sheet2!F2205,"/",Sheet2!E2205)</f>
        <v>1/Piston</v>
      </c>
      <c r="D2205" t="str">
        <f>CONCATENATE(Sheet2!B2205,", ",Sheet2!C2205)</f>
        <v>SERVOPLANT, Aerocraft</v>
      </c>
    </row>
    <row r="2206" spans="1:4" x14ac:dyDescent="0.2">
      <c r="A2206" t="str">
        <f>Sheet2!A2206</f>
        <v>SF2</v>
      </c>
      <c r="B2206" t="str">
        <f ca="1">'Query Example'!D2206</f>
        <v>LandPlane</v>
      </c>
      <c r="C2206" s="11" t="str">
        <f>CONCATENATE(Sheet2!F2206,"/",Sheet2!E2206)</f>
        <v>1/Piston</v>
      </c>
      <c r="D2206" t="str">
        <f>CONCATENATE(Sheet2!B2206,", ",Sheet2!C2206)</f>
        <v>VIKING (1), SF-2 Cygnet</v>
      </c>
    </row>
    <row r="2207" spans="1:4" x14ac:dyDescent="0.2">
      <c r="A2207" t="str">
        <f>Sheet2!A2207</f>
        <v>SF23</v>
      </c>
      <c r="B2207" t="str">
        <f ca="1">'Query Example'!D2207</f>
        <v>LandPlane</v>
      </c>
      <c r="C2207" s="11" t="str">
        <f>CONCATENATE(Sheet2!F2207,"/",Sheet2!E2207)</f>
        <v>1/Piston</v>
      </c>
      <c r="D2207" t="str">
        <f>CONCATENATE(Sheet2!B2207,", ",Sheet2!C2207)</f>
        <v>SCHEIBE, SF-23 Sperling</v>
      </c>
    </row>
    <row r="2208" spans="1:4" x14ac:dyDescent="0.2">
      <c r="A2208" t="str">
        <f>Sheet2!A2208</f>
        <v>SF24</v>
      </c>
      <c r="B2208" t="str">
        <f ca="1">'Query Example'!D2208</f>
        <v>LandPlane</v>
      </c>
      <c r="C2208" s="11" t="str">
        <f>CONCATENATE(Sheet2!F2208,"/",Sheet2!E2208)</f>
        <v>1/Piston</v>
      </c>
      <c r="D2208" t="str">
        <f>CONCATENATE(Sheet2!B2208,", ",Sheet2!C2208)</f>
        <v>SCHEIBE, SF-24 Motorspatz</v>
      </c>
    </row>
    <row r="2209" spans="1:4" x14ac:dyDescent="0.2">
      <c r="A2209" t="str">
        <f>Sheet2!A2209</f>
        <v>SF25</v>
      </c>
      <c r="B2209" t="str">
        <f ca="1">'Query Example'!D2209</f>
        <v>LandPlane</v>
      </c>
      <c r="C2209" s="11" t="str">
        <f>CONCATENATE(Sheet2!F2209,"/",Sheet2!E2209)</f>
        <v>1/Piston</v>
      </c>
      <c r="D2209" t="str">
        <f>CONCATENATE(Sheet2!B2209,", ",Sheet2!C2209)</f>
        <v>SCHEIBE, SF-25 Falke</v>
      </c>
    </row>
    <row r="2210" spans="1:4" x14ac:dyDescent="0.2">
      <c r="A2210" t="str">
        <f>Sheet2!A2210</f>
        <v>SF27</v>
      </c>
      <c r="B2210" t="str">
        <f ca="1">'Query Example'!D2210</f>
        <v>LandPlane</v>
      </c>
      <c r="C2210" s="11" t="str">
        <f>CONCATENATE(Sheet2!F2210,"/",Sheet2!E2210)</f>
        <v>1/Piston</v>
      </c>
      <c r="D2210" t="str">
        <f>CONCATENATE(Sheet2!B2210,", ",Sheet2!C2210)</f>
        <v>SCHEIBE, SF-27M</v>
      </c>
    </row>
    <row r="2211" spans="1:4" x14ac:dyDescent="0.2">
      <c r="A2211" t="str">
        <f>Sheet2!A2211</f>
        <v>SF28</v>
      </c>
      <c r="B2211" t="str">
        <f ca="1">'Query Example'!D2211</f>
        <v>LandPlane</v>
      </c>
      <c r="C2211" s="11" t="str">
        <f>CONCATENATE(Sheet2!F2211,"/",Sheet2!E2211)</f>
        <v>1/Piston</v>
      </c>
      <c r="D2211" t="str">
        <f>CONCATENATE(Sheet2!B2211,", ",Sheet2!C2211)</f>
        <v>SCHEIBE, SF-28 Tandem Falke</v>
      </c>
    </row>
    <row r="2212" spans="1:4" x14ac:dyDescent="0.2">
      <c r="A2212" t="str">
        <f>Sheet2!A2212</f>
        <v>SF31</v>
      </c>
      <c r="B2212" t="str">
        <f ca="1">'Query Example'!D2212</f>
        <v>LandPlane</v>
      </c>
      <c r="C2212" s="11" t="str">
        <f>CONCATENATE(Sheet2!F2212,"/",Sheet2!E2212)</f>
        <v>1/Piston</v>
      </c>
      <c r="D2212" t="str">
        <f>CONCATENATE(Sheet2!B2212,", ",Sheet2!C2212)</f>
        <v>SPORTAVIA-PUTZER, SFS-31 Milan</v>
      </c>
    </row>
    <row r="2213" spans="1:4" x14ac:dyDescent="0.2">
      <c r="A2213" t="str">
        <f>Sheet2!A2213</f>
        <v>SF32</v>
      </c>
      <c r="B2213" t="str">
        <f ca="1">'Query Example'!D2213</f>
        <v>LandPlane</v>
      </c>
      <c r="C2213" s="11" t="str">
        <f>CONCATENATE(Sheet2!F2213,"/",Sheet2!E2213)</f>
        <v>1/Piston</v>
      </c>
      <c r="D2213" t="str">
        <f>CONCATENATE(Sheet2!B2213,", ",Sheet2!C2213)</f>
        <v>SCHEIBE, SF-32</v>
      </c>
    </row>
    <row r="2214" spans="1:4" x14ac:dyDescent="0.2">
      <c r="A2214" t="str">
        <f>Sheet2!A2214</f>
        <v>SF34</v>
      </c>
      <c r="B2214" t="str">
        <f ca="1">'Query Example'!D2214</f>
        <v>LandPlane</v>
      </c>
      <c r="C2214" s="11" t="str">
        <f>CONCATENATE(Sheet2!F2214,"/",Sheet2!E2214)</f>
        <v>2/Turboprop/Turboshaft</v>
      </c>
      <c r="D2214" t="str">
        <f>CONCATENATE(Sheet2!B2214,", ",Sheet2!C2214)</f>
        <v>SAAB, 340</v>
      </c>
    </row>
    <row r="2215" spans="1:4" x14ac:dyDescent="0.2">
      <c r="A2215" t="str">
        <f>Sheet2!A2215</f>
        <v>SF35</v>
      </c>
      <c r="B2215" t="str">
        <f ca="1">'Query Example'!D2215</f>
        <v>LandPlane</v>
      </c>
      <c r="C2215" s="11" t="str">
        <f>CONCATENATE(Sheet2!F2215,"/",Sheet2!E2215)</f>
        <v>1/Piston</v>
      </c>
      <c r="D2215" t="str">
        <f>CONCATENATE(Sheet2!B2215,", ",Sheet2!C2215)</f>
        <v>SCHEIBE, SF-35</v>
      </c>
    </row>
    <row r="2216" spans="1:4" x14ac:dyDescent="0.2">
      <c r="A2216" t="str">
        <f>Sheet2!A2216</f>
        <v>SF36</v>
      </c>
      <c r="B2216" t="str">
        <f ca="1">'Query Example'!D2216</f>
        <v>LandPlane</v>
      </c>
      <c r="C2216" s="11" t="str">
        <f>CONCATENATE(Sheet2!F2216,"/",Sheet2!E2216)</f>
        <v>1/Piston</v>
      </c>
      <c r="D2216" t="str">
        <f>CONCATENATE(Sheet2!B2216,", ",Sheet2!C2216)</f>
        <v>SCHEIBE, SF-36</v>
      </c>
    </row>
    <row r="2217" spans="1:4" x14ac:dyDescent="0.2">
      <c r="A2217" t="str">
        <f>Sheet2!A2217</f>
        <v>SF50</v>
      </c>
      <c r="B2217" t="str">
        <f ca="1">'Query Example'!D2217</f>
        <v>LandPlane</v>
      </c>
      <c r="C2217" s="11" t="str">
        <f>CONCATENATE(Sheet2!F2217,"/",Sheet2!E2217)</f>
        <v>1/Jet</v>
      </c>
      <c r="D2217" t="str">
        <f>CONCATENATE(Sheet2!B2217,", ",Sheet2!C2217)</f>
        <v>CIRRUS, SF-50 Vision</v>
      </c>
    </row>
    <row r="2218" spans="1:4" x14ac:dyDescent="0.2">
      <c r="A2218" t="str">
        <f>Sheet2!A2218</f>
        <v>SG37</v>
      </c>
      <c r="B2218" t="str">
        <f ca="1">'Query Example'!D2218</f>
        <v>LandPlane</v>
      </c>
      <c r="C2218" s="11" t="str">
        <f>CONCATENATE(Sheet2!F2218,"/",Sheet2!E2218)</f>
        <v>1/Piston</v>
      </c>
      <c r="D2218" t="str">
        <f>CONCATENATE(Sheet2!B2218,", ",Sheet2!C2218)</f>
        <v>SCHWEIZER, SGM-2-37</v>
      </c>
    </row>
    <row r="2219" spans="1:4" x14ac:dyDescent="0.2">
      <c r="A2219" t="str">
        <f>Sheet2!A2219</f>
        <v>SG70</v>
      </c>
      <c r="B2219" t="str">
        <f ca="1">'Query Example'!D2219</f>
        <v>LandPlane</v>
      </c>
      <c r="C2219" s="11" t="str">
        <f>CONCATENATE(Sheet2!F2219,"/",Sheet2!E2219)</f>
        <v>1/Piston</v>
      </c>
      <c r="D2219" t="str">
        <f>CONCATENATE(Sheet2!B2219,", ",Sheet2!C2219)</f>
        <v>GLASS, SG-70 STOLGlass</v>
      </c>
    </row>
    <row r="2220" spans="1:4" x14ac:dyDescent="0.2">
      <c r="A2220" t="str">
        <f>Sheet2!A2220</f>
        <v>SG92</v>
      </c>
      <c r="B2220" t="str">
        <f ca="1">'Query Example'!D2220</f>
        <v>LandPlane</v>
      </c>
      <c r="C2220" s="11" t="str">
        <f>CONCATENATE(Sheet2!F2220,"/",Sheet2!E2220)</f>
        <v>1/Turboprop/Turboshaft</v>
      </c>
      <c r="D2220" t="str">
        <f>CONCATENATE(Sheet2!B2220,", ",Sheet2!C2220)</f>
        <v>TECHNOAVIA, SMG-92 Turbo Finist</v>
      </c>
    </row>
    <row r="2221" spans="1:4" x14ac:dyDescent="0.2">
      <c r="A2221" t="str">
        <f>Sheet2!A2221</f>
        <v>SGRA</v>
      </c>
      <c r="B2221" t="str">
        <f ca="1">'Query Example'!D2221</f>
        <v>LandPlane</v>
      </c>
      <c r="C2221" s="11" t="str">
        <f>CONCATENATE(Sheet2!F2221,"/",Sheet2!E2221)</f>
        <v>1/Piston</v>
      </c>
      <c r="D2221" t="str">
        <f>CONCATENATE(Sheet2!B2221,", ",Sheet2!C2221)</f>
        <v>SG AVIATION, Rally</v>
      </c>
    </row>
    <row r="2222" spans="1:4" x14ac:dyDescent="0.2">
      <c r="A2222" t="str">
        <f>Sheet2!A2222</f>
        <v>SGUP</v>
      </c>
      <c r="B2222" t="str">
        <f ca="1">'Query Example'!D2222</f>
        <v>LandPlane</v>
      </c>
      <c r="C2222" s="11" t="str">
        <f>CONCATENATE(Sheet2!F2222,"/",Sheet2!E2222)</f>
        <v>4/Turboprop/Turboshaft</v>
      </c>
      <c r="D2222" t="str">
        <f>CONCATENATE(Sheet2!B2222,", ",Sheet2!C2222)</f>
        <v>AERO SPACELINES, 377SGT Super Guppy</v>
      </c>
    </row>
    <row r="2223" spans="1:4" x14ac:dyDescent="0.2">
      <c r="A2223" t="str">
        <f>Sheet2!A2223</f>
        <v>SH33</v>
      </c>
      <c r="B2223" t="str">
        <f ca="1">'Query Example'!D2223</f>
        <v>LandPlane</v>
      </c>
      <c r="C2223" s="11" t="str">
        <f>CONCATENATE(Sheet2!F2223,"/",Sheet2!E2223)</f>
        <v>2/Turboprop/Turboshaft</v>
      </c>
      <c r="D2223" t="str">
        <f>CONCATENATE(Sheet2!B2223,", ",Sheet2!C2223)</f>
        <v>SHORT, 330</v>
      </c>
    </row>
    <row r="2224" spans="1:4" x14ac:dyDescent="0.2">
      <c r="A2224" t="str">
        <f>Sheet2!A2224</f>
        <v>SH36</v>
      </c>
      <c r="B2224" t="str">
        <f ca="1">'Query Example'!D2224</f>
        <v>LandPlane</v>
      </c>
      <c r="C2224" s="11" t="str">
        <f>CONCATENATE(Sheet2!F2224,"/",Sheet2!E2224)</f>
        <v>2/Turboprop/Turboshaft</v>
      </c>
      <c r="D2224" t="str">
        <f>CONCATENATE(Sheet2!B2224,", ",Sheet2!C2224)</f>
        <v>SHORT, 360</v>
      </c>
    </row>
    <row r="2225" spans="1:4" x14ac:dyDescent="0.2">
      <c r="A2225" t="str">
        <f>Sheet2!A2225</f>
        <v>SH4</v>
      </c>
      <c r="B2225" t="str">
        <f ca="1">'Query Example'!D2225</f>
        <v>Helicopter</v>
      </c>
      <c r="C2225" s="11" t="str">
        <f>CONCATENATE(Sheet2!F2225,"/",Sheet2!E2225)</f>
        <v>1/Piston</v>
      </c>
      <c r="D2225" t="str">
        <f>CONCATENATE(Sheet2!B2225,", ",Sheet2!C2225)</f>
        <v>SILVERCRAFT, SH-4</v>
      </c>
    </row>
    <row r="2226" spans="1:4" x14ac:dyDescent="0.2">
      <c r="A2226" t="str">
        <f>Sheet2!A2226</f>
        <v>SH5</v>
      </c>
      <c r="B2226" t="str">
        <f ca="1">'Query Example'!D2226</f>
        <v>SeaPlane</v>
      </c>
      <c r="C2226" s="11" t="str">
        <f>CONCATENATE(Sheet2!F2226,"/",Sheet2!E2226)</f>
        <v>4/Turboprop/Turboshaft</v>
      </c>
      <c r="D2226" t="str">
        <f>CONCATENATE(Sheet2!B2226,", ",Sheet2!C2226)</f>
        <v>HARBIN, PS-5</v>
      </c>
    </row>
    <row r="2227" spans="1:4" x14ac:dyDescent="0.2">
      <c r="A2227" t="str">
        <f>Sheet2!A2227</f>
        <v>SH5</v>
      </c>
      <c r="B2227" t="str">
        <f ca="1">'Query Example'!D2227</f>
        <v>SeaPlane</v>
      </c>
      <c r="C2227" s="11" t="str">
        <f>CONCATENATE(Sheet2!F2227,"/",Sheet2!E2227)</f>
        <v>4/Turboprop/Turboshaft</v>
      </c>
      <c r="D2227" t="str">
        <f>CONCATENATE(Sheet2!B2227,", ",Sheet2!C2227)</f>
        <v>HARBIN, SH-5</v>
      </c>
    </row>
    <row r="2228" spans="1:4" x14ac:dyDescent="0.2">
      <c r="A2228" t="str">
        <f>Sheet2!A2228</f>
        <v>SHAC</v>
      </c>
      <c r="B2228" t="str">
        <f ca="1">'Query Example'!D2228</f>
        <v>LandPlane</v>
      </c>
      <c r="C2228" s="11" t="str">
        <f>CONCATENATE(Sheet2!F2228,"/",Sheet2!E2228)</f>
        <v>4/Piston</v>
      </c>
      <c r="D2228" t="str">
        <f>CONCATENATE(Sheet2!B2228,", ",Sheet2!C2228)</f>
        <v>AVRO, 696 Shackleton</v>
      </c>
    </row>
    <row r="2229" spans="1:4" x14ac:dyDescent="0.2">
      <c r="A2229" t="str">
        <f>Sheet2!A2229</f>
        <v>SHAK</v>
      </c>
      <c r="B2229" t="str">
        <f ca="1">'Query Example'!D2229</f>
        <v>Amphibian</v>
      </c>
      <c r="C2229" s="11" t="str">
        <f>CONCATENATE(Sheet2!F2229,"/",Sheet2!E2229)</f>
        <v>1/Piston</v>
      </c>
      <c r="D2229" t="str">
        <f>CONCATENATE(Sheet2!B2229,", ",Sheet2!C2229)</f>
        <v>FREEDOM MASTER, FM-2 Air Shark</v>
      </c>
    </row>
    <row r="2230" spans="1:4" x14ac:dyDescent="0.2">
      <c r="A2230" t="str">
        <f>Sheet2!A2230</f>
        <v>SHAW</v>
      </c>
      <c r="B2230" t="str">
        <f ca="1">'Query Example'!D2230</f>
        <v>LandPlane</v>
      </c>
      <c r="C2230" s="11" t="str">
        <f>CONCATENATE(Sheet2!F2230,"/",Sheet2!E2230)</f>
        <v>1/Jet</v>
      </c>
      <c r="D2230" t="str">
        <f>CONCATENATE(Sheet2!B2230,", ",Sheet2!C2230)</f>
        <v>HAWKER, Sea Hawk</v>
      </c>
    </row>
    <row r="2231" spans="1:4" x14ac:dyDescent="0.2">
      <c r="A2231" t="str">
        <f>Sheet2!A2231</f>
        <v>SHEA</v>
      </c>
      <c r="B2231" t="str">
        <f ca="1">'Query Example'!D2231</f>
        <v>Amphibian</v>
      </c>
      <c r="C2231" s="11" t="str">
        <f>CONCATENATE(Sheet2!F2231,"/",Sheet2!E2231)</f>
        <v>1/Piston</v>
      </c>
      <c r="D2231" t="str">
        <f>CONCATENATE(Sheet2!B2231,", ",Sheet2!C2231)</f>
        <v>SEAFLIGHT, Shearwater</v>
      </c>
    </row>
    <row r="2232" spans="1:4" x14ac:dyDescent="0.2">
      <c r="A2232" t="str">
        <f>Sheet2!A2232</f>
        <v>SHEK</v>
      </c>
      <c r="B2232" t="str">
        <f ca="1">'Query Example'!D2232</f>
        <v>LandPlane</v>
      </c>
      <c r="C2232" s="11" t="str">
        <f>CONCATENATE(Sheet2!F2232,"/",Sheet2!E2232)</f>
        <v>1/Piston</v>
      </c>
      <c r="D2232" t="str">
        <f>CONCATENATE(Sheet2!B2232,", ",Sheet2!C2232)</f>
        <v>RANS, S-16 Shekari</v>
      </c>
    </row>
    <row r="2233" spans="1:4" x14ac:dyDescent="0.2">
      <c r="A2233" t="str">
        <f>Sheet2!A2233</f>
        <v>SHOE</v>
      </c>
      <c r="B2233" t="str">
        <f ca="1">'Query Example'!D2233</f>
        <v>LandPlane</v>
      </c>
      <c r="C2233" s="11" t="str">
        <f>CONCATENATE(Sheet2!F2233,"/",Sheet2!E2233)</f>
        <v>1/Piston</v>
      </c>
      <c r="D2233" t="str">
        <f>CONCATENATE(Sheet2!B2233,", ",Sheet2!C2233)</f>
        <v>MERCURY, Shoestring</v>
      </c>
    </row>
    <row r="2234" spans="1:4" x14ac:dyDescent="0.2">
      <c r="A2234" t="str">
        <f>Sheet2!A2234</f>
        <v>SHOP</v>
      </c>
      <c r="B2234" t="str">
        <f ca="1">'Query Example'!D2234</f>
        <v>LandPlane</v>
      </c>
      <c r="C2234" s="11" t="str">
        <f>CONCATENATE(Sheet2!F2234,"/",Sheet2!E2234)</f>
        <v>1/Piston</v>
      </c>
      <c r="D2234" t="str">
        <f>CONCATENATE(Sheet2!B2234,", ",Sheet2!C2234)</f>
        <v>SALVAY-STARK, Skyhopper</v>
      </c>
    </row>
    <row r="2235" spans="1:4" x14ac:dyDescent="0.2">
      <c r="A2235" t="str">
        <f>Sheet2!A2235</f>
        <v>SHOR</v>
      </c>
      <c r="B2235" t="str">
        <f ca="1">'Query Example'!D2235</f>
        <v>LandPlane</v>
      </c>
      <c r="C2235" s="11" t="str">
        <f>CONCATENATE(Sheet2!F2235,"/",Sheet2!E2235)</f>
        <v>1/Piston</v>
      </c>
      <c r="D2235" t="str">
        <f>CONCATENATE(Sheet2!B2235,", ",Sheet2!C2235)</f>
        <v>HIGHER CLASS, Super Hornet</v>
      </c>
    </row>
    <row r="2236" spans="1:4" x14ac:dyDescent="0.2">
      <c r="A2236" t="str">
        <f>Sheet2!A2236</f>
        <v>SHRK</v>
      </c>
      <c r="B2236" t="str">
        <f ca="1">'Query Example'!D2236</f>
        <v>LandPlane</v>
      </c>
      <c r="C2236" s="11" t="str">
        <f>CONCATENATE(Sheet2!F2236,"/",Sheet2!E2236)</f>
        <v>1/Piston</v>
      </c>
      <c r="D2236" t="str">
        <f>CONCATENATE(Sheet2!B2236,", ",Sheet2!C2236)</f>
        <v>SHARK AERO, Shark</v>
      </c>
    </row>
    <row r="2237" spans="1:4" x14ac:dyDescent="0.2">
      <c r="A2237" t="str">
        <f>Sheet2!A2237</f>
        <v>SHRT</v>
      </c>
      <c r="B2237" t="str">
        <f ca="1">'Query Example'!D2237</f>
        <v>LandPlane</v>
      </c>
      <c r="C2237" s="11" t="str">
        <f>CONCATENATE(Sheet2!F2237,"/",Sheet2!E2237)</f>
        <v>1/Turboprop/Turboshaft</v>
      </c>
      <c r="D2237" t="str">
        <f>CONCATENATE(Sheet2!B2237,", ",Sheet2!C2237)</f>
        <v>SHERPA, Sherpa K-650T</v>
      </c>
    </row>
    <row r="2238" spans="1:4" x14ac:dyDescent="0.2">
      <c r="A2238" t="str">
        <f>Sheet2!A2238</f>
        <v>SIDE</v>
      </c>
      <c r="B2238" t="str">
        <f ca="1">'Query Example'!D2238</f>
        <v>LandPlane</v>
      </c>
      <c r="C2238" s="11" t="str">
        <f>CONCATENATE(Sheet2!F2238,"/",Sheet2!E2238)</f>
        <v>1/Piston</v>
      </c>
      <c r="D2238" t="str">
        <f>CONCATENATE(Sheet2!B2238,", ",Sheet2!C2238)</f>
        <v>SMYTH, Sidewinder</v>
      </c>
    </row>
    <row r="2239" spans="1:4" x14ac:dyDescent="0.2">
      <c r="A2239" t="str">
        <f>Sheet2!A2239</f>
        <v>SIGM</v>
      </c>
      <c r="B2239" t="str">
        <f ca="1">'Query Example'!D2239</f>
        <v>LandPlane</v>
      </c>
      <c r="C2239" s="11" t="str">
        <f>CONCATENATE(Sheet2!F2239,"/",Sheet2!E2239)</f>
        <v>1/Piston</v>
      </c>
      <c r="D2239" t="str">
        <f>CONCATENATE(Sheet2!B2239,", ",Sheet2!C2239)</f>
        <v>ELITAR, Sigma</v>
      </c>
    </row>
    <row r="2240" spans="1:4" x14ac:dyDescent="0.2">
      <c r="A2240" t="str">
        <f>Sheet2!A2240</f>
        <v>SILH</v>
      </c>
      <c r="B2240" t="str">
        <f ca="1">'Query Example'!D2240</f>
        <v>LandPlane</v>
      </c>
      <c r="C2240" s="11" t="str">
        <f>CONCATENATE(Sheet2!F2240,"/",Sheet2!E2240)</f>
        <v>1/Piston</v>
      </c>
      <c r="D2240" t="str">
        <f>CONCATENATE(Sheet2!B2240,", ",Sheet2!C2240)</f>
        <v>SILHOUETTE, SA-60 Silhouette</v>
      </c>
    </row>
    <row r="2241" spans="1:4" x14ac:dyDescent="0.2">
      <c r="A2241" t="str">
        <f>Sheet2!A2241</f>
        <v>SIR2</v>
      </c>
      <c r="B2241" t="str">
        <f ca="1">'Query Example'!D2241</f>
        <v>LandPlane</v>
      </c>
      <c r="C2241" s="11" t="str">
        <f>CONCATENATE(Sheet2!F2241,"/",Sheet2!E2241)</f>
        <v>1/Piston</v>
      </c>
      <c r="D2241" t="str">
        <f>CONCATENATE(Sheet2!B2241,", ",Sheet2!C2241)</f>
        <v>RHEIN, Sirius 2</v>
      </c>
    </row>
    <row r="2242" spans="1:4" x14ac:dyDescent="0.2">
      <c r="A2242" t="str">
        <f>Sheet2!A2242</f>
        <v>SIRA</v>
      </c>
      <c r="B2242" t="str">
        <f ca="1">'Query Example'!D2242</f>
        <v>LandPlane</v>
      </c>
      <c r="C2242" s="11" t="str">
        <f>CONCATENATE(Sheet2!F2242,"/",Sheet2!E2242)</f>
        <v>1/Piston</v>
      </c>
      <c r="D2242" t="str">
        <f>CONCATENATE(Sheet2!B2242,", ",Sheet2!C2242)</f>
        <v>TECNAM, P-2002 Sierra</v>
      </c>
    </row>
    <row r="2243" spans="1:4" x14ac:dyDescent="0.2">
      <c r="A2243" t="str">
        <f>Sheet2!A2243</f>
        <v>SJ30</v>
      </c>
      <c r="B2243" t="str">
        <f ca="1">'Query Example'!D2243</f>
        <v>LandPlane</v>
      </c>
      <c r="C2243" s="11" t="str">
        <f>CONCATENATE(Sheet2!F2243,"/",Sheet2!E2243)</f>
        <v>2/Jet</v>
      </c>
      <c r="D2243" t="str">
        <f>CONCATENATE(Sheet2!B2243,", ",Sheet2!C2243)</f>
        <v>SINO SWEARINGEN, SJ-30</v>
      </c>
    </row>
    <row r="2244" spans="1:4" x14ac:dyDescent="0.2">
      <c r="A2244" t="str">
        <f>Sheet2!A2244</f>
        <v>SK10</v>
      </c>
      <c r="B2244" t="str">
        <f ca="1">'Query Example'!D2244</f>
        <v>LandPlane</v>
      </c>
      <c r="C2244" s="11" t="str">
        <f>CONCATENATE(Sheet2!F2244,"/",Sheet2!E2244)</f>
        <v>1/Piston</v>
      </c>
      <c r="D2244" t="str">
        <f>CONCATENATE(Sheet2!B2244,", ",Sheet2!C2244)</f>
        <v>SKYETON, K-10 Swift</v>
      </c>
    </row>
    <row r="2245" spans="1:4" x14ac:dyDescent="0.2">
      <c r="A2245" t="str">
        <f>Sheet2!A2245</f>
        <v>SK70</v>
      </c>
      <c r="B2245" t="str">
        <f ca="1">'Query Example'!D2245</f>
        <v>LandPlane</v>
      </c>
      <c r="C2245" s="11" t="str">
        <f>CONCATENATE(Sheet2!F2245,"/",Sheet2!E2245)</f>
        <v>2/Piston</v>
      </c>
      <c r="D2245" t="str">
        <f>CONCATENATE(Sheet2!B2245,", ",Sheet2!C2245)</f>
        <v>STARKRAFT, SK-700</v>
      </c>
    </row>
    <row r="2246" spans="1:4" x14ac:dyDescent="0.2">
      <c r="A2246" t="str">
        <f>Sheet2!A2246</f>
        <v>SKAR</v>
      </c>
      <c r="B2246" t="str">
        <f ca="1">'Query Example'!D2246</f>
        <v>LandPlane</v>
      </c>
      <c r="C2246" s="11" t="str">
        <f>CONCATENATE(Sheet2!F2246,"/",Sheet2!E2246)</f>
        <v>1/Piston</v>
      </c>
      <c r="D2246" t="str">
        <f>CONCATENATE(Sheet2!B2246,", ",Sheet2!C2246)</f>
        <v>III, Sky Arrow</v>
      </c>
    </row>
    <row r="2247" spans="1:4" x14ac:dyDescent="0.2">
      <c r="A2247" t="str">
        <f>Sheet2!A2247</f>
        <v>SKIF</v>
      </c>
      <c r="B2247" t="str">
        <f ca="1">'Query Example'!D2247</f>
        <v>Amphibian</v>
      </c>
      <c r="C2247" s="11" t="str">
        <f>CONCATENATE(Sheet2!F2247,"/",Sheet2!E2247)</f>
        <v>1/Piston</v>
      </c>
      <c r="D2247" t="str">
        <f>CONCATENATE(Sheet2!B2247,", ",Sheet2!C2247)</f>
        <v>AEROLITES, AeroSkiff</v>
      </c>
    </row>
    <row r="2248" spans="1:4" x14ac:dyDescent="0.2">
      <c r="A2248" t="str">
        <f>Sheet2!A2248</f>
        <v>SKIM</v>
      </c>
      <c r="B2248" t="str">
        <f ca="1">'Query Example'!D2248</f>
        <v>Amphibian</v>
      </c>
      <c r="C2248" s="11" t="str">
        <f>CONCATENATE(Sheet2!F2248,"/",Sheet2!E2248)</f>
        <v>1/Piston</v>
      </c>
      <c r="D2248" t="str">
        <f>CONCATENATE(Sheet2!B2248,", ",Sheet2!C2248)</f>
        <v>COLONIAL, C-1 Skimmer</v>
      </c>
    </row>
    <row r="2249" spans="1:4" x14ac:dyDescent="0.2">
      <c r="A2249" t="str">
        <f>Sheet2!A2249</f>
        <v>SKRA</v>
      </c>
      <c r="B2249" t="str">
        <f ca="1">'Query Example'!D2249</f>
        <v>LandPlane</v>
      </c>
      <c r="C2249" s="11" t="str">
        <f>CONCATENATE(Sheet2!F2249,"/",Sheet2!E2249)</f>
        <v>1/Piston</v>
      </c>
      <c r="D2249" t="str">
        <f>CONCATENATE(Sheet2!B2249,", ",Sheet2!C2249)</f>
        <v>BEST OFF, Sky Ranger</v>
      </c>
    </row>
    <row r="2250" spans="1:4" x14ac:dyDescent="0.2">
      <c r="A2250" t="str">
        <f>Sheet2!A2250</f>
        <v>SKYC</v>
      </c>
      <c r="B2250" t="str">
        <f ca="1">'Query Example'!D2250</f>
        <v>LandPlane</v>
      </c>
      <c r="C2250" s="11" t="str">
        <f>CONCATENATE(Sheet2!F2250,"/",Sheet2!E2250)</f>
        <v>2/Piston</v>
      </c>
      <c r="D2250" t="str">
        <f>CONCATENATE(Sheet2!B2250,", ",Sheet2!C2250)</f>
        <v>OMA SUD, Skycar</v>
      </c>
    </row>
    <row r="2251" spans="1:4" x14ac:dyDescent="0.2">
      <c r="A2251" t="str">
        <f>Sheet2!A2251</f>
        <v>SKYO</v>
      </c>
      <c r="B2251" t="str">
        <f ca="1">'Query Example'!D2251</f>
        <v>LandPlane</v>
      </c>
      <c r="C2251" s="11" t="str">
        <f>CONCATENATE(Sheet2!F2251,"/",Sheet2!E2251)</f>
        <v>1/Piston</v>
      </c>
      <c r="D2251" t="str">
        <f>CONCATENATE(Sheet2!B2251,", ",Sheet2!C2251)</f>
        <v>SKYOTE AEROMARINE, Skyote</v>
      </c>
    </row>
    <row r="2252" spans="1:4" x14ac:dyDescent="0.2">
      <c r="A2252" t="str">
        <f>Sheet2!A2252</f>
        <v>SKYR</v>
      </c>
      <c r="B2252" t="str">
        <f ca="1">'Query Example'!D2252</f>
        <v>LandPlane</v>
      </c>
      <c r="C2252" s="11" t="str">
        <f>CONCATENATE(Sheet2!F2252,"/",Sheet2!E2252)</f>
        <v>1/Piston</v>
      </c>
      <c r="D2252" t="str">
        <f>CONCATENATE(Sheet2!B2252,", ",Sheet2!C2252)</f>
        <v>REARWIN, Skyranger</v>
      </c>
    </row>
    <row r="2253" spans="1:4" x14ac:dyDescent="0.2">
      <c r="A2253" t="str">
        <f>Sheet2!A2253</f>
        <v>SL1</v>
      </c>
      <c r="B2253" t="str">
        <f ca="1">'Query Example'!D2253</f>
        <v>LandPlane</v>
      </c>
      <c r="C2253" s="11" t="str">
        <f>CONCATENATE(Sheet2!F2253,"/",Sheet2!E2253)</f>
        <v>1/Piston</v>
      </c>
      <c r="D2253" t="str">
        <f>CONCATENATE(Sheet2!B2253,", ",Sheet2!C2253)</f>
        <v>STAR-LITE, SL-1 Star-Lite</v>
      </c>
    </row>
    <row r="2254" spans="1:4" x14ac:dyDescent="0.2">
      <c r="A2254" t="str">
        <f>Sheet2!A2254</f>
        <v>SL39</v>
      </c>
      <c r="B2254" t="str">
        <f ca="1">'Query Example'!D2254</f>
        <v>LandPlane</v>
      </c>
      <c r="C2254" s="11" t="str">
        <f>CONCATENATE(Sheet2!F2254,"/",Sheet2!E2254)</f>
        <v>1/Piston</v>
      </c>
      <c r="D2254" t="str">
        <f>CONCATENATE(Sheet2!B2254,", ",Sheet2!C2254)</f>
        <v>MAPO, SL-39</v>
      </c>
    </row>
    <row r="2255" spans="1:4" x14ac:dyDescent="0.2">
      <c r="A2255" t="str">
        <f>Sheet2!A2255</f>
        <v>SL90</v>
      </c>
      <c r="B2255" t="str">
        <f ca="1">'Query Example'!D2255</f>
        <v>LandPlane</v>
      </c>
      <c r="C2255" s="11" t="str">
        <f>CONCATENATE(Sheet2!F2255,"/",Sheet2!E2255)</f>
        <v>1/Piston</v>
      </c>
      <c r="D2255" t="str">
        <f>CONCATENATE(Sheet2!B2255,", ",Sheet2!C2255)</f>
        <v>AVIOTECHNICA, SL-90 Leshii</v>
      </c>
    </row>
    <row r="2256" spans="1:4" x14ac:dyDescent="0.2">
      <c r="A2256" t="str">
        <f>Sheet2!A2256</f>
        <v>SLCH</v>
      </c>
      <c r="B2256" t="str">
        <f ca="1">'Query Example'!D2256</f>
        <v>LandPlane</v>
      </c>
      <c r="C2256" s="11" t="str">
        <f>CONCATENATE(Sheet2!F2256,"/",Sheet2!E2256)</f>
        <v>6/Jet</v>
      </c>
      <c r="D2256" t="str">
        <f>CONCATENATE(Sheet2!B2256,", ",Sheet2!C2256)</f>
        <v>SCALED, 351 Stratolaunch</v>
      </c>
    </row>
    <row r="2257" spans="1:4" x14ac:dyDescent="0.2">
      <c r="A2257" t="str">
        <f>Sheet2!A2257</f>
        <v>SLG2</v>
      </c>
      <c r="B2257" t="str">
        <f ca="1">'Query Example'!D2257</f>
        <v>LandPlane</v>
      </c>
      <c r="C2257" s="11" t="str">
        <f>CONCATENATE(Sheet2!F2257,"/",Sheet2!E2257)</f>
        <v>1/Piston</v>
      </c>
      <c r="D2257" t="str">
        <f>CONCATENATE(Sheet2!B2257,", ",Sheet2!C2257)</f>
        <v>SLING AIRCRAFT, Sling 2</v>
      </c>
    </row>
    <row r="2258" spans="1:4" x14ac:dyDescent="0.2">
      <c r="A2258" t="str">
        <f>Sheet2!A2258</f>
        <v>SLG4</v>
      </c>
      <c r="B2258" t="str">
        <f ca="1">'Query Example'!D2258</f>
        <v>LandPlane</v>
      </c>
      <c r="C2258" s="11" t="str">
        <f>CONCATENATE(Sheet2!F2258,"/",Sheet2!E2258)</f>
        <v>1/Piston</v>
      </c>
      <c r="D2258" t="str">
        <f>CONCATENATE(Sheet2!B2258,", ",Sheet2!C2258)</f>
        <v>AIRPLANE FACTORY, Sling 4</v>
      </c>
    </row>
    <row r="2259" spans="1:4" x14ac:dyDescent="0.2">
      <c r="A2259" t="str">
        <f>Sheet2!A2259</f>
        <v>SLH4</v>
      </c>
      <c r="B2259" t="str">
        <f ca="1">'Query Example'!D2259</f>
        <v>LandPlane</v>
      </c>
      <c r="C2259" s="11" t="str">
        <f>CONCATENATE(Sheet2!F2259,"/",Sheet2!E2259)</f>
        <v>1/Piston</v>
      </c>
      <c r="D2259" t="str">
        <f>CONCATENATE(Sheet2!B2259,", ",Sheet2!C2259)</f>
        <v>SLING AIRCRAFT, Sling 4 High Wing</v>
      </c>
    </row>
    <row r="2260" spans="1:4" x14ac:dyDescent="0.2">
      <c r="A2260" t="str">
        <f>Sheet2!A2260</f>
        <v>SLK3</v>
      </c>
      <c r="B2260" t="str">
        <f ca="1">'Query Example'!D2260</f>
        <v>LandPlane</v>
      </c>
      <c r="C2260" s="11" t="str">
        <f>CONCATENATE(Sheet2!F2260,"/",Sheet2!E2260)</f>
        <v>1/Piston</v>
      </c>
      <c r="D2260" t="str">
        <f>CONCATENATE(Sheet2!B2260,", ",Sheet2!C2260)</f>
        <v>SLICK, 360</v>
      </c>
    </row>
    <row r="2261" spans="1:4" x14ac:dyDescent="0.2">
      <c r="A2261" t="str">
        <f>Sheet2!A2261</f>
        <v>SLK5</v>
      </c>
      <c r="B2261" t="str">
        <f ca="1">'Query Example'!D2261</f>
        <v>LandPlane</v>
      </c>
      <c r="C2261" s="11" t="str">
        <f>CONCATENATE(Sheet2!F2261,"/",Sheet2!E2261)</f>
        <v>1/Piston</v>
      </c>
      <c r="D2261" t="str">
        <f>CONCATENATE(Sheet2!B2261,", ",Sheet2!C2261)</f>
        <v>SLICK, 540</v>
      </c>
    </row>
    <row r="2262" spans="1:4" x14ac:dyDescent="0.2">
      <c r="A2262" t="str">
        <f>Sheet2!A2262</f>
        <v>SM01</v>
      </c>
      <c r="B2262" t="str">
        <f ca="1">'Query Example'!D2262</f>
        <v>LandPlane</v>
      </c>
      <c r="C2262" s="11" t="str">
        <f>CONCATENATE(Sheet2!F2262,"/",Sheet2!E2262)</f>
        <v>1/Piston</v>
      </c>
      <c r="D2262" t="str">
        <f>CONCATENATE(Sheet2!B2262,", ",Sheet2!C2262)</f>
        <v>STERN-MALLICK, SM-01 Vega</v>
      </c>
    </row>
    <row r="2263" spans="1:4" x14ac:dyDescent="0.2">
      <c r="A2263" t="str">
        <f>Sheet2!A2263</f>
        <v>SM19</v>
      </c>
      <c r="B2263" t="str">
        <f ca="1">'Query Example'!D2263</f>
        <v>LandPlane</v>
      </c>
      <c r="C2263" s="11" t="str">
        <f>CONCATENATE(Sheet2!F2263,"/",Sheet2!E2263)</f>
        <v>1/Turboprop/Turboshaft</v>
      </c>
      <c r="D2263" t="str">
        <f>CONCATENATE(Sheet2!B2263,", ",Sheet2!C2263)</f>
        <v>SIAI-MARCHETTI, SM-1019</v>
      </c>
    </row>
    <row r="2264" spans="1:4" x14ac:dyDescent="0.2">
      <c r="A2264" t="str">
        <f>Sheet2!A2264</f>
        <v>SM20</v>
      </c>
      <c r="B2264" t="str">
        <f ca="1">'Query Example'!D2264</f>
        <v>LandPlane</v>
      </c>
      <c r="C2264" s="11" t="str">
        <f>CONCATENATE(Sheet2!F2264,"/",Sheet2!E2264)</f>
        <v>1/Turboprop/Turboshaft</v>
      </c>
      <c r="D2264" t="str">
        <f>CONCATENATE(Sheet2!B2264,", ",Sheet2!C2264)</f>
        <v>TECHNOAVIA, SM-2000</v>
      </c>
    </row>
    <row r="2265" spans="1:4" x14ac:dyDescent="0.2">
      <c r="A2265" t="str">
        <f>Sheet2!A2265</f>
        <v>SM60</v>
      </c>
      <c r="B2265" t="str">
        <f ca="1">'Query Example'!D2265</f>
        <v>LandPlane</v>
      </c>
      <c r="C2265" s="11" t="str">
        <f>CONCATENATE(Sheet2!F2265,"/",Sheet2!E2265)</f>
        <v>3/Piston</v>
      </c>
      <c r="D2265" t="str">
        <f>CONCATENATE(Sheet2!B2265,", ",Sheet2!C2265)</f>
        <v>STINSON, SM-6000 Tri-Motor</v>
      </c>
    </row>
    <row r="2266" spans="1:4" x14ac:dyDescent="0.2">
      <c r="A2266" t="str">
        <f>Sheet2!A2266</f>
        <v>SM92</v>
      </c>
      <c r="B2266" t="str">
        <f ca="1">'Query Example'!D2266</f>
        <v>LandPlane</v>
      </c>
      <c r="C2266" s="11" t="str">
        <f>CONCATENATE(Sheet2!F2266,"/",Sheet2!E2266)</f>
        <v>1/Piston</v>
      </c>
      <c r="D2266" t="str">
        <f>CONCATENATE(Sheet2!B2266,", ",Sheet2!C2266)</f>
        <v>MORAVAN, Zlin Z-400 Rhino</v>
      </c>
    </row>
    <row r="2267" spans="1:4" x14ac:dyDescent="0.2">
      <c r="A2267" t="str">
        <f>Sheet2!A2267</f>
        <v>SMAX</v>
      </c>
      <c r="B2267" t="str">
        <f ca="1">'Query Example'!D2267</f>
        <v>Amphibian</v>
      </c>
      <c r="C2267" s="11" t="str">
        <f>CONCATENATE(Sheet2!F2267,"/",Sheet2!E2267)</f>
        <v>1/Piston</v>
      </c>
      <c r="D2267" t="str">
        <f>CONCATENATE(Sheet2!B2267,", ",Sheet2!C2267)</f>
        <v>AIRMAX, M-22 SeaMax</v>
      </c>
    </row>
    <row r="2268" spans="1:4" x14ac:dyDescent="0.2">
      <c r="A2268" t="str">
        <f>Sheet2!A2268</f>
        <v>SMB2</v>
      </c>
      <c r="B2268" t="str">
        <f ca="1">'Query Example'!D2268</f>
        <v>LandPlane</v>
      </c>
      <c r="C2268" s="11" t="str">
        <f>CONCATENATE(Sheet2!F2268,"/",Sheet2!E2268)</f>
        <v>1/Jet</v>
      </c>
      <c r="D2268" t="str">
        <f>CONCATENATE(Sheet2!B2268,", ",Sheet2!C2268)</f>
        <v>DASSAULT, Super Mystère B2</v>
      </c>
    </row>
    <row r="2269" spans="1:4" x14ac:dyDescent="0.2">
      <c r="A2269" t="str">
        <f>Sheet2!A2269</f>
        <v>SNAD</v>
      </c>
      <c r="B2269" t="str">
        <f ca="1">'Query Example'!D2269</f>
        <v>Gyrocopter</v>
      </c>
      <c r="C2269" s="11" t="str">
        <f>CONCATENATE(Sheet2!F2269,"/",Sheet2!E2269)</f>
        <v>1/Piston</v>
      </c>
      <c r="D2269" t="str">
        <f>CONCATENATE(Sheet2!B2269,", ",Sheet2!C2269)</f>
        <v>CALUMET, 636 Snobird Adventurer</v>
      </c>
    </row>
    <row r="2270" spans="1:4" x14ac:dyDescent="0.2">
      <c r="A2270" t="str">
        <f>Sheet2!A2270</f>
        <v>SNAP</v>
      </c>
      <c r="B2270" t="str">
        <f ca="1">'Query Example'!D2270</f>
        <v>LandPlane</v>
      </c>
      <c r="C2270" s="11" t="str">
        <f>CONCATENATE(Sheet2!F2270,"/",Sheet2!E2270)</f>
        <v>1/Piston</v>
      </c>
      <c r="D2270" t="str">
        <f>CONCATENATE(Sheet2!B2270,", ",Sheet2!C2270)</f>
        <v>DALLAIR, FR-01 Snap</v>
      </c>
    </row>
    <row r="2271" spans="1:4" x14ac:dyDescent="0.2">
      <c r="A2271" t="str">
        <f>Sheet2!A2271</f>
        <v>SNGY</v>
      </c>
      <c r="B2271" t="str">
        <f ca="1">'Query Example'!D2271</f>
        <v>LandPlane</v>
      </c>
      <c r="C2271" s="11" t="str">
        <f>CONCATENATE(Sheet2!F2271,"/",Sheet2!E2271)</f>
        <v>1/Piston</v>
      </c>
      <c r="D2271" t="str">
        <f>CONCATENATE(Sheet2!B2271,", ",Sheet2!C2271)</f>
        <v>CIAC, Synergy</v>
      </c>
    </row>
    <row r="2272" spans="1:4" x14ac:dyDescent="0.2">
      <c r="A2272" t="str">
        <f>Sheet2!A2272</f>
        <v>SNOS</v>
      </c>
      <c r="B2272" t="str">
        <f ca="1">'Query Example'!D2272</f>
        <v>LandPlane</v>
      </c>
      <c r="C2272" s="11" t="str">
        <f>CONCATENATE(Sheet2!F2272,"/",Sheet2!E2272)</f>
        <v>1/Piston</v>
      </c>
      <c r="D2272" t="str">
        <f>CONCATENATE(Sheet2!B2272,", ",Sheet2!C2272)</f>
        <v>VSR, SR-1 Snoshoo</v>
      </c>
    </row>
    <row r="2273" spans="1:4" x14ac:dyDescent="0.2">
      <c r="A2273" t="str">
        <f>Sheet2!A2273</f>
        <v>SNS2</v>
      </c>
      <c r="B2273" t="str">
        <f ca="1">'Query Example'!D2273</f>
        <v>LandPlane</v>
      </c>
      <c r="C2273" s="11" t="str">
        <f>CONCATENATE(Sheet2!F2273,"/",Sheet2!E2273)</f>
        <v>1/Piston</v>
      </c>
      <c r="D2273" t="str">
        <f>CONCATENATE(Sheet2!B2273,", ",Sheet2!C2273)</f>
        <v>SORRELL, SNS-2 Guppy</v>
      </c>
    </row>
    <row r="2274" spans="1:4" x14ac:dyDescent="0.2">
      <c r="A2274" t="str">
        <f>Sheet2!A2274</f>
        <v>SNS7</v>
      </c>
      <c r="B2274" t="str">
        <f ca="1">'Query Example'!D2274</f>
        <v>LandPlane</v>
      </c>
      <c r="C2274" s="11" t="str">
        <f>CONCATENATE(Sheet2!F2274,"/",Sheet2!E2274)</f>
        <v>1/Piston</v>
      </c>
      <c r="D2274" t="str">
        <f>CONCATENATE(Sheet2!B2274,", ",Sheet2!C2274)</f>
        <v>SORRELL, SNS-7 Hiperbipe</v>
      </c>
    </row>
    <row r="2275" spans="1:4" x14ac:dyDescent="0.2">
      <c r="A2275" t="str">
        <f>Sheet2!A2275</f>
        <v>SNS9</v>
      </c>
      <c r="B2275" t="str">
        <f ca="1">'Query Example'!D2275</f>
        <v>LandPlane</v>
      </c>
      <c r="C2275" s="11" t="str">
        <f>CONCATENATE(Sheet2!F2275,"/",Sheet2!E2275)</f>
        <v>1/Piston</v>
      </c>
      <c r="D2275" t="str">
        <f>CONCATENATE(Sheet2!B2275,", ",Sheet2!C2275)</f>
        <v>SORRELL, SNS-9 EXP-2</v>
      </c>
    </row>
    <row r="2276" spans="1:4" x14ac:dyDescent="0.2">
      <c r="A2276" t="str">
        <f>Sheet2!A2276</f>
        <v>SNTA</v>
      </c>
      <c r="B2276" t="str">
        <f ca="1">'Query Example'!D2276</f>
        <v>LandPlane</v>
      </c>
      <c r="C2276" s="11" t="str">
        <f>CONCATENATE(Sheet2!F2276,"/",Sheet2!E2276)</f>
        <v>1/Piston</v>
      </c>
      <c r="D2276" t="str">
        <f>CONCATENATE(Sheet2!B2276,", ",Sheet2!C2276)</f>
        <v>AIRSPORT, Sonata</v>
      </c>
    </row>
    <row r="2277" spans="1:4" x14ac:dyDescent="0.2">
      <c r="A2277" t="str">
        <f>Sheet2!A2277</f>
        <v>SOK2</v>
      </c>
      <c r="B2277" t="str">
        <f ca="1">'Query Example'!D2277</f>
        <v>LandPlane</v>
      </c>
      <c r="C2277" s="11" t="str">
        <f>CONCATENATE(Sheet2!F2277,"/",Sheet2!E2277)</f>
        <v>1/Piston</v>
      </c>
      <c r="D2277" t="str">
        <f>CONCATENATE(Sheet2!B2277,", ",Sheet2!C2277)</f>
        <v>SOKO, 2</v>
      </c>
    </row>
    <row r="2278" spans="1:4" x14ac:dyDescent="0.2">
      <c r="A2278" t="str">
        <f>Sheet2!A2278</f>
        <v>SOKL</v>
      </c>
      <c r="B2278" t="str">
        <f ca="1">'Query Example'!D2278</f>
        <v>LandPlane</v>
      </c>
      <c r="C2278" s="11" t="str">
        <f>CONCATENATE(Sheet2!F2278,"/",Sheet2!E2278)</f>
        <v>1/Piston</v>
      </c>
      <c r="D2278" t="str">
        <f>CONCATENATE(Sheet2!B2278,", ",Sheet2!C2278)</f>
        <v>MRAZ, M-1 Sokol</v>
      </c>
    </row>
    <row r="2279" spans="1:4" x14ac:dyDescent="0.2">
      <c r="A2279" t="str">
        <f>Sheet2!A2279</f>
        <v>SOL1</v>
      </c>
      <c r="B2279" t="str">
        <f ca="1">'Query Example'!D2279</f>
        <v>LandPlane</v>
      </c>
      <c r="C2279" s="11" t="str">
        <f>CONCATENATE(Sheet2!F2279,"/",Sheet2!E2279)</f>
        <v>4/Electric</v>
      </c>
      <c r="D2279" t="str">
        <f>CONCATENATE(Sheet2!B2279,", ",Sheet2!C2279)</f>
        <v>SOLAR IMPULSE, 1</v>
      </c>
    </row>
    <row r="2280" spans="1:4" x14ac:dyDescent="0.2">
      <c r="A2280" t="str">
        <f>Sheet2!A2280</f>
        <v>SOL2</v>
      </c>
      <c r="B2280" t="str">
        <f ca="1">'Query Example'!D2280</f>
        <v>LandPlane</v>
      </c>
      <c r="C2280" s="11" t="str">
        <f>CONCATENATE(Sheet2!F2280,"/",Sheet2!E2280)</f>
        <v>4/Electric</v>
      </c>
      <c r="D2280" t="str">
        <f>CONCATENATE(Sheet2!B2280,", ",Sheet2!C2280)</f>
        <v>SOLAR IMPULSE, 2</v>
      </c>
    </row>
    <row r="2281" spans="1:4" x14ac:dyDescent="0.2">
      <c r="A2281" t="str">
        <f>Sheet2!A2281</f>
        <v>SOLI</v>
      </c>
      <c r="B2281" t="str">
        <f ca="1">'Query Example'!D2281</f>
        <v>LandPlane</v>
      </c>
      <c r="C2281" s="11" t="str">
        <f>CONCATENATE(Sheet2!F2281,"/",Sheet2!E2281)</f>
        <v>1/Piston</v>
      </c>
      <c r="D2281" t="str">
        <f>CONCATENATE(Sheet2!B2281,", ",Sheet2!C2281)</f>
        <v>RUTAN, 77 Solitaire</v>
      </c>
    </row>
    <row r="2282" spans="1:4" x14ac:dyDescent="0.2">
      <c r="A2282" t="str">
        <f>Sheet2!A2282</f>
        <v>SONX</v>
      </c>
      <c r="B2282" t="str">
        <f ca="1">'Query Example'!D2282</f>
        <v>LandPlane</v>
      </c>
      <c r="C2282" s="11" t="str">
        <f>CONCATENATE(Sheet2!F2282,"/",Sheet2!E2282)</f>
        <v>1/Piston</v>
      </c>
      <c r="D2282" t="str">
        <f>CONCATENATE(Sheet2!B2282,", ",Sheet2!C2282)</f>
        <v>SONEX, Sonex</v>
      </c>
    </row>
    <row r="2283" spans="1:4" x14ac:dyDescent="0.2">
      <c r="A2283" t="str">
        <f>Sheet2!A2283</f>
        <v>SORA</v>
      </c>
      <c r="B2283" t="str">
        <f ca="1">'Query Example'!D2283</f>
        <v>LandPlane</v>
      </c>
      <c r="C2283" s="11" t="str">
        <f>CONCATENATE(Sheet2!F2283,"/",Sheet2!E2283)</f>
        <v>1/Piston</v>
      </c>
      <c r="D2283" t="str">
        <f>CONCATENATE(Sheet2!B2283,", ",Sheet2!C2283)</f>
        <v>ACS, ACS-100 Sora</v>
      </c>
    </row>
    <row r="2284" spans="1:4" x14ac:dyDescent="0.2">
      <c r="A2284" t="str">
        <f>Sheet2!A2284</f>
        <v>SP20</v>
      </c>
      <c r="B2284" t="str">
        <f ca="1">'Query Example'!D2284</f>
        <v>LandPlane</v>
      </c>
      <c r="C2284" s="11" t="str">
        <f>CONCATENATE(Sheet2!F2284,"/",Sheet2!E2284)</f>
        <v>1/Piston</v>
      </c>
      <c r="D2284" t="str">
        <f>CONCATENATE(Sheet2!B2284,", ",Sheet2!C2284)</f>
        <v>LANSHE, SP-26</v>
      </c>
    </row>
    <row r="2285" spans="1:4" x14ac:dyDescent="0.2">
      <c r="A2285" t="str">
        <f>Sheet2!A2285</f>
        <v>SP20</v>
      </c>
      <c r="B2285" t="str">
        <f ca="1">'Query Example'!D2285</f>
        <v>LandPlane</v>
      </c>
      <c r="C2285" s="11" t="str">
        <f>CONCATENATE(Sheet2!F2285,"/",Sheet2!E2285)</f>
        <v>1/Piston</v>
      </c>
      <c r="D2285" t="str">
        <f>CONCATENATE(Sheet2!B2285,", ",Sheet2!C2285)</f>
        <v>MICCO, SP-20</v>
      </c>
    </row>
    <row r="2286" spans="1:4" x14ac:dyDescent="0.2">
      <c r="A2286" t="str">
        <f>Sheet2!A2286</f>
        <v>SP33</v>
      </c>
      <c r="B2286" t="str">
        <f ca="1">'Query Example'!D2286</f>
        <v>LandPlane</v>
      </c>
      <c r="C2286" s="11" t="str">
        <f>CONCATENATE(Sheet2!F2286,"/",Sheet2!E2286)</f>
        <v>2/Jet</v>
      </c>
      <c r="D2286" t="str">
        <f>CONCATENATE(Sheet2!B2286,", ",Sheet2!C2286)</f>
        <v>SPECTRUM, S-33 Independence</v>
      </c>
    </row>
    <row r="2287" spans="1:4" x14ac:dyDescent="0.2">
      <c r="A2287" t="str">
        <f>Sheet2!A2287</f>
        <v>SP55</v>
      </c>
      <c r="B2287" t="str">
        <f ca="1">'Query Example'!D2287</f>
        <v>LandPlane</v>
      </c>
      <c r="C2287" s="11" t="str">
        <f>CONCATENATE(Sheet2!F2287,"/",Sheet2!E2287)</f>
        <v>1/Piston</v>
      </c>
      <c r="D2287" t="str">
        <f>CONCATENATE(Sheet2!B2287,", ",Sheet2!C2287)</f>
        <v>TECHNOAVIA, SP-55</v>
      </c>
    </row>
    <row r="2288" spans="1:4" x14ac:dyDescent="0.2">
      <c r="A2288" t="str">
        <f>Sheet2!A2288</f>
        <v>SP6E</v>
      </c>
      <c r="B2288" t="str">
        <f ca="1">'Query Example'!D2288</f>
        <v>LandPlane</v>
      </c>
      <c r="C2288" s="11" t="str">
        <f>CONCATENATE(Sheet2!F2288,"/",Sheet2!E2288)</f>
        <v>1/Piston</v>
      </c>
      <c r="D2288" t="str">
        <f>CONCATENATE(Sheet2!B2288,", ",Sheet2!C2288)</f>
        <v>SAUSER, P-6E Replica</v>
      </c>
    </row>
    <row r="2289" spans="1:4" x14ac:dyDescent="0.2">
      <c r="A2289" t="str">
        <f>Sheet2!A2289</f>
        <v>SP7</v>
      </c>
      <c r="B2289" t="str">
        <f ca="1">'Query Example'!D2289</f>
        <v>LandPlane</v>
      </c>
      <c r="C2289" s="11" t="str">
        <f>CONCATENATE(Sheet2!F2289,"/",Sheet2!E2289)</f>
        <v>1/Piston</v>
      </c>
      <c r="D2289" t="str">
        <f>CONCATENATE(Sheet2!B2289,", ",Sheet2!C2289)</f>
        <v>SPARTAN, 7 Executive</v>
      </c>
    </row>
    <row r="2290" spans="1:4" x14ac:dyDescent="0.2">
      <c r="A2290" t="str">
        <f>Sheet2!A2290</f>
        <v>SP91</v>
      </c>
      <c r="B2290" t="str">
        <f ca="1">'Query Example'!D2290</f>
        <v>LandPlane</v>
      </c>
      <c r="C2290" s="11" t="str">
        <f>CONCATENATE(Sheet2!F2290,"/",Sheet2!E2290)</f>
        <v>1/Piston</v>
      </c>
      <c r="D2290" t="str">
        <f>CONCATENATE(Sheet2!B2290,", ",Sheet2!C2290)</f>
        <v>TECHNOAVIA, SP-91 Slava</v>
      </c>
    </row>
    <row r="2291" spans="1:4" x14ac:dyDescent="0.2">
      <c r="A2291" t="str">
        <f>Sheet2!A2291</f>
        <v>SP95</v>
      </c>
      <c r="B2291" t="str">
        <f ca="1">'Query Example'!D2291</f>
        <v>LandPlane</v>
      </c>
      <c r="C2291" s="11" t="str">
        <f>CONCATENATE(Sheet2!F2291,"/",Sheet2!E2291)</f>
        <v>1/Piston</v>
      </c>
      <c r="D2291" t="str">
        <f>CONCATENATE(Sheet2!B2291,", ",Sheet2!C2291)</f>
        <v>TECHNOAVIA, SP-95</v>
      </c>
    </row>
    <row r="2292" spans="1:4" x14ac:dyDescent="0.2">
      <c r="A2292" t="str">
        <f>Sheet2!A2292</f>
        <v>SPA2</v>
      </c>
      <c r="B2292" t="str">
        <f ca="1">'Query Example'!D2292</f>
        <v>LandPlane</v>
      </c>
      <c r="C2292" s="11" t="str">
        <f>CONCATENATE(Sheet2!F2292,"/",Sheet2!E2292)</f>
        <v>1/Piston</v>
      </c>
      <c r="D2292" t="str">
        <f>CONCATENATE(Sheet2!B2292,", ",Sheet2!C2292)</f>
        <v>STARK-TREFETHEN, Sport-Aire 2</v>
      </c>
    </row>
    <row r="2293" spans="1:4" x14ac:dyDescent="0.2">
      <c r="A2293" t="str">
        <f>Sheet2!A2293</f>
        <v>SPAR</v>
      </c>
      <c r="B2293" t="str">
        <f ca="1">'Query Example'!D2293</f>
        <v>LandPlane</v>
      </c>
      <c r="C2293" s="11" t="str">
        <f>CONCATENATE(Sheet2!F2293,"/",Sheet2!E2293)</f>
        <v>1/Piston</v>
      </c>
      <c r="D2293" t="str">
        <f>CONCATENATE(Sheet2!B2293,", ",Sheet2!C2293)</f>
        <v>III, Speed Arrow</v>
      </c>
    </row>
    <row r="2294" spans="1:4" x14ac:dyDescent="0.2">
      <c r="A2294" t="str">
        <f>Sheet2!A2294</f>
        <v>SPC2</v>
      </c>
      <c r="B2294" t="str">
        <f ca="1">'Query Example'!D2294</f>
        <v>LandPlane</v>
      </c>
      <c r="C2294" s="11" t="str">
        <f>CONCATENATE(Sheet2!F2294,"/",Sheet2!E2294)</f>
        <v>1/Piston</v>
      </c>
      <c r="D2294" t="str">
        <f>CONCATENATE(Sheet2!B2294,", ",Sheet2!C2294)</f>
        <v>SPECTER, Specter 2</v>
      </c>
    </row>
    <row r="2295" spans="1:4" x14ac:dyDescent="0.2">
      <c r="A2295" t="str">
        <f>Sheet2!A2295</f>
        <v>SPDR</v>
      </c>
      <c r="B2295" t="str">
        <f ca="1">'Query Example'!D2295</f>
        <v>LandPlane</v>
      </c>
      <c r="C2295" s="11" t="str">
        <f>CONCATENATE(Sheet2!F2295,"/",Sheet2!E2295)</f>
        <v>1/Piston</v>
      </c>
      <c r="D2295" t="str">
        <f>CONCATENATE(Sheet2!B2295,", ",Sheet2!C2295)</f>
        <v>REARWIN, 6000 Speedster</v>
      </c>
    </row>
    <row r="2296" spans="1:4" x14ac:dyDescent="0.2">
      <c r="A2296" t="str">
        <f>Sheet2!A2296</f>
        <v>SPEL</v>
      </c>
      <c r="B2296" t="str">
        <f ca="1">'Query Example'!D2296</f>
        <v>LandPlane</v>
      </c>
      <c r="C2296" s="11" t="str">
        <f>CONCATENATE(Sheet2!F2296,"/",Sheet2!E2296)</f>
        <v>1/Piston</v>
      </c>
      <c r="D2296" t="str">
        <f>CONCATENATE(Sheet2!B2296,", ",Sheet2!C2296)</f>
        <v>LOEHLE, Spitfire Elite</v>
      </c>
    </row>
    <row r="2297" spans="1:4" x14ac:dyDescent="0.2">
      <c r="A2297" t="str">
        <f>Sheet2!A2297</f>
        <v>SPGY</v>
      </c>
      <c r="B2297" t="str">
        <f ca="1">'Query Example'!D2297</f>
        <v>Gyrocopter</v>
      </c>
      <c r="C2297" s="11" t="str">
        <f>CONCATENATE(Sheet2!F2297,"/",Sheet2!E2297)</f>
        <v>1/Piston</v>
      </c>
      <c r="D2297" t="str">
        <f>CONCATENATE(Sheet2!B2297,", ",Sheet2!C2297)</f>
        <v>AIRCRAFT DESIGNS, Sportster Gyro</v>
      </c>
    </row>
    <row r="2298" spans="1:4" x14ac:dyDescent="0.2">
      <c r="A2298" t="str">
        <f>Sheet2!A2298</f>
        <v>SPHA</v>
      </c>
      <c r="B2298" t="str">
        <f ca="1">'Query Example'!D2298</f>
        <v>Gyrocopter</v>
      </c>
      <c r="C2298" s="11" t="str">
        <f>CONCATENATE(Sheet2!F2298,"/",Sheet2!E2298)</f>
        <v>1/Piston</v>
      </c>
      <c r="D2298" t="str">
        <f>CONCATENATE(Sheet2!B2298,", ",Sheet2!C2298)</f>
        <v>AMERICAN AUTOGYRO, SparrowHawk</v>
      </c>
    </row>
    <row r="2299" spans="1:4" x14ac:dyDescent="0.2">
      <c r="A2299" t="str">
        <f>Sheet2!A2299</f>
        <v>SPIR</v>
      </c>
      <c r="B2299" t="str">
        <f ca="1">'Query Example'!D2299</f>
        <v>LandPlane</v>
      </c>
      <c r="C2299" s="11" t="str">
        <f>CONCATENATE(Sheet2!F2299,"/",Sheet2!E2299)</f>
        <v>1/Piston</v>
      </c>
      <c r="D2299" t="str">
        <f>CONCATENATE(Sheet2!B2299,", ",Sheet2!C2299)</f>
        <v>QUESTAIR, Spirit</v>
      </c>
    </row>
    <row r="2300" spans="1:4" x14ac:dyDescent="0.2">
      <c r="A2300" t="str">
        <f>Sheet2!A2300</f>
        <v>SPIT</v>
      </c>
      <c r="B2300" t="str">
        <f ca="1">'Query Example'!D2300</f>
        <v>LandPlane</v>
      </c>
      <c r="C2300" s="11" t="str">
        <f>CONCATENATE(Sheet2!F2300,"/",Sheet2!E2300)</f>
        <v>1/Piston</v>
      </c>
      <c r="D2300" t="str">
        <f>CONCATENATE(Sheet2!B2300,", ",Sheet2!C2300)</f>
        <v>SUPERMARINE, Spitfire</v>
      </c>
    </row>
    <row r="2301" spans="1:4" x14ac:dyDescent="0.2">
      <c r="A2301" t="str">
        <f>Sheet2!A2301</f>
        <v>SPOR</v>
      </c>
      <c r="B2301" t="str">
        <f ca="1">'Query Example'!D2301</f>
        <v>LandPlane</v>
      </c>
      <c r="C2301" s="11" t="str">
        <f>CONCATENATE(Sheet2!F2301,"/",Sheet2!E2301)</f>
        <v>1/Piston</v>
      </c>
      <c r="D2301" t="str">
        <f>CONCATENATE(Sheet2!B2301,", ",Sheet2!C2301)</f>
        <v>AMAX, Sport 1700</v>
      </c>
    </row>
    <row r="2302" spans="1:4" x14ac:dyDescent="0.2">
      <c r="A2302" t="str">
        <f>Sheet2!A2302</f>
        <v>SPR2</v>
      </c>
      <c r="B2302" t="str">
        <f ca="1">'Query Example'!D2302</f>
        <v>LandPlane</v>
      </c>
      <c r="C2302" s="11" t="str">
        <f>CONCATENATE(Sheet2!F2302,"/",Sheet2!E2302)</f>
        <v>1/Piston</v>
      </c>
      <c r="D2302" t="str">
        <f>CONCATENATE(Sheet2!B2302,", ",Sheet2!C2302)</f>
        <v>CARLSON, Sparrow 2</v>
      </c>
    </row>
    <row r="2303" spans="1:4" x14ac:dyDescent="0.2">
      <c r="A2303" t="str">
        <f>Sheet2!A2303</f>
        <v>SPRT</v>
      </c>
      <c r="B2303" t="str">
        <f ca="1">'Query Example'!D2303</f>
        <v>LandPlane</v>
      </c>
      <c r="C2303" s="11" t="str">
        <f>CONCATENATE(Sheet2!F2303,"/",Sheet2!E2303)</f>
        <v>1/Piston</v>
      </c>
      <c r="D2303" t="str">
        <f>CONCATENATE(Sheet2!B2303,", ",Sheet2!C2303)</f>
        <v>PRACTAVIA, Sprite</v>
      </c>
    </row>
    <row r="2304" spans="1:4" x14ac:dyDescent="0.2">
      <c r="A2304" t="str">
        <f>Sheet2!A2304</f>
        <v>SPST</v>
      </c>
      <c r="B2304" t="str">
        <f ca="1">'Query Example'!D2304</f>
        <v>LandPlane</v>
      </c>
      <c r="C2304" s="11" t="str">
        <f>CONCATENATE(Sheet2!F2304,"/",Sheet2!E2304)</f>
        <v>1/Piston</v>
      </c>
      <c r="D2304" t="str">
        <f>CONCATENATE(Sheet2!B2304,", ",Sheet2!C2304)</f>
        <v>GÖTAVERKEN, GV-38</v>
      </c>
    </row>
    <row r="2305" spans="1:4" x14ac:dyDescent="0.2">
      <c r="A2305" t="str">
        <f>Sheet2!A2305</f>
        <v>SPST</v>
      </c>
      <c r="B2305" t="str">
        <f ca="1">'Query Example'!D2305</f>
        <v>LandPlane</v>
      </c>
      <c r="C2305" s="11" t="str">
        <f>CONCATENATE(Sheet2!F2305,"/",Sheet2!E2305)</f>
        <v>1/Piston</v>
      </c>
      <c r="D2305" t="str">
        <f>CONCATENATE(Sheet2!B2305,", ",Sheet2!C2305)</f>
        <v>REARWIN, Sportster</v>
      </c>
    </row>
    <row r="2306" spans="1:4" x14ac:dyDescent="0.2">
      <c r="A2306" t="str">
        <f>Sheet2!A2306</f>
        <v>SPUP</v>
      </c>
      <c r="B2306" t="str">
        <f ca="1">'Query Example'!D2306</f>
        <v>LandPlane</v>
      </c>
      <c r="C2306" s="11" t="str">
        <f>CONCATENATE(Sheet2!F2306,"/",Sheet2!E2306)</f>
        <v>1/Piston</v>
      </c>
      <c r="D2306" t="str">
        <f>CONCATENATE(Sheet2!B2306,", ",Sheet2!C2306)</f>
        <v>SOPWITH, Pup</v>
      </c>
    </row>
    <row r="2307" spans="1:4" x14ac:dyDescent="0.2">
      <c r="A2307" t="str">
        <f>Sheet2!A2307</f>
        <v>SQ2T</v>
      </c>
      <c r="B2307" t="str">
        <f ca="1">'Query Example'!D2307</f>
        <v>LandPlane</v>
      </c>
      <c r="C2307" s="11" t="str">
        <f>CONCATENATE(Sheet2!F2307,"/",Sheet2!E2307)</f>
        <v>1/Piston</v>
      </c>
      <c r="D2307" t="str">
        <f>CONCATENATE(Sheet2!B2307,", ",Sheet2!C2307)</f>
        <v>GLASSIC, SQ-2000</v>
      </c>
    </row>
    <row r="2308" spans="1:4" x14ac:dyDescent="0.2">
      <c r="A2308" t="str">
        <f>Sheet2!A2308</f>
        <v>SQES</v>
      </c>
      <c r="B2308" t="str">
        <f ca="1">'Query Example'!D2308</f>
        <v>LandPlane</v>
      </c>
      <c r="C2308" s="11" t="str">
        <f>CONCATENATE(Sheet2!F2308,"/",Sheet2!E2308)</f>
        <v>2/Piston</v>
      </c>
      <c r="D2308" t="str">
        <f>CONCATENATE(Sheet2!B2308,", ",Sheet2!C2308)</f>
        <v>SLIPSTREAM, SkyQuest</v>
      </c>
    </row>
    <row r="2309" spans="1:4" x14ac:dyDescent="0.2">
      <c r="A2309" t="str">
        <f>Sheet2!A2309</f>
        <v>SR01</v>
      </c>
      <c r="B2309" t="str">
        <f ca="1">'Query Example'!D2309</f>
        <v>LandPlane</v>
      </c>
      <c r="C2309" s="11" t="str">
        <f>CONCATENATE(Sheet2!F2309,"/",Sheet2!E2309)</f>
        <v>1/Piston</v>
      </c>
      <c r="D2309" t="str">
        <f>CONCATENATE(Sheet2!B2309,", ",Sheet2!C2309)</f>
        <v>EURODISPLAY, SR-01 Magic</v>
      </c>
    </row>
    <row r="2310" spans="1:4" x14ac:dyDescent="0.2">
      <c r="A2310" t="str">
        <f>Sheet2!A2310</f>
        <v>SR20</v>
      </c>
      <c r="B2310" t="str">
        <f ca="1">'Query Example'!D2310</f>
        <v>LandPlane</v>
      </c>
      <c r="C2310" s="11" t="str">
        <f>CONCATENATE(Sheet2!F2310,"/",Sheet2!E2310)</f>
        <v>1/Piston</v>
      </c>
      <c r="D2310" t="str">
        <f>CONCATENATE(Sheet2!B2310,", ",Sheet2!C2310)</f>
        <v>CIRRUS, SR-20</v>
      </c>
    </row>
    <row r="2311" spans="1:4" x14ac:dyDescent="0.2">
      <c r="A2311" t="str">
        <f>Sheet2!A2311</f>
        <v>SR22</v>
      </c>
      <c r="B2311" t="str">
        <f ca="1">'Query Example'!D2311</f>
        <v>LandPlane</v>
      </c>
      <c r="C2311" s="11" t="str">
        <f>CONCATENATE(Sheet2!F2311,"/",Sheet2!E2311)</f>
        <v>1/Piston</v>
      </c>
      <c r="D2311" t="str">
        <f>CONCATENATE(Sheet2!B2311,", ",Sheet2!C2311)</f>
        <v>CIRRUS, SR-22</v>
      </c>
    </row>
    <row r="2312" spans="1:4" x14ac:dyDescent="0.2">
      <c r="A2312" t="str">
        <f>Sheet2!A2312</f>
        <v>SRAC</v>
      </c>
      <c r="B2312" t="str">
        <f ca="1">'Query Example'!D2312</f>
        <v>LandPlane</v>
      </c>
      <c r="C2312" s="11" t="str">
        <f>CONCATENATE(Sheet2!F2312,"/",Sheet2!E2312)</f>
        <v>1/Piston</v>
      </c>
      <c r="D2312" t="str">
        <f>CONCATENATE(Sheet2!B2312,", ",Sheet2!C2312)</f>
        <v>SPORT RACER, Sport Racer</v>
      </c>
    </row>
    <row r="2313" spans="1:4" x14ac:dyDescent="0.2">
      <c r="A2313" t="str">
        <f>Sheet2!A2313</f>
        <v>SRAI</v>
      </c>
      <c r="B2313" t="str">
        <f ca="1">'Query Example'!D2313</f>
        <v>LandPlane</v>
      </c>
      <c r="C2313" s="11" t="str">
        <f>CONCATENATE(Sheet2!F2313,"/",Sheet2!E2313)</f>
        <v>1/Piston</v>
      </c>
      <c r="D2313" t="str">
        <f>CONCATENATE(Sheet2!B2313,", ",Sheet2!C2313)</f>
        <v>GREAT PLAINS, Sonerai</v>
      </c>
    </row>
    <row r="2314" spans="1:4" x14ac:dyDescent="0.2">
      <c r="A2314" t="str">
        <f>Sheet2!A2314</f>
        <v>SRAS</v>
      </c>
      <c r="B2314" t="str">
        <f ca="1">'Query Example'!D2314</f>
        <v>LandPlane</v>
      </c>
      <c r="C2314" s="11" t="str">
        <f>CONCATENATE(Sheet2!F2314,"/",Sheet2!E2314)</f>
        <v>1/Piston</v>
      </c>
      <c r="D2314" t="str">
        <f>CONCATENATE(Sheet2!B2314,", ",Sheet2!C2314)</f>
        <v>D'APUZZO, D-260 Senior Aero Sport</v>
      </c>
    </row>
    <row r="2315" spans="1:4" x14ac:dyDescent="0.2">
      <c r="A2315" t="str">
        <f>Sheet2!A2315</f>
        <v>SRAY</v>
      </c>
      <c r="B2315" t="str">
        <f ca="1">'Query Example'!D2315</f>
        <v>Amphibian</v>
      </c>
      <c r="C2315" s="11" t="str">
        <f>CONCATENATE(Sheet2!F2315,"/",Sheet2!E2315)</f>
        <v>1/Piston</v>
      </c>
      <c r="D2315" t="str">
        <f>CONCATENATE(Sheet2!B2315,", ",Sheet2!C2315)</f>
        <v>DORNIER, S-Ray 007</v>
      </c>
    </row>
    <row r="2316" spans="1:4" x14ac:dyDescent="0.2">
      <c r="A2316" t="str">
        <f>Sheet2!A2316</f>
        <v>SREY</v>
      </c>
      <c r="B2316" t="str">
        <f ca="1">'Query Example'!D2316</f>
        <v>Amphibian</v>
      </c>
      <c r="C2316" s="11" t="str">
        <f>CONCATENATE(Sheet2!F2316,"/",Sheet2!E2316)</f>
        <v>1/Piston</v>
      </c>
      <c r="D2316" t="str">
        <f>CONCATENATE(Sheet2!B2316,", ",Sheet2!C2316)</f>
        <v>PROGRESSIVE AERODYNE, SeaRey</v>
      </c>
    </row>
    <row r="2317" spans="1:4" x14ac:dyDescent="0.2">
      <c r="A2317" t="str">
        <f>Sheet2!A2317</f>
        <v>SS2</v>
      </c>
      <c r="B2317" t="str">
        <f ca="1">'Query Example'!D2317</f>
        <v>LandPlane</v>
      </c>
      <c r="C2317" s="11" t="str">
        <f>CONCATENATE(Sheet2!F2317,"/",Sheet2!E2317)</f>
        <v>1/Rocket</v>
      </c>
      <c r="D2317" t="str">
        <f>CONCATENATE(Sheet2!B2317,", ",Sheet2!C2317)</f>
        <v>SCALED, 339 Space Ship Two</v>
      </c>
    </row>
    <row r="2318" spans="1:4" x14ac:dyDescent="0.2">
      <c r="A2318" t="str">
        <f>Sheet2!A2318</f>
        <v>SS2P</v>
      </c>
      <c r="B2318" t="str">
        <f ca="1">'Query Example'!D2318</f>
        <v>LandPlane</v>
      </c>
      <c r="C2318" s="11" t="str">
        <f>CONCATENATE(Sheet2!F2318,"/",Sheet2!E2318)</f>
        <v>1/Piston</v>
      </c>
      <c r="D2318" t="str">
        <f>CONCATENATE(Sheet2!B2318,", ",Sheet2!C2318)</f>
        <v>AYRES, Thrush</v>
      </c>
    </row>
    <row r="2319" spans="1:4" x14ac:dyDescent="0.2">
      <c r="A2319" t="str">
        <f>Sheet2!A2319</f>
        <v>SS2T</v>
      </c>
      <c r="B2319" t="str">
        <f ca="1">'Query Example'!D2319</f>
        <v>LandPlane</v>
      </c>
      <c r="C2319" s="11" t="str">
        <f>CONCATENATE(Sheet2!F2319,"/",Sheet2!E2319)</f>
        <v>1/Turboprop/Turboshaft</v>
      </c>
      <c r="D2319" t="str">
        <f>CONCATENATE(Sheet2!B2319,", ",Sheet2!C2319)</f>
        <v>AYRES, Turbo Thrush (S-2R-G/T except T660)</v>
      </c>
    </row>
    <row r="2320" spans="1:4" x14ac:dyDescent="0.2">
      <c r="A2320" t="str">
        <f>Sheet2!A2320</f>
        <v>SSAB</v>
      </c>
      <c r="B2320" t="str">
        <f ca="1">'Query Example'!D2320</f>
        <v>LandPlane</v>
      </c>
      <c r="C2320" s="11" t="str">
        <f>CONCATENATE(Sheet2!F2320,"/",Sheet2!E2320)</f>
        <v>1/Jet</v>
      </c>
      <c r="D2320" t="str">
        <f>CONCATENATE(Sheet2!B2320,", ",Sheet2!C2320)</f>
        <v>NORTH AMERICAN, F-100 Super Sabre</v>
      </c>
    </row>
    <row r="2321" spans="1:4" x14ac:dyDescent="0.2">
      <c r="A2321" t="str">
        <f>Sheet2!A2321</f>
        <v>SSC</v>
      </c>
      <c r="B2321" t="str">
        <f ca="1">'Query Example'!D2321</f>
        <v>Gyrocopter</v>
      </c>
      <c r="C2321" s="11" t="str">
        <f>CONCATENATE(Sheet2!F2321,"/",Sheet2!E2321)</f>
        <v>1/Piston</v>
      </c>
      <c r="D2321" t="str">
        <f>CONCATENATE(Sheet2!B2321,", ",Sheet2!C2321)</f>
        <v>BUTTERFLY, Super Sky Cycle</v>
      </c>
    </row>
    <row r="2322" spans="1:4" x14ac:dyDescent="0.2">
      <c r="A2322" t="str">
        <f>Sheet2!A2322</f>
        <v>SSTM</v>
      </c>
      <c r="B2322" t="str">
        <f ca="1">'Query Example'!D2322</f>
        <v>Amphibian</v>
      </c>
      <c r="C2322" s="11" t="str">
        <f>CONCATENATE(Sheet2!F2322,"/",Sheet2!E2322)</f>
        <v>1/Piston</v>
      </c>
      <c r="D2322" t="str">
        <f>CONCATENATE(Sheet2!B2322,", ",Sheet2!C2322)</f>
        <v>SG AVIATION, Sea Storm</v>
      </c>
    </row>
    <row r="2323" spans="1:4" x14ac:dyDescent="0.2">
      <c r="A2323" t="str">
        <f>Sheet2!A2323</f>
        <v>ST1</v>
      </c>
      <c r="B2323" t="str">
        <f ca="1">'Query Example'!D2323</f>
        <v>LandPlane</v>
      </c>
      <c r="C2323" s="11" t="str">
        <f>CONCATENATE(Sheet2!F2323,"/",Sheet2!E2323)</f>
        <v>2/Piston</v>
      </c>
      <c r="D2323" t="str">
        <f>CONCATENATE(Sheet2!B2323,", ",Sheet2!C2323)</f>
        <v>PHILLIPS, ST-1 Speedtwin</v>
      </c>
    </row>
    <row r="2324" spans="1:4" x14ac:dyDescent="0.2">
      <c r="A2324" t="str">
        <f>Sheet2!A2324</f>
        <v>ST10</v>
      </c>
      <c r="B2324" t="str">
        <f ca="1">'Query Example'!D2324</f>
        <v>LandPlane</v>
      </c>
      <c r="C2324" s="11" t="str">
        <f>CONCATENATE(Sheet2!F2324,"/",Sheet2!E2324)</f>
        <v>1/Piston</v>
      </c>
      <c r="D2324" t="str">
        <f>CONCATENATE(Sheet2!B2324,", ",Sheet2!C2324)</f>
        <v>SOCATA, ST-10 Provence</v>
      </c>
    </row>
    <row r="2325" spans="1:4" x14ac:dyDescent="0.2">
      <c r="A2325" t="str">
        <f>Sheet2!A2325</f>
        <v>ST3</v>
      </c>
      <c r="B2325" t="str">
        <f ca="1">'Query Example'!D2325</f>
        <v>LandPlane</v>
      </c>
      <c r="C2325" s="11" t="str">
        <f>CONCATENATE(Sheet2!F2325,"/",Sheet2!E2325)</f>
        <v>1/Piston</v>
      </c>
      <c r="D2325" t="str">
        <f>CONCATENATE(Sheet2!B2325,", ",Sheet2!C2325)</f>
        <v>STEARMAN, C-3</v>
      </c>
    </row>
    <row r="2326" spans="1:4" x14ac:dyDescent="0.2">
      <c r="A2326" t="str">
        <f>Sheet2!A2326</f>
        <v>ST30</v>
      </c>
      <c r="B2326" t="str">
        <f ca="1">'Query Example'!D2326</f>
        <v>LandPlane</v>
      </c>
      <c r="C2326" s="11" t="str">
        <f>CONCATENATE(Sheet2!F2326,"/",Sheet2!E2326)</f>
        <v>1/Piston</v>
      </c>
      <c r="D2326" t="str">
        <f>CONCATENATE(Sheet2!B2326,", ",Sheet2!C2326)</f>
        <v>STAUDACHER, S-300</v>
      </c>
    </row>
    <row r="2327" spans="1:4" x14ac:dyDescent="0.2">
      <c r="A2327" t="str">
        <f>Sheet2!A2327</f>
        <v>ST4</v>
      </c>
      <c r="B2327" t="str">
        <f ca="1">'Query Example'!D2327</f>
        <v>LandPlane</v>
      </c>
      <c r="C2327" s="11" t="str">
        <f>CONCATENATE(Sheet2!F2327,"/",Sheet2!E2327)</f>
        <v>1/Piston</v>
      </c>
      <c r="D2327" t="str">
        <f>CONCATENATE(Sheet2!B2327,", ",Sheet2!C2327)</f>
        <v>STEARMAN, 4 Junior Speedmail</v>
      </c>
    </row>
    <row r="2328" spans="1:4" x14ac:dyDescent="0.2">
      <c r="A2328" t="str">
        <f>Sheet2!A2328</f>
        <v>ST6</v>
      </c>
      <c r="B2328" t="str">
        <f ca="1">'Query Example'!D2328</f>
        <v>LandPlane</v>
      </c>
      <c r="C2328" s="11" t="str">
        <f>CONCATENATE(Sheet2!F2328,"/",Sheet2!E2328)</f>
        <v>1/Piston</v>
      </c>
      <c r="D2328" t="str">
        <f>CONCATENATE(Sheet2!B2328,", ",Sheet2!C2328)</f>
        <v>STEARMAN, 6 Cloudboy</v>
      </c>
    </row>
    <row r="2329" spans="1:4" x14ac:dyDescent="0.2">
      <c r="A2329" t="str">
        <f>Sheet2!A2329</f>
        <v>ST60</v>
      </c>
      <c r="B2329" t="str">
        <f ca="1">'Query Example'!D2329</f>
        <v>LandPlane</v>
      </c>
      <c r="C2329" s="11" t="str">
        <f>CONCATENATE(Sheet2!F2329,"/",Sheet2!E2329)</f>
        <v>1/Piston</v>
      </c>
      <c r="D2329" t="str">
        <f>CONCATENATE(Sheet2!B2329,", ",Sheet2!C2329)</f>
        <v>STAUDACHER, S-600</v>
      </c>
    </row>
    <row r="2330" spans="1:4" x14ac:dyDescent="0.2">
      <c r="A2330" t="str">
        <f>Sheet2!A2330</f>
        <v>ST75</v>
      </c>
      <c r="B2330" t="str">
        <f ca="1">'Query Example'!D2330</f>
        <v>LandPlane</v>
      </c>
      <c r="C2330" s="11" t="str">
        <f>CONCATENATE(Sheet2!F2330,"/",Sheet2!E2330)</f>
        <v>1/Piston</v>
      </c>
      <c r="D2330" t="str">
        <f>CONCATENATE(Sheet2!B2330,", ",Sheet2!C2330)</f>
        <v>STEARMAN, 75 Kaydet</v>
      </c>
    </row>
    <row r="2331" spans="1:4" x14ac:dyDescent="0.2">
      <c r="A2331" t="str">
        <f>Sheet2!A2331</f>
        <v>ST87</v>
      </c>
      <c r="B2331" t="str">
        <f ca="1">'Query Example'!D2331</f>
        <v>LandPlane</v>
      </c>
      <c r="C2331" s="11" t="str">
        <f>CONCATENATE(Sheet2!F2331,"/",Sheet2!E2331)</f>
        <v>1/Piston</v>
      </c>
      <c r="D2331" t="str">
        <f>CONCATENATE(Sheet2!B2331,", ",Sheet2!C2331)</f>
        <v>STERN, ST-87 Europlane</v>
      </c>
    </row>
    <row r="2332" spans="1:4" x14ac:dyDescent="0.2">
      <c r="A2332" t="str">
        <f>Sheet2!A2332</f>
        <v>STAL</v>
      </c>
      <c r="B2332" t="str">
        <f ca="1">'Query Example'!D2332</f>
        <v>LandPlane</v>
      </c>
      <c r="C2332" s="11" t="str">
        <f>CONCATENATE(Sheet2!F2332,"/",Sheet2!E2332)</f>
        <v>1/Piston</v>
      </c>
      <c r="D2332" t="str">
        <f>CONCATENATE(Sheet2!B2332,", ",Sheet2!C2332)</f>
        <v>AIRCRAFT DESIGNS, Stallion</v>
      </c>
    </row>
    <row r="2333" spans="1:4" x14ac:dyDescent="0.2">
      <c r="A2333" t="str">
        <f>Sheet2!A2333</f>
        <v>STAR</v>
      </c>
      <c r="B2333" t="str">
        <f ca="1">'Query Example'!D2333</f>
        <v>LandPlane</v>
      </c>
      <c r="C2333" s="11" t="str">
        <f>CONCATENATE(Sheet2!F2333,"/",Sheet2!E2333)</f>
        <v>2/Turboprop/Turboshaft</v>
      </c>
      <c r="D2333" t="str">
        <f>CONCATENATE(Sheet2!B2333,", ",Sheet2!C2333)</f>
        <v>RAYTHEON, 2000 Starship</v>
      </c>
    </row>
    <row r="2334" spans="1:4" x14ac:dyDescent="0.2">
      <c r="A2334" t="str">
        <f>Sheet2!A2334</f>
        <v>STAT</v>
      </c>
      <c r="B2334" t="str">
        <f ca="1">'Query Example'!D2334</f>
        <v>LandPlane</v>
      </c>
      <c r="C2334" s="11" t="str">
        <f>CONCATENATE(Sheet2!F2334,"/",Sheet2!E2334)</f>
        <v>1/Turboprop/Turboshaft</v>
      </c>
      <c r="D2334" t="str">
        <f>CONCATENATE(Sheet2!B2334,", ",Sheet2!C2334)</f>
        <v>AIRCRAFT DESIGNS, Turbine Stallion</v>
      </c>
    </row>
    <row r="2335" spans="1:4" x14ac:dyDescent="0.2">
      <c r="A2335" t="str">
        <f>Sheet2!A2335</f>
        <v>STCH</v>
      </c>
      <c r="B2335" t="str">
        <f ca="1">'Query Example'!D2335</f>
        <v>LandPlane</v>
      </c>
      <c r="C2335" s="11" t="str">
        <f>CONCATENATE(Sheet2!F2335,"/",Sheet2!E2335)</f>
        <v>1/Piston</v>
      </c>
      <c r="D2335" t="str">
        <f>CONCATENATE(Sheet2!B2335,", ",Sheet2!C2335)</f>
        <v>FLY SYNTHESIS, Storch</v>
      </c>
    </row>
    <row r="2336" spans="1:4" x14ac:dyDescent="0.2">
      <c r="A2336" t="str">
        <f>Sheet2!A2336</f>
        <v>STFF</v>
      </c>
      <c r="B2336" t="str">
        <f ca="1">'Query Example'!D2336</f>
        <v>LandPlane</v>
      </c>
      <c r="C2336" s="11" t="str">
        <f>CONCATENATE(Sheet2!F2336,"/",Sheet2!E2336)</f>
        <v>1/Piston</v>
      </c>
      <c r="D2336" t="str">
        <f>CONCATENATE(Sheet2!B2336,", ",Sheet2!C2336)</f>
        <v>STATLER, Firefly</v>
      </c>
    </row>
    <row r="2337" spans="1:4" x14ac:dyDescent="0.2">
      <c r="A2337" t="str">
        <f>Sheet2!A2337</f>
        <v>STIL</v>
      </c>
      <c r="B2337" t="str">
        <f ca="1">'Query Example'!D2337</f>
        <v>LandPlane</v>
      </c>
      <c r="C2337" s="11" t="str">
        <f>CONCATENATE(Sheet2!F2337,"/",Sheet2!E2337)</f>
        <v>1/Piston</v>
      </c>
      <c r="D2337" t="str">
        <f>CONCATENATE(Sheet2!B2337,", ",Sheet2!C2337)</f>
        <v>TERZI, T-9 Stiletto</v>
      </c>
    </row>
    <row r="2338" spans="1:4" x14ac:dyDescent="0.2">
      <c r="A2338" t="str">
        <f>Sheet2!A2338</f>
        <v>STLN</v>
      </c>
      <c r="B2338" t="str">
        <f ca="1">'Query Example'!D2338</f>
        <v>LandPlane</v>
      </c>
      <c r="C2338" s="11" t="str">
        <f>CONCATENATE(Sheet2!F2338,"/",Sheet2!E2338)</f>
        <v>1/Turboprop/Turboshaft</v>
      </c>
      <c r="D2338" t="str">
        <f>CONCATENATE(Sheet2!B2338,", ",Sheet2!C2338)</f>
        <v>HELIO, AU-24 Stallion</v>
      </c>
    </row>
    <row r="2339" spans="1:4" x14ac:dyDescent="0.2">
      <c r="A2339" t="str">
        <f>Sheet2!A2339</f>
        <v>STOR</v>
      </c>
      <c r="B2339" t="str">
        <f ca="1">'Query Example'!D2339</f>
        <v>LandPlane</v>
      </c>
      <c r="C2339" s="11" t="str">
        <f>CONCATENATE(Sheet2!F2339,"/",Sheet2!E2339)</f>
        <v>1/Piston</v>
      </c>
      <c r="D2339" t="str">
        <f>CONCATENATE(Sheet2!B2339,", ",Sheet2!C2339)</f>
        <v>STORCH AVIATION, SS-4 Storch</v>
      </c>
    </row>
    <row r="2340" spans="1:4" x14ac:dyDescent="0.2">
      <c r="A2340" t="str">
        <f>Sheet2!A2340</f>
        <v>STR2</v>
      </c>
      <c r="B2340" t="str">
        <f ca="1">'Query Example'!D2340</f>
        <v>LandPlane</v>
      </c>
      <c r="C2340" s="11" t="str">
        <f>CONCATENATE(Sheet2!F2340,"/",Sheet2!E2340)</f>
        <v>1/Piston</v>
      </c>
      <c r="D2340" t="str">
        <f>CONCATENATE(Sheet2!B2340,", ",Sheet2!C2340)</f>
        <v>STROJNIK, S-2</v>
      </c>
    </row>
    <row r="2341" spans="1:4" x14ac:dyDescent="0.2">
      <c r="A2341" t="str">
        <f>Sheet2!A2341</f>
        <v>STRA</v>
      </c>
      <c r="B2341" t="str">
        <f ca="1">'Query Example'!D2341</f>
        <v>LandPlane</v>
      </c>
      <c r="C2341" s="11" t="str">
        <f>CONCATENATE(Sheet2!F2341,"/",Sheet2!E2341)</f>
        <v>1/Piston</v>
      </c>
      <c r="D2341" t="str">
        <f>CONCATENATE(Sheet2!B2341,", ",Sheet2!C2341)</f>
        <v>STRIPLIN, Sky Ranger</v>
      </c>
    </row>
    <row r="2342" spans="1:4" x14ac:dyDescent="0.2">
      <c r="A2342" t="str">
        <f>Sheet2!A2342</f>
        <v>STRE</v>
      </c>
      <c r="B2342" t="str">
        <f ca="1">'Query Example'!D2342</f>
        <v>LandPlane</v>
      </c>
      <c r="C2342" s="11" t="str">
        <f>CONCATENATE(Sheet2!F2342,"/",Sheet2!E2342)</f>
        <v>1/Piston</v>
      </c>
      <c r="D2342" t="str">
        <f>CONCATENATE(Sheet2!B2342,", ",Sheet2!C2342)</f>
        <v>TL ULTRALIGHT, Stream</v>
      </c>
    </row>
    <row r="2343" spans="1:4" x14ac:dyDescent="0.2">
      <c r="A2343" t="str">
        <f>Sheet2!A2343</f>
        <v>STRI</v>
      </c>
      <c r="B2343" t="str">
        <f ca="1">'Query Example'!D2343</f>
        <v>LandPlane</v>
      </c>
      <c r="C2343" s="11" t="str">
        <f>CONCATENATE(Sheet2!F2343,"/",Sheet2!E2343)</f>
        <v>1/Piston</v>
      </c>
      <c r="D2343" t="str">
        <f>CONCATENATE(Sheet2!B2343,", ",Sheet2!C2343)</f>
        <v>SOPWITH, Triplane Replica</v>
      </c>
    </row>
    <row r="2344" spans="1:4" x14ac:dyDescent="0.2">
      <c r="A2344" t="str">
        <f>Sheet2!A2344</f>
        <v>STRK</v>
      </c>
      <c r="B2344" t="str">
        <f ca="1">'Query Example'!D2344</f>
        <v>LandPlane</v>
      </c>
      <c r="C2344" s="11" t="str">
        <f>CONCATENATE(Sheet2!F2344,"/",Sheet2!E2344)</f>
        <v>1/Jet</v>
      </c>
      <c r="D2344" t="str">
        <f>CONCATENATE(Sheet2!B2344,", ",Sheet2!C2344)</f>
        <v>BRITISH AEROSPACE, BAC-167 Strikemaster</v>
      </c>
    </row>
    <row r="2345" spans="1:4" x14ac:dyDescent="0.2">
      <c r="A2345" t="str">
        <f>Sheet2!A2345</f>
        <v>STRM</v>
      </c>
      <c r="B2345" t="str">
        <f ca="1">'Query Example'!D2345</f>
        <v>LandPlane</v>
      </c>
      <c r="C2345" s="11" t="str">
        <f>CONCATENATE(Sheet2!F2345,"/",Sheet2!E2345)</f>
        <v>1/Piston</v>
      </c>
      <c r="D2345" t="str">
        <f>CONCATENATE(Sheet2!B2345,", ",Sheet2!C2345)</f>
        <v>SG AVIATION, Storm</v>
      </c>
    </row>
    <row r="2346" spans="1:4" x14ac:dyDescent="0.2">
      <c r="A2346" t="str">
        <f>Sheet2!A2346</f>
        <v>STST</v>
      </c>
      <c r="B2346" t="str">
        <f ca="1">'Query Example'!D2346</f>
        <v>LandPlane</v>
      </c>
      <c r="C2346" s="11" t="str">
        <f>CONCATENATE(Sheet2!F2346,"/",Sheet2!E2346)</f>
        <v>1/Piston</v>
      </c>
      <c r="D2346" t="str">
        <f>CONCATENATE(Sheet2!B2346,", ",Sheet2!C2346)</f>
        <v>CFM, SA-2 Star Streak</v>
      </c>
    </row>
    <row r="2347" spans="1:4" x14ac:dyDescent="0.2">
      <c r="A2347" t="str">
        <f>Sheet2!A2347</f>
        <v>SU17</v>
      </c>
      <c r="B2347" t="str">
        <f ca="1">'Query Example'!D2347</f>
        <v>LandPlane</v>
      </c>
      <c r="C2347" s="11" t="str">
        <f>CONCATENATE(Sheet2!F2347,"/",Sheet2!E2347)</f>
        <v>1/Jet</v>
      </c>
      <c r="D2347" t="str">
        <f>CONCATENATE(Sheet2!B2347,", ",Sheet2!C2347)</f>
        <v>SUKHOI, Su-17</v>
      </c>
    </row>
    <row r="2348" spans="1:4" x14ac:dyDescent="0.2">
      <c r="A2348" t="str">
        <f>Sheet2!A2348</f>
        <v>SU24</v>
      </c>
      <c r="B2348" t="str">
        <f ca="1">'Query Example'!D2348</f>
        <v>LandPlane</v>
      </c>
      <c r="C2348" s="11" t="str">
        <f>CONCATENATE(Sheet2!F2348,"/",Sheet2!E2348)</f>
        <v>2/Jet</v>
      </c>
      <c r="D2348" t="str">
        <f>CONCATENATE(Sheet2!B2348,", ",Sheet2!C2348)</f>
        <v>SUKHOI, Su-24</v>
      </c>
    </row>
    <row r="2349" spans="1:4" x14ac:dyDescent="0.2">
      <c r="A2349" t="str">
        <f>Sheet2!A2349</f>
        <v>SU25</v>
      </c>
      <c r="B2349" t="str">
        <f ca="1">'Query Example'!D2349</f>
        <v>LandPlane</v>
      </c>
      <c r="C2349" s="11" t="str">
        <f>CONCATENATE(Sheet2!F2349,"/",Sheet2!E2349)</f>
        <v>2/Jet</v>
      </c>
      <c r="D2349" t="str">
        <f>CONCATENATE(Sheet2!B2349,", ",Sheet2!C2349)</f>
        <v>SUKHOI, Su-25</v>
      </c>
    </row>
    <row r="2350" spans="1:4" x14ac:dyDescent="0.2">
      <c r="A2350" t="str">
        <f>Sheet2!A2350</f>
        <v>SU26</v>
      </c>
      <c r="B2350" t="str">
        <f ca="1">'Query Example'!D2350</f>
        <v>LandPlane</v>
      </c>
      <c r="C2350" s="11" t="str">
        <f>CONCATENATE(Sheet2!F2350,"/",Sheet2!E2350)</f>
        <v>1/Piston</v>
      </c>
      <c r="D2350" t="str">
        <f>CONCATENATE(Sheet2!B2350,", ",Sheet2!C2350)</f>
        <v>SUKHOI, Su-26</v>
      </c>
    </row>
    <row r="2351" spans="1:4" x14ac:dyDescent="0.2">
      <c r="A2351" t="str">
        <f>Sheet2!A2351</f>
        <v>SU27</v>
      </c>
      <c r="B2351" t="str">
        <f ca="1">'Query Example'!D2351</f>
        <v>LandPlane</v>
      </c>
      <c r="C2351" s="11" t="str">
        <f>CONCATENATE(Sheet2!F2351,"/",Sheet2!E2351)</f>
        <v>2/Jet</v>
      </c>
      <c r="D2351" t="str">
        <f>CONCATENATE(Sheet2!B2351,", ",Sheet2!C2351)</f>
        <v>SUKHOI, Su-27</v>
      </c>
    </row>
    <row r="2352" spans="1:4" x14ac:dyDescent="0.2">
      <c r="A2352" t="str">
        <f>Sheet2!A2352</f>
        <v>SU29</v>
      </c>
      <c r="B2352" t="str">
        <f ca="1">'Query Example'!D2352</f>
        <v>LandPlane</v>
      </c>
      <c r="C2352" s="11" t="str">
        <f>CONCATENATE(Sheet2!F2352,"/",Sheet2!E2352)</f>
        <v>1/Piston</v>
      </c>
      <c r="D2352" t="str">
        <f>CONCATENATE(Sheet2!B2352,", ",Sheet2!C2352)</f>
        <v>SUKHOI, Su-29</v>
      </c>
    </row>
    <row r="2353" spans="1:4" x14ac:dyDescent="0.2">
      <c r="A2353" t="str">
        <f>Sheet2!A2353</f>
        <v>SU31</v>
      </c>
      <c r="B2353" t="str">
        <f ca="1">'Query Example'!D2353</f>
        <v>LandPlane</v>
      </c>
      <c r="C2353" s="11" t="str">
        <f>CONCATENATE(Sheet2!F2353,"/",Sheet2!E2353)</f>
        <v>1/Piston</v>
      </c>
      <c r="D2353" t="str">
        <f>CONCATENATE(Sheet2!B2353,", ",Sheet2!C2353)</f>
        <v>SUKHOI, Su-31</v>
      </c>
    </row>
    <row r="2354" spans="1:4" x14ac:dyDescent="0.2">
      <c r="A2354" t="str">
        <f>Sheet2!A2354</f>
        <v>SU38</v>
      </c>
      <c r="B2354" t="str">
        <f ca="1">'Query Example'!D2354</f>
        <v>LandPlane</v>
      </c>
      <c r="C2354" s="11" t="str">
        <f>CONCATENATE(Sheet2!F2354,"/",Sheet2!E2354)</f>
        <v>1/Piston</v>
      </c>
      <c r="D2354" t="str">
        <f>CONCATENATE(Sheet2!B2354,", ",Sheet2!C2354)</f>
        <v>SUKHOI, Su-38</v>
      </c>
    </row>
    <row r="2355" spans="1:4" x14ac:dyDescent="0.2">
      <c r="A2355" t="str">
        <f>Sheet2!A2355</f>
        <v>SU57</v>
      </c>
      <c r="B2355" t="str">
        <f ca="1">'Query Example'!D2355</f>
        <v>LandPlane</v>
      </c>
      <c r="C2355" s="11" t="str">
        <f>CONCATENATE(Sheet2!F2355,"/",Sheet2!E2355)</f>
        <v>2/Jet</v>
      </c>
      <c r="D2355" t="str">
        <f>CONCATENATE(Sheet2!B2355,", ",Sheet2!C2355)</f>
        <v>SUKHOI, Su-57</v>
      </c>
    </row>
    <row r="2356" spans="1:4" x14ac:dyDescent="0.2">
      <c r="A2356" t="str">
        <f>Sheet2!A2356</f>
        <v>SU7</v>
      </c>
      <c r="B2356" t="str">
        <f ca="1">'Query Example'!D2356</f>
        <v>LandPlane</v>
      </c>
      <c r="C2356" s="11" t="str">
        <f>CONCATENATE(Sheet2!F2356,"/",Sheet2!E2356)</f>
        <v>1/Jet</v>
      </c>
      <c r="D2356" t="str">
        <f>CONCATENATE(Sheet2!B2356,", ",Sheet2!C2356)</f>
        <v>SUKHOI, Su-7</v>
      </c>
    </row>
    <row r="2357" spans="1:4" x14ac:dyDescent="0.2">
      <c r="A2357" t="str">
        <f>Sheet2!A2357</f>
        <v>SU80</v>
      </c>
      <c r="B2357" t="str">
        <f ca="1">'Query Example'!D2357</f>
        <v>LandPlane</v>
      </c>
      <c r="C2357" s="11" t="str">
        <f>CONCATENATE(Sheet2!F2357,"/",Sheet2!E2357)</f>
        <v>2/Turboprop/Turboshaft</v>
      </c>
      <c r="D2357" t="str">
        <f>CONCATENATE(Sheet2!B2357,", ",Sheet2!C2357)</f>
        <v>SUKHOI, Su-80</v>
      </c>
    </row>
    <row r="2358" spans="1:4" x14ac:dyDescent="0.2">
      <c r="A2358" t="str">
        <f>Sheet2!A2358</f>
        <v>SU95</v>
      </c>
      <c r="B2358" t="str">
        <f ca="1">'Query Example'!D2358</f>
        <v>LandPlane</v>
      </c>
      <c r="C2358" s="11" t="str">
        <f>CONCATENATE(Sheet2!F2358,"/",Sheet2!E2358)</f>
        <v>2/Jet</v>
      </c>
      <c r="D2358" t="str">
        <f>CONCATENATE(Sheet2!B2358,", ",Sheet2!C2358)</f>
        <v>SUKHOI, Superjet 100-95</v>
      </c>
    </row>
    <row r="2359" spans="1:4" x14ac:dyDescent="0.2">
      <c r="A2359" t="str">
        <f>Sheet2!A2359</f>
        <v>SUBA</v>
      </c>
      <c r="B2359" t="str">
        <f ca="1">'Query Example'!D2359</f>
        <v>LandPlane</v>
      </c>
      <c r="C2359" s="11" t="str">
        <f>CONCATENATE(Sheet2!F2359,"/",Sheet2!E2359)</f>
        <v>1/Piston</v>
      </c>
      <c r="D2359" t="str">
        <f>CONCATENATE(Sheet2!B2359,", ",Sheet2!C2359)</f>
        <v>FUJI, FA-200 Aero Subaru</v>
      </c>
    </row>
    <row r="2360" spans="1:4" x14ac:dyDescent="0.2">
      <c r="A2360" t="str">
        <f>Sheet2!A2360</f>
        <v>SUCO</v>
      </c>
      <c r="B2360" t="str">
        <f ca="1">'Query Example'!D2360</f>
        <v>Helicopter</v>
      </c>
      <c r="C2360" s="11" t="str">
        <f>CONCATENATE(Sheet2!F2360,"/",Sheet2!E2360)</f>
        <v>2/Turboprop/Turboshaft</v>
      </c>
      <c r="D2360" t="str">
        <f>CONCATENATE(Sheet2!B2360,", ",Sheet2!C2360)</f>
        <v>BELL, AH-1Z SuperCobra</v>
      </c>
    </row>
    <row r="2361" spans="1:4" x14ac:dyDescent="0.2">
      <c r="A2361" t="str">
        <f>Sheet2!A2361</f>
        <v>SUNB</v>
      </c>
      <c r="B2361" t="str">
        <f ca="1">'Query Example'!D2361</f>
        <v>LandPlane</v>
      </c>
      <c r="C2361" s="11" t="str">
        <f>CONCATENATE(Sheet2!F2361,"/",Sheet2!E2361)</f>
        <v>1/Piston</v>
      </c>
      <c r="D2361" t="str">
        <f>CONCATENATE(Sheet2!B2361,", ",Sheet2!C2361)</f>
        <v>VERILITE, 100 Sunbird</v>
      </c>
    </row>
    <row r="2362" spans="1:4" x14ac:dyDescent="0.2">
      <c r="A2362" t="str">
        <f>Sheet2!A2362</f>
        <v>SUNV</v>
      </c>
      <c r="B2362" t="str">
        <f ca="1">'Query Example'!D2362</f>
        <v>LandPlane</v>
      </c>
      <c r="C2362" s="11" t="str">
        <f>CONCATENATE(Sheet2!F2362,"/",Sheet2!E2362)</f>
        <v>1/Piston</v>
      </c>
      <c r="D2362" t="str">
        <f>CONCATENATE(Sheet2!B2362,", ",Sheet2!C2362)</f>
        <v>FOKKER, Super Universal</v>
      </c>
    </row>
    <row r="2363" spans="1:4" x14ac:dyDescent="0.2">
      <c r="A2363" t="str">
        <f>Sheet2!A2363</f>
        <v>SURN</v>
      </c>
      <c r="B2363" t="str">
        <f ca="1">'Query Example'!D2363</f>
        <v>Helicopter</v>
      </c>
      <c r="C2363" s="11" t="str">
        <f>CONCATENATE(Sheet2!F2363,"/",Sheet2!E2363)</f>
        <v>2/Turboprop/Turboshaft</v>
      </c>
      <c r="D2363" t="str">
        <f>CONCATENATE(Sheet2!B2363,", ",Sheet2!C2363)</f>
        <v>KOREA AEROSPACE, Surion</v>
      </c>
    </row>
    <row r="2364" spans="1:4" x14ac:dyDescent="0.2">
      <c r="A2364" t="str">
        <f>Sheet2!A2364</f>
        <v>SURU</v>
      </c>
      <c r="B2364" t="str">
        <f ca="1">'Query Example'!D2364</f>
        <v>LandPlane</v>
      </c>
      <c r="C2364" s="11" t="str">
        <f>CONCATENATE(Sheet2!F2364,"/",Sheet2!E2364)</f>
        <v>1/Piston</v>
      </c>
      <c r="D2364" t="str">
        <f>CONCATENATE(Sheet2!B2364,", ",Sheet2!C2364)</f>
        <v>IPT, IPT-16 Surubim</v>
      </c>
    </row>
    <row r="2365" spans="1:4" x14ac:dyDescent="0.2">
      <c r="A2365" t="str">
        <f>Sheet2!A2365</f>
        <v>SUSO</v>
      </c>
      <c r="B2365" t="str">
        <f ca="1">'Query Example'!D2365</f>
        <v>LandPlane</v>
      </c>
      <c r="C2365" s="11" t="str">
        <f>CONCATENATE(Sheet2!F2365,"/",Sheet2!E2365)</f>
        <v>1/Piston</v>
      </c>
      <c r="D2365" t="str">
        <f>CONCATENATE(Sheet2!B2365,", ",Sheet2!C2365)</f>
        <v>VSTOL, SS-2000 Super Solution</v>
      </c>
    </row>
    <row r="2366" spans="1:4" x14ac:dyDescent="0.2">
      <c r="A2366" t="str">
        <f>Sheet2!A2366</f>
        <v>SV4</v>
      </c>
      <c r="B2366" t="str">
        <f ca="1">'Query Example'!D2366</f>
        <v>LandPlane</v>
      </c>
      <c r="C2366" s="11" t="str">
        <f>CONCATENATE(Sheet2!F2366,"/",Sheet2!E2366)</f>
        <v>1/Piston</v>
      </c>
      <c r="D2366" t="str">
        <f>CONCATENATE(Sheet2!B2366,", ",Sheet2!C2366)</f>
        <v>STAMPE, SV-4</v>
      </c>
    </row>
    <row r="2367" spans="1:4" x14ac:dyDescent="0.2">
      <c r="A2367" t="str">
        <f>Sheet2!A2367</f>
        <v>SVNH</v>
      </c>
      <c r="B2367" t="str">
        <f ca="1">'Query Example'!D2367</f>
        <v>LandPlane</v>
      </c>
      <c r="C2367" s="11" t="str">
        <f>CONCATENATE(Sheet2!F2367,"/",Sheet2!E2367)</f>
        <v>1/Piston</v>
      </c>
      <c r="D2367" t="str">
        <f>CONCATENATE(Sheet2!B2367,", ",Sheet2!C2367)</f>
        <v>ICP, MXP-740 Savannah</v>
      </c>
    </row>
    <row r="2368" spans="1:4" x14ac:dyDescent="0.2">
      <c r="A2368" t="str">
        <f>Sheet2!A2368</f>
        <v>SW18</v>
      </c>
      <c r="B2368" t="str">
        <f ca="1">'Query Example'!D2368</f>
        <v>LandPlane</v>
      </c>
      <c r="C2368" s="11" t="str">
        <f>CONCATENATE(Sheet2!F2368,"/",Sheet2!E2368)</f>
        <v>1/Piston</v>
      </c>
      <c r="D2368" t="str">
        <f>CONCATENATE(Sheet2!B2368,", ",Sheet2!C2368)</f>
        <v>SKYWOOD, SW-18 Teddy</v>
      </c>
    </row>
    <row r="2369" spans="1:4" x14ac:dyDescent="0.2">
      <c r="A2369" t="str">
        <f>Sheet2!A2369</f>
        <v>SW2</v>
      </c>
      <c r="B2369" t="str">
        <f ca="1">'Query Example'!D2369</f>
        <v>LandPlane</v>
      </c>
      <c r="C2369" s="11" t="str">
        <f>CONCATENATE(Sheet2!F2369,"/",Sheet2!E2369)</f>
        <v>2/Turboprop/Turboshaft</v>
      </c>
      <c r="D2369" t="str">
        <f>CONCATENATE(Sheet2!B2369,", ",Sheet2!C2369)</f>
        <v>SWEARINGEN, Merlin 2</v>
      </c>
    </row>
    <row r="2370" spans="1:4" x14ac:dyDescent="0.2">
      <c r="A2370" t="str">
        <f>Sheet2!A2370</f>
        <v>SW3</v>
      </c>
      <c r="B2370" t="str">
        <f ca="1">'Query Example'!D2370</f>
        <v>LandPlane</v>
      </c>
      <c r="C2370" s="11" t="str">
        <f>CONCATENATE(Sheet2!F2370,"/",Sheet2!E2370)</f>
        <v>2/Turboprop/Turboshaft</v>
      </c>
      <c r="D2370" t="str">
        <f>CONCATENATE(Sheet2!B2370,", ",Sheet2!C2370)</f>
        <v>SWEARINGEN, Merlin 3</v>
      </c>
    </row>
    <row r="2371" spans="1:4" x14ac:dyDescent="0.2">
      <c r="A2371" t="str">
        <f>Sheet2!A2371</f>
        <v>SW4</v>
      </c>
      <c r="B2371" t="str">
        <f ca="1">'Query Example'!D2371</f>
        <v>LandPlane</v>
      </c>
      <c r="C2371" s="11" t="str">
        <f>CONCATENATE(Sheet2!F2371,"/",Sheet2!E2371)</f>
        <v>2/Turboprop/Turboshaft</v>
      </c>
      <c r="D2371" t="str">
        <f>CONCATENATE(Sheet2!B2371,", ",Sheet2!C2371)</f>
        <v>SWEARINGEN, Merlin 4</v>
      </c>
    </row>
    <row r="2372" spans="1:4" x14ac:dyDescent="0.2">
      <c r="A2372" t="str">
        <f>Sheet2!A2372</f>
        <v>SWAK</v>
      </c>
      <c r="B2372" t="str">
        <f ca="1">'Query Example'!D2372</f>
        <v>LandPlane</v>
      </c>
      <c r="C2372" s="11" t="str">
        <f>CONCATENATE(Sheet2!F2372,"/",Sheet2!E2372)</f>
        <v>1/Piston</v>
      </c>
      <c r="D2372" t="str">
        <f>CONCATENATE(Sheet2!B2372,", ",Sheet2!C2372)</f>
        <v>ANGLIN, Space Walker 1</v>
      </c>
    </row>
    <row r="2373" spans="1:4" x14ac:dyDescent="0.2">
      <c r="A2373" t="str">
        <f>Sheet2!A2373</f>
        <v>SWAT</v>
      </c>
      <c r="B2373" t="str">
        <f ca="1">'Query Example'!D2373</f>
        <v>LandPlane</v>
      </c>
      <c r="C2373" s="11" t="str">
        <f>CONCATENATE(Sheet2!F2373,"/",Sheet2!E2373)</f>
        <v>1/Piston</v>
      </c>
      <c r="D2373" t="str">
        <f>CONCATENATE(Sheet2!B2373,", ",Sheet2!C2373)</f>
        <v>BHARAT, LT-1 Swati</v>
      </c>
    </row>
    <row r="2374" spans="1:4" x14ac:dyDescent="0.2">
      <c r="A2374" t="str">
        <f>Sheet2!A2374</f>
        <v>SWIF</v>
      </c>
      <c r="B2374" t="str">
        <f ca="1">'Query Example'!D2374</f>
        <v>LandPlane</v>
      </c>
      <c r="C2374" s="11" t="str">
        <f>CONCATENATE(Sheet2!F2374,"/",Sheet2!E2374)</f>
        <v>1/Jet</v>
      </c>
      <c r="D2374" t="str">
        <f>CONCATENATE(Sheet2!B2374,", ",Sheet2!C2374)</f>
        <v>SUPERMARINE, Swift</v>
      </c>
    </row>
    <row r="2375" spans="1:4" x14ac:dyDescent="0.2">
      <c r="A2375" t="str">
        <f>Sheet2!A2375</f>
        <v>SWIN</v>
      </c>
      <c r="B2375" t="str">
        <f ca="1">'Query Example'!D2375</f>
        <v>LandPlane</v>
      </c>
      <c r="C2375" s="11" t="str">
        <f>CONCATENATE(Sheet2!F2375,"/",Sheet2!E2375)</f>
        <v>1/Piston</v>
      </c>
      <c r="D2375" t="str">
        <f>CONCATENATE(Sheet2!B2375,", ",Sheet2!C2375)</f>
        <v>S-WING, S-Wing</v>
      </c>
    </row>
    <row r="2376" spans="1:4" x14ac:dyDescent="0.2">
      <c r="A2376" t="str">
        <f>Sheet2!A2376</f>
        <v>SWOR</v>
      </c>
      <c r="B2376" t="str">
        <f ca="1">'Query Example'!D2376</f>
        <v>LandPlane</v>
      </c>
      <c r="C2376" s="11" t="str">
        <f>CONCATENATE(Sheet2!F2376,"/",Sheet2!E2376)</f>
        <v>1/Piston</v>
      </c>
      <c r="D2376" t="str">
        <f>CONCATENATE(Sheet2!B2376,", ",Sheet2!C2376)</f>
        <v>FAIREY, Swordfish</v>
      </c>
    </row>
    <row r="2377" spans="1:4" x14ac:dyDescent="0.2">
      <c r="A2377" t="str">
        <f>Sheet2!A2377</f>
        <v>SX30</v>
      </c>
      <c r="B2377" t="str">
        <f ca="1">'Query Example'!D2377</f>
        <v>LandPlane</v>
      </c>
      <c r="C2377" s="11" t="str">
        <f>CONCATENATE(Sheet2!F2377,"/",Sheet2!E2377)</f>
        <v>1/Piston</v>
      </c>
      <c r="D2377" t="str">
        <f>CONCATENATE(Sheet2!B2377,", ",Sheet2!C2377)</f>
        <v>SWEARINGEN, SX-300</v>
      </c>
    </row>
    <row r="2378" spans="1:4" x14ac:dyDescent="0.2">
      <c r="A2378" t="str">
        <f>Sheet2!A2378</f>
        <v>SYCA</v>
      </c>
      <c r="B2378" t="str">
        <f ca="1">'Query Example'!D2378</f>
        <v>Helicopter</v>
      </c>
      <c r="C2378" s="11" t="str">
        <f>CONCATENATE(Sheet2!F2378,"/",Sheet2!E2378)</f>
        <v>1/Piston</v>
      </c>
      <c r="D2378" t="str">
        <f>CONCATENATE(Sheet2!B2378,", ",Sheet2!C2378)</f>
        <v>BRISTOL, 171 Sycamore</v>
      </c>
    </row>
    <row r="2379" spans="1:4" x14ac:dyDescent="0.2">
      <c r="A2379" t="str">
        <f>Sheet2!A2379</f>
        <v>SYMP</v>
      </c>
      <c r="B2379" t="str">
        <f ca="1">'Query Example'!D2379</f>
        <v>LandPlane</v>
      </c>
      <c r="C2379" s="11" t="str">
        <f>CONCATENATE(Sheet2!F2379,"/",Sheet2!E2379)</f>
        <v>1/Piston</v>
      </c>
      <c r="D2379" t="str">
        <f>CONCATENATE(Sheet2!B2379,", ",Sheet2!C2379)</f>
        <v>SYMPHONY, SA-160 Symphony</v>
      </c>
    </row>
    <row r="2380" spans="1:4" x14ac:dyDescent="0.2">
      <c r="A2380" t="str">
        <f>Sheet2!A2380</f>
        <v>SYNC</v>
      </c>
      <c r="B2380" t="str">
        <f ca="1">'Query Example'!D2380</f>
        <v>LandPlane</v>
      </c>
      <c r="C2380" s="11" t="str">
        <f>CONCATENATE(Sheet2!F2380,"/",Sheet2!E2380)</f>
        <v>1/Piston</v>
      </c>
      <c r="D2380" t="str">
        <f>CONCATENATE(Sheet2!B2380,", ",Sheet2!C2380)</f>
        <v>FLY SYNTHESIS, Syncro</v>
      </c>
    </row>
    <row r="2381" spans="1:4" x14ac:dyDescent="0.2">
      <c r="A2381" t="str">
        <f>Sheet2!A2381</f>
        <v>SZ9M</v>
      </c>
      <c r="B2381" t="str">
        <f ca="1">'Query Example'!D2381</f>
        <v>LandPlane</v>
      </c>
      <c r="C2381" s="11" t="str">
        <f>CONCATENATE(Sheet2!F2381,"/",Sheet2!E2381)</f>
        <v>1/Piston</v>
      </c>
      <c r="D2381" t="str">
        <f>CONCATENATE(Sheet2!B2381,", ",Sheet2!C2381)</f>
        <v>SZD, Bocian M-2000</v>
      </c>
    </row>
    <row r="2382" spans="1:4" x14ac:dyDescent="0.2">
      <c r="A2382" t="str">
        <f>Sheet2!A2382</f>
        <v>T1</v>
      </c>
      <c r="B2382" t="str">
        <f ca="1">'Query Example'!D2382</f>
        <v>LandPlane</v>
      </c>
      <c r="C2382" s="11" t="str">
        <f>CONCATENATE(Sheet2!F2382,"/",Sheet2!E2382)</f>
        <v>1/Jet</v>
      </c>
      <c r="D2382" t="str">
        <f>CONCATENATE(Sheet2!B2382,", ",Sheet2!C2382)</f>
        <v>FUJI, T-1</v>
      </c>
    </row>
    <row r="2383" spans="1:4" x14ac:dyDescent="0.2">
      <c r="A2383" t="str">
        <f>Sheet2!A2383</f>
        <v>T10</v>
      </c>
      <c r="B2383" t="str">
        <f ca="1">'Query Example'!D2383</f>
        <v>LandPlane</v>
      </c>
      <c r="C2383" s="11" t="str">
        <f>CONCATENATE(Sheet2!F2383,"/",Sheet2!E2383)</f>
        <v>1/Piston</v>
      </c>
      <c r="D2383" t="str">
        <f>CONCATENATE(Sheet2!B2383,", ",Sheet2!C2383)</f>
        <v>TMM-AVIA, T-10 Avia-Tor</v>
      </c>
    </row>
    <row r="2384" spans="1:4" x14ac:dyDescent="0.2">
      <c r="A2384" t="str">
        <f>Sheet2!A2384</f>
        <v>T101</v>
      </c>
      <c r="B2384" t="str">
        <f ca="1">'Query Example'!D2384</f>
        <v>LandPlane</v>
      </c>
      <c r="C2384" s="11" t="str">
        <f>CONCATENATE(Sheet2!F2384,"/",Sheet2!E2384)</f>
        <v>1/Turboprop/Turboshaft</v>
      </c>
      <c r="D2384" t="str">
        <f>CONCATENATE(Sheet2!B2384,", ",Sheet2!C2384)</f>
        <v>AEROPROGRESS, T-101 Grach</v>
      </c>
    </row>
    <row r="2385" spans="1:4" x14ac:dyDescent="0.2">
      <c r="A2385" t="str">
        <f>Sheet2!A2385</f>
        <v>T134</v>
      </c>
      <c r="B2385" t="str">
        <f ca="1">'Query Example'!D2385</f>
        <v>LandPlane</v>
      </c>
      <c r="C2385" s="11" t="str">
        <f>CONCATENATE(Sheet2!F2385,"/",Sheet2!E2385)</f>
        <v>2/Jet</v>
      </c>
      <c r="D2385" t="str">
        <f>CONCATENATE(Sheet2!B2385,", ",Sheet2!C2385)</f>
        <v>TUPOLEV, Tu-134</v>
      </c>
    </row>
    <row r="2386" spans="1:4" x14ac:dyDescent="0.2">
      <c r="A2386" t="str">
        <f>Sheet2!A2386</f>
        <v>T154</v>
      </c>
      <c r="B2386" t="str">
        <f ca="1">'Query Example'!D2386</f>
        <v>LandPlane</v>
      </c>
      <c r="C2386" s="11" t="str">
        <f>CONCATENATE(Sheet2!F2386,"/",Sheet2!E2386)</f>
        <v>3/Jet</v>
      </c>
      <c r="D2386" t="str">
        <f>CONCATENATE(Sheet2!B2386,", ",Sheet2!C2386)</f>
        <v>TUPOLEV, Tu-154</v>
      </c>
    </row>
    <row r="2387" spans="1:4" x14ac:dyDescent="0.2">
      <c r="A2387" t="str">
        <f>Sheet2!A2387</f>
        <v>T160</v>
      </c>
      <c r="B2387" t="str">
        <f ca="1">'Query Example'!D2387</f>
        <v>LandPlane</v>
      </c>
      <c r="C2387" s="11" t="str">
        <f>CONCATENATE(Sheet2!F2387,"/",Sheet2!E2387)</f>
        <v>4/Jet</v>
      </c>
      <c r="D2387" t="str">
        <f>CONCATENATE(Sheet2!B2387,", ",Sheet2!C2387)</f>
        <v>TUPOLEV, Tu-160</v>
      </c>
    </row>
    <row r="2388" spans="1:4" x14ac:dyDescent="0.2">
      <c r="A2388" t="str">
        <f>Sheet2!A2388</f>
        <v>T18</v>
      </c>
      <c r="B2388" t="str">
        <f ca="1">'Query Example'!D2388</f>
        <v>LandPlane</v>
      </c>
      <c r="C2388" s="11" t="str">
        <f>CONCATENATE(Sheet2!F2388,"/",Sheet2!E2388)</f>
        <v>1/Piston</v>
      </c>
      <c r="D2388" t="str">
        <f>CONCATENATE(Sheet2!B2388,", ",Sheet2!C2388)</f>
        <v>THORP, T-18 Tiger</v>
      </c>
    </row>
    <row r="2389" spans="1:4" x14ac:dyDescent="0.2">
      <c r="A2389" t="str">
        <f>Sheet2!A2389</f>
        <v>T19</v>
      </c>
      <c r="B2389" t="str">
        <f ca="1">'Query Example'!D2389</f>
        <v>LandPlane</v>
      </c>
      <c r="C2389" s="11" t="str">
        <f>CONCATENATE(Sheet2!F2389,"/",Sheet2!E2389)</f>
        <v>1/Piston</v>
      </c>
      <c r="D2389" t="str">
        <f>CONCATENATE(Sheet2!B2389,", ",Sheet2!C2389)</f>
        <v>THK, T-19 Speedfire</v>
      </c>
    </row>
    <row r="2390" spans="1:4" x14ac:dyDescent="0.2">
      <c r="A2390" t="str">
        <f>Sheet2!A2390</f>
        <v>T2</v>
      </c>
      <c r="B2390" t="str">
        <f ca="1">'Query Example'!D2390</f>
        <v>LandPlane</v>
      </c>
      <c r="C2390" s="11" t="str">
        <f>CONCATENATE(Sheet2!F2390,"/",Sheet2!E2390)</f>
        <v>2/Jet</v>
      </c>
      <c r="D2390" t="str">
        <f>CONCATENATE(Sheet2!B2390,", ",Sheet2!C2390)</f>
        <v>NORTH AMERICAN, T-2 Buckeye</v>
      </c>
    </row>
    <row r="2391" spans="1:4" x14ac:dyDescent="0.2">
      <c r="A2391" t="str">
        <f>Sheet2!A2391</f>
        <v>T204</v>
      </c>
      <c r="B2391" t="str">
        <f ca="1">'Query Example'!D2391</f>
        <v>LandPlane</v>
      </c>
      <c r="C2391" s="11" t="str">
        <f>CONCATENATE(Sheet2!F2391,"/",Sheet2!E2391)</f>
        <v>2/Jet</v>
      </c>
      <c r="D2391" t="str">
        <f>CONCATENATE(Sheet2!B2391,", ",Sheet2!C2391)</f>
        <v>TUPOLEV, Tu-204</v>
      </c>
    </row>
    <row r="2392" spans="1:4" x14ac:dyDescent="0.2">
      <c r="A2392" t="str">
        <f>Sheet2!A2392</f>
        <v>T206</v>
      </c>
      <c r="B2392" t="str">
        <f ca="1">'Query Example'!D2392</f>
        <v>LandPlane</v>
      </c>
      <c r="C2392" s="11" t="str">
        <f>CONCATENATE(Sheet2!F2392,"/",Sheet2!E2392)</f>
        <v>1/Piston</v>
      </c>
      <c r="D2392" t="str">
        <f>CONCATENATE(Sheet2!B2392,", ",Sheet2!C2392)</f>
        <v>CESSNA, T206 Turbo Stationair</v>
      </c>
    </row>
    <row r="2393" spans="1:4" x14ac:dyDescent="0.2">
      <c r="A2393" t="str">
        <f>Sheet2!A2393</f>
        <v>T210</v>
      </c>
      <c r="B2393" t="str">
        <f ca="1">'Query Example'!D2393</f>
        <v>LandPlane</v>
      </c>
      <c r="C2393" s="11" t="str">
        <f>CONCATENATE(Sheet2!F2393,"/",Sheet2!E2393)</f>
        <v>1/Piston</v>
      </c>
      <c r="D2393" t="str">
        <f>CONCATENATE(Sheet2!B2393,", ",Sheet2!C2393)</f>
        <v>CESSNA, T210 Turbo Centurion</v>
      </c>
    </row>
    <row r="2394" spans="1:4" x14ac:dyDescent="0.2">
      <c r="A2394" t="str">
        <f>Sheet2!A2394</f>
        <v>T211</v>
      </c>
      <c r="B2394" t="str">
        <f ca="1">'Query Example'!D2394</f>
        <v>LandPlane</v>
      </c>
      <c r="C2394" s="11" t="str">
        <f>CONCATENATE(Sheet2!F2394,"/",Sheet2!E2394)</f>
        <v>1/Piston</v>
      </c>
      <c r="D2394" t="str">
        <f>CONCATENATE(Sheet2!B2394,", ",Sheet2!C2394)</f>
        <v>THORP, T-211</v>
      </c>
    </row>
    <row r="2395" spans="1:4" x14ac:dyDescent="0.2">
      <c r="A2395" t="str">
        <f>Sheet2!A2395</f>
        <v>T22M</v>
      </c>
      <c r="B2395" t="str">
        <f ca="1">'Query Example'!D2395</f>
        <v>LandPlane</v>
      </c>
      <c r="C2395" s="11" t="str">
        <f>CONCATENATE(Sheet2!F2395,"/",Sheet2!E2395)</f>
        <v>2/Jet</v>
      </c>
      <c r="D2395" t="str">
        <f>CONCATENATE(Sheet2!B2395,", ",Sheet2!C2395)</f>
        <v>TUPOLEV, Tu-22M</v>
      </c>
    </row>
    <row r="2396" spans="1:4" x14ac:dyDescent="0.2">
      <c r="A2396" t="str">
        <f>Sheet2!A2396</f>
        <v>T250</v>
      </c>
      <c r="B2396" t="str">
        <f ca="1">'Query Example'!D2396</f>
        <v>LandPlane</v>
      </c>
      <c r="C2396" s="11" t="str">
        <f>CONCATENATE(Sheet2!F2396,"/",Sheet2!E2396)</f>
        <v>1/Piston</v>
      </c>
      <c r="D2396" t="str">
        <f>CONCATENATE(Sheet2!B2396,", ",Sheet2!C2396)</f>
        <v>BELLANCA, T-250 Aries</v>
      </c>
    </row>
    <row r="2397" spans="1:4" x14ac:dyDescent="0.2">
      <c r="A2397" t="str">
        <f>Sheet2!A2397</f>
        <v>T28</v>
      </c>
      <c r="B2397" t="str">
        <f ca="1">'Query Example'!D2397</f>
        <v>LandPlane</v>
      </c>
      <c r="C2397" s="11" t="str">
        <f>CONCATENATE(Sheet2!F2397,"/",Sheet2!E2397)</f>
        <v>1/Piston</v>
      </c>
      <c r="D2397" t="str">
        <f>CONCATENATE(Sheet2!B2397,", ",Sheet2!C2397)</f>
        <v>NORTH AMERICAN, T-28 Trojan</v>
      </c>
    </row>
    <row r="2398" spans="1:4" x14ac:dyDescent="0.2">
      <c r="A2398" t="str">
        <f>Sheet2!A2398</f>
        <v>T30</v>
      </c>
      <c r="B2398" t="str">
        <f ca="1">'Query Example'!D2398</f>
        <v>LandPlane</v>
      </c>
      <c r="C2398" s="11" t="str">
        <f>CONCATENATE(Sheet2!F2398,"/",Sheet2!E2398)</f>
        <v>1/Piston</v>
      </c>
      <c r="D2398" t="str">
        <f>CONCATENATE(Sheet2!B2398,", ",Sheet2!C2398)</f>
        <v>TERZI, T-30 Katana</v>
      </c>
    </row>
    <row r="2399" spans="1:4" x14ac:dyDescent="0.2">
      <c r="A2399" t="str">
        <f>Sheet2!A2399</f>
        <v>T33</v>
      </c>
      <c r="B2399" t="str">
        <f ca="1">'Query Example'!D2399</f>
        <v>LandPlane</v>
      </c>
      <c r="C2399" s="11" t="str">
        <f>CONCATENATE(Sheet2!F2399,"/",Sheet2!E2399)</f>
        <v>1/Jet</v>
      </c>
      <c r="D2399" t="str">
        <f>CONCATENATE(Sheet2!B2399,", ",Sheet2!C2399)</f>
        <v>LOCKHEED, T-33 Shooting Star</v>
      </c>
    </row>
    <row r="2400" spans="1:4" x14ac:dyDescent="0.2">
      <c r="A2400" t="str">
        <f>Sheet2!A2400</f>
        <v>T334</v>
      </c>
      <c r="B2400" t="str">
        <f ca="1">'Query Example'!D2400</f>
        <v>LandPlane</v>
      </c>
      <c r="C2400" s="11" t="str">
        <f>CONCATENATE(Sheet2!F2400,"/",Sheet2!E2400)</f>
        <v>2/Jet</v>
      </c>
      <c r="D2400" t="str">
        <f>CONCATENATE(Sheet2!B2400,", ",Sheet2!C2400)</f>
        <v>TUPOLEV, Tu-334</v>
      </c>
    </row>
    <row r="2401" spans="1:4" x14ac:dyDescent="0.2">
      <c r="A2401" t="str">
        <f>Sheet2!A2401</f>
        <v>T34P</v>
      </c>
      <c r="B2401" t="str">
        <f ca="1">'Query Example'!D2401</f>
        <v>LandPlane</v>
      </c>
      <c r="C2401" s="11" t="str">
        <f>CONCATENATE(Sheet2!F2401,"/",Sheet2!E2401)</f>
        <v>1/Piston</v>
      </c>
      <c r="D2401" t="str">
        <f>CONCATENATE(Sheet2!B2401,", ",Sheet2!C2401)</f>
        <v>BEECH, T-34A Mentor</v>
      </c>
    </row>
    <row r="2402" spans="1:4" x14ac:dyDescent="0.2">
      <c r="A2402" t="str">
        <f>Sheet2!A2402</f>
        <v>T34T</v>
      </c>
      <c r="B2402" t="str">
        <f ca="1">'Query Example'!D2402</f>
        <v>LandPlane</v>
      </c>
      <c r="C2402" s="11" t="str">
        <f>CONCATENATE(Sheet2!F2402,"/",Sheet2!E2402)</f>
        <v>1/Turboprop/Turboshaft</v>
      </c>
      <c r="D2402" t="str">
        <f>CONCATENATE(Sheet2!B2402,", ",Sheet2!C2402)</f>
        <v>BEECH, T-34C Turbo Mentor</v>
      </c>
    </row>
    <row r="2403" spans="1:4" x14ac:dyDescent="0.2">
      <c r="A2403" t="str">
        <f>Sheet2!A2403</f>
        <v>T35</v>
      </c>
      <c r="B2403" t="str">
        <f ca="1">'Query Example'!D2403</f>
        <v>LandPlane</v>
      </c>
      <c r="C2403" s="11" t="str">
        <f>CONCATENATE(Sheet2!F2403,"/",Sheet2!E2403)</f>
        <v>1/Piston</v>
      </c>
      <c r="D2403" t="str">
        <f>CONCATENATE(Sheet2!B2403,", ",Sheet2!C2403)</f>
        <v>TEMCO, T-35 Buckaroo</v>
      </c>
    </row>
    <row r="2404" spans="1:4" x14ac:dyDescent="0.2">
      <c r="A2404" t="str">
        <f>Sheet2!A2404</f>
        <v>T37</v>
      </c>
      <c r="B2404" t="str">
        <f ca="1">'Query Example'!D2404</f>
        <v>LandPlane</v>
      </c>
      <c r="C2404" s="11" t="str">
        <f>CONCATENATE(Sheet2!F2404,"/",Sheet2!E2404)</f>
        <v>2/Jet</v>
      </c>
      <c r="D2404" t="str">
        <f>CONCATENATE(Sheet2!B2404,", ",Sheet2!C2404)</f>
        <v>CESSNA, T-37</v>
      </c>
    </row>
    <row r="2405" spans="1:4" x14ac:dyDescent="0.2">
      <c r="A2405" t="str">
        <f>Sheet2!A2405</f>
        <v>T38</v>
      </c>
      <c r="B2405" t="str">
        <f ca="1">'Query Example'!D2405</f>
        <v>LandPlane</v>
      </c>
      <c r="C2405" s="11" t="str">
        <f>CONCATENATE(Sheet2!F2405,"/",Sheet2!E2405)</f>
        <v>2/Jet</v>
      </c>
      <c r="D2405" t="str">
        <f>CONCATENATE(Sheet2!B2405,", ",Sheet2!C2405)</f>
        <v>NORTHROP, T-38 Talon</v>
      </c>
    </row>
    <row r="2406" spans="1:4" x14ac:dyDescent="0.2">
      <c r="A2406" t="str">
        <f>Sheet2!A2406</f>
        <v>T4</v>
      </c>
      <c r="B2406" t="str">
        <f ca="1">'Query Example'!D2406</f>
        <v>LandPlane</v>
      </c>
      <c r="C2406" s="11" t="str">
        <f>CONCATENATE(Sheet2!F2406,"/",Sheet2!E2406)</f>
        <v>2/Jet</v>
      </c>
      <c r="D2406" t="str">
        <f>CONCATENATE(Sheet2!B2406,", ",Sheet2!C2406)</f>
        <v>KAWASAKI, T-4</v>
      </c>
    </row>
    <row r="2407" spans="1:4" x14ac:dyDescent="0.2">
      <c r="A2407" t="str">
        <f>Sheet2!A2407</f>
        <v>T40</v>
      </c>
      <c r="B2407" t="str">
        <f ca="1">'Query Example'!D2407</f>
        <v>LandPlane</v>
      </c>
      <c r="C2407" s="11" t="str">
        <f>CONCATENATE(Sheet2!F2407,"/",Sheet2!E2407)</f>
        <v>1/Piston</v>
      </c>
      <c r="D2407" t="str">
        <f>CONCATENATE(Sheet2!B2407,", ",Sheet2!C2407)</f>
        <v>TURNER, T-40</v>
      </c>
    </row>
    <row r="2408" spans="1:4" x14ac:dyDescent="0.2">
      <c r="A2408" t="str">
        <f>Sheet2!A2408</f>
        <v>T411</v>
      </c>
      <c r="B2408" t="str">
        <f ca="1">'Query Example'!D2408</f>
        <v>LandPlane</v>
      </c>
      <c r="C2408" s="11" t="str">
        <f>CONCATENATE(Sheet2!F2408,"/",Sheet2!E2408)</f>
        <v>1/Piston</v>
      </c>
      <c r="D2408" t="str">
        <f>CONCATENATE(Sheet2!B2408,", ",Sheet2!C2408)</f>
        <v>KHRUNICHEV, T-411 Aist</v>
      </c>
    </row>
    <row r="2409" spans="1:4" x14ac:dyDescent="0.2">
      <c r="A2409" t="str">
        <f>Sheet2!A2409</f>
        <v>T415</v>
      </c>
      <c r="B2409" t="str">
        <f ca="1">'Query Example'!D2409</f>
        <v>LandPlane</v>
      </c>
      <c r="C2409" s="11" t="str">
        <f>CONCATENATE(Sheet2!F2409,"/",Sheet2!E2409)</f>
        <v>1/Piston</v>
      </c>
      <c r="D2409" t="str">
        <f>CONCATENATE(Sheet2!B2409,", ",Sheet2!C2409)</f>
        <v>KHRUNICHEV, T-415 Snegir</v>
      </c>
    </row>
    <row r="2410" spans="1:4" x14ac:dyDescent="0.2">
      <c r="A2410" t="str">
        <f>Sheet2!A2410</f>
        <v>T419</v>
      </c>
      <c r="B2410" t="str">
        <f ca="1">'Query Example'!D2410</f>
        <v>LandPlane</v>
      </c>
      <c r="C2410" s="11" t="str">
        <f>CONCATENATE(Sheet2!F2410,"/",Sheet2!E2410)</f>
        <v>1/Piston</v>
      </c>
      <c r="D2410" t="str">
        <f>CONCATENATE(Sheet2!B2410,", ",Sheet2!C2410)</f>
        <v>KHRUNICHEV, AT-419 Strekoza</v>
      </c>
    </row>
    <row r="2411" spans="1:4" x14ac:dyDescent="0.2">
      <c r="A2411" t="str">
        <f>Sheet2!A2411</f>
        <v>T5</v>
      </c>
      <c r="B2411" t="str">
        <f ca="1">'Query Example'!D2411</f>
        <v>LandPlane</v>
      </c>
      <c r="C2411" s="11" t="str">
        <f>CONCATENATE(Sheet2!F2411,"/",Sheet2!E2411)</f>
        <v>1/Turboprop/Turboshaft</v>
      </c>
      <c r="D2411" t="str">
        <f>CONCATENATE(Sheet2!B2411,", ",Sheet2!C2411)</f>
        <v>FUJI, T-5</v>
      </c>
    </row>
    <row r="2412" spans="1:4" x14ac:dyDescent="0.2">
      <c r="A2412" t="str">
        <f>Sheet2!A2412</f>
        <v>T50</v>
      </c>
      <c r="B2412" t="str">
        <f ca="1">'Query Example'!D2412</f>
        <v>LandPlane</v>
      </c>
      <c r="C2412" s="11" t="str">
        <f>CONCATENATE(Sheet2!F2412,"/",Sheet2!E2412)</f>
        <v>2/Piston</v>
      </c>
      <c r="D2412" t="str">
        <f>CONCATENATE(Sheet2!B2412,", ",Sheet2!C2412)</f>
        <v>CESSNA, T-50 Bobcat</v>
      </c>
    </row>
    <row r="2413" spans="1:4" x14ac:dyDescent="0.2">
      <c r="A2413" t="str">
        <f>Sheet2!A2413</f>
        <v>T51</v>
      </c>
      <c r="B2413" t="str">
        <f ca="1">'Query Example'!D2413</f>
        <v>LandPlane</v>
      </c>
      <c r="C2413" s="11" t="str">
        <f>CONCATENATE(Sheet2!F2413,"/",Sheet2!E2413)</f>
        <v>1/Piston</v>
      </c>
      <c r="D2413" t="str">
        <f>CONCATENATE(Sheet2!B2413,", ",Sheet2!C2413)</f>
        <v>TITAN, T-51 Mustang</v>
      </c>
    </row>
    <row r="2414" spans="1:4" x14ac:dyDescent="0.2">
      <c r="A2414" t="str">
        <f>Sheet2!A2414</f>
        <v>T6</v>
      </c>
      <c r="B2414" t="str">
        <f ca="1">'Query Example'!D2414</f>
        <v>LandPlane</v>
      </c>
      <c r="C2414" s="11" t="str">
        <f>CONCATENATE(Sheet2!F2414,"/",Sheet2!E2414)</f>
        <v>1/Piston</v>
      </c>
      <c r="D2414" t="str">
        <f>CONCATENATE(Sheet2!B2414,", ",Sheet2!C2414)</f>
        <v>NORTH AMERICAN, AT-6 Texan</v>
      </c>
    </row>
    <row r="2415" spans="1:4" x14ac:dyDescent="0.2">
      <c r="A2415" t="str">
        <f>Sheet2!A2415</f>
        <v>T7</v>
      </c>
      <c r="B2415" t="str">
        <f ca="1">'Query Example'!D2415</f>
        <v>LandPlane</v>
      </c>
      <c r="C2415" s="11" t="str">
        <f>CONCATENATE(Sheet2!F2415,"/",Sheet2!E2415)</f>
        <v>1/Turboprop/Turboshaft</v>
      </c>
      <c r="D2415" t="str">
        <f>CONCATENATE(Sheet2!B2415,", ",Sheet2!C2415)</f>
        <v>FUJI, T-7</v>
      </c>
    </row>
    <row r="2416" spans="1:4" x14ac:dyDescent="0.2">
      <c r="A2416" t="str">
        <f>Sheet2!A2416</f>
        <v>TA15</v>
      </c>
      <c r="B2416" t="str">
        <f ca="1">'Query Example'!D2416</f>
        <v>LandPlane</v>
      </c>
      <c r="C2416" s="11" t="str">
        <f>CONCATENATE(Sheet2!F2416,"/",Sheet2!E2416)</f>
        <v>1/Piston</v>
      </c>
      <c r="D2416" t="str">
        <f>CONCATENATE(Sheet2!B2416,", ",Sheet2!C2416)</f>
        <v>TAYLORCRAFT (1), 15 Tourist</v>
      </c>
    </row>
    <row r="2417" spans="1:4" x14ac:dyDescent="0.2">
      <c r="A2417" t="str">
        <f>Sheet2!A2417</f>
        <v>TA16</v>
      </c>
      <c r="B2417" t="str">
        <f ca="1">'Query Example'!D2417</f>
        <v>Amphibian</v>
      </c>
      <c r="C2417" s="11" t="str">
        <f>CONCATENATE(Sheet2!F2417,"/",Sheet2!E2417)</f>
        <v>1/Piston</v>
      </c>
      <c r="D2417" t="str">
        <f>CONCATENATE(Sheet2!B2417,", ",Sheet2!C2417)</f>
        <v>THURSTON, TA-16 Seafire</v>
      </c>
    </row>
    <row r="2418" spans="1:4" x14ac:dyDescent="0.2">
      <c r="A2418" t="str">
        <f>Sheet2!A2418</f>
        <v>TA20</v>
      </c>
      <c r="B2418" t="str">
        <f ca="1">'Query Example'!D2418</f>
        <v>LandPlane</v>
      </c>
      <c r="C2418" s="11" t="str">
        <f>CONCATENATE(Sheet2!F2418,"/",Sheet2!E2418)</f>
        <v>1/Piston</v>
      </c>
      <c r="D2418" t="str">
        <f>CONCATENATE(Sheet2!B2418,", ",Sheet2!C2418)</f>
        <v>TAYLORCRAFT (1), 20 Ranchwagon</v>
      </c>
    </row>
    <row r="2419" spans="1:4" x14ac:dyDescent="0.2">
      <c r="A2419" t="str">
        <f>Sheet2!A2419</f>
        <v>TAA1</v>
      </c>
      <c r="B2419" t="str">
        <f ca="1">'Query Example'!D2419</f>
        <v>LandPlane</v>
      </c>
      <c r="C2419" s="11" t="str">
        <f>CONCATENATE(Sheet2!F2419,"/",Sheet2!E2419)</f>
        <v>1/Piston</v>
      </c>
      <c r="D2419" t="str">
        <f>CONCATENATE(Sheet2!B2419,", ",Sheet2!C2419)</f>
        <v>TOYOTA, TAA-1</v>
      </c>
    </row>
    <row r="2420" spans="1:4" x14ac:dyDescent="0.2">
      <c r="A2420" t="str">
        <f>Sheet2!A2420</f>
        <v>TAGO</v>
      </c>
      <c r="B2420" t="str">
        <f ca="1">'Query Example'!D2420</f>
        <v>LandPlane</v>
      </c>
      <c r="C2420" s="11" t="str">
        <f>CONCATENATE(Sheet2!F2420,"/",Sheet2!E2420)</f>
        <v>1/Piston</v>
      </c>
      <c r="D2420" t="str">
        <f>CONCATENATE(Sheet2!B2420,", ",Sheet2!C2420)</f>
        <v>TEAM TANGO, Tango-2</v>
      </c>
    </row>
    <row r="2421" spans="1:4" x14ac:dyDescent="0.2">
      <c r="A2421" t="str">
        <f>Sheet2!A2421</f>
        <v>TAIL</v>
      </c>
      <c r="B2421" t="str">
        <f ca="1">'Query Example'!D2421</f>
        <v>LandPlane</v>
      </c>
      <c r="C2421" s="11" t="str">
        <f>CONCATENATE(Sheet2!F2421,"/",Sheet2!E2421)</f>
        <v>1/Piston</v>
      </c>
      <c r="D2421" t="str">
        <f>CONCATENATE(Sheet2!B2421,", ",Sheet2!C2421)</f>
        <v>WITTMAN, W-8 Tailwind</v>
      </c>
    </row>
    <row r="2422" spans="1:4" x14ac:dyDescent="0.2">
      <c r="A2422" t="str">
        <f>Sheet2!A2422</f>
        <v>TAMP</v>
      </c>
      <c r="B2422" t="str">
        <f ca="1">'Query Example'!D2422</f>
        <v>LandPlane</v>
      </c>
      <c r="C2422" s="11" t="str">
        <f>CONCATENATE(Sheet2!F2422,"/",Sheet2!E2422)</f>
        <v>1/Piston</v>
      </c>
      <c r="D2422" t="str">
        <f>CONCATENATE(Sheet2!B2422,", ",Sheet2!C2422)</f>
        <v>SOCATA, TB-9 Tampico</v>
      </c>
    </row>
    <row r="2423" spans="1:4" x14ac:dyDescent="0.2">
      <c r="A2423" t="str">
        <f>Sheet2!A2423</f>
        <v>TARO</v>
      </c>
      <c r="B2423" t="str">
        <f ca="1">'Query Example'!D2423</f>
        <v>LandPlane</v>
      </c>
      <c r="C2423" s="11" t="str">
        <f>CONCATENATE(Sheet2!F2423,"/",Sheet2!E2423)</f>
        <v>1/Piston</v>
      </c>
      <c r="D2423" t="str">
        <f>CONCATENATE(Sheet2!B2423,", ",Sheet2!C2423)</f>
        <v>ANAHUAC, Tauro</v>
      </c>
    </row>
    <row r="2424" spans="1:4" x14ac:dyDescent="0.2">
      <c r="A2424" t="str">
        <f>Sheet2!A2424</f>
        <v>TARR</v>
      </c>
      <c r="B2424" t="str">
        <f ca="1">'Query Example'!D2424</f>
        <v>LandPlane</v>
      </c>
      <c r="C2424" s="11" t="str">
        <f>CONCATENATE(Sheet2!F2424,"/",Sheet2!E2424)</f>
        <v>1/Piston</v>
      </c>
      <c r="D2424" t="str">
        <f>CONCATENATE(Sheet2!B2424,", ",Sheet2!C2424)</f>
        <v>PELEGRIN, Tarragon</v>
      </c>
    </row>
    <row r="2425" spans="1:4" x14ac:dyDescent="0.2">
      <c r="A2425" t="str">
        <f>Sheet2!A2425</f>
        <v>TAYA</v>
      </c>
      <c r="B2425" t="str">
        <f ca="1">'Query Example'!D2425</f>
        <v>LandPlane</v>
      </c>
      <c r="C2425" s="11" t="str">
        <f>CONCATENATE(Sheet2!F2425,"/",Sheet2!E2425)</f>
        <v>1/Piston</v>
      </c>
      <c r="D2425" t="str">
        <f>CONCATENATE(Sheet2!B2425,", ",Sheet2!C2425)</f>
        <v>TAYLORCRAFT (1), A</v>
      </c>
    </row>
    <row r="2426" spans="1:4" x14ac:dyDescent="0.2">
      <c r="A2426" t="str">
        <f>Sheet2!A2426</f>
        <v>TAYB</v>
      </c>
      <c r="B2426" t="str">
        <f ca="1">'Query Example'!D2426</f>
        <v>LandPlane</v>
      </c>
      <c r="C2426" s="11" t="str">
        <f>CONCATENATE(Sheet2!F2426,"/",Sheet2!E2426)</f>
        <v>1/Piston</v>
      </c>
      <c r="D2426" t="str">
        <f>CONCATENATE(Sheet2!B2426,", ",Sheet2!C2426)</f>
        <v>TAYLORCRAFT (1), BC</v>
      </c>
    </row>
    <row r="2427" spans="1:4" x14ac:dyDescent="0.2">
      <c r="A2427" t="str">
        <f>Sheet2!A2427</f>
        <v>TAYD</v>
      </c>
      <c r="B2427" t="str">
        <f ca="1">'Query Example'!D2427</f>
        <v>LandPlane</v>
      </c>
      <c r="C2427" s="11" t="str">
        <f>CONCATENATE(Sheet2!F2427,"/",Sheet2!E2427)</f>
        <v>1/Piston</v>
      </c>
      <c r="D2427" t="str">
        <f>CONCATENATE(Sheet2!B2427,", ",Sheet2!C2427)</f>
        <v>TAYLORCRAFT (1), DC</v>
      </c>
    </row>
    <row r="2428" spans="1:4" x14ac:dyDescent="0.2">
      <c r="A2428" t="str">
        <f>Sheet2!A2428</f>
        <v>TB05</v>
      </c>
      <c r="B2428" t="str">
        <f ca="1">'Query Example'!D2428</f>
        <v>LandPlane</v>
      </c>
      <c r="C2428" s="11" t="str">
        <f>CONCATENATE(Sheet2!F2428,"/",Sheet2!E2428)</f>
        <v>1/Piston</v>
      </c>
      <c r="D2428" t="str">
        <f>CONCATENATE(Sheet2!B2428,", ",Sheet2!C2428)</f>
        <v>AMC, Texas Bullet 205</v>
      </c>
    </row>
    <row r="2429" spans="1:4" x14ac:dyDescent="0.2">
      <c r="A2429" t="str">
        <f>Sheet2!A2429</f>
        <v>TB20</v>
      </c>
      <c r="B2429" t="str">
        <f ca="1">'Query Example'!D2429</f>
        <v>LandPlane</v>
      </c>
      <c r="C2429" s="11" t="str">
        <f>CONCATENATE(Sheet2!F2429,"/",Sheet2!E2429)</f>
        <v>1/Piston</v>
      </c>
      <c r="D2429" t="str">
        <f>CONCATENATE(Sheet2!B2429,", ",Sheet2!C2429)</f>
        <v>SOCATA, TB-20 Trinidad</v>
      </c>
    </row>
    <row r="2430" spans="1:4" x14ac:dyDescent="0.2">
      <c r="A2430" t="str">
        <f>Sheet2!A2430</f>
        <v>TB21</v>
      </c>
      <c r="B2430" t="str">
        <f ca="1">'Query Example'!D2430</f>
        <v>LandPlane</v>
      </c>
      <c r="C2430" s="11" t="str">
        <f>CONCATENATE(Sheet2!F2430,"/",Sheet2!E2430)</f>
        <v>1/Piston</v>
      </c>
      <c r="D2430" t="str">
        <f>CONCATENATE(Sheet2!B2430,", ",Sheet2!C2430)</f>
        <v>SOCATA, TB-21 Trinidad TC</v>
      </c>
    </row>
    <row r="2431" spans="1:4" x14ac:dyDescent="0.2">
      <c r="A2431" t="str">
        <f>Sheet2!A2431</f>
        <v>TB30</v>
      </c>
      <c r="B2431" t="str">
        <f ca="1">'Query Example'!D2431</f>
        <v>LandPlane</v>
      </c>
      <c r="C2431" s="11" t="str">
        <f>CONCATENATE(Sheet2!F2431,"/",Sheet2!E2431)</f>
        <v>1/Piston</v>
      </c>
      <c r="D2431" t="str">
        <f>CONCATENATE(Sheet2!B2431,", ",Sheet2!C2431)</f>
        <v>SOCATA, TB-30 Epsilon</v>
      </c>
    </row>
    <row r="2432" spans="1:4" x14ac:dyDescent="0.2">
      <c r="A2432" t="str">
        <f>Sheet2!A2432</f>
        <v>TB31</v>
      </c>
      <c r="B2432" t="str">
        <f ca="1">'Query Example'!D2432</f>
        <v>LandPlane</v>
      </c>
      <c r="C2432" s="11" t="str">
        <f>CONCATENATE(Sheet2!F2432,"/",Sheet2!E2432)</f>
        <v>1/Turboprop/Turboshaft</v>
      </c>
      <c r="D2432" t="str">
        <f>CONCATENATE(Sheet2!B2432,", ",Sheet2!C2432)</f>
        <v>SOCATA, TB-31 Omega</v>
      </c>
    </row>
    <row r="2433" spans="1:4" x14ac:dyDescent="0.2">
      <c r="A2433" t="str">
        <f>Sheet2!A2433</f>
        <v>TBEE</v>
      </c>
      <c r="B2433" t="str">
        <f ca="1">'Query Example'!D2433</f>
        <v>Amphibian</v>
      </c>
      <c r="C2433" s="11" t="str">
        <f>CONCATENATE(Sheet2!F2433,"/",Sheet2!E2433)</f>
        <v>2/Piston</v>
      </c>
      <c r="D2433" t="str">
        <f>CONCATENATE(Sheet2!B2433,", ",Sheet2!C2433)</f>
        <v>UNITED CONSULTANT, UC-1 Twin Bee</v>
      </c>
    </row>
    <row r="2434" spans="1:4" x14ac:dyDescent="0.2">
      <c r="A2434" t="str">
        <f>Sheet2!A2434</f>
        <v>TBM</v>
      </c>
      <c r="B2434" t="str">
        <f ca="1">'Query Example'!D2434</f>
        <v>LandPlane</v>
      </c>
      <c r="C2434" s="11" t="str">
        <f>CONCATENATE(Sheet2!F2434,"/",Sheet2!E2434)</f>
        <v>1/Piston</v>
      </c>
      <c r="D2434" t="str">
        <f>CONCATENATE(Sheet2!B2434,", ",Sheet2!C2434)</f>
        <v>GRUMMAN, Avenger</v>
      </c>
    </row>
    <row r="2435" spans="1:4" x14ac:dyDescent="0.2">
      <c r="A2435" t="str">
        <f>Sheet2!A2435</f>
        <v>TBM7</v>
      </c>
      <c r="B2435" t="str">
        <f ca="1">'Query Example'!D2435</f>
        <v>LandPlane</v>
      </c>
      <c r="C2435" s="11" t="str">
        <f>CONCATENATE(Sheet2!F2435,"/",Sheet2!E2435)</f>
        <v>1/Turboprop/Turboshaft</v>
      </c>
      <c r="D2435" t="str">
        <f>CONCATENATE(Sheet2!B2435,", ",Sheet2!C2435)</f>
        <v>SOCATA, TBM-700A</v>
      </c>
    </row>
    <row r="2436" spans="1:4" x14ac:dyDescent="0.2">
      <c r="A2436" t="str">
        <f>Sheet2!A2436</f>
        <v>TBM8</v>
      </c>
      <c r="B2436" t="str">
        <f ca="1">'Query Example'!D2436</f>
        <v>LandPlane</v>
      </c>
      <c r="C2436" s="11" t="str">
        <f>CONCATENATE(Sheet2!F2436,"/",Sheet2!E2436)</f>
        <v>1/Turboprop/Turboshaft</v>
      </c>
      <c r="D2436" t="str">
        <f>CONCATENATE(Sheet2!B2436,", ",Sheet2!C2436)</f>
        <v>SOCATA, TBM-850</v>
      </c>
    </row>
    <row r="2437" spans="1:4" x14ac:dyDescent="0.2">
      <c r="A2437" t="str">
        <f>Sheet2!A2437</f>
        <v>TBM9</v>
      </c>
      <c r="B2437" t="str">
        <f ca="1">'Query Example'!D2437</f>
        <v>LandPlane</v>
      </c>
      <c r="C2437" s="11" t="str">
        <f>CONCATENATE(Sheet2!F2437,"/",Sheet2!E2437)</f>
        <v>1/Turboprop/Turboshaft</v>
      </c>
      <c r="D2437" t="str">
        <f>CONCATENATE(Sheet2!B2437,", ",Sheet2!C2437)</f>
        <v>SOCATA, TBM-900</v>
      </c>
    </row>
    <row r="2438" spans="1:4" x14ac:dyDescent="0.2">
      <c r="A2438" t="str">
        <f>Sheet2!A2438</f>
        <v>TBM9</v>
      </c>
      <c r="B2438" t="str">
        <f ca="1">'Query Example'!D2438</f>
        <v>LandPlane</v>
      </c>
      <c r="C2438" s="11" t="str">
        <f>CONCATENATE(Sheet2!F2438,"/",Sheet2!E2438)</f>
        <v>1/Turboprop/Turboshaft</v>
      </c>
      <c r="D2438" t="str">
        <f>CONCATENATE(Sheet2!B2438,", ",Sheet2!C2438)</f>
        <v>SOCATA, TBM-700N (TBM-900)</v>
      </c>
    </row>
    <row r="2439" spans="1:4" x14ac:dyDescent="0.2">
      <c r="A2439" t="str">
        <f>Sheet2!A2439</f>
        <v>TBR3</v>
      </c>
      <c r="B2439" t="str">
        <f ca="1">'Query Example'!D2439</f>
        <v>LandPlane</v>
      </c>
      <c r="C2439" s="11" t="str">
        <f>CONCATENATE(Sheet2!F2439,"/",Sheet2!E2439)</f>
        <v>1/Piston</v>
      </c>
      <c r="D2439" t="str">
        <f>CONCATENATE(Sheet2!B2439,", ",Sheet2!C2439)</f>
        <v>GOLDEN CIRCLE, T-Bird 2 Cargo</v>
      </c>
    </row>
    <row r="2440" spans="1:4" x14ac:dyDescent="0.2">
      <c r="A2440" t="str">
        <f>Sheet2!A2440</f>
        <v>TBR3</v>
      </c>
      <c r="B2440" t="str">
        <f ca="1">'Query Example'!D2440</f>
        <v>LandPlane</v>
      </c>
      <c r="C2440" s="11" t="str">
        <f>CONCATENATE(Sheet2!F2440,"/",Sheet2!E2440)</f>
        <v>1/Piston</v>
      </c>
      <c r="D2440" t="str">
        <f>CONCATENATE(Sheet2!B2440,", ",Sheet2!C2440)</f>
        <v>GOLDEN CIRCLE, T-Bird 3</v>
      </c>
    </row>
    <row r="2441" spans="1:4" x14ac:dyDescent="0.2">
      <c r="A2441" t="str">
        <f>Sheet2!A2441</f>
        <v>TC2</v>
      </c>
      <c r="B2441" t="str">
        <f ca="1">'Query Example'!D2441</f>
        <v>LandPlane</v>
      </c>
      <c r="C2441" s="11" t="str">
        <f>CONCATENATE(Sheet2!F2441,"/",Sheet2!E2441)</f>
        <v>1/Piston</v>
      </c>
      <c r="D2441" t="str">
        <f>CONCATENATE(Sheet2!B2441,", ",Sheet2!C2441)</f>
        <v>AERO MIRAGE, TC-2</v>
      </c>
    </row>
    <row r="2442" spans="1:4" x14ac:dyDescent="0.2">
      <c r="A2442" t="str">
        <f>Sheet2!A2442</f>
        <v>TCAT</v>
      </c>
      <c r="B2442" t="str">
        <f ca="1">'Query Example'!D2442</f>
        <v>LandPlane</v>
      </c>
      <c r="C2442" s="11" t="str">
        <f>CONCATENATE(Sheet2!F2442,"/",Sheet2!E2442)</f>
        <v>2/Piston</v>
      </c>
      <c r="D2442" t="str">
        <f>CONCATENATE(Sheet2!B2442,", ",Sheet2!C2442)</f>
        <v>GRUMMAN, F7F Tigercat</v>
      </c>
    </row>
    <row r="2443" spans="1:4" x14ac:dyDescent="0.2">
      <c r="A2443" t="str">
        <f>Sheet2!A2443</f>
        <v>TCOU</v>
      </c>
      <c r="B2443" t="str">
        <f ca="1">'Query Example'!D2443</f>
        <v>LandPlane</v>
      </c>
      <c r="C2443" s="11" t="str">
        <f>CONCATENATE(Sheet2!F2443,"/",Sheet2!E2443)</f>
        <v>2/Piston</v>
      </c>
      <c r="D2443" t="str">
        <f>CONCATENATE(Sheet2!B2443,", ",Sheet2!C2443)</f>
        <v>HELIO, H-500 Twin Courier</v>
      </c>
    </row>
    <row r="2444" spans="1:4" x14ac:dyDescent="0.2">
      <c r="A2444" t="str">
        <f>Sheet2!A2444</f>
        <v>TD1</v>
      </c>
      <c r="B2444" t="str">
        <f ca="1">'Query Example'!D2444</f>
        <v>LandPlane</v>
      </c>
      <c r="C2444" s="11" t="str">
        <f>CONCATENATE(Sheet2!F2444,"/",Sheet2!E2444)</f>
        <v>1/Piston</v>
      </c>
      <c r="D2444" t="str">
        <f>CONCATENATE(Sheet2!B2444,", ",Sheet2!C2444)</f>
        <v>TAIWAN DANCER, TD-1</v>
      </c>
    </row>
    <row r="2445" spans="1:4" x14ac:dyDescent="0.2">
      <c r="A2445" t="str">
        <f>Sheet2!A2445</f>
        <v>TD2</v>
      </c>
      <c r="B2445" t="str">
        <f ca="1">'Query Example'!D2445</f>
        <v>LandPlane</v>
      </c>
      <c r="C2445" s="11" t="str">
        <f>CONCATENATE(Sheet2!F2445,"/",Sheet2!E2445)</f>
        <v>1/Turboprop/Turboshaft</v>
      </c>
      <c r="D2445" t="str">
        <f>CONCATENATE(Sheet2!B2445,", ",Sheet2!C2445)</f>
        <v>TURBINE DESIGN, TD-2 Tempest</v>
      </c>
    </row>
    <row r="2446" spans="1:4" x14ac:dyDescent="0.2">
      <c r="A2446" t="str">
        <f>Sheet2!A2446</f>
        <v>TD3</v>
      </c>
      <c r="B2446" t="str">
        <f ca="1">'Query Example'!D2446</f>
        <v>LandPlane</v>
      </c>
      <c r="C2446" s="11" t="str">
        <f>CONCATENATE(Sheet2!F2446,"/",Sheet2!E2446)</f>
        <v>1/Piston</v>
      </c>
      <c r="D2446" t="str">
        <f>CONCATENATE(Sheet2!B2446,", ",Sheet2!C2446)</f>
        <v>TAIWAN DANCER, TD-3 Alluvion Legend</v>
      </c>
    </row>
    <row r="2447" spans="1:4" x14ac:dyDescent="0.2">
      <c r="A2447" t="str">
        <f>Sheet2!A2447</f>
        <v>TD3</v>
      </c>
      <c r="B2447" t="str">
        <f ca="1">'Query Example'!D2447</f>
        <v>LandPlane</v>
      </c>
      <c r="C2447" s="11" t="str">
        <f>CONCATENATE(Sheet2!F2447,"/",Sheet2!E2447)</f>
        <v>1/Piston</v>
      </c>
      <c r="D2447" t="str">
        <f>CONCATENATE(Sheet2!B2447,", ",Sheet2!C2447)</f>
        <v>TAIWAN DANCER, Alluvion Legend</v>
      </c>
    </row>
    <row r="2448" spans="1:4" x14ac:dyDescent="0.2">
      <c r="A2448" t="str">
        <f>Sheet2!A2448</f>
        <v>TEAL</v>
      </c>
      <c r="B2448" t="str">
        <f ca="1">'Query Example'!D2448</f>
        <v>Amphibian</v>
      </c>
      <c r="C2448" s="11" t="str">
        <f>CONCATENATE(Sheet2!F2448,"/",Sheet2!E2448)</f>
        <v>1/Piston</v>
      </c>
      <c r="D2448" t="str">
        <f>CONCATENATE(Sheet2!B2448,", ",Sheet2!C2448)</f>
        <v>THURSTON, TSC-1 Teal</v>
      </c>
    </row>
    <row r="2449" spans="1:4" x14ac:dyDescent="0.2">
      <c r="A2449" t="str">
        <f>Sheet2!A2449</f>
        <v>TERM</v>
      </c>
      <c r="B2449" t="str">
        <f ca="1">'Query Example'!D2449</f>
        <v>LandPlane</v>
      </c>
      <c r="C2449" s="11" t="str">
        <f>CONCATENATE(Sheet2!F2449,"/",Sheet2!E2449)</f>
        <v>1/Piston</v>
      </c>
      <c r="D2449" t="str">
        <f>CONCATENATE(Sheet2!B2449,", ",Sheet2!C2449)</f>
        <v>SMITH (2), Termite</v>
      </c>
    </row>
    <row r="2450" spans="1:4" x14ac:dyDescent="0.2">
      <c r="A2450" t="str">
        <f>Sheet2!A2450</f>
        <v>TERR</v>
      </c>
      <c r="B2450" t="str">
        <f ca="1">'Query Example'!D2450</f>
        <v>LandPlane</v>
      </c>
      <c r="C2450" s="11" t="str">
        <f>CONCATENATE(Sheet2!F2450,"/",Sheet2!E2450)</f>
        <v>1/Piston</v>
      </c>
      <c r="D2450" t="str">
        <f>CONCATENATE(Sheet2!B2450,", ",Sheet2!C2450)</f>
        <v>FOXCON, Terrier</v>
      </c>
    </row>
    <row r="2451" spans="1:4" x14ac:dyDescent="0.2">
      <c r="A2451" t="str">
        <f>Sheet2!A2451</f>
        <v>TEX2</v>
      </c>
      <c r="B2451" t="str">
        <f ca="1">'Query Example'!D2451</f>
        <v>LandPlane</v>
      </c>
      <c r="C2451" s="11" t="str">
        <f>CONCATENATE(Sheet2!F2451,"/",Sheet2!E2451)</f>
        <v>1/Turboprop/Turboshaft</v>
      </c>
      <c r="D2451" t="str">
        <f>CONCATENATE(Sheet2!B2451,", ",Sheet2!C2451)</f>
        <v>BEECHCRAFT, T-6 Texan 2</v>
      </c>
    </row>
    <row r="2452" spans="1:4" x14ac:dyDescent="0.2">
      <c r="A2452" t="str">
        <f>Sheet2!A2452</f>
        <v>TEXA</v>
      </c>
      <c r="B2452" t="str">
        <f ca="1">'Query Example'!D2452</f>
        <v>LandPlane</v>
      </c>
      <c r="C2452" s="11" t="str">
        <f>CONCATENATE(Sheet2!F2452,"/",Sheet2!E2452)</f>
        <v>1/Piston</v>
      </c>
      <c r="D2452" t="str">
        <f>CONCATENATE(Sheet2!B2452,", ",Sheet2!C2452)</f>
        <v>FLY SYNTHESIS, Texan</v>
      </c>
    </row>
    <row r="2453" spans="1:4" x14ac:dyDescent="0.2">
      <c r="A2453" t="str">
        <f>Sheet2!A2453</f>
        <v>TF19</v>
      </c>
      <c r="B2453" t="str">
        <f ca="1">'Query Example'!D2453</f>
        <v>LandPlane</v>
      </c>
      <c r="C2453" s="11" t="str">
        <f>CONCATENATE(Sheet2!F2453,"/",Sheet2!E2453)</f>
        <v>1/Piston</v>
      </c>
      <c r="D2453" t="str">
        <f>CONCATENATE(Sheet2!B2453,", ",Sheet2!C2453)</f>
        <v>TAYLORCRAFT (1), F-19 Sportsman</v>
      </c>
    </row>
    <row r="2454" spans="1:4" x14ac:dyDescent="0.2">
      <c r="A2454" t="str">
        <f>Sheet2!A2454</f>
        <v>TF21</v>
      </c>
      <c r="B2454" t="str">
        <f ca="1">'Query Example'!D2454</f>
        <v>LandPlane</v>
      </c>
      <c r="C2454" s="11" t="str">
        <f>CONCATENATE(Sheet2!F2454,"/",Sheet2!E2454)</f>
        <v>1/Piston</v>
      </c>
      <c r="D2454" t="str">
        <f>CONCATENATE(Sheet2!B2454,", ",Sheet2!C2454)</f>
        <v>TAYLORCRAFT (1), F-21</v>
      </c>
    </row>
    <row r="2455" spans="1:4" x14ac:dyDescent="0.2">
      <c r="A2455" t="str">
        <f>Sheet2!A2455</f>
        <v>TF22</v>
      </c>
      <c r="B2455" t="str">
        <f ca="1">'Query Example'!D2455</f>
        <v>LandPlane</v>
      </c>
      <c r="C2455" s="11" t="str">
        <f>CONCATENATE(Sheet2!F2455,"/",Sheet2!E2455)</f>
        <v>1/Piston</v>
      </c>
      <c r="D2455" t="str">
        <f>CONCATENATE(Sheet2!B2455,", ",Sheet2!C2455)</f>
        <v>TAYLORCRAFT (1), F-22 Tri-Classic</v>
      </c>
    </row>
    <row r="2456" spans="1:4" x14ac:dyDescent="0.2">
      <c r="A2456" t="str">
        <f>Sheet2!A2456</f>
        <v>TFK2</v>
      </c>
      <c r="B2456" t="str">
        <f ca="1">'Query Example'!D2456</f>
        <v>LandPlane</v>
      </c>
      <c r="C2456" s="11" t="str">
        <f>CONCATENATE(Sheet2!F2456,"/",Sheet2!E2456)</f>
        <v>1/Piston</v>
      </c>
      <c r="D2456" t="str">
        <f>CONCATENATE(Sheet2!B2456,", ",Sheet2!C2456)</f>
        <v>TECHNOFLUG, TFK-2 Carat</v>
      </c>
    </row>
    <row r="2457" spans="1:4" x14ac:dyDescent="0.2">
      <c r="A2457" t="str">
        <f>Sheet2!A2457</f>
        <v>TFOC</v>
      </c>
      <c r="B2457" t="str">
        <f ca="1">'Query Example'!D2457</f>
        <v>LandPlane</v>
      </c>
      <c r="C2457" s="11" t="str">
        <f>CONCATENATE(Sheet2!F2457,"/",Sheet2!E2457)</f>
        <v>1/Piston</v>
      </c>
      <c r="D2457" t="str">
        <f>CONCATENATE(Sheet2!B2457,", ",Sheet2!C2457)</f>
        <v>THUNDER WINGS, Focke-Wulf Fw-190</v>
      </c>
    </row>
    <row r="2458" spans="1:4" x14ac:dyDescent="0.2">
      <c r="A2458" t="str">
        <f>Sheet2!A2458</f>
        <v>TFUN</v>
      </c>
      <c r="B2458" t="str">
        <f ca="1">'Query Example'!D2458</f>
        <v>LandPlane</v>
      </c>
      <c r="C2458" s="11" t="str">
        <f>CONCATENATE(Sheet2!F2458,"/",Sheet2!E2458)</f>
        <v>1/Piston</v>
      </c>
      <c r="D2458" t="str">
        <f>CONCATENATE(Sheet2!B2458,", ",Sheet2!C2458)</f>
        <v>VALENTIN, Taifun</v>
      </c>
    </row>
    <row r="2459" spans="1:4" x14ac:dyDescent="0.2">
      <c r="A2459" t="str">
        <f>Sheet2!A2459</f>
        <v>TGRS</v>
      </c>
      <c r="B2459" t="str">
        <f ca="1">'Query Example'!D2459</f>
        <v>LandPlane</v>
      </c>
      <c r="C2459" s="11" t="str">
        <f>CONCATENATE(Sheet2!F2459,"/",Sheet2!E2459)</f>
        <v>1/Piston</v>
      </c>
      <c r="D2459" t="str">
        <f>CONCATENATE(Sheet2!B2459,", ",Sheet2!C2459)</f>
        <v>LANCAIR, Tigress</v>
      </c>
    </row>
    <row r="2460" spans="1:4" x14ac:dyDescent="0.2">
      <c r="A2460" t="str">
        <f>Sheet2!A2460</f>
        <v>TIAD</v>
      </c>
      <c r="B2460" t="str">
        <f ca="1">'Query Example'!D2460</f>
        <v>LandPlane</v>
      </c>
      <c r="C2460" s="11" t="str">
        <f>CONCATENATE(Sheet2!F2460,"/",Sheet2!E2460)</f>
        <v>1/Piston</v>
      </c>
      <c r="D2460" t="str">
        <f>CONCATENATE(Sheet2!B2460,", ",Sheet2!C2460)</f>
        <v>TRIKE ICAROS, Adventure</v>
      </c>
    </row>
    <row r="2461" spans="1:4" x14ac:dyDescent="0.2">
      <c r="A2461" t="str">
        <f>Sheet2!A2461</f>
        <v>TIGR</v>
      </c>
      <c r="B2461" t="str">
        <f ca="1">'Query Example'!D2461</f>
        <v>Helicopter</v>
      </c>
      <c r="C2461" s="11" t="str">
        <f>CONCATENATE(Sheet2!F2461,"/",Sheet2!E2461)</f>
        <v>2/Turboprop/Turboshaft</v>
      </c>
      <c r="D2461" t="str">
        <f>CONCATENATE(Sheet2!B2461,", ",Sheet2!C2461)</f>
        <v>EUROCOPTER, EC-665 Tigre</v>
      </c>
    </row>
    <row r="2462" spans="1:4" x14ac:dyDescent="0.2">
      <c r="A2462" t="str">
        <f>Sheet2!A2462</f>
        <v>TIJU</v>
      </c>
      <c r="B2462" t="str">
        <f ca="1">'Query Example'!D2462</f>
        <v>LandPlane</v>
      </c>
      <c r="C2462" s="11" t="str">
        <f>CONCATENATE(Sheet2!F2462,"/",Sheet2!E2462)</f>
        <v>1/Piston</v>
      </c>
      <c r="D2462" t="str">
        <f>CONCATENATE(Sheet2!B2462,", ",Sheet2!C2462)</f>
        <v>TIPSY, Junior</v>
      </c>
    </row>
    <row r="2463" spans="1:4" x14ac:dyDescent="0.2">
      <c r="A2463" t="str">
        <f>Sheet2!A2463</f>
        <v>TIPB</v>
      </c>
      <c r="B2463" t="str">
        <f ca="1">'Query Example'!D2463</f>
        <v>LandPlane</v>
      </c>
      <c r="C2463" s="11" t="str">
        <f>CONCATENATE(Sheet2!F2463,"/",Sheet2!E2463)</f>
        <v>1/Piston</v>
      </c>
      <c r="D2463" t="str">
        <f>CONCATENATE(Sheet2!B2463,", ",Sheet2!C2463)</f>
        <v>TIPSY, B</v>
      </c>
    </row>
    <row r="2464" spans="1:4" x14ac:dyDescent="0.2">
      <c r="A2464" t="str">
        <f>Sheet2!A2464</f>
        <v>TJET</v>
      </c>
      <c r="B2464" t="str">
        <f ca="1">'Query Example'!D2464</f>
        <v>LandPlane</v>
      </c>
      <c r="C2464" s="11" t="str">
        <f>CONCATENATE(Sheet2!F2464,"/",Sheet2!E2464)</f>
        <v>2/Jet</v>
      </c>
      <c r="D2464" t="str">
        <f>CONCATENATE(Sheet2!B2464,", ",Sheet2!C2464)</f>
        <v>MAVERICK, TJ-1500 TwinJet</v>
      </c>
    </row>
    <row r="2465" spans="1:4" x14ac:dyDescent="0.2">
      <c r="A2465" t="str">
        <f>Sheet2!A2465</f>
        <v>TL20</v>
      </c>
      <c r="B2465" t="str">
        <f ca="1">'Query Example'!D2465</f>
        <v>LandPlane</v>
      </c>
      <c r="C2465" s="11" t="str">
        <f>CONCATENATE(Sheet2!F2465,"/",Sheet2!E2465)</f>
        <v>1/Piston</v>
      </c>
      <c r="D2465" t="str">
        <f>CONCATENATE(Sheet2!B2465,", ",Sheet2!C2465)</f>
        <v>TL ULTRALIGHT, TL-2000  Sting</v>
      </c>
    </row>
    <row r="2466" spans="1:4" x14ac:dyDescent="0.2">
      <c r="A2466" t="str">
        <f>Sheet2!A2466</f>
        <v>TL30</v>
      </c>
      <c r="B2466" t="str">
        <f ca="1">'Query Example'!D2466</f>
        <v>LandPlane</v>
      </c>
      <c r="C2466" s="11" t="str">
        <f>CONCATENATE(Sheet2!F2466,"/",Sheet2!E2466)</f>
        <v>1/Piston</v>
      </c>
      <c r="D2466" t="str">
        <f>CONCATENATE(Sheet2!B2466,", ",Sheet2!C2466)</f>
        <v>TL ULTRALIGHT, TL-3000 Sirius</v>
      </c>
    </row>
    <row r="2467" spans="1:4" x14ac:dyDescent="0.2">
      <c r="A2467" t="str">
        <f>Sheet2!A2467</f>
        <v>TLEG</v>
      </c>
      <c r="B2467" t="str">
        <f ca="1">'Query Example'!D2467</f>
        <v>LandPlane</v>
      </c>
      <c r="C2467" s="11" t="str">
        <f>CONCATENATE(Sheet2!F2467,"/",Sheet2!E2467)</f>
        <v>1/Turboprop/Turboshaft</v>
      </c>
      <c r="D2467" t="str">
        <f>CONCATENATE(Sheet2!B2467,", ",Sheet2!C2467)</f>
        <v>PERFORMANCE, Turbine Legend</v>
      </c>
    </row>
    <row r="2468" spans="1:4" x14ac:dyDescent="0.2">
      <c r="A2468" t="str">
        <f>Sheet2!A2468</f>
        <v>TM5</v>
      </c>
      <c r="B2468" t="str">
        <f ca="1">'Query Example'!D2468</f>
        <v>LandPlane</v>
      </c>
      <c r="C2468" s="11" t="str">
        <f>CONCATENATE(Sheet2!F2468,"/",Sheet2!E2468)</f>
        <v>1/Piston</v>
      </c>
      <c r="D2468" t="str">
        <f>CONCATENATE(Sheet2!B2468,", ",Sheet2!C2468)</f>
        <v>TM AIRCRAFT, TM-5</v>
      </c>
    </row>
    <row r="2469" spans="1:4" x14ac:dyDescent="0.2">
      <c r="A2469" t="str">
        <f>Sheet2!A2469</f>
        <v>TMOT</v>
      </c>
      <c r="B2469" t="str">
        <f ca="1">'Query Example'!D2469</f>
        <v>LandPlane</v>
      </c>
      <c r="C2469" s="11" t="str">
        <f>CONCATENATE(Sheet2!F2469,"/",Sheet2!E2469)</f>
        <v>1/Piston</v>
      </c>
      <c r="D2469" t="str">
        <f>CONCATENATE(Sheet2!B2469,", ",Sheet2!C2469)</f>
        <v>FISHER, R-80 Tiger Moth</v>
      </c>
    </row>
    <row r="2470" spans="1:4" x14ac:dyDescent="0.2">
      <c r="A2470" t="str">
        <f>Sheet2!A2470</f>
        <v>TMUS</v>
      </c>
      <c r="B2470" t="str">
        <f ca="1">'Query Example'!D2470</f>
        <v>LandPlane</v>
      </c>
      <c r="C2470" s="11" t="str">
        <f>CONCATENATE(Sheet2!F2470,"/",Sheet2!E2470)</f>
        <v>1/Piston</v>
      </c>
      <c r="D2470" t="str">
        <f>CONCATENATE(Sheet2!B2470,", ",Sheet2!C2470)</f>
        <v>PAPA 51, Thunder Mustang</v>
      </c>
    </row>
    <row r="2471" spans="1:4" x14ac:dyDescent="0.2">
      <c r="A2471" t="str">
        <f>Sheet2!A2471</f>
        <v>TNAV</v>
      </c>
      <c r="B2471" t="str">
        <f ca="1">'Query Example'!D2471</f>
        <v>LandPlane</v>
      </c>
      <c r="C2471" s="11" t="str">
        <f>CONCATENATE(Sheet2!F2471,"/",Sheet2!E2471)</f>
        <v>2/Piston</v>
      </c>
      <c r="D2471" t="str">
        <f>CONCATENATE(Sheet2!B2471,", ",Sheet2!C2471)</f>
        <v>CAMAIR, 480 Twin Navion</v>
      </c>
    </row>
    <row r="2472" spans="1:4" x14ac:dyDescent="0.2">
      <c r="A2472" t="str">
        <f>Sheet2!A2472</f>
        <v>TNDR</v>
      </c>
      <c r="B2472" t="str">
        <f ca="1">'Query Example'!D2472</f>
        <v>LandPlane</v>
      </c>
      <c r="C2472" s="11" t="str">
        <f>CONCATENATE(Sheet2!F2472,"/",Sheet2!E2472)</f>
        <v>1/Piston</v>
      </c>
      <c r="D2472" t="str">
        <f>CONCATENATE(Sheet2!B2472,", ",Sheet2!C2472)</f>
        <v>DREAM, Tundra</v>
      </c>
    </row>
    <row r="2473" spans="1:4" x14ac:dyDescent="0.2">
      <c r="A2473" t="str">
        <f>Sheet2!A2473</f>
        <v>TOBA</v>
      </c>
      <c r="B2473" t="str">
        <f ca="1">'Query Example'!D2473</f>
        <v>LandPlane</v>
      </c>
      <c r="C2473" s="11" t="str">
        <f>CONCATENATE(Sheet2!F2473,"/",Sheet2!E2473)</f>
        <v>1/Piston</v>
      </c>
      <c r="D2473" t="str">
        <f>CONCATENATE(Sheet2!B2473,", ",Sheet2!C2473)</f>
        <v>SOCATA, TB-10 Tobago</v>
      </c>
    </row>
    <row r="2474" spans="1:4" x14ac:dyDescent="0.2">
      <c r="A2474" t="str">
        <f>Sheet2!A2474</f>
        <v>TOOT</v>
      </c>
      <c r="B2474" t="str">
        <f ca="1">'Query Example'!D2474</f>
        <v>LandPlane</v>
      </c>
      <c r="C2474" s="11" t="str">
        <f>CONCATENATE(Sheet2!F2474,"/",Sheet2!E2474)</f>
        <v>1/Piston</v>
      </c>
      <c r="D2474" t="str">
        <f>CONCATENATE(Sheet2!B2474,", ",Sheet2!C2474)</f>
        <v>MEYER, Little Toot</v>
      </c>
    </row>
    <row r="2475" spans="1:4" x14ac:dyDescent="0.2">
      <c r="A2475" t="str">
        <f>Sheet2!A2475</f>
        <v>TOR</v>
      </c>
      <c r="B2475" t="str">
        <f ca="1">'Query Example'!D2475</f>
        <v>LandPlane</v>
      </c>
      <c r="C2475" s="11" t="str">
        <f>CONCATENATE(Sheet2!F2475,"/",Sheet2!E2475)</f>
        <v>2/Jet</v>
      </c>
      <c r="D2475" t="str">
        <f>CONCATENATE(Sheet2!B2475,", ",Sheet2!C2475)</f>
        <v>PANAVIA, Tornado</v>
      </c>
    </row>
    <row r="2476" spans="1:4" x14ac:dyDescent="0.2">
      <c r="A2476" t="str">
        <f>Sheet2!A2476</f>
        <v>TOUR</v>
      </c>
      <c r="B2476" t="str">
        <f ca="1">'Query Example'!D2476</f>
        <v>LandPlane</v>
      </c>
      <c r="C2476" s="11" t="str">
        <f>CONCATENATE(Sheet2!F2476,"/",Sheet2!E2476)</f>
        <v>1/Piston</v>
      </c>
      <c r="D2476" t="str">
        <f>CONCATENATE(Sheet2!B2476,", ",Sheet2!C2476)</f>
        <v>AESL, Airtourer</v>
      </c>
    </row>
    <row r="2477" spans="1:4" x14ac:dyDescent="0.2">
      <c r="A2477" t="str">
        <f>Sheet2!A2477</f>
        <v>TOXO</v>
      </c>
      <c r="B2477" t="str">
        <f ca="1">'Query Example'!D2477</f>
        <v>LandPlane</v>
      </c>
      <c r="C2477" s="11" t="str">
        <f>CONCATENATE(Sheet2!F2477,"/",Sheet2!E2477)</f>
        <v>1/Piston</v>
      </c>
      <c r="D2477" t="str">
        <f>CONCATENATE(Sheet2!B2477,", ",Sheet2!C2477)</f>
        <v>CAG (1), Toxo</v>
      </c>
    </row>
    <row r="2478" spans="1:4" x14ac:dyDescent="0.2">
      <c r="A2478" t="str">
        <f>Sheet2!A2478</f>
        <v>TP40</v>
      </c>
      <c r="B2478" t="str">
        <f ca="1">'Query Example'!D2478</f>
        <v>LandPlane</v>
      </c>
      <c r="C2478" s="11" t="str">
        <f>CONCATENATE(Sheet2!F2478,"/",Sheet2!E2478)</f>
        <v>1/Piston</v>
      </c>
      <c r="D2478" t="str">
        <f>CONCATENATE(Sheet2!B2478,", ",Sheet2!C2478)</f>
        <v>THUNDER WINGS, Curtiss P-40</v>
      </c>
    </row>
    <row r="2479" spans="1:4" x14ac:dyDescent="0.2">
      <c r="A2479" t="str">
        <f>Sheet2!A2479</f>
        <v>TPIL</v>
      </c>
      <c r="B2479" t="str">
        <f ca="1">'Query Example'!D2479</f>
        <v>LandPlane</v>
      </c>
      <c r="C2479" s="11" t="str">
        <f>CONCATENATE(Sheet2!F2479,"/",Sheet2!E2479)</f>
        <v>1/Turboprop/Turboshaft</v>
      </c>
      <c r="D2479" t="str">
        <f>CONCATENATE(Sheet2!B2479,", ",Sheet2!C2479)</f>
        <v>ENAER, T-35DT Turbo Pillán</v>
      </c>
    </row>
    <row r="2480" spans="1:4" x14ac:dyDescent="0.2">
      <c r="A2480" t="str">
        <f>Sheet2!A2480</f>
        <v>TPIN</v>
      </c>
      <c r="B2480" t="str">
        <f ca="1">'Query Example'!D2480</f>
        <v>LandPlane</v>
      </c>
      <c r="C2480" s="11" t="str">
        <f>CONCATENATE(Sheet2!F2480,"/",Sheet2!E2480)</f>
        <v>2/Piston</v>
      </c>
      <c r="D2480" t="str">
        <f>CONCATENATE(Sheet2!B2480,", ",Sheet2!C2480)</f>
        <v>SCOTTISH AVIATION, Twin Pioneer</v>
      </c>
    </row>
    <row r="2481" spans="1:4" x14ac:dyDescent="0.2">
      <c r="A2481" t="str">
        <f>Sheet2!A2481</f>
        <v>TR1</v>
      </c>
      <c r="B2481" t="str">
        <f ca="1">'Query Example'!D2481</f>
        <v>Amphibian</v>
      </c>
      <c r="C2481" s="11" t="str">
        <f>CONCATENATE(Sheet2!F2481,"/",Sheet2!E2481)</f>
        <v>1/Piston</v>
      </c>
      <c r="D2481" t="str">
        <f>CONCATENATE(Sheet2!B2481,", ",Sheet2!C2481)</f>
        <v>TRIDENT, TR-1 Trigull</v>
      </c>
    </row>
    <row r="2482" spans="1:4" x14ac:dyDescent="0.2">
      <c r="A2482" t="str">
        <f>Sheet2!A2482</f>
        <v>TR20</v>
      </c>
      <c r="B2482" t="str">
        <f ca="1">'Query Example'!D2482</f>
        <v>LandPlane</v>
      </c>
      <c r="C2482" s="11" t="str">
        <f>CONCATENATE(Sheet2!F2482,"/",Sheet2!E2482)</f>
        <v>1/Piston</v>
      </c>
      <c r="D2482" t="str">
        <f>CONCATENATE(Sheet2!B2482,", ",Sheet2!C2482)</f>
        <v>FEUGRAY, TR-200</v>
      </c>
    </row>
    <row r="2483" spans="1:4" x14ac:dyDescent="0.2">
      <c r="A2483" t="str">
        <f>Sheet2!A2483</f>
        <v>TR26</v>
      </c>
      <c r="B2483" t="str">
        <f ca="1">'Query Example'!D2483</f>
        <v>LandPlane</v>
      </c>
      <c r="C2483" s="11" t="str">
        <f>CONCATENATE(Sheet2!F2483,"/",Sheet2!E2483)</f>
        <v>1/Piston</v>
      </c>
      <c r="D2483" t="str">
        <f>CONCATENATE(Sheet2!B2483,", ",Sheet2!C2483)</f>
        <v>FEUGRAY, TR-260 Sirius</v>
      </c>
    </row>
    <row r="2484" spans="1:4" x14ac:dyDescent="0.2">
      <c r="A2484" t="str">
        <f>Sheet2!A2484</f>
        <v>TR55</v>
      </c>
      <c r="B2484" t="str">
        <f ca="1">'Query Example'!D2484</f>
        <v>LandPlane</v>
      </c>
      <c r="C2484" s="11" t="str">
        <f>CONCATENATE(Sheet2!F2484,"/",Sheet2!E2484)</f>
        <v>1/Piston</v>
      </c>
      <c r="D2484" t="str">
        <f>CONCATENATE(Sheet2!B2484,", ",Sheet2!C2484)</f>
        <v>3XTRIM, 550 Trener</v>
      </c>
    </row>
    <row r="2485" spans="1:4" x14ac:dyDescent="0.2">
      <c r="A2485" t="str">
        <f>Sheet2!A2485</f>
        <v>TRAL</v>
      </c>
      <c r="B2485" t="str">
        <f ca="1">'Query Example'!D2485</f>
        <v>LandPlane</v>
      </c>
      <c r="C2485" s="11" t="str">
        <f>CONCATENATE(Sheet2!F2485,"/",Sheet2!E2485)</f>
        <v>1/Piston</v>
      </c>
      <c r="D2485" t="str">
        <f>CONCATENATE(Sheet2!B2485,", ",Sheet2!C2485)</f>
        <v>GROPPO, Trail</v>
      </c>
    </row>
    <row r="2486" spans="1:4" x14ac:dyDescent="0.2">
      <c r="A2486" t="str">
        <f>Sheet2!A2486</f>
        <v>TRAP</v>
      </c>
      <c r="B2486" t="str">
        <f ca="1">'Query Example'!D2486</f>
        <v>LandPlane</v>
      </c>
      <c r="C2486" s="11" t="str">
        <f>CONCATENATE(Sheet2!F2486,"/",Sheet2!E2486)</f>
        <v>1/Piston</v>
      </c>
      <c r="D2486" t="str">
        <f>CONCATENATE(Sheet2!B2486,", ",Sheet2!C2486)</f>
        <v>CAPELLA, T-Raptor</v>
      </c>
    </row>
    <row r="2487" spans="1:4" x14ac:dyDescent="0.2">
      <c r="A2487" t="str">
        <f>Sheet2!A2487</f>
        <v>TRBA</v>
      </c>
      <c r="B2487" t="str">
        <f ca="1">'Query Example'!D2487</f>
        <v>LandPlane</v>
      </c>
      <c r="C2487" s="11" t="str">
        <f>CONCATENATE(Sheet2!F2487,"/",Sheet2!E2487)</f>
        <v>1/Piston</v>
      </c>
      <c r="D2487" t="str">
        <f>CONCATENATE(Sheet2!B2487,", ",Sheet2!C2487)</f>
        <v>PODESVA, Trener Baby</v>
      </c>
    </row>
    <row r="2488" spans="1:4" x14ac:dyDescent="0.2">
      <c r="A2488" t="str">
        <f>Sheet2!A2488</f>
        <v>TRDO</v>
      </c>
      <c r="B2488" t="str">
        <f ca="1">'Query Example'!D2488</f>
        <v>LandPlane</v>
      </c>
      <c r="C2488" s="11" t="str">
        <f>CONCATENATE(Sheet2!F2488,"/",Sheet2!E2488)</f>
        <v>1/Piston</v>
      </c>
      <c r="D2488" t="str">
        <f>CONCATENATE(Sheet2!B2488,", ",Sheet2!C2488)</f>
        <v>TITAN, Tornado SS</v>
      </c>
    </row>
    <row r="2489" spans="1:4" x14ac:dyDescent="0.2">
      <c r="A2489" t="str">
        <f>Sheet2!A2489</f>
        <v>TRF1</v>
      </c>
      <c r="B2489" t="str">
        <f ca="1">'Query Example'!D2489</f>
        <v>LandPlane</v>
      </c>
      <c r="C2489" s="11" t="str">
        <f>CONCATENATE(Sheet2!F2489,"/",Sheet2!E2489)</f>
        <v>1/Piston</v>
      </c>
      <c r="D2489" t="str">
        <f>CONCATENATE(Sheet2!B2489,", ",Sheet2!C2489)</f>
        <v>TEAM ROCKET, F-1</v>
      </c>
    </row>
    <row r="2490" spans="1:4" x14ac:dyDescent="0.2">
      <c r="A2490" t="str">
        <f>Sheet2!A2490</f>
        <v>TRIM</v>
      </c>
      <c r="B2490" t="str">
        <f ca="1">'Query Example'!D2490</f>
        <v>LandPlane</v>
      </c>
      <c r="C2490" s="11" t="str">
        <f>CONCATENATE(Sheet2!F2490,"/",Sheet2!E2490)</f>
        <v>3/Piston</v>
      </c>
      <c r="D2490" t="str">
        <f>CONCATENATE(Sheet2!B2490,", ",Sheet2!C2490)</f>
        <v>FORD, Tri-Motor</v>
      </c>
    </row>
    <row r="2491" spans="1:4" x14ac:dyDescent="0.2">
      <c r="A2491" t="str">
        <f>Sheet2!A2491</f>
        <v>TRIS</v>
      </c>
      <c r="B2491" t="str">
        <f ca="1">'Query Example'!D2491</f>
        <v>LandPlane</v>
      </c>
      <c r="C2491" s="11" t="str">
        <f>CONCATENATE(Sheet2!F2491,"/",Sheet2!E2491)</f>
        <v>3/Piston</v>
      </c>
      <c r="D2491" t="str">
        <f>CONCATENATE(Sheet2!B2491,", ",Sheet2!C2491)</f>
        <v>BRITTEN-NORMAN, BN-2A Mk3 Trislander</v>
      </c>
    </row>
    <row r="2492" spans="1:4" x14ac:dyDescent="0.2">
      <c r="A2492" t="str">
        <f>Sheet2!A2492</f>
        <v>TRMA</v>
      </c>
      <c r="B2492" t="str">
        <f ca="1">'Query Example'!D2492</f>
        <v>LandPlane</v>
      </c>
      <c r="C2492" s="11" t="str">
        <f>CONCATENATE(Sheet2!F2492,"/",Sheet2!E2492)</f>
        <v>3/Piston</v>
      </c>
      <c r="D2492" t="str">
        <f>CONCATENATE(Sheet2!B2492,", ",Sheet2!C2492)</f>
        <v>STINSON, A Tri-Motor</v>
      </c>
    </row>
    <row r="2493" spans="1:4" x14ac:dyDescent="0.2">
      <c r="A2493" t="str">
        <f>Sheet2!A2493</f>
        <v>TRWN</v>
      </c>
      <c r="B2493" t="str">
        <f ca="1">'Query Example'!D2493</f>
        <v>LandPlane</v>
      </c>
      <c r="C2493" s="11" t="str">
        <f>CONCATENATE(Sheet2!F2493,"/",Sheet2!E2493)</f>
        <v>2/Piston</v>
      </c>
      <c r="D2493" t="str">
        <f>CONCATENATE(Sheet2!B2493,", ",Sheet2!C2493)</f>
        <v>PACIFIC AIRMOTIVE, Tradewind</v>
      </c>
    </row>
    <row r="2494" spans="1:4" x14ac:dyDescent="0.2">
      <c r="A2494" t="str">
        <f>Sheet2!A2494</f>
        <v>TS11</v>
      </c>
      <c r="B2494" t="str">
        <f ca="1">'Query Example'!D2494</f>
        <v>LandPlane</v>
      </c>
      <c r="C2494" s="11" t="str">
        <f>CONCATENATE(Sheet2!F2494,"/",Sheet2!E2494)</f>
        <v>1/Jet</v>
      </c>
      <c r="D2494" t="str">
        <f>CONCATENATE(Sheet2!B2494,", ",Sheet2!C2494)</f>
        <v>PZL-MIELEC, TS-11 Iskra</v>
      </c>
    </row>
    <row r="2495" spans="1:4" x14ac:dyDescent="0.2">
      <c r="A2495" t="str">
        <f>Sheet2!A2495</f>
        <v>TS14</v>
      </c>
      <c r="B2495" t="str">
        <f ca="1">'Query Example'!D2495</f>
        <v>LandPlane</v>
      </c>
      <c r="C2495" s="11" t="str">
        <f>CONCATENATE(Sheet2!F2495,"/",Sheet2!E2495)</f>
        <v>1/Piston</v>
      </c>
      <c r="D2495" t="str">
        <f>CONCATENATE(Sheet2!B2495,", ",Sheet2!C2495)</f>
        <v>TEST, TST-14 Bonus</v>
      </c>
    </row>
    <row r="2496" spans="1:4" x14ac:dyDescent="0.2">
      <c r="A2496" t="str">
        <f>Sheet2!A2496</f>
        <v>TS1J</v>
      </c>
      <c r="B2496" t="str">
        <f ca="1">'Query Example'!D2496</f>
        <v>LandPlane</v>
      </c>
      <c r="C2496" s="11" t="str">
        <f>CONCATENATE(Sheet2!F2496,"/",Sheet2!E2496)</f>
        <v>1/Jet</v>
      </c>
      <c r="D2496" t="str">
        <f>CONCATENATE(Sheet2!B2496,", ",Sheet2!C2496)</f>
        <v>JONKER, JS-1TJ Revelation</v>
      </c>
    </row>
    <row r="2497" spans="1:4" x14ac:dyDescent="0.2">
      <c r="A2497" t="str">
        <f>Sheet2!A2497</f>
        <v>TS8</v>
      </c>
      <c r="B2497" t="str">
        <f ca="1">'Query Example'!D2497</f>
        <v>LandPlane</v>
      </c>
      <c r="C2497" s="11" t="str">
        <f>CONCATENATE(Sheet2!F2497,"/",Sheet2!E2497)</f>
        <v>1/Piston</v>
      </c>
      <c r="D2497" t="str">
        <f>CONCATENATE(Sheet2!B2497,", ",Sheet2!C2497)</f>
        <v>PZL-MIELEC, TS-8 Bies</v>
      </c>
    </row>
    <row r="2498" spans="1:4" x14ac:dyDescent="0.2">
      <c r="A2498" t="str">
        <f>Sheet2!A2498</f>
        <v>TSPT</v>
      </c>
      <c r="B2498" t="str">
        <f ca="1">'Query Example'!D2498</f>
        <v>LandPlane</v>
      </c>
      <c r="C2498" s="11" t="str">
        <f>CONCATENATE(Sheet2!F2498,"/",Sheet2!E2498)</f>
        <v>1/Piston</v>
      </c>
      <c r="D2498" t="str">
        <f>CONCATENATE(Sheet2!B2498,", ",Sheet2!C2498)</f>
        <v>THUNDER WINGS, Supermarine Spitfire</v>
      </c>
    </row>
    <row r="2499" spans="1:4" x14ac:dyDescent="0.2">
      <c r="A2499" t="str">
        <f>Sheet2!A2499</f>
        <v>TSTN</v>
      </c>
      <c r="B2499" t="str">
        <f ca="1">'Query Example'!D2499</f>
        <v>LandPlane</v>
      </c>
      <c r="C2499" s="11" t="str">
        <f>CONCATENATE(Sheet2!F2499,"/",Sheet2!E2499)</f>
        <v>1/Piston</v>
      </c>
      <c r="D2499" t="str">
        <f>CONCATENATE(Sheet2!B2499,", ",Sheet2!C2499)</f>
        <v>TERRAFUGIA, Transition</v>
      </c>
    </row>
    <row r="2500" spans="1:4" x14ac:dyDescent="0.2">
      <c r="A2500" t="str">
        <f>Sheet2!A2500</f>
        <v>TSTR</v>
      </c>
      <c r="B2500" t="str">
        <f ca="1">'Query Example'!D2500</f>
        <v>Gyrocopter</v>
      </c>
      <c r="C2500" s="11" t="str">
        <f>CONCATENATE(Sheet2!F2500,"/",Sheet2!E2500)</f>
        <v>1/Piston</v>
      </c>
      <c r="D2500" t="str">
        <f>CONCATENATE(Sheet2!B2500,", ",Sheet2!C2500)</f>
        <v>FARRINGTON, Twinstar</v>
      </c>
    </row>
    <row r="2501" spans="1:4" x14ac:dyDescent="0.2">
      <c r="A2501" t="str">
        <f>Sheet2!A2501</f>
        <v>TTRS</v>
      </c>
      <c r="B2501" t="str">
        <f ca="1">'Query Example'!D2501</f>
        <v>LandPlane</v>
      </c>
      <c r="C2501" s="11" t="str">
        <f>CONCATENATE(Sheet2!F2501,"/",Sheet2!E2501)</f>
        <v>1/Piston</v>
      </c>
      <c r="D2501" t="str">
        <f>CONCATENATE(Sheet2!B2501,", ",Sheet2!C2501)</f>
        <v>HUMBERT, Tetras</v>
      </c>
    </row>
    <row r="2502" spans="1:4" x14ac:dyDescent="0.2">
      <c r="A2502" t="str">
        <f>Sheet2!A2502</f>
        <v>TTWO</v>
      </c>
      <c r="B2502" t="str">
        <f ca="1">'Query Example'!D2502</f>
        <v>LandPlane</v>
      </c>
      <c r="C2502" s="11" t="str">
        <f>CONCATENATE(Sheet2!F2502,"/",Sheet2!E2502)</f>
        <v>1/Piston</v>
      </c>
      <c r="D2502" t="str">
        <f>CONCATENATE(Sheet2!B2502,", ",Sheet2!C2502)</f>
        <v>PARKER, Teenie Two</v>
      </c>
    </row>
    <row r="2503" spans="1:4" x14ac:dyDescent="0.2">
      <c r="A2503" t="str">
        <f>Sheet2!A2503</f>
        <v>TU16</v>
      </c>
      <c r="B2503" t="str">
        <f ca="1">'Query Example'!D2503</f>
        <v>LandPlane</v>
      </c>
      <c r="C2503" s="11" t="str">
        <f>CONCATENATE(Sheet2!F2503,"/",Sheet2!E2503)</f>
        <v>2/Jet</v>
      </c>
      <c r="D2503" t="str">
        <f>CONCATENATE(Sheet2!B2503,", ",Sheet2!C2503)</f>
        <v>TUPOLEV, Tu-16</v>
      </c>
    </row>
    <row r="2504" spans="1:4" x14ac:dyDescent="0.2">
      <c r="A2504" t="str">
        <f>Sheet2!A2504</f>
        <v>TU22</v>
      </c>
      <c r="B2504" t="str">
        <f ca="1">'Query Example'!D2504</f>
        <v>LandPlane</v>
      </c>
      <c r="C2504" s="11" t="str">
        <f>CONCATENATE(Sheet2!F2504,"/",Sheet2!E2504)</f>
        <v>2/Jet</v>
      </c>
      <c r="D2504" t="str">
        <f>CONCATENATE(Sheet2!B2504,", ",Sheet2!C2504)</f>
        <v>TUPOLEV, Tu-22</v>
      </c>
    </row>
    <row r="2505" spans="1:4" x14ac:dyDescent="0.2">
      <c r="A2505" t="str">
        <f>Sheet2!A2505</f>
        <v>TU95</v>
      </c>
      <c r="B2505" t="str">
        <f ca="1">'Query Example'!D2505</f>
        <v>LandPlane</v>
      </c>
      <c r="C2505" s="11" t="str">
        <f>CONCATENATE(Sheet2!F2505,"/",Sheet2!E2505)</f>
        <v>4/Turboprop/Turboshaft</v>
      </c>
      <c r="D2505" t="str">
        <f>CONCATENATE(Sheet2!B2505,", ",Sheet2!C2505)</f>
        <v>TUPOLEV, Tu-95</v>
      </c>
    </row>
    <row r="2506" spans="1:4" x14ac:dyDescent="0.2">
      <c r="A2506" t="str">
        <f>Sheet2!A2506</f>
        <v>TUCA</v>
      </c>
      <c r="B2506" t="str">
        <f ca="1">'Query Example'!D2506</f>
        <v>LandPlane</v>
      </c>
      <c r="C2506" s="11" t="str">
        <f>CONCATENATE(Sheet2!F2506,"/",Sheet2!E2506)</f>
        <v>1/Turboprop/Turboshaft</v>
      </c>
      <c r="D2506" t="str">
        <f>CONCATENATE(Sheet2!B2506,", ",Sheet2!C2506)</f>
        <v>EMBRAER, EMB-312 Tucano</v>
      </c>
    </row>
    <row r="2507" spans="1:4" x14ac:dyDescent="0.2">
      <c r="A2507" t="str">
        <f>Sheet2!A2507</f>
        <v>TUL3</v>
      </c>
      <c r="B2507" t="str">
        <f ca="1">'Query Example'!D2507</f>
        <v>LandPlane</v>
      </c>
      <c r="C2507" s="11" t="str">
        <f>CONCATENATE(Sheet2!F2507,"/",Sheet2!E2507)</f>
        <v>1/Piston</v>
      </c>
      <c r="D2507" t="str">
        <f>CONCATENATE(Sheet2!B2507,", ",Sheet2!C2507)</f>
        <v>PODESVA, TUL-03 Amigo</v>
      </c>
    </row>
    <row r="2508" spans="1:4" x14ac:dyDescent="0.2">
      <c r="A2508" t="str">
        <f>Sheet2!A2508</f>
        <v>TUTR</v>
      </c>
      <c r="B2508" t="str">
        <f ca="1">'Query Example'!D2508</f>
        <v>LandPlane</v>
      </c>
      <c r="C2508" s="11" t="str">
        <f>CONCATENATE(Sheet2!F2508,"/",Sheet2!E2508)</f>
        <v>1/Piston</v>
      </c>
      <c r="D2508" t="str">
        <f>CONCATENATE(Sheet2!B2508,", ",Sheet2!C2508)</f>
        <v>AVRO, 621 Tutor</v>
      </c>
    </row>
    <row r="2509" spans="1:4" x14ac:dyDescent="0.2">
      <c r="A2509" t="str">
        <f>Sheet2!A2509</f>
        <v>TUTR</v>
      </c>
      <c r="B2509" t="str">
        <f ca="1">'Query Example'!D2509</f>
        <v>LandPlane</v>
      </c>
      <c r="C2509" s="11" t="str">
        <f>CONCATENATE(Sheet2!F2509,"/",Sheet2!E2509)</f>
        <v>1/Piston</v>
      </c>
      <c r="D2509" t="str">
        <f>CONCATENATE(Sheet2!B2509,", ",Sheet2!C2509)</f>
        <v>AVRO, Tutor</v>
      </c>
    </row>
    <row r="2510" spans="1:4" x14ac:dyDescent="0.2">
      <c r="A2510" t="str">
        <f>Sheet2!A2510</f>
        <v>TVL4</v>
      </c>
      <c r="B2510" t="str">
        <f ca="1">'Query Example'!D2510</f>
        <v>LandPlane</v>
      </c>
      <c r="C2510" s="11" t="str">
        <f>CONCATENATE(Sheet2!F2510,"/",Sheet2!E2510)</f>
        <v>1/Piston</v>
      </c>
      <c r="D2510" t="str">
        <f>CONCATENATE(Sheet2!B2510,", ",Sheet2!C2510)</f>
        <v>TRAVEL AIR, 4000</v>
      </c>
    </row>
    <row r="2511" spans="1:4" x14ac:dyDescent="0.2">
      <c r="A2511" t="str">
        <f>Sheet2!A2511</f>
        <v>TVLB</v>
      </c>
      <c r="B2511" t="str">
        <f ca="1">'Query Example'!D2511</f>
        <v>LandPlane</v>
      </c>
      <c r="C2511" s="11" t="str">
        <f>CONCATENATE(Sheet2!F2511,"/",Sheet2!E2511)</f>
        <v>1/Piston</v>
      </c>
      <c r="D2511" t="str">
        <f>CONCATENATE(Sheet2!B2511,", ",Sheet2!C2511)</f>
        <v>TRAVEL AIR, 2000</v>
      </c>
    </row>
    <row r="2512" spans="1:4" x14ac:dyDescent="0.2">
      <c r="A2512" t="str">
        <f>Sheet2!A2512</f>
        <v>TWEN</v>
      </c>
      <c r="B2512" t="str">
        <f ca="1">'Query Example'!D2512</f>
        <v>LandPlane</v>
      </c>
      <c r="C2512" s="11" t="str">
        <f>CONCATENATE(Sheet2!F2512,"/",Sheet2!E2512)</f>
        <v>1/Piston</v>
      </c>
      <c r="D2512" t="str">
        <f>CONCATENATE(Sheet2!B2512,", ",Sheet2!C2512)</f>
        <v>TECNAM, P-2010 Twenty-Ten</v>
      </c>
    </row>
    <row r="2513" spans="1:4" x14ac:dyDescent="0.2">
      <c r="A2513" t="str">
        <f>Sheet2!A2513</f>
        <v>TWIR</v>
      </c>
      <c r="B2513" t="str">
        <f ca="1">'Query Example'!D2513</f>
        <v>LandPlane</v>
      </c>
      <c r="C2513" s="11" t="str">
        <f>CONCATENATE(Sheet2!F2513,"/",Sheet2!E2513)</f>
        <v>2/Piston</v>
      </c>
      <c r="D2513" t="str">
        <f>CONCATENATE(Sheet2!B2513,", ",Sheet2!C2513)</f>
        <v>DYN'AERO, Twin-R</v>
      </c>
    </row>
    <row r="2514" spans="1:4" x14ac:dyDescent="0.2">
      <c r="A2514" t="str">
        <f>Sheet2!A2514</f>
        <v>TWSP</v>
      </c>
      <c r="B2514" t="str">
        <f ca="1">'Query Example'!D2514</f>
        <v>LandPlane</v>
      </c>
      <c r="C2514" s="11" t="str">
        <f>CONCATENATE(Sheet2!F2514,"/",Sheet2!E2514)</f>
        <v>1/Piston</v>
      </c>
      <c r="D2514" t="str">
        <f>CONCATENATE(Sheet2!B2514,", ",Sheet2!C2514)</f>
        <v>TIME WARP, Spitfire</v>
      </c>
    </row>
    <row r="2515" spans="1:4" x14ac:dyDescent="0.2">
      <c r="A2515" t="str">
        <f>Sheet2!A2515</f>
        <v>TWST</v>
      </c>
      <c r="B2515" t="str">
        <f ca="1">'Query Example'!D2515</f>
        <v>LandPlane</v>
      </c>
      <c r="C2515" s="11" t="str">
        <f>CONCATENATE(Sheet2!F2515,"/",Sheet2!E2515)</f>
        <v>1/Piston</v>
      </c>
      <c r="D2515" t="str">
        <f>CONCATENATE(Sheet2!B2515,", ",Sheet2!C2515)</f>
        <v>SILENCE, Twister</v>
      </c>
    </row>
    <row r="2516" spans="1:4" x14ac:dyDescent="0.2">
      <c r="A2516" t="str">
        <f>Sheet2!A2516</f>
        <v>TZRV</v>
      </c>
      <c r="B2516" t="str">
        <f ca="1">'Query Example'!D2516</f>
        <v>LandPlane</v>
      </c>
      <c r="C2516" s="11" t="str">
        <f>CONCATENATE(Sheet2!F2516,"/",Sheet2!E2516)</f>
        <v>1/Jet</v>
      </c>
      <c r="D2516" t="str">
        <f>CONCATENATE(Sheet2!B2516,", ",Sheet2!C2516)</f>
        <v>IRIAF, JT-2-2 Tazarve</v>
      </c>
    </row>
    <row r="2517" spans="1:4" x14ac:dyDescent="0.2">
      <c r="A2517" t="str">
        <f>Sheet2!A2517</f>
        <v>U15</v>
      </c>
      <c r="B2517" t="str">
        <f ca="1">'Query Example'!D2517</f>
        <v>LandPlane</v>
      </c>
      <c r="C2517" s="11" t="str">
        <f>CONCATENATE(Sheet2!F2517,"/",Sheet2!E2517)</f>
        <v>1/Piston</v>
      </c>
      <c r="D2517" t="str">
        <f>CONCATENATE(Sheet2!B2517,", ",Sheet2!C2517)</f>
        <v>PHOENIX AIR, U-15 Phoenix</v>
      </c>
    </row>
    <row r="2518" spans="1:4" x14ac:dyDescent="0.2">
      <c r="A2518" t="str">
        <f>Sheet2!A2518</f>
        <v>U16</v>
      </c>
      <c r="B2518" t="str">
        <f ca="1">'Query Example'!D2518</f>
        <v>Amphibian</v>
      </c>
      <c r="C2518" s="11" t="str">
        <f>CONCATENATE(Sheet2!F2518,"/",Sheet2!E2518)</f>
        <v>2/Piston</v>
      </c>
      <c r="D2518" t="str">
        <f>CONCATENATE(Sheet2!B2518,", ",Sheet2!C2518)</f>
        <v>GRUMMAN, HU-16 Albatross</v>
      </c>
    </row>
    <row r="2519" spans="1:4" x14ac:dyDescent="0.2">
      <c r="A2519" t="str">
        <f>Sheet2!A2519</f>
        <v>U2</v>
      </c>
      <c r="B2519" t="str">
        <f ca="1">'Query Example'!D2519</f>
        <v>LandPlane</v>
      </c>
      <c r="C2519" s="11" t="str">
        <f>CONCATENATE(Sheet2!F2519,"/",Sheet2!E2519)</f>
        <v>1/Jet</v>
      </c>
      <c r="D2519" t="str">
        <f>CONCATENATE(Sheet2!B2519,", ",Sheet2!C2519)</f>
        <v>LOCKHEED, U-2</v>
      </c>
    </row>
    <row r="2520" spans="1:4" x14ac:dyDescent="0.2">
      <c r="A2520" t="str">
        <f>Sheet2!A2520</f>
        <v>U21</v>
      </c>
      <c r="B2520" t="str">
        <f ca="1">'Query Example'!D2520</f>
        <v>LandPlane</v>
      </c>
      <c r="C2520" s="11" t="str">
        <f>CONCATENATE(Sheet2!F2520,"/",Sheet2!E2520)</f>
        <v>2/Turboprop/Turboshaft</v>
      </c>
      <c r="D2520" t="str">
        <f>CONCATENATE(Sheet2!B2520,", ",Sheet2!C2520)</f>
        <v>BEECH, U-21A Ute</v>
      </c>
    </row>
    <row r="2521" spans="1:4" x14ac:dyDescent="0.2">
      <c r="A2521" t="str">
        <f>Sheet2!A2521</f>
        <v>U21</v>
      </c>
      <c r="B2521" t="str">
        <f ca="1">'Query Example'!D2521</f>
        <v>LandPlane</v>
      </c>
      <c r="C2521" s="11" t="str">
        <f>CONCATENATE(Sheet2!F2521,"/",Sheet2!E2521)</f>
        <v>2/Turboprop/Turboshaft</v>
      </c>
      <c r="D2521" t="str">
        <f>CONCATENATE(Sheet2!B2521,", ",Sheet2!C2521)</f>
        <v>BEECH, U-21G Ute</v>
      </c>
    </row>
    <row r="2522" spans="1:4" x14ac:dyDescent="0.2">
      <c r="A2522" t="str">
        <f>Sheet2!A2522</f>
        <v>U21</v>
      </c>
      <c r="B2522" t="str">
        <f ca="1">'Query Example'!D2522</f>
        <v>LandPlane</v>
      </c>
      <c r="C2522" s="11" t="str">
        <f>CONCATENATE(Sheet2!F2522,"/",Sheet2!E2522)</f>
        <v>2/Turboprop/Turboshaft</v>
      </c>
      <c r="D2522" t="str">
        <f>CONCATENATE(Sheet2!B2522,", ",Sheet2!C2522)</f>
        <v>BEECH, Ute (U-21A/G)</v>
      </c>
    </row>
    <row r="2523" spans="1:4" x14ac:dyDescent="0.2">
      <c r="A2523" t="str">
        <f>Sheet2!A2523</f>
        <v>U22</v>
      </c>
      <c r="B2523" t="str">
        <f ca="1">'Query Example'!D2523</f>
        <v>LandPlane</v>
      </c>
      <c r="C2523" s="11" t="str">
        <f>CONCATENATE(Sheet2!F2523,"/",Sheet2!E2523)</f>
        <v>1/Piston</v>
      </c>
      <c r="D2523" t="str">
        <f>CONCATENATE(Sheet2!B2523,", ",Sheet2!C2523)</f>
        <v>BEECH, QU-22</v>
      </c>
    </row>
    <row r="2524" spans="1:4" x14ac:dyDescent="0.2">
      <c r="A2524" t="str">
        <f>Sheet2!A2524</f>
        <v>UBAT</v>
      </c>
      <c r="B2524" t="str">
        <f ca="1">'Query Example'!D2524</f>
        <v>LandPlane</v>
      </c>
      <c r="C2524" s="11" t="str">
        <f>CONCATENATE(Sheet2!F2524,"/",Sheet2!E2524)</f>
        <v>1/Piston</v>
      </c>
      <c r="D2524" t="str">
        <f>CONCATENATE(Sheet2!B2524,", ",Sheet2!C2524)</f>
        <v>AUSTRALITE, Ultrabat</v>
      </c>
    </row>
    <row r="2525" spans="1:4" x14ac:dyDescent="0.2">
      <c r="A2525" t="str">
        <f>Sheet2!A2525</f>
        <v>UF10</v>
      </c>
      <c r="B2525" t="str">
        <f ca="1">'Query Example'!D2525</f>
        <v>LandPlane</v>
      </c>
      <c r="C2525" s="11" t="str">
        <f>CONCATENATE(Sheet2!F2525,"/",Sheet2!E2525)</f>
        <v>1/Piston</v>
      </c>
      <c r="D2525" t="str">
        <f>CONCATENATE(Sheet2!B2525,", ",Sheet2!C2525)</f>
        <v>URBAN, UFM-10 Samba</v>
      </c>
    </row>
    <row r="2526" spans="1:4" x14ac:dyDescent="0.2">
      <c r="A2526" t="str">
        <f>Sheet2!A2526</f>
        <v>UF13</v>
      </c>
      <c r="B2526" t="str">
        <f ca="1">'Query Example'!D2526</f>
        <v>LandPlane</v>
      </c>
      <c r="C2526" s="11" t="str">
        <f>CONCATENATE(Sheet2!F2526,"/",Sheet2!E2526)</f>
        <v>1/Piston</v>
      </c>
      <c r="D2526" t="str">
        <f>CONCATENATE(Sheet2!B2526,", ",Sheet2!C2526)</f>
        <v>URBAN, UFM-13 Lambada</v>
      </c>
    </row>
    <row r="2527" spans="1:4" x14ac:dyDescent="0.2">
      <c r="A2527" t="str">
        <f>Sheet2!A2527</f>
        <v>UFHT</v>
      </c>
      <c r="B2527" t="str">
        <f ca="1">'Query Example'!D2527</f>
        <v>Gyrocopter</v>
      </c>
      <c r="C2527" s="11" t="str">
        <f>CONCATENATE(Sheet2!F2527,"/",Sheet2!E2527)</f>
        <v>1/Piston</v>
      </c>
      <c r="D2527" t="str">
        <f>CONCATENATE(Sheet2!B2527,", ",Sheet2!C2527)</f>
        <v>UFO, HeliThruster</v>
      </c>
    </row>
    <row r="2528" spans="1:4" x14ac:dyDescent="0.2">
      <c r="A2528" t="str">
        <f>Sheet2!A2528</f>
        <v>UH1</v>
      </c>
      <c r="B2528" t="str">
        <f ca="1">'Query Example'!D2528</f>
        <v>Helicopter</v>
      </c>
      <c r="C2528" s="11" t="str">
        <f>CONCATENATE(Sheet2!F2528,"/",Sheet2!E2528)</f>
        <v>1/Turboprop/Turboshaft</v>
      </c>
      <c r="D2528" t="str">
        <f>CONCATENATE(Sheet2!B2528,", ",Sheet2!C2528)</f>
        <v>BELL, UH-1A Iroquois</v>
      </c>
    </row>
    <row r="2529" spans="1:4" x14ac:dyDescent="0.2">
      <c r="A2529" t="str">
        <f>Sheet2!A2529</f>
        <v>UH12</v>
      </c>
      <c r="B2529" t="str">
        <f ca="1">'Query Example'!D2529</f>
        <v>Helicopter</v>
      </c>
      <c r="C2529" s="11" t="str">
        <f>CONCATENATE(Sheet2!F2529,"/",Sheet2!E2529)</f>
        <v>1/Piston</v>
      </c>
      <c r="D2529" t="str">
        <f>CONCATENATE(Sheet2!B2529,", ",Sheet2!C2529)</f>
        <v>HILLER, UH-12B</v>
      </c>
    </row>
    <row r="2530" spans="1:4" x14ac:dyDescent="0.2">
      <c r="A2530" t="str">
        <f>Sheet2!A2530</f>
        <v>UH1Y</v>
      </c>
      <c r="B2530" t="str">
        <f ca="1">'Query Example'!D2530</f>
        <v>Helicopter</v>
      </c>
      <c r="C2530" s="11" t="str">
        <f>CONCATENATE(Sheet2!F2530,"/",Sheet2!E2530)</f>
        <v>2/Turboprop/Turboshaft</v>
      </c>
      <c r="D2530" t="str">
        <f>CONCATENATE(Sheet2!B2530,", ",Sheet2!C2530)</f>
        <v>BELL, UH-1Y</v>
      </c>
    </row>
    <row r="2531" spans="1:4" x14ac:dyDescent="0.2">
      <c r="A2531" t="str">
        <f>Sheet2!A2531</f>
        <v>UL10</v>
      </c>
      <c r="B2531" t="str">
        <f ca="1">'Query Example'!D2531</f>
        <v>LandPlane</v>
      </c>
      <c r="C2531" s="11" t="str">
        <f>CONCATENATE(Sheet2!F2531,"/",Sheet2!E2531)</f>
        <v>1/Piston</v>
      </c>
      <c r="D2531" t="str">
        <f>CONCATENATE(Sheet2!B2531,", ",Sheet2!C2531)</f>
        <v>ULTIMATE, 10 Albertan</v>
      </c>
    </row>
    <row r="2532" spans="1:4" x14ac:dyDescent="0.2">
      <c r="A2532" t="str">
        <f>Sheet2!A2532</f>
        <v>UL20</v>
      </c>
      <c r="B2532" t="str">
        <f ca="1">'Query Example'!D2532</f>
        <v>LandPlane</v>
      </c>
      <c r="C2532" s="11" t="str">
        <f>CONCATENATE(Sheet2!F2532,"/",Sheet2!E2532)</f>
        <v>1/Piston</v>
      </c>
      <c r="D2532" t="str">
        <f>CONCATENATE(Sheet2!B2532,", ",Sheet2!C2532)</f>
        <v>ULTIMATE, 20</v>
      </c>
    </row>
    <row r="2533" spans="1:4" x14ac:dyDescent="0.2">
      <c r="A2533" t="str">
        <f>Sheet2!A2533</f>
        <v>UL2F</v>
      </c>
      <c r="B2533" t="str">
        <f ca="1">'Query Example'!D2533</f>
        <v>LandPlane</v>
      </c>
      <c r="C2533" s="11" t="str">
        <f>CONCATENATE(Sheet2!F2533,"/",Sheet2!E2533)</f>
        <v>1/Piston</v>
      </c>
      <c r="D2533" t="str">
        <f>CONCATENATE(Sheet2!B2533,", ",Sheet2!C2533)</f>
        <v>AEROS, UL-2000 Flamingo</v>
      </c>
    </row>
    <row r="2534" spans="1:4" x14ac:dyDescent="0.2">
      <c r="A2534" t="str">
        <f>Sheet2!A2534</f>
        <v>UL45</v>
      </c>
      <c r="B2534" t="str">
        <f ca="1">'Query Example'!D2534</f>
        <v>LandPlane</v>
      </c>
      <c r="C2534" s="11" t="str">
        <f>CONCATENATE(Sheet2!F2534,"/",Sheet2!E2534)</f>
        <v>1/Piston</v>
      </c>
      <c r="D2534" t="str">
        <f>CONCATENATE(Sheet2!B2534,", ",Sheet2!C2534)</f>
        <v>3XTRIM, 450 Ultra</v>
      </c>
    </row>
    <row r="2535" spans="1:4" x14ac:dyDescent="0.2">
      <c r="A2535" t="str">
        <f>Sheet2!A2535</f>
        <v>ULPA</v>
      </c>
      <c r="B2535" t="str">
        <f ca="1">'Query Example'!D2535</f>
        <v>LandPlane</v>
      </c>
      <c r="C2535" s="11" t="str">
        <f>CONCATENATE(Sheet2!F2535,"/",Sheet2!E2535)</f>
        <v>1/Piston</v>
      </c>
      <c r="D2535" t="str">
        <f>CONCATENATE(Sheet2!B2535,", ",Sheet2!C2535)</f>
        <v>ULLMANN, Panther</v>
      </c>
    </row>
    <row r="2536" spans="1:4" x14ac:dyDescent="0.2">
      <c r="A2536" t="str">
        <f>Sheet2!A2536</f>
        <v>ULTS</v>
      </c>
      <c r="B2536" t="str">
        <f ca="1">'Query Example'!D2536</f>
        <v>Helicopter</v>
      </c>
      <c r="C2536" s="11" t="str">
        <f>CONCATENATE(Sheet2!F2536,"/",Sheet2!E2536)</f>
        <v>1/Piston</v>
      </c>
      <c r="D2536" t="str">
        <f>CONCATENATE(Sheet2!B2536,", ",Sheet2!C2536)</f>
        <v>AMERICAN SPORTSCOPTER, Ultrasport 496</v>
      </c>
    </row>
    <row r="2537" spans="1:4" x14ac:dyDescent="0.2">
      <c r="A2537" t="str">
        <f>Sheet2!A2537</f>
        <v>UM18</v>
      </c>
      <c r="B2537" t="str">
        <f ca="1">'Query Example'!D2537</f>
        <v>Gyrocopter</v>
      </c>
      <c r="C2537" s="11" t="str">
        <f>CONCATENATE(Sheet2!F2537,"/",Sheet2!E2537)</f>
        <v>1/Piston</v>
      </c>
      <c r="D2537" t="str">
        <f>CONCATENATE(Sheet2!B2537,", ",Sheet2!C2537)</f>
        <v>UMBAUGH, 18</v>
      </c>
    </row>
    <row r="2538" spans="1:4" x14ac:dyDescent="0.2">
      <c r="A2538" t="str">
        <f>Sheet2!A2538</f>
        <v>UNIV</v>
      </c>
      <c r="B2538" t="str">
        <f ca="1">'Query Example'!D2538</f>
        <v>LandPlane</v>
      </c>
      <c r="C2538" s="11" t="str">
        <f>CONCATENATE(Sheet2!F2538,"/",Sheet2!E2538)</f>
        <v>1/Piston</v>
      </c>
      <c r="D2538" t="str">
        <f>CONCATENATE(Sheet2!B2538,", ",Sheet2!C2538)</f>
        <v>NEIVA, N-621 Universal</v>
      </c>
    </row>
    <row r="2539" spans="1:4" x14ac:dyDescent="0.2">
      <c r="A2539" t="str">
        <f>Sheet2!A2539</f>
        <v>URRA</v>
      </c>
      <c r="B2539" t="str">
        <f ca="1">'Query Example'!D2539</f>
        <v>LandPlane</v>
      </c>
      <c r="C2539" s="11" t="str">
        <f>CONCATENATE(Sheet2!F2539,"/",Sheet2!E2539)</f>
        <v>1/Piston</v>
      </c>
      <c r="D2539" t="str">
        <f>CONCATENATE(Sheet2!B2539,", ",Sheet2!C2539)</f>
        <v>IBIS (2), Urraco</v>
      </c>
    </row>
    <row r="2540" spans="1:4" x14ac:dyDescent="0.2">
      <c r="A2540" t="str">
        <f>Sheet2!A2540</f>
        <v>US2</v>
      </c>
      <c r="B2540" t="str">
        <f ca="1">'Query Example'!D2540</f>
        <v>Amphibian</v>
      </c>
      <c r="C2540" s="11" t="str">
        <f>CONCATENATE(Sheet2!F2540,"/",Sheet2!E2540)</f>
        <v>4/Turboprop/Turboshaft</v>
      </c>
      <c r="D2540" t="str">
        <f>CONCATENATE(Sheet2!B2540,", ",Sheet2!C2540)</f>
        <v>SHINMAYWA, US-2</v>
      </c>
    </row>
    <row r="2541" spans="1:4" x14ac:dyDescent="0.2">
      <c r="A2541" t="str">
        <f>Sheet2!A2541</f>
        <v>UT60</v>
      </c>
      <c r="B2541" t="str">
        <f ca="1">'Query Example'!D2541</f>
        <v>LandPlane</v>
      </c>
      <c r="C2541" s="11" t="str">
        <f>CONCATENATE(Sheet2!F2541,"/",Sheet2!E2541)</f>
        <v>1/Piston</v>
      </c>
      <c r="D2541" t="str">
        <f>CONCATENATE(Sheet2!B2541,", ",Sheet2!C2541)</f>
        <v>UTVA, 60</v>
      </c>
    </row>
    <row r="2542" spans="1:4" x14ac:dyDescent="0.2">
      <c r="A2542" t="str">
        <f>Sheet2!A2542</f>
        <v>UT65</v>
      </c>
      <c r="B2542" t="str">
        <f ca="1">'Query Example'!D2542</f>
        <v>LandPlane</v>
      </c>
      <c r="C2542" s="11" t="str">
        <f>CONCATENATE(Sheet2!F2542,"/",Sheet2!E2542)</f>
        <v>1/Piston</v>
      </c>
      <c r="D2542" t="str">
        <f>CONCATENATE(Sheet2!B2542,", ",Sheet2!C2542)</f>
        <v>UTVA, 65 Privrednik</v>
      </c>
    </row>
    <row r="2543" spans="1:4" x14ac:dyDescent="0.2">
      <c r="A2543" t="str">
        <f>Sheet2!A2543</f>
        <v>UT66</v>
      </c>
      <c r="B2543" t="str">
        <f ca="1">'Query Example'!D2543</f>
        <v>LandPlane</v>
      </c>
      <c r="C2543" s="11" t="str">
        <f>CONCATENATE(Sheet2!F2543,"/",Sheet2!E2543)</f>
        <v>1/Piston</v>
      </c>
      <c r="D2543" t="str">
        <f>CONCATENATE(Sheet2!B2543,", ",Sheet2!C2543)</f>
        <v>UTVA, 66</v>
      </c>
    </row>
    <row r="2544" spans="1:4" x14ac:dyDescent="0.2">
      <c r="A2544" t="str">
        <f>Sheet2!A2544</f>
        <v>UT75</v>
      </c>
      <c r="B2544" t="str">
        <f ca="1">'Query Example'!D2544</f>
        <v>LandPlane</v>
      </c>
      <c r="C2544" s="11" t="str">
        <f>CONCATENATE(Sheet2!F2544,"/",Sheet2!E2544)</f>
        <v>1/Piston</v>
      </c>
      <c r="D2544" t="str">
        <f>CONCATENATE(Sheet2!B2544,", ",Sheet2!C2544)</f>
        <v>UTVA, 75</v>
      </c>
    </row>
    <row r="2545" spans="1:4" x14ac:dyDescent="0.2">
      <c r="A2545" t="str">
        <f>Sheet2!A2545</f>
        <v>UU12</v>
      </c>
      <c r="B2545" t="str">
        <f ca="1">'Query Example'!D2545</f>
        <v>LandPlane</v>
      </c>
      <c r="C2545" s="11" t="str">
        <f>CONCATENATE(Sheet2!F2545,"/",Sheet2!E2545)</f>
        <v>1/Piston</v>
      </c>
      <c r="D2545" t="str">
        <f>CONCATENATE(Sheet2!B2545,", ",Sheet2!C2545)</f>
        <v>UDET, U-12 Flamingo Replica</v>
      </c>
    </row>
    <row r="2546" spans="1:4" x14ac:dyDescent="0.2">
      <c r="A2546" t="str">
        <f>Sheet2!A2546</f>
        <v>V1</v>
      </c>
      <c r="B2546" t="str">
        <f ca="1">'Query Example'!D2546</f>
        <v>LandPlane</v>
      </c>
      <c r="C2546" s="11" t="str">
        <f>CONCATENATE(Sheet2!F2546,"/",Sheet2!E2546)</f>
        <v>2/Turboprop/Turboshaft</v>
      </c>
      <c r="D2546" t="str">
        <f>CONCATENATE(Sheet2!B2546,", ",Sheet2!C2546)</f>
        <v>GRUMMAN, OV-1 Mohawk</v>
      </c>
    </row>
    <row r="2547" spans="1:4" x14ac:dyDescent="0.2">
      <c r="A2547" t="str">
        <f>Sheet2!A2547</f>
        <v>V10</v>
      </c>
      <c r="B2547" t="str">
        <f ca="1">'Query Example'!D2547</f>
        <v>LandPlane</v>
      </c>
      <c r="C2547" s="11" t="str">
        <f>CONCATENATE(Sheet2!F2547,"/",Sheet2!E2547)</f>
        <v>2/Turboprop/Turboshaft</v>
      </c>
      <c r="D2547" t="str">
        <f>CONCATENATE(Sheet2!B2547,", ",Sheet2!C2547)</f>
        <v>NORTH AMERICAN ROCKWELL, OV-10 Bronco</v>
      </c>
    </row>
    <row r="2548" spans="1:4" x14ac:dyDescent="0.2">
      <c r="A2548" t="str">
        <f>Sheet2!A2548</f>
        <v>V22</v>
      </c>
      <c r="B2548" t="str">
        <f ca="1">'Query Example'!D2548</f>
        <v>Tiltrotor</v>
      </c>
      <c r="C2548" s="11" t="str">
        <f>CONCATENATE(Sheet2!F2548,"/",Sheet2!E2548)</f>
        <v>2/Turboprop/Turboshaft</v>
      </c>
      <c r="D2548" t="str">
        <f>CONCATENATE(Sheet2!B2548,", ",Sheet2!C2548)</f>
        <v>BELL-BOEING, V-22 Osprey</v>
      </c>
    </row>
    <row r="2549" spans="1:4" x14ac:dyDescent="0.2">
      <c r="A2549" t="str">
        <f>Sheet2!A2549</f>
        <v>V221</v>
      </c>
      <c r="B2549" t="str">
        <f ca="1">'Query Example'!D2549</f>
        <v>LandPlane</v>
      </c>
      <c r="C2549" s="11" t="str">
        <f>CONCATENATE(Sheet2!F2549,"/",Sheet2!E2549)</f>
        <v>1/Piston</v>
      </c>
      <c r="D2549" t="str">
        <f>CONCATENATE(Sheet2!B2549,", ",Sheet2!C2549)</f>
        <v>MSW, Votec 221</v>
      </c>
    </row>
    <row r="2550" spans="1:4" x14ac:dyDescent="0.2">
      <c r="A2550" t="str">
        <f>Sheet2!A2550</f>
        <v>V252</v>
      </c>
      <c r="B2550" t="str">
        <f ca="1">'Query Example'!D2550</f>
        <v>LandPlane</v>
      </c>
      <c r="C2550" s="11" t="str">
        <f>CONCATENATE(Sheet2!F2550,"/",Sheet2!E2550)</f>
        <v>1/Piston</v>
      </c>
      <c r="D2550" t="str">
        <f>CONCATENATE(Sheet2!B2550,", ",Sheet2!C2550)</f>
        <v>MSW, Votec 252</v>
      </c>
    </row>
    <row r="2551" spans="1:4" x14ac:dyDescent="0.2">
      <c r="A2551" t="str">
        <f>Sheet2!A2551</f>
        <v>V280</v>
      </c>
      <c r="B2551" t="str">
        <f ca="1">'Query Example'!D2551</f>
        <v>Tiltrotor</v>
      </c>
      <c r="C2551" s="11" t="str">
        <f>CONCATENATE(Sheet2!F2551,"/",Sheet2!E2551)</f>
        <v>2/Turboprop/Turboshaft</v>
      </c>
      <c r="D2551" t="str">
        <f>CONCATENATE(Sheet2!B2551,", ",Sheet2!C2551)</f>
        <v>BELL, V-280 Valor</v>
      </c>
    </row>
    <row r="2552" spans="1:4" x14ac:dyDescent="0.2">
      <c r="A2552" t="str">
        <f>Sheet2!A2552</f>
        <v>V322</v>
      </c>
      <c r="B2552" t="str">
        <f ca="1">'Query Example'!D2552</f>
        <v>LandPlane</v>
      </c>
      <c r="C2552" s="11" t="str">
        <f>CONCATENATE(Sheet2!F2552,"/",Sheet2!E2552)</f>
        <v>1/Piston</v>
      </c>
      <c r="D2552" t="str">
        <f>CONCATENATE(Sheet2!B2552,", ",Sheet2!C2552)</f>
        <v>MSW, Votec 322</v>
      </c>
    </row>
    <row r="2553" spans="1:4" x14ac:dyDescent="0.2">
      <c r="A2553" t="str">
        <f>Sheet2!A2553</f>
        <v>V351</v>
      </c>
      <c r="B2553" t="str">
        <f ca="1">'Query Example'!D2553</f>
        <v>LandPlane</v>
      </c>
      <c r="C2553" s="11" t="str">
        <f>CONCATENATE(Sheet2!F2553,"/",Sheet2!E2553)</f>
        <v>1/Piston</v>
      </c>
      <c r="D2553" t="str">
        <f>CONCATENATE(Sheet2!B2553,", ",Sheet2!C2553)</f>
        <v>MSW, Votec 351</v>
      </c>
    </row>
    <row r="2554" spans="1:4" x14ac:dyDescent="0.2">
      <c r="A2554" t="str">
        <f>Sheet2!A2554</f>
        <v>V452</v>
      </c>
      <c r="B2554" t="str">
        <f ca="1">'Query Example'!D2554</f>
        <v>LandPlane</v>
      </c>
      <c r="C2554" s="11" t="str">
        <f>CONCATENATE(Sheet2!F2554,"/",Sheet2!E2554)</f>
        <v>1/Turboprop/Turboshaft</v>
      </c>
      <c r="D2554" t="str">
        <f>CONCATENATE(Sheet2!B2554,", ",Sheet2!C2554)</f>
        <v>MSW, Votec 452</v>
      </c>
    </row>
    <row r="2555" spans="1:4" x14ac:dyDescent="0.2">
      <c r="A2555" t="str">
        <f>Sheet2!A2555</f>
        <v>V500</v>
      </c>
      <c r="B2555" t="str">
        <f ca="1">'Query Example'!D2555</f>
        <v>Helicopter</v>
      </c>
      <c r="C2555" s="11" t="str">
        <f>CONCATENATE(Sheet2!F2555,"/",Sheet2!E2555)</f>
        <v>1/Piston</v>
      </c>
      <c r="D2555" t="str">
        <f>CONCATENATE(Sheet2!B2555,", ",Sheet2!C2555)</f>
        <v>REVOLUTION, Voyager-500</v>
      </c>
    </row>
    <row r="2556" spans="1:4" x14ac:dyDescent="0.2">
      <c r="A2556" t="str">
        <f>Sheet2!A2556</f>
        <v>V8SP</v>
      </c>
      <c r="B2556" t="str">
        <f ca="1">'Query Example'!D2556</f>
        <v>LandPlane</v>
      </c>
      <c r="C2556" s="11" t="str">
        <f>CONCATENATE(Sheet2!F2556,"/",Sheet2!E2556)</f>
        <v>1/Piston</v>
      </c>
      <c r="D2556" t="str">
        <f>CONCATENATE(Sheet2!B2556,", ",Sheet2!C2556)</f>
        <v>BEACHNER, V-8 Special</v>
      </c>
    </row>
    <row r="2557" spans="1:4" x14ac:dyDescent="0.2">
      <c r="A2557" t="str">
        <f>Sheet2!A2557</f>
        <v>VALI</v>
      </c>
      <c r="B2557" t="str">
        <f ca="1">'Query Example'!D2557</f>
        <v>LandPlane</v>
      </c>
      <c r="C2557" s="11" t="str">
        <f>CONCATENATE(Sheet2!F2557,"/",Sheet2!E2557)</f>
        <v>1/Piston</v>
      </c>
      <c r="D2557" t="str">
        <f>CONCATENATE(Sheet2!B2557,", ",Sheet2!C2557)</f>
        <v>VULTEE, BT-13 Valiant</v>
      </c>
    </row>
    <row r="2558" spans="1:4" x14ac:dyDescent="0.2">
      <c r="A2558" t="str">
        <f>Sheet2!A2558</f>
        <v>VAMP</v>
      </c>
      <c r="B2558" t="str">
        <f ca="1">'Query Example'!D2558</f>
        <v>LandPlane</v>
      </c>
      <c r="C2558" s="11" t="str">
        <f>CONCATENATE(Sheet2!F2558,"/",Sheet2!E2558)</f>
        <v>1/Jet</v>
      </c>
      <c r="D2558" t="str">
        <f>CONCATENATE(Sheet2!B2558,", ",Sheet2!C2558)</f>
        <v>DE HAVILLAND, DH-100 Vampire</v>
      </c>
    </row>
    <row r="2559" spans="1:4" x14ac:dyDescent="0.2">
      <c r="A2559" t="str">
        <f>Sheet2!A2559</f>
        <v>VANT</v>
      </c>
      <c r="B2559" t="str">
        <f ca="1">'Query Example'!D2559</f>
        <v>LandPlane</v>
      </c>
      <c r="C2559" s="11" t="str">
        <f>CONCATENATE(Sheet2!F2559,"/",Sheet2!E2559)</f>
        <v>1/Jet</v>
      </c>
      <c r="D2559" t="str">
        <f>CONCATENATE(Sheet2!B2559,", ",Sheet2!C2559)</f>
        <v>VISIONAIRE, VA-10 Vantage</v>
      </c>
    </row>
    <row r="2560" spans="1:4" x14ac:dyDescent="0.2">
      <c r="A2560" t="str">
        <f>Sheet2!A2560</f>
        <v>VAUT</v>
      </c>
      <c r="B2560" t="str">
        <f ca="1">'Query Example'!D2560</f>
        <v>LandPlane</v>
      </c>
      <c r="C2560" s="11" t="str">
        <f>CONCATENATE(Sheet2!F2560,"/",Sheet2!E2560)</f>
        <v>2/Jet</v>
      </c>
      <c r="D2560" t="str">
        <f>CONCATENATE(Sheet2!B2560,", ",Sheet2!C2560)</f>
        <v>SUD, SO-4050 Vautour</v>
      </c>
    </row>
    <row r="2561" spans="1:4" x14ac:dyDescent="0.2">
      <c r="A2561" t="str">
        <f>Sheet2!A2561</f>
        <v>VELO</v>
      </c>
      <c r="B2561" t="str">
        <f ca="1">'Query Example'!D2561</f>
        <v>LandPlane</v>
      </c>
      <c r="C2561" s="11" t="str">
        <f>CONCATENATE(Sheet2!F2561,"/",Sheet2!E2561)</f>
        <v>1/Piston</v>
      </c>
      <c r="D2561" t="str">
        <f>CONCATENATE(Sheet2!B2561,", ",Sheet2!C2561)</f>
        <v>VELOCITY, Velocity SE</v>
      </c>
    </row>
    <row r="2562" spans="1:4" x14ac:dyDescent="0.2">
      <c r="A2562" t="str">
        <f>Sheet2!A2562</f>
        <v>VELT</v>
      </c>
      <c r="B2562" t="str">
        <f ca="1">'Query Example'!D2562</f>
        <v>LandPlane</v>
      </c>
      <c r="C2562" s="11" t="str">
        <f>CONCATENATE(Sheet2!F2562,"/",Sheet2!E2562)</f>
        <v>2/Piston</v>
      </c>
      <c r="D2562" t="str">
        <f>CONCATENATE(Sheet2!B2562,", ",Sheet2!C2562)</f>
        <v>VELOCITY, Velocity V-Twin</v>
      </c>
    </row>
    <row r="2563" spans="1:4" x14ac:dyDescent="0.2">
      <c r="A2563" t="str">
        <f>Sheet2!A2563</f>
        <v>VENT</v>
      </c>
      <c r="B2563" t="str">
        <f ca="1">'Query Example'!D2563</f>
        <v>LandPlane</v>
      </c>
      <c r="C2563" s="11" t="str">
        <f>CONCATENATE(Sheet2!F2563,"/",Sheet2!E2563)</f>
        <v>1/Piston</v>
      </c>
      <c r="D2563" t="str">
        <f>CONCATENATE(Sheet2!B2563,", ",Sheet2!C2563)</f>
        <v>SCHEMPP-HIRTH, Ventus 3T</v>
      </c>
    </row>
    <row r="2564" spans="1:4" x14ac:dyDescent="0.2">
      <c r="A2564" t="str">
        <f>Sheet2!A2564</f>
        <v>VEZE</v>
      </c>
      <c r="B2564" t="str">
        <f ca="1">'Query Example'!D2564</f>
        <v>LandPlane</v>
      </c>
      <c r="C2564" s="11" t="str">
        <f>CONCATENATE(Sheet2!F2564,"/",Sheet2!E2564)</f>
        <v>1/Piston</v>
      </c>
      <c r="D2564" t="str">
        <f>CONCATENATE(Sheet2!B2564,", ",Sheet2!C2564)</f>
        <v>RUTAN, 33 VariEze</v>
      </c>
    </row>
    <row r="2565" spans="1:4" x14ac:dyDescent="0.2">
      <c r="A2565" t="str">
        <f>Sheet2!A2565</f>
        <v>VF2</v>
      </c>
      <c r="B2565" t="str">
        <f ca="1">'Query Example'!D2565</f>
        <v>LandPlane</v>
      </c>
      <c r="C2565" s="11" t="str">
        <f>CONCATENATE(Sheet2!F2565,"/",Sheet2!E2565)</f>
        <v>1/Piston</v>
      </c>
      <c r="D2565" t="str">
        <f>CONCATENATE(Sheet2!B2565,", ",Sheet2!C2565)</f>
        <v>FRY, VF-2 Esprit</v>
      </c>
    </row>
    <row r="2566" spans="1:4" x14ac:dyDescent="0.2">
      <c r="A2566" t="str">
        <f>Sheet2!A2566</f>
        <v>VF35</v>
      </c>
      <c r="B2566" t="str">
        <f ca="1">'Query Example'!D2566</f>
        <v>LandPlane</v>
      </c>
      <c r="C2566" s="11" t="str">
        <f>CONCATENATE(Sheet2!F2566,"/",Sheet2!E2566)</f>
        <v>1/Jet</v>
      </c>
      <c r="D2566" t="str">
        <f>CONCATENATE(Sheet2!B2566,", ",Sheet2!C2566)</f>
        <v>LOCKHEED MARTIN, F-35B Lightning 2</v>
      </c>
    </row>
    <row r="2567" spans="1:4" x14ac:dyDescent="0.2">
      <c r="A2567" t="str">
        <f>Sheet2!A2567</f>
        <v>VF60</v>
      </c>
      <c r="B2567" t="str">
        <f ca="1">'Query Example'!D2567</f>
        <v>LandPlane</v>
      </c>
      <c r="C2567" s="11" t="str">
        <f>CONCATENATE(Sheet2!F2567,"/",Sheet2!E2567)</f>
        <v>1/Turboprop/Turboshaft</v>
      </c>
      <c r="D2567" t="str">
        <f>CONCATENATE(Sheet2!B2567,", ",Sheet2!C2567)</f>
        <v>VULCANAIR, VF-600 Mission</v>
      </c>
    </row>
    <row r="2568" spans="1:4" x14ac:dyDescent="0.2">
      <c r="A2568" t="str">
        <f>Sheet2!A2568</f>
        <v>VG3T</v>
      </c>
      <c r="B2568" t="str">
        <f ca="1">'Query Example'!D2568</f>
        <v>LandPlane</v>
      </c>
      <c r="C2568" s="11" t="str">
        <f>CONCATENATE(Sheet2!F2568,"/",Sheet2!E2568)</f>
        <v>1/Piston</v>
      </c>
      <c r="D2568" t="str">
        <f>CONCATENATE(Sheet2!B2568,", ",Sheet2!C2568)</f>
        <v>AVIAKIT, Vega 3000</v>
      </c>
    </row>
    <row r="2569" spans="1:4" x14ac:dyDescent="0.2">
      <c r="A2569" t="str">
        <f>Sheet2!A2569</f>
        <v>VGUL</v>
      </c>
      <c r="B2569" t="str">
        <f ca="1">'Query Example'!D2569</f>
        <v>LandPlane</v>
      </c>
      <c r="C2569" s="11" t="str">
        <f>CONCATENATE(Sheet2!F2569,"/",Sheet2!E2569)</f>
        <v>1/Piston</v>
      </c>
      <c r="D2569" t="str">
        <f>CONCATENATE(Sheet2!B2569,", ",Sheet2!C2569)</f>
        <v>PERCIVAL, K-1 Vega Gull</v>
      </c>
    </row>
    <row r="2570" spans="1:4" x14ac:dyDescent="0.2">
      <c r="A2570" t="str">
        <f>Sheet2!A2570</f>
        <v>VIMA</v>
      </c>
      <c r="B2570" t="str">
        <f ca="1">'Query Example'!D2570</f>
        <v>LandPlane</v>
      </c>
      <c r="C2570" s="11" t="str">
        <f>CONCATENATE(Sheet2!F2570,"/",Sheet2!E2570)</f>
        <v>1/Piston</v>
      </c>
      <c r="D2570" t="str">
        <f>CONCATENATE(Sheet2!B2570,", ",Sheet2!C2570)</f>
        <v>VALTION, Viima</v>
      </c>
    </row>
    <row r="2571" spans="1:4" x14ac:dyDescent="0.2">
      <c r="A2571" t="str">
        <f>Sheet2!A2571</f>
        <v>VIPJ</v>
      </c>
      <c r="B2571" t="str">
        <f ca="1">'Query Example'!D2571</f>
        <v>LandPlane</v>
      </c>
      <c r="C2571" s="11" t="str">
        <f>CONCATENATE(Sheet2!F2571,"/",Sheet2!E2571)</f>
        <v>1/Jet</v>
      </c>
      <c r="D2571" t="str">
        <f>CONCATENATE(Sheet2!B2571,", ",Sheet2!C2571)</f>
        <v>VIPER, ViperJet</v>
      </c>
    </row>
    <row r="2572" spans="1:4" x14ac:dyDescent="0.2">
      <c r="A2572" t="str">
        <f>Sheet2!A2572</f>
        <v>VIPR</v>
      </c>
      <c r="B2572" t="str">
        <f ca="1">'Query Example'!D2572</f>
        <v>LandPlane</v>
      </c>
      <c r="C2572" s="11" t="str">
        <f>CONCATENATE(Sheet2!F2572,"/",Sheet2!E2572)</f>
        <v>1/Piston</v>
      </c>
      <c r="D2572" t="str">
        <f>CONCATENATE(Sheet2!B2572,", ",Sheet2!C2572)</f>
        <v>PAXMAN'S, Viper</v>
      </c>
    </row>
    <row r="2573" spans="1:4" x14ac:dyDescent="0.2">
      <c r="A2573" t="str">
        <f>Sheet2!A2573</f>
        <v>VISI</v>
      </c>
      <c r="B2573" t="str">
        <f ca="1">'Query Example'!D2573</f>
        <v>LandPlane</v>
      </c>
      <c r="C2573" s="11" t="str">
        <f>CONCATENATE(Sheet2!F2573,"/",Sheet2!E2573)</f>
        <v>1/Piston</v>
      </c>
      <c r="D2573" t="str">
        <f>CONCATENATE(Sheet2!B2573,", ",Sheet2!C2573)</f>
        <v>PRO-COMPOSITES, Vision</v>
      </c>
    </row>
    <row r="2574" spans="1:4" x14ac:dyDescent="0.2">
      <c r="A2574" t="str">
        <f>Sheet2!A2574</f>
        <v>VIVA</v>
      </c>
      <c r="B2574" t="str">
        <f ca="1">'Query Example'!D2574</f>
        <v>LandPlane</v>
      </c>
      <c r="C2574" s="11" t="str">
        <f>CONCATENATE(Sheet2!F2574,"/",Sheet2!E2574)</f>
        <v>1/Piston</v>
      </c>
      <c r="D2574" t="str">
        <f>CONCATENATE(Sheet2!B2574,", ",Sheet2!C2574)</f>
        <v>COMPOSIT AIRPLANES, Viva</v>
      </c>
    </row>
    <row r="2575" spans="1:4" x14ac:dyDescent="0.2">
      <c r="A2575" t="str">
        <f>Sheet2!A2575</f>
        <v>VIX</v>
      </c>
      <c r="B2575" t="str">
        <f ca="1">'Query Example'!D2575</f>
        <v>LandPlane</v>
      </c>
      <c r="C2575" s="11" t="str">
        <f>CONCATENATE(Sheet2!F2575,"/",Sheet2!E2575)</f>
        <v>1/Piston</v>
      </c>
      <c r="D2575" t="str">
        <f>CONCATENATE(Sheet2!B2575,", ",Sheet2!C2575)</f>
        <v>SKYSTAR, Kitfox Vixen</v>
      </c>
    </row>
    <row r="2576" spans="1:4" x14ac:dyDescent="0.2">
      <c r="A2576" t="str">
        <f>Sheet2!A2576</f>
        <v>VIXN</v>
      </c>
      <c r="B2576" t="str">
        <f ca="1">'Query Example'!D2576</f>
        <v>LandPlane</v>
      </c>
      <c r="C2576" s="11" t="str">
        <f>CONCATENATE(Sheet2!F2576,"/",Sheet2!E2576)</f>
        <v>1/Piston</v>
      </c>
      <c r="D2576" t="str">
        <f>CONCATENATE(Sheet2!B2576,", ",Sheet2!C2576)</f>
        <v>AMAX, Vixen</v>
      </c>
    </row>
    <row r="2577" spans="1:4" x14ac:dyDescent="0.2">
      <c r="A2577" t="str">
        <f>Sheet2!A2577</f>
        <v>VJ22</v>
      </c>
      <c r="B2577" t="str">
        <f ca="1">'Query Example'!D2577</f>
        <v>Amphibian</v>
      </c>
      <c r="C2577" s="11" t="str">
        <f>CONCATENATE(Sheet2!F2577,"/",Sheet2!E2577)</f>
        <v>1/Piston</v>
      </c>
      <c r="D2577" t="str">
        <f>CONCATENATE(Sheet2!B2577,", ",Sheet2!C2577)</f>
        <v>VOLMER, VJ-22 Sportsman</v>
      </c>
    </row>
    <row r="2578" spans="1:4" x14ac:dyDescent="0.2">
      <c r="A2578" t="str">
        <f>Sheet2!A2578</f>
        <v>VK3P</v>
      </c>
      <c r="B2578" t="str">
        <f ca="1">'Query Example'!D2578</f>
        <v>LandPlane</v>
      </c>
      <c r="C2578" s="11" t="str">
        <f>CONCATENATE(Sheet2!F2578,"/",Sheet2!E2578)</f>
        <v>1/Piston</v>
      </c>
      <c r="D2578" t="str">
        <f>CONCATENATE(Sheet2!B2578,", ",Sheet2!C2578)</f>
        <v>CIRRUS, VK-30 Cirrus (piston)</v>
      </c>
    </row>
    <row r="2579" spans="1:4" x14ac:dyDescent="0.2">
      <c r="A2579" t="str">
        <f>Sheet2!A2579</f>
        <v>VK3T</v>
      </c>
      <c r="B2579" t="str">
        <f ca="1">'Query Example'!D2579</f>
        <v>LandPlane</v>
      </c>
      <c r="C2579" s="11" t="str">
        <f>CONCATENATE(Sheet2!F2579,"/",Sheet2!E2579)</f>
        <v>1/Turboprop/Turboshaft</v>
      </c>
      <c r="D2579" t="str">
        <f>CONCATENATE(Sheet2!B2579,", ",Sheet2!C2579)</f>
        <v>CIRRUS, VK-30 Cirrus (turbine)</v>
      </c>
    </row>
    <row r="2580" spans="1:4" x14ac:dyDescent="0.2">
      <c r="A2580" t="str">
        <f>Sheet2!A2580</f>
        <v>VL3</v>
      </c>
      <c r="B2580" t="str">
        <f ca="1">'Query Example'!D2580</f>
        <v>LandPlane</v>
      </c>
      <c r="C2580" s="11" t="str">
        <f>CONCATENATE(Sheet2!F2580,"/",Sheet2!E2580)</f>
        <v>1/Piston</v>
      </c>
      <c r="D2580" t="str">
        <f>CONCATENATE(Sheet2!B2580,", ",Sheet2!C2580)</f>
        <v>JMB AIRCRAFT, VL-3 Evolution</v>
      </c>
    </row>
    <row r="2581" spans="1:4" x14ac:dyDescent="0.2">
      <c r="A2581" t="str">
        <f>Sheet2!A2581</f>
        <v>VM1</v>
      </c>
      <c r="B2581" t="str">
        <f ca="1">'Query Example'!D2581</f>
        <v>LandPlane</v>
      </c>
      <c r="C2581" s="11" t="str">
        <f>CONCATENATE(Sheet2!F2581,"/",Sheet2!E2581)</f>
        <v>1/Piston</v>
      </c>
      <c r="D2581" t="str">
        <f>CONCATENATE(Sheet2!B2581,", ",Sheet2!C2581)</f>
        <v>VOL MEDITERRANI, VM-1 Esqual</v>
      </c>
    </row>
    <row r="2582" spans="1:4" x14ac:dyDescent="0.2">
      <c r="A2582" t="str">
        <f>Sheet2!A2582</f>
        <v>VNOM</v>
      </c>
      <c r="B2582" t="str">
        <f ca="1">'Query Example'!D2582</f>
        <v>LandPlane</v>
      </c>
      <c r="C2582" s="11" t="str">
        <f>CONCATENATE(Sheet2!F2582,"/",Sheet2!E2582)</f>
        <v>1/Jet</v>
      </c>
      <c r="D2582" t="str">
        <f>CONCATENATE(Sheet2!B2582,", ",Sheet2!C2582)</f>
        <v>DE HAVILLAND, DH-112 Venom</v>
      </c>
    </row>
    <row r="2583" spans="1:4" x14ac:dyDescent="0.2">
      <c r="A2583" t="str">
        <f>Sheet2!A2583</f>
        <v>VNTE</v>
      </c>
      <c r="B2583" t="str">
        <f ca="1">'Query Example'!D2583</f>
        <v>LandPlane</v>
      </c>
      <c r="C2583" s="11" t="str">
        <f>CONCATENATE(Sheet2!F2583,"/",Sheet2!E2583)</f>
        <v>1/Electric</v>
      </c>
      <c r="D2583" t="str">
        <f>CONCATENATE(Sheet2!B2583,", ",Sheet2!C2583)</f>
        <v>SCHEMPP-HIRTH, Ventus 3F</v>
      </c>
    </row>
    <row r="2584" spans="1:4" x14ac:dyDescent="0.2">
      <c r="A2584" t="str">
        <f>Sheet2!A2584</f>
        <v>VNTR</v>
      </c>
      <c r="B2584" t="str">
        <f ca="1">'Query Example'!D2584</f>
        <v>LandPlane</v>
      </c>
      <c r="C2584" s="11" t="str">
        <f>CONCATENATE(Sheet2!F2584,"/",Sheet2!E2584)</f>
        <v>1/Piston</v>
      </c>
      <c r="D2584" t="str">
        <f>CONCATENATE(Sheet2!B2584,", ",Sheet2!C2584)</f>
        <v>ICP, Ventura</v>
      </c>
    </row>
    <row r="2585" spans="1:4" x14ac:dyDescent="0.2">
      <c r="A2585" t="str">
        <f>Sheet2!A2585</f>
        <v>VO10</v>
      </c>
      <c r="B2585" t="str">
        <f ca="1">'Query Example'!D2585</f>
        <v>LandPlane</v>
      </c>
      <c r="C2585" s="11" t="str">
        <f>CONCATENATE(Sheet2!F2585,"/",Sheet2!E2585)</f>
        <v>1/Piston</v>
      </c>
      <c r="D2585" t="str">
        <f>CONCATENATE(Sheet2!B2585,", ",Sheet2!C2585)</f>
        <v>AERO COMMANDER, Commander 100</v>
      </c>
    </row>
    <row r="2586" spans="1:4" x14ac:dyDescent="0.2">
      <c r="A2586" t="str">
        <f>Sheet2!A2586</f>
        <v>VOL2</v>
      </c>
      <c r="B2586" t="str">
        <f ca="1">'Query Example'!D2586</f>
        <v>LandPlane</v>
      </c>
      <c r="C2586" s="11" t="str">
        <f>CONCATENATE(Sheet2!F2586,"/",Sheet2!E2586)</f>
        <v>1/Piston</v>
      </c>
      <c r="D2586" t="str">
        <f>CONCATENATE(Sheet2!B2586,", ",Sheet2!C2586)</f>
        <v>VOLANTE, Volante Two</v>
      </c>
    </row>
    <row r="2587" spans="1:4" x14ac:dyDescent="0.2">
      <c r="A2587" t="str">
        <f>Sheet2!A2587</f>
        <v>VP2</v>
      </c>
      <c r="B2587" t="str">
        <f ca="1">'Query Example'!D2587</f>
        <v>LandPlane</v>
      </c>
      <c r="C2587" s="11" t="str">
        <f>CONCATENATE(Sheet2!F2587,"/",Sheet2!E2587)</f>
        <v>1/Piston</v>
      </c>
      <c r="D2587" t="str">
        <f>CONCATENATE(Sheet2!B2587,", ",Sheet2!C2587)</f>
        <v>EVANS, VP-2 Volksplane</v>
      </c>
    </row>
    <row r="2588" spans="1:4" x14ac:dyDescent="0.2">
      <c r="A2588" t="str">
        <f>Sheet2!A2588</f>
        <v>VR20</v>
      </c>
      <c r="B2588" t="str">
        <f ca="1">'Query Example'!D2588</f>
        <v>LandPlane</v>
      </c>
      <c r="C2588" s="11" t="str">
        <f>CONCATENATE(Sheet2!F2588,"/",Sheet2!E2588)</f>
        <v>1/Piston</v>
      </c>
      <c r="D2588" t="str">
        <f>CONCATENATE(Sheet2!B2588,", ",Sheet2!C2588)</f>
        <v>EGVOYAGER, VR-202</v>
      </c>
    </row>
    <row r="2589" spans="1:4" x14ac:dyDescent="0.2">
      <c r="A2589" t="str">
        <f>Sheet2!A2589</f>
        <v>VR7</v>
      </c>
      <c r="B2589" t="str">
        <f ca="1">'Query Example'!D2589</f>
        <v>LandPlane</v>
      </c>
      <c r="C2589" s="11" t="str">
        <f>CONCATENATE(Sheet2!F2589,"/",Sheet2!E2589)</f>
        <v>1/Piston</v>
      </c>
      <c r="D2589" t="str">
        <f>CONCATENATE(Sheet2!B2589,", ",Sheet2!C2589)</f>
        <v>VASHON, Ranger R7</v>
      </c>
    </row>
    <row r="2590" spans="1:4" x14ac:dyDescent="0.2">
      <c r="A2590" t="str">
        <f>Sheet2!A2590</f>
        <v>VSON</v>
      </c>
      <c r="B2590" t="str">
        <f ca="1">'Query Example'!D2590</f>
        <v>LandPlane</v>
      </c>
      <c r="C2590" s="11" t="str">
        <f>CONCATENATE(Sheet2!F2590,"/",Sheet2!E2590)</f>
        <v>1/Piston</v>
      </c>
      <c r="D2590" t="str">
        <f>CONCATENATE(Sheet2!B2590,", ",Sheet2!C2590)</f>
        <v>AMERICAN AFFORDABLE, Vision</v>
      </c>
    </row>
    <row r="2591" spans="1:4" x14ac:dyDescent="0.2">
      <c r="A2591" t="str">
        <f>Sheet2!A2591</f>
        <v>VTOR</v>
      </c>
      <c r="B2591" t="str">
        <f ca="1">'Query Example'!D2591</f>
        <v>LandPlane</v>
      </c>
      <c r="C2591" s="11" t="str">
        <f>CONCATENATE(Sheet2!F2591,"/",Sheet2!E2591)</f>
        <v>2/Turboprop/Turboshaft</v>
      </c>
      <c r="D2591" t="str">
        <f>CONCATENATE(Sheet2!B2591,", ",Sheet2!C2591)</f>
        <v>VULCANAIR, AP-68TP-600 Viator</v>
      </c>
    </row>
    <row r="2592" spans="1:4" x14ac:dyDescent="0.2">
      <c r="A2592" t="str">
        <f>Sheet2!A2592</f>
        <v>VTRA</v>
      </c>
      <c r="B2592" t="str">
        <f ca="1">'Query Example'!D2592</f>
        <v>LandPlane</v>
      </c>
      <c r="C2592" s="11" t="str">
        <f>CONCATENATE(Sheet2!F2592,"/",Sheet2!E2592)</f>
        <v>1/Piston</v>
      </c>
      <c r="D2592" t="str">
        <f>CONCATENATE(Sheet2!B2592,", ",Sheet2!C2592)</f>
        <v>RANS, S-19 Venterra</v>
      </c>
    </row>
    <row r="2593" spans="1:4" x14ac:dyDescent="0.2">
      <c r="A2593" t="str">
        <f>Sheet2!A2593</f>
        <v>VTUR</v>
      </c>
      <c r="B2593" t="str">
        <f ca="1">'Query Example'!D2593</f>
        <v>LandPlane</v>
      </c>
      <c r="C2593" s="11" t="str">
        <f>CONCATENATE(Sheet2!F2593,"/",Sheet2!E2593)</f>
        <v>1/Piston</v>
      </c>
      <c r="D2593" t="str">
        <f>CONCATENATE(Sheet2!B2593,", ",Sheet2!C2593)</f>
        <v>QUESTAIR, M-20 Venture</v>
      </c>
    </row>
    <row r="2594" spans="1:4" x14ac:dyDescent="0.2">
      <c r="A2594" t="str">
        <f>Sheet2!A2594</f>
        <v>VUT1</v>
      </c>
      <c r="B2594" t="str">
        <f ca="1">'Query Example'!D2594</f>
        <v>LandPlane</v>
      </c>
      <c r="C2594" s="11" t="str">
        <f>CONCATENATE(Sheet2!F2594,"/",Sheet2!E2594)</f>
        <v>1/Piston</v>
      </c>
      <c r="D2594" t="str">
        <f>CONCATENATE(Sheet2!B2594,", ",Sheet2!C2594)</f>
        <v>EVEKTOR, VUT-100 Cobra</v>
      </c>
    </row>
    <row r="2595" spans="1:4" x14ac:dyDescent="0.2">
      <c r="A2595" t="str">
        <f>Sheet2!A2595</f>
        <v>VVIG</v>
      </c>
      <c r="B2595" t="str">
        <f ca="1">'Query Example'!D2595</f>
        <v>LandPlane</v>
      </c>
      <c r="C2595" s="11" t="str">
        <f>CONCATENATE(Sheet2!F2595,"/",Sheet2!E2595)</f>
        <v>1/Piston</v>
      </c>
      <c r="D2595" t="str">
        <f>CONCATENATE(Sheet2!B2595,", ",Sheet2!C2595)</f>
        <v>RUTAN, 27 VariViggen</v>
      </c>
    </row>
    <row r="2596" spans="1:4" x14ac:dyDescent="0.2">
      <c r="A2596" t="str">
        <f>Sheet2!A2596</f>
        <v>VW10</v>
      </c>
      <c r="B2596" t="str">
        <f ca="1">'Query Example'!D2596</f>
        <v>LandPlane</v>
      </c>
      <c r="C2596" s="11" t="str">
        <f>CONCATENATE(Sheet2!F2596,"/",Sheet2!E2596)</f>
        <v>1/Piston</v>
      </c>
      <c r="D2596" t="str">
        <f>CONCATENATE(Sheet2!B2596,", ",Sheet2!C2596)</f>
        <v>AIRCONCEPT, VoWi-10 Airbuggy</v>
      </c>
    </row>
    <row r="2597" spans="1:4" x14ac:dyDescent="0.2">
      <c r="A2597" t="str">
        <f>Sheet2!A2597</f>
        <v>VWIT</v>
      </c>
      <c r="B2597" t="str">
        <f ca="1">'Query Example'!D2597</f>
        <v>LandPlane</v>
      </c>
      <c r="C2597" s="11" t="str">
        <f>CONCATENATE(Sheet2!F2597,"/",Sheet2!E2597)</f>
        <v>1/Piston</v>
      </c>
      <c r="D2597" t="str">
        <f>CONCATENATE(Sheet2!B2597,", ",Sheet2!C2597)</f>
        <v>AIRCRAFT SPRUCE, V-Witt</v>
      </c>
    </row>
    <row r="2598" spans="1:4" x14ac:dyDescent="0.2">
      <c r="A2598" t="str">
        <f>Sheet2!A2598</f>
        <v>W11</v>
      </c>
      <c r="B2598" t="str">
        <f ca="1">'Query Example'!D2598</f>
        <v>LandPlane</v>
      </c>
      <c r="C2598" s="11" t="str">
        <f>CONCATENATE(Sheet2!F2598,"/",Sheet2!E2598)</f>
        <v>1/Piston</v>
      </c>
      <c r="D2598" t="str">
        <f>CONCATENATE(Sheet2!B2598,", ",Sheet2!C2598)</f>
        <v>WOLF, W-11 Boredom Fighter</v>
      </c>
    </row>
    <row r="2599" spans="1:4" x14ac:dyDescent="0.2">
      <c r="A2599" t="str">
        <f>Sheet2!A2599</f>
        <v>W201</v>
      </c>
      <c r="B2599" t="str">
        <f ca="1">'Query Example'!D2599</f>
        <v>LandPlane</v>
      </c>
      <c r="C2599" s="11" t="str">
        <f>CONCATENATE(Sheet2!F2599,"/",Sheet2!E2599)</f>
        <v>1/Piston</v>
      </c>
      <c r="D2599" t="str">
        <f>CONCATENATE(Sheet2!B2599,", ",Sheet2!C2599)</f>
        <v>WEATHERLY, 201</v>
      </c>
    </row>
    <row r="2600" spans="1:4" x14ac:dyDescent="0.2">
      <c r="A2600" t="str">
        <f>Sheet2!A2600</f>
        <v>W3</v>
      </c>
      <c r="B2600" t="str">
        <f ca="1">'Query Example'!D2600</f>
        <v>Helicopter</v>
      </c>
      <c r="C2600" s="11" t="str">
        <f>CONCATENATE(Sheet2!F2600,"/",Sheet2!E2600)</f>
        <v>2/Turboprop/Turboshaft</v>
      </c>
      <c r="D2600" t="str">
        <f>CONCATENATE(Sheet2!B2600,", ",Sheet2!C2600)</f>
        <v>PZL-SWIDNIK, W-3 Anakonda</v>
      </c>
    </row>
    <row r="2601" spans="1:4" x14ac:dyDescent="0.2">
      <c r="A2601" t="str">
        <f>Sheet2!A2601</f>
        <v>W5BC</v>
      </c>
      <c r="B2601" t="str">
        <f ca="1">'Query Example'!D2601</f>
        <v>LandPlane</v>
      </c>
      <c r="C2601" s="11" t="str">
        <f>CONCATENATE(Sheet2!F2601,"/",Sheet2!E2601)</f>
        <v>1/Piston</v>
      </c>
      <c r="D2601" t="str">
        <f>CONCATENATE(Sheet2!B2601,", ",Sheet2!C2601)</f>
        <v>WITTMAN, W-5 Buttercup</v>
      </c>
    </row>
    <row r="2602" spans="1:4" x14ac:dyDescent="0.2">
      <c r="A2602" t="str">
        <f>Sheet2!A2602</f>
        <v>W62T</v>
      </c>
      <c r="B2602" t="str">
        <f ca="1">'Query Example'!D2602</f>
        <v>LandPlane</v>
      </c>
      <c r="C2602" s="11" t="str">
        <f>CONCATENATE(Sheet2!F2602,"/",Sheet2!E2602)</f>
        <v>1/Turboprop/Turboshaft</v>
      </c>
      <c r="D2602" t="str">
        <f>CONCATENATE(Sheet2!B2602,", ",Sheet2!C2602)</f>
        <v>WEATHERLY, 620TP</v>
      </c>
    </row>
    <row r="2603" spans="1:4" x14ac:dyDescent="0.2">
      <c r="A2603" t="str">
        <f>Sheet2!A2603</f>
        <v>WA40</v>
      </c>
      <c r="B2603" t="str">
        <f ca="1">'Query Example'!D2603</f>
        <v>LandPlane</v>
      </c>
      <c r="C2603" s="11" t="str">
        <f>CONCATENATE(Sheet2!F2603,"/",Sheet2!E2603)</f>
        <v>1/Piston</v>
      </c>
      <c r="D2603" t="str">
        <f>CONCATENATE(Sheet2!B2603,", ",Sheet2!C2603)</f>
        <v>WASSMER, WA-40 Super 4</v>
      </c>
    </row>
    <row r="2604" spans="1:4" x14ac:dyDescent="0.2">
      <c r="A2604" t="str">
        <f>Sheet2!A2604</f>
        <v>WA41</v>
      </c>
      <c r="B2604" t="str">
        <f ca="1">'Query Example'!D2604</f>
        <v>LandPlane</v>
      </c>
      <c r="C2604" s="11" t="str">
        <f>CONCATENATE(Sheet2!F2604,"/",Sheet2!E2604)</f>
        <v>1/Piston</v>
      </c>
      <c r="D2604" t="str">
        <f>CONCATENATE(Sheet2!B2604,", ",Sheet2!C2604)</f>
        <v>WASSMER, WA-41 Baladou</v>
      </c>
    </row>
    <row r="2605" spans="1:4" x14ac:dyDescent="0.2">
      <c r="A2605" t="str">
        <f>Sheet2!A2605</f>
        <v>WA42</v>
      </c>
      <c r="B2605" t="str">
        <f ca="1">'Query Example'!D2605</f>
        <v>LandPlane</v>
      </c>
      <c r="C2605" s="11" t="str">
        <f>CONCATENATE(Sheet2!F2605,"/",Sheet2!E2605)</f>
        <v>1/Piston</v>
      </c>
      <c r="D2605" t="str">
        <f>CONCATENATE(Sheet2!B2605,", ",Sheet2!C2605)</f>
        <v>WASSMER, WA-421 Prestige</v>
      </c>
    </row>
    <row r="2606" spans="1:4" x14ac:dyDescent="0.2">
      <c r="A2606" t="str">
        <f>Sheet2!A2606</f>
        <v>WA50</v>
      </c>
      <c r="B2606" t="str">
        <f ca="1">'Query Example'!D2606</f>
        <v>LandPlane</v>
      </c>
      <c r="C2606" s="11" t="str">
        <f>CONCATENATE(Sheet2!F2606,"/",Sheet2!E2606)</f>
        <v>1/Piston</v>
      </c>
      <c r="D2606" t="str">
        <f>CONCATENATE(Sheet2!B2606,", ",Sheet2!C2606)</f>
        <v>WASSMER, WA-51 Pacific</v>
      </c>
    </row>
    <row r="2607" spans="1:4" x14ac:dyDescent="0.2">
      <c r="A2607" t="str">
        <f>Sheet2!A2607</f>
        <v>WA80</v>
      </c>
      <c r="B2607" t="str">
        <f ca="1">'Query Example'!D2607</f>
        <v>LandPlane</v>
      </c>
      <c r="C2607" s="11" t="str">
        <f>CONCATENATE(Sheet2!F2607,"/",Sheet2!E2607)</f>
        <v>1/Piston</v>
      </c>
      <c r="D2607" t="str">
        <f>CONCATENATE(Sheet2!B2607,", ",Sheet2!C2607)</f>
        <v>WASSMER, WA-80 Piranha</v>
      </c>
    </row>
    <row r="2608" spans="1:4" x14ac:dyDescent="0.2">
      <c r="A2608" t="str">
        <f>Sheet2!A2608</f>
        <v>WAC9</v>
      </c>
      <c r="B2608" t="str">
        <f ca="1">'Query Example'!D2608</f>
        <v>LandPlane</v>
      </c>
      <c r="C2608" s="11" t="str">
        <f>CONCATENATE(Sheet2!F2608,"/",Sheet2!E2608)</f>
        <v>1/Piston</v>
      </c>
      <c r="D2608" t="str">
        <f>CONCATENATE(Sheet2!B2608,", ",Sheet2!C2608)</f>
        <v>WACO, 9</v>
      </c>
    </row>
    <row r="2609" spans="1:4" x14ac:dyDescent="0.2">
      <c r="A2609" t="str">
        <f>Sheet2!A2609</f>
        <v>WACA</v>
      </c>
      <c r="B2609" t="str">
        <f ca="1">'Query Example'!D2609</f>
        <v>LandPlane</v>
      </c>
      <c r="C2609" s="11" t="str">
        <f>CONCATENATE(Sheet2!F2609,"/",Sheet2!E2609)</f>
        <v>1/Piston</v>
      </c>
      <c r="D2609" t="str">
        <f>CONCATENATE(Sheet2!B2609,", ",Sheet2!C2609)</f>
        <v>WACO, PBA</v>
      </c>
    </row>
    <row r="2610" spans="1:4" x14ac:dyDescent="0.2">
      <c r="A2610" t="str">
        <f>Sheet2!A2610</f>
        <v>WACC</v>
      </c>
      <c r="B2610" t="str">
        <f ca="1">'Query Example'!D2610</f>
        <v>LandPlane</v>
      </c>
      <c r="C2610" s="11" t="str">
        <f>CONCATENATE(Sheet2!F2610,"/",Sheet2!E2610)</f>
        <v>1/Piston</v>
      </c>
      <c r="D2610" t="str">
        <f>CONCATENATE(Sheet2!B2610,", ",Sheet2!C2610)</f>
        <v>WACO, C</v>
      </c>
    </row>
    <row r="2611" spans="1:4" x14ac:dyDescent="0.2">
      <c r="A2611" t="str">
        <f>Sheet2!A2611</f>
        <v>WACD</v>
      </c>
      <c r="B2611" t="str">
        <f ca="1">'Query Example'!D2611</f>
        <v>LandPlane</v>
      </c>
      <c r="C2611" s="11" t="str">
        <f>CONCATENATE(Sheet2!F2611,"/",Sheet2!E2611)</f>
        <v>1/Piston</v>
      </c>
      <c r="D2611" t="str">
        <f>CONCATENATE(Sheet2!B2611,", ",Sheet2!C2611)</f>
        <v>WACO, D</v>
      </c>
    </row>
    <row r="2612" spans="1:4" x14ac:dyDescent="0.2">
      <c r="A2612" t="str">
        <f>Sheet2!A2612</f>
        <v>WACE</v>
      </c>
      <c r="B2612" t="str">
        <f ca="1">'Query Example'!D2612</f>
        <v>LandPlane</v>
      </c>
      <c r="C2612" s="11" t="str">
        <f>CONCATENATE(Sheet2!F2612,"/",Sheet2!E2612)</f>
        <v>1/Piston</v>
      </c>
      <c r="D2612" t="str">
        <f>CONCATENATE(Sheet2!B2612,", ",Sheet2!C2612)</f>
        <v>WACO, E (ARE/HRE/SRE) Aristocrat</v>
      </c>
    </row>
    <row r="2613" spans="1:4" x14ac:dyDescent="0.2">
      <c r="A2613" t="str">
        <f>Sheet2!A2613</f>
        <v>WACF</v>
      </c>
      <c r="B2613" t="str">
        <f ca="1">'Query Example'!D2613</f>
        <v>LandPlane</v>
      </c>
      <c r="C2613" s="11" t="str">
        <f>CONCATENATE(Sheet2!F2613,"/",Sheet2!E2613)</f>
        <v>1/Piston</v>
      </c>
      <c r="D2613" t="str">
        <f>CONCATENATE(Sheet2!B2613,", ",Sheet2!C2613)</f>
        <v>WACO, F</v>
      </c>
    </row>
    <row r="2614" spans="1:4" x14ac:dyDescent="0.2">
      <c r="A2614" t="str">
        <f>Sheet2!A2614</f>
        <v>WACG</v>
      </c>
      <c r="B2614" t="str">
        <f ca="1">'Query Example'!D2614</f>
        <v>LandPlane</v>
      </c>
      <c r="C2614" s="11" t="str">
        <f>CONCATENATE(Sheet2!F2614,"/",Sheet2!E2614)</f>
        <v>1/Piston</v>
      </c>
      <c r="D2614" t="str">
        <f>CONCATENATE(Sheet2!B2614,", ",Sheet2!C2614)</f>
        <v>WACO, G</v>
      </c>
    </row>
    <row r="2615" spans="1:4" x14ac:dyDescent="0.2">
      <c r="A2615" t="str">
        <f>Sheet2!A2615</f>
        <v>WACM</v>
      </c>
      <c r="B2615" t="str">
        <f ca="1">'Query Example'!D2615</f>
        <v>LandPlane</v>
      </c>
      <c r="C2615" s="11" t="str">
        <f>CONCATENATE(Sheet2!F2615,"/",Sheet2!E2615)</f>
        <v>1/Piston</v>
      </c>
      <c r="D2615" t="str">
        <f>CONCATENATE(Sheet2!B2615,", ",Sheet2!C2615)</f>
        <v>WACO, JWM</v>
      </c>
    </row>
    <row r="2616" spans="1:4" x14ac:dyDescent="0.2">
      <c r="A2616" t="str">
        <f>Sheet2!A2616</f>
        <v>WACN</v>
      </c>
      <c r="B2616" t="str">
        <f ca="1">'Query Example'!D2616</f>
        <v>LandPlane</v>
      </c>
      <c r="C2616" s="11" t="str">
        <f>CONCATENATE(Sheet2!F2616,"/",Sheet2!E2616)</f>
        <v>1/Piston</v>
      </c>
      <c r="D2616" t="str">
        <f>CONCATENATE(Sheet2!B2616,", ",Sheet2!C2616)</f>
        <v>WACO, AVN</v>
      </c>
    </row>
    <row r="2617" spans="1:4" x14ac:dyDescent="0.2">
      <c r="A2617" t="str">
        <f>Sheet2!A2617</f>
        <v>WACO</v>
      </c>
      <c r="B2617" t="str">
        <f ca="1">'Query Example'!D2617</f>
        <v>LandPlane</v>
      </c>
      <c r="C2617" s="11" t="str">
        <f>CONCATENATE(Sheet2!F2617,"/",Sheet2!E2617)</f>
        <v>1/Piston</v>
      </c>
      <c r="D2617" t="str">
        <f>CONCATENATE(Sheet2!B2617,", ",Sheet2!C2617)</f>
        <v>WACO, O</v>
      </c>
    </row>
    <row r="2618" spans="1:4" x14ac:dyDescent="0.2">
      <c r="A2618" t="str">
        <f>Sheet2!A2618</f>
        <v>WACT</v>
      </c>
      <c r="B2618" t="str">
        <f ca="1">'Query Example'!D2618</f>
        <v>LandPlane</v>
      </c>
      <c r="C2618" s="11" t="str">
        <f>CONCATENATE(Sheet2!F2618,"/",Sheet2!E2618)</f>
        <v>1/Piston</v>
      </c>
      <c r="D2618" t="str">
        <f>CONCATENATE(Sheet2!B2618,", ",Sheet2!C2618)</f>
        <v>WACO, RPT</v>
      </c>
    </row>
    <row r="2619" spans="1:4" x14ac:dyDescent="0.2">
      <c r="A2619" t="str">
        <f>Sheet2!A2619</f>
        <v>WAIX</v>
      </c>
      <c r="B2619" t="str">
        <f ca="1">'Query Example'!D2619</f>
        <v>LandPlane</v>
      </c>
      <c r="C2619" s="11" t="str">
        <f>CONCATENATE(Sheet2!F2619,"/",Sheet2!E2619)</f>
        <v>1/Piston</v>
      </c>
      <c r="D2619" t="str">
        <f>CONCATENATE(Sheet2!B2619,", ",Sheet2!C2619)</f>
        <v>SONEX, Waiex</v>
      </c>
    </row>
    <row r="2620" spans="1:4" x14ac:dyDescent="0.2">
      <c r="A2620" t="str">
        <f>Sheet2!A2620</f>
        <v>WASP</v>
      </c>
      <c r="B2620" t="str">
        <f ca="1">'Query Example'!D2620</f>
        <v>Helicopter</v>
      </c>
      <c r="C2620" s="11" t="str">
        <f>CONCATENATE(Sheet2!F2620,"/",Sheet2!E2620)</f>
        <v>1/Turboprop/Turboshaft</v>
      </c>
      <c r="D2620" t="str">
        <f>CONCATENATE(Sheet2!B2620,", ",Sheet2!C2620)</f>
        <v>WESTLAND, Wasp</v>
      </c>
    </row>
    <row r="2621" spans="1:4" x14ac:dyDescent="0.2">
      <c r="A2621" t="str">
        <f>Sheet2!A2621</f>
        <v>WB57</v>
      </c>
      <c r="B2621" t="str">
        <f ca="1">'Query Example'!D2621</f>
        <v>LandPlane</v>
      </c>
      <c r="C2621" s="11" t="str">
        <f>CONCATENATE(Sheet2!F2621,"/",Sheet2!E2621)</f>
        <v>2/Jet</v>
      </c>
      <c r="D2621" t="str">
        <f>CONCATENATE(Sheet2!B2621,", ",Sheet2!C2621)</f>
        <v>MARTIN, WB-57</v>
      </c>
    </row>
    <row r="2622" spans="1:4" x14ac:dyDescent="0.2">
      <c r="A2622" t="str">
        <f>Sheet2!A2622</f>
        <v>WBOO</v>
      </c>
      <c r="B2622" t="str">
        <f ca="1">'Query Example'!D2622</f>
        <v>LandPlane</v>
      </c>
      <c r="C2622" s="11" t="str">
        <f>CONCATENATE(Sheet2!F2622,"/",Sheet2!E2622)</f>
        <v>1/Piston</v>
      </c>
      <c r="D2622" t="str">
        <f>CONCATENATE(Sheet2!B2622,", ",Sheet2!C2622)</f>
        <v>DEAN-WILSON, DW-200 Whitney Boomerang</v>
      </c>
    </row>
    <row r="2623" spans="1:4" x14ac:dyDescent="0.2">
      <c r="A2623" t="str">
        <f>Sheet2!A2623</f>
        <v>WCAT</v>
      </c>
      <c r="B2623" t="str">
        <f ca="1">'Query Example'!D2623</f>
        <v>LandPlane</v>
      </c>
      <c r="C2623" s="11" t="str">
        <f>CONCATENATE(Sheet2!F2623,"/",Sheet2!E2623)</f>
        <v>1/Piston</v>
      </c>
      <c r="D2623" t="str">
        <f>CONCATENATE(Sheet2!B2623,", ",Sheet2!C2623)</f>
        <v>GRUMMAN, F4F Wildcat</v>
      </c>
    </row>
    <row r="2624" spans="1:4" x14ac:dyDescent="0.2">
      <c r="A2624" t="str">
        <f>Sheet2!A2624</f>
        <v>WDEX</v>
      </c>
      <c r="B2624" t="str">
        <f ca="1">'Query Example'!D2624</f>
        <v>LandPlane</v>
      </c>
      <c r="C2624" s="11" t="str">
        <f>CONCATENATE(Sheet2!F2624,"/",Sheet2!E2624)</f>
        <v>1/Piston</v>
      </c>
      <c r="D2624" t="str">
        <f>CONCATENATE(Sheet2!B2624,", ",Sheet2!C2624)</f>
        <v>RADAB, Windex</v>
      </c>
    </row>
    <row r="2625" spans="1:4" x14ac:dyDescent="0.2">
      <c r="A2625" t="str">
        <f>Sheet2!A2625</f>
        <v>WESX</v>
      </c>
      <c r="B2625" t="str">
        <f ca="1">'Query Example'!D2625</f>
        <v>Helicopter</v>
      </c>
      <c r="C2625" s="11" t="str">
        <f>CONCATENATE(Sheet2!F2625,"/",Sheet2!E2625)</f>
        <v>2/Turboprop/Turboshaft</v>
      </c>
      <c r="D2625" t="str">
        <f>CONCATENATE(Sheet2!B2625,", ",Sheet2!C2625)</f>
        <v>WESTLAND, WS-58 Wessex</v>
      </c>
    </row>
    <row r="2626" spans="1:4" x14ac:dyDescent="0.2">
      <c r="A2626" t="str">
        <f>Sheet2!A2626</f>
        <v>WF4U</v>
      </c>
      <c r="B2626" t="str">
        <f ca="1">'Query Example'!D2626</f>
        <v>LandPlane</v>
      </c>
      <c r="C2626" s="11" t="str">
        <f>CONCATENATE(Sheet2!F2626,"/",Sheet2!E2626)</f>
        <v>1/Piston</v>
      </c>
      <c r="D2626" t="str">
        <f>CONCATENATE(Sheet2!B2626,", ",Sheet2!C2626)</f>
        <v>WAR, Vought F4U Corsair</v>
      </c>
    </row>
    <row r="2627" spans="1:4" x14ac:dyDescent="0.2">
      <c r="A2627" t="str">
        <f>Sheet2!A2627</f>
        <v>WFOC</v>
      </c>
      <c r="B2627" t="str">
        <f ca="1">'Query Example'!D2627</f>
        <v>LandPlane</v>
      </c>
      <c r="C2627" s="11" t="str">
        <f>CONCATENATE(Sheet2!F2627,"/",Sheet2!E2627)</f>
        <v>1/Piston</v>
      </c>
      <c r="D2627" t="str">
        <f>CONCATENATE(Sheet2!B2627,", ",Sheet2!C2627)</f>
        <v>WAR, Focke-Wulf 190</v>
      </c>
    </row>
    <row r="2628" spans="1:4" x14ac:dyDescent="0.2">
      <c r="A2628" t="str">
        <f>Sheet2!A2628</f>
        <v>WFUR</v>
      </c>
      <c r="B2628" t="str">
        <f ca="1">'Query Example'!D2628</f>
        <v>LandPlane</v>
      </c>
      <c r="C2628" s="11" t="str">
        <f>CONCATENATE(Sheet2!F2628,"/",Sheet2!E2628)</f>
        <v>1/Piston</v>
      </c>
      <c r="D2628" t="str">
        <f>CONCATENATE(Sheet2!B2628,", ",Sheet2!C2628)</f>
        <v>WAR, Hawker Sea Fury</v>
      </c>
    </row>
    <row r="2629" spans="1:4" x14ac:dyDescent="0.2">
      <c r="A2629" t="str">
        <f>Sheet2!A2629</f>
        <v>WG30</v>
      </c>
      <c r="B2629" t="str">
        <f ca="1">'Query Example'!D2629</f>
        <v>Helicopter</v>
      </c>
      <c r="C2629" s="11" t="str">
        <f>CONCATENATE(Sheet2!F2629,"/",Sheet2!E2629)</f>
        <v>2/Turboprop/Turboshaft</v>
      </c>
      <c r="D2629" t="str">
        <f>CONCATENATE(Sheet2!B2629,", ",Sheet2!C2629)</f>
        <v>WESTLAND, WG-30</v>
      </c>
    </row>
    <row r="2630" spans="1:4" x14ac:dyDescent="0.2">
      <c r="A2630" t="str">
        <f>Sheet2!A2630</f>
        <v>WH1</v>
      </c>
      <c r="B2630" t="str">
        <f ca="1">'Query Example'!D2630</f>
        <v>LandPlane</v>
      </c>
      <c r="C2630" s="11" t="str">
        <f>CONCATENATE(Sheet2!F2630,"/",Sheet2!E2630)</f>
        <v>1/Piston</v>
      </c>
      <c r="D2630" t="str">
        <f>CONCATENATE(Sheet2!B2630,", ",Sheet2!C2630)</f>
        <v>WENDT, WH-1 Traveler</v>
      </c>
    </row>
    <row r="2631" spans="1:4" x14ac:dyDescent="0.2">
      <c r="A2631" t="str">
        <f>Sheet2!A2631</f>
        <v>WH4</v>
      </c>
      <c r="B2631" t="str">
        <f ca="1">'Query Example'!D2631</f>
        <v>LandPlane</v>
      </c>
      <c r="C2631" s="11" t="str">
        <f>CONCATENATE(Sheet2!F2631,"/",Sheet2!E2631)</f>
        <v>1/Turboprop/Turboshaft</v>
      </c>
      <c r="D2631" t="str">
        <f>CONCATENATE(Sheet2!B2631,", ",Sheet2!C2631)</f>
        <v>HALL, WH-4 Harpoon</v>
      </c>
    </row>
    <row r="2632" spans="1:4" x14ac:dyDescent="0.2">
      <c r="A2632" t="str">
        <f>Sheet2!A2632</f>
        <v>WHAT</v>
      </c>
      <c r="B2632" t="str">
        <f ca="1">'Query Example'!D2632</f>
        <v>LandPlane</v>
      </c>
      <c r="C2632" s="11" t="str">
        <f>CONCATENATE(Sheet2!F2632,"/",Sheet2!E2632)</f>
        <v>1/Piston</v>
      </c>
      <c r="D2632" t="str">
        <f>CONCATENATE(Sheet2!B2632,", ",Sheet2!C2632)</f>
        <v>WHATLEY, Special</v>
      </c>
    </row>
    <row r="2633" spans="1:4" x14ac:dyDescent="0.2">
      <c r="A2633" t="str">
        <f>Sheet2!A2633</f>
        <v>WHIL</v>
      </c>
      <c r="B2633" t="str">
        <f ca="1">'Query Example'!D2633</f>
        <v>LandPlane</v>
      </c>
      <c r="C2633" s="11" t="str">
        <f>CONCATENATE(Sheet2!F2633,"/",Sheet2!E2633)</f>
        <v>1/Piston</v>
      </c>
      <c r="D2633" t="str">
        <f>CONCATENATE(Sheet2!B2633,", ",Sheet2!C2633)</f>
        <v>WHITE LIGHTNING, WLAC-1 White Lightning</v>
      </c>
    </row>
    <row r="2634" spans="1:4" x14ac:dyDescent="0.2">
      <c r="A2634" t="str">
        <f>Sheet2!A2634</f>
        <v>WHIS</v>
      </c>
      <c r="B2634" t="str">
        <f ca="1">'Query Example'!D2634</f>
        <v>LandPlane</v>
      </c>
      <c r="C2634" s="11" t="str">
        <f>CONCATENATE(Sheet2!F2634,"/",Sheet2!E2634)</f>
        <v>1/Piston</v>
      </c>
      <c r="D2634" t="str">
        <f>CONCATENATE(Sheet2!B2634,", ",Sheet2!C2634)</f>
        <v>GROVE, GR-2 Whisper</v>
      </c>
    </row>
    <row r="2635" spans="1:4" x14ac:dyDescent="0.2">
      <c r="A2635" t="str">
        <f>Sheet2!A2635</f>
        <v>WHIT</v>
      </c>
      <c r="B2635" t="str">
        <f ca="1">'Query Example'!D2635</f>
        <v>LandPlane</v>
      </c>
      <c r="C2635" s="11" t="str">
        <f>CONCATENATE(Sheet2!F2635,"/",Sheet2!E2635)</f>
        <v>1/Piston</v>
      </c>
      <c r="D2635" t="str">
        <f>CONCATENATE(Sheet2!B2635,", ",Sheet2!C2635)</f>
        <v>MILES, M-11 Whitney Straight</v>
      </c>
    </row>
    <row r="2636" spans="1:4" x14ac:dyDescent="0.2">
      <c r="A2636" t="str">
        <f>Sheet2!A2636</f>
        <v>WHK2</v>
      </c>
      <c r="B2636" t="str">
        <f ca="1">'Query Example'!D2636</f>
        <v>LandPlane</v>
      </c>
      <c r="C2636" s="11" t="str">
        <f>CONCATENATE(Sheet2!F2636,"/",Sheet2!E2636)</f>
        <v>4/Jet</v>
      </c>
      <c r="D2636" t="str">
        <f>CONCATENATE(Sheet2!B2636,", ",Sheet2!C2636)</f>
        <v>SCALED, 348 White Knight Two</v>
      </c>
    </row>
    <row r="2637" spans="1:4" x14ac:dyDescent="0.2">
      <c r="A2637" t="str">
        <f>Sheet2!A2637</f>
        <v>WICH</v>
      </c>
      <c r="B2637" t="str">
        <f ca="1">'Query Example'!D2637</f>
        <v>LandPlane</v>
      </c>
      <c r="C2637" s="11" t="str">
        <f>CONCATENATE(Sheet2!F2637,"/",Sheet2!E2637)</f>
        <v>1/Piston</v>
      </c>
      <c r="D2637" t="str">
        <f>CONCATENATE(Sheet2!B2637,", ",Sheet2!C2637)</f>
        <v>JAVELIN, Wichawk</v>
      </c>
    </row>
    <row r="2638" spans="1:4" x14ac:dyDescent="0.2">
      <c r="A2638" t="str">
        <f>Sheet2!A2638</f>
        <v>WILT</v>
      </c>
      <c r="B2638" t="str">
        <f ca="1">'Query Example'!D2638</f>
        <v>LandPlane</v>
      </c>
      <c r="C2638" s="11" t="str">
        <f>CONCATENATE(Sheet2!F2638,"/",Sheet2!E2638)</f>
        <v>1/Piston</v>
      </c>
      <c r="D2638" t="str">
        <f>CONCATENATE(Sheet2!B2638,", ",Sheet2!C2638)</f>
        <v>ULTRALEICHTBAU, WT-01 Wild Thing</v>
      </c>
    </row>
    <row r="2639" spans="1:4" x14ac:dyDescent="0.2">
      <c r="A2639" t="str">
        <f>Sheet2!A2639</f>
        <v>WIND</v>
      </c>
      <c r="B2639" t="str">
        <f ca="1">'Query Example'!D2639</f>
        <v>LandPlane</v>
      </c>
      <c r="C2639" s="11" t="str">
        <f>CONCATENATE(Sheet2!F2639,"/",Sheet2!E2639)</f>
        <v>1/Piston</v>
      </c>
      <c r="D2639" t="str">
        <f>CONCATENATE(Sheet2!B2639,", ",Sheet2!C2639)</f>
        <v>WATSON, GW-1 Windwagon</v>
      </c>
    </row>
    <row r="2640" spans="1:4" x14ac:dyDescent="0.2">
      <c r="A2640" t="str">
        <f>Sheet2!A2640</f>
        <v>WINE</v>
      </c>
      <c r="B2640" t="str">
        <f ca="1">'Query Example'!D2640</f>
        <v>LandPlane</v>
      </c>
      <c r="C2640" s="11" t="str">
        <f>CONCATENATE(Sheet2!F2640,"/",Sheet2!E2640)</f>
        <v>1/Piston</v>
      </c>
      <c r="D2640" t="str">
        <f>CONCATENATE(Sheet2!B2640,", ",Sheet2!C2640)</f>
        <v>WINDECKER, Eagle</v>
      </c>
    </row>
    <row r="2641" spans="1:4" x14ac:dyDescent="0.2">
      <c r="A2641" t="str">
        <f>Sheet2!A2641</f>
        <v>WIRR</v>
      </c>
      <c r="B2641" t="str">
        <f ca="1">'Query Example'!D2641</f>
        <v>LandPlane</v>
      </c>
      <c r="C2641" s="11" t="str">
        <f>CONCATENATE(Sheet2!F2641,"/",Sheet2!E2641)</f>
        <v>1/Piston</v>
      </c>
      <c r="D2641" t="str">
        <f>CONCATENATE(Sheet2!B2641,", ",Sheet2!C2641)</f>
        <v>COMMONWEALTH (1), CA-16 Wirraway</v>
      </c>
    </row>
    <row r="2642" spans="1:4" x14ac:dyDescent="0.2">
      <c r="A2642" t="str">
        <f>Sheet2!A2642</f>
        <v>WISP</v>
      </c>
      <c r="B2642" t="str">
        <f ca="1">'Query Example'!D2642</f>
        <v>LandPlane</v>
      </c>
      <c r="C2642" s="11" t="str">
        <f>CONCATENATE(Sheet2!F2642,"/",Sheet2!E2642)</f>
        <v>1/Piston</v>
      </c>
      <c r="D2642" t="str">
        <f>CONCATENATE(Sheet2!B2642,", ",Sheet2!C2642)</f>
        <v>WHISPER, Whisper</v>
      </c>
    </row>
    <row r="2643" spans="1:4" x14ac:dyDescent="0.2">
      <c r="A2643" t="str">
        <f>Sheet2!A2643</f>
        <v>WLBY</v>
      </c>
      <c r="B2643" t="str">
        <f ca="1">'Query Example'!D2643</f>
        <v>LandPlane</v>
      </c>
      <c r="C2643" s="11" t="str">
        <f>CONCATENATE(Sheet2!F2643,"/",Sheet2!E2643)</f>
        <v>1/Piston</v>
      </c>
      <c r="D2643" t="str">
        <f>CONCATENATE(Sheet2!B2643,", ",Sheet2!C2643)</f>
        <v>FLY SYNTHESIS, Wallaby</v>
      </c>
    </row>
    <row r="2644" spans="1:4" x14ac:dyDescent="0.2">
      <c r="A2644" t="str">
        <f>Sheet2!A2644</f>
        <v>WM2</v>
      </c>
      <c r="B2644" t="str">
        <f ca="1">'Query Example'!D2644</f>
        <v>LandPlane</v>
      </c>
      <c r="C2644" s="11" t="str">
        <f>CONCATENATE(Sheet2!F2644,"/",Sheet2!E2644)</f>
        <v>1/Piston</v>
      </c>
      <c r="D2644" t="str">
        <f>CONCATENATE(Sheet2!B2644,", ",Sheet2!C2644)</f>
        <v>MILLER (2), WM-2</v>
      </c>
    </row>
    <row r="2645" spans="1:4" x14ac:dyDescent="0.2">
      <c r="A2645" t="str">
        <f>Sheet2!A2645</f>
        <v>WOPU</v>
      </c>
      <c r="B2645" t="str">
        <f ca="1">'Query Example'!D2645</f>
        <v>LandPlane</v>
      </c>
      <c r="C2645" s="11" t="str">
        <f>CONCATENATE(Sheet2!F2645,"/",Sheet2!E2645)</f>
        <v>1/Piston</v>
      </c>
      <c r="D2645" t="str">
        <f>CONCATENATE(Sheet2!B2645,", ",Sheet2!C2645)</f>
        <v>AEROSPORT, Woody Pusher</v>
      </c>
    </row>
    <row r="2646" spans="1:4" x14ac:dyDescent="0.2">
      <c r="A2646" t="str">
        <f>Sheet2!A2646</f>
        <v>WP40</v>
      </c>
      <c r="B2646" t="str">
        <f ca="1">'Query Example'!D2646</f>
        <v>LandPlane</v>
      </c>
      <c r="C2646" s="11" t="str">
        <f>CONCATENATE(Sheet2!F2646,"/",Sheet2!E2646)</f>
        <v>1/Piston</v>
      </c>
      <c r="D2646" t="str">
        <f>CONCATENATE(Sheet2!B2646,", ",Sheet2!C2646)</f>
        <v>WAR, Curtiss P-40 Kittyhawk</v>
      </c>
    </row>
    <row r="2647" spans="1:4" x14ac:dyDescent="0.2">
      <c r="A2647" t="str">
        <f>Sheet2!A2647</f>
        <v>WP47</v>
      </c>
      <c r="B2647" t="str">
        <f ca="1">'Query Example'!D2647</f>
        <v>LandPlane</v>
      </c>
      <c r="C2647" s="11" t="str">
        <f>CONCATENATE(Sheet2!F2647,"/",Sheet2!E2647)</f>
        <v>1/Piston</v>
      </c>
      <c r="D2647" t="str">
        <f>CONCATENATE(Sheet2!B2647,", ",Sheet2!C2647)</f>
        <v>WAR, Republic P-47 Thunderbolt</v>
      </c>
    </row>
    <row r="2648" spans="1:4" x14ac:dyDescent="0.2">
      <c r="A2648" t="str">
        <f>Sheet2!A2648</f>
        <v>WS22</v>
      </c>
      <c r="B2648" t="str">
        <f ca="1">'Query Example'!D2648</f>
        <v>LandPlane</v>
      </c>
      <c r="C2648" s="11" t="str">
        <f>CONCATENATE(Sheet2!F2648,"/",Sheet2!E2648)</f>
        <v>1/Piston</v>
      </c>
      <c r="D2648" t="str">
        <f>CONCATENATE(Sheet2!B2648,", ",Sheet2!C2648)</f>
        <v>SPRING, WS-202 Sprint</v>
      </c>
    </row>
    <row r="2649" spans="1:4" x14ac:dyDescent="0.2">
      <c r="A2649" t="str">
        <f>Sheet2!A2649</f>
        <v>WSP</v>
      </c>
      <c r="B2649" t="str">
        <f ca="1">'Query Example'!D2649</f>
        <v>LandPlane</v>
      </c>
      <c r="C2649" s="11" t="str">
        <f>CONCATENATE(Sheet2!F2649,"/",Sheet2!E2649)</f>
        <v>1/Piston</v>
      </c>
      <c r="D2649" t="str">
        <f>CONCATENATE(Sheet2!B2649,", ",Sheet2!C2649)</f>
        <v>AAK, Wasp</v>
      </c>
    </row>
    <row r="2650" spans="1:4" x14ac:dyDescent="0.2">
      <c r="A2650" t="str">
        <f>Sheet2!A2650</f>
        <v>WT9</v>
      </c>
      <c r="B2650" t="str">
        <f ca="1">'Query Example'!D2650</f>
        <v>LandPlane</v>
      </c>
      <c r="C2650" s="11" t="str">
        <f>CONCATENATE(Sheet2!F2650,"/",Sheet2!E2650)</f>
        <v>1/Piston</v>
      </c>
      <c r="D2650" t="str">
        <f>CONCATENATE(Sheet2!B2650,", ",Sheet2!C2650)</f>
        <v>AEROSPOOL, WT-9 Dynamic</v>
      </c>
    </row>
    <row r="2651" spans="1:4" x14ac:dyDescent="0.2">
      <c r="A2651" t="str">
        <f>Sheet2!A2651</f>
        <v>WUSH</v>
      </c>
      <c r="B2651" t="str">
        <f ca="1">'Query Example'!D2651</f>
        <v>Amphibian</v>
      </c>
      <c r="C2651" s="11" t="str">
        <f>CONCATENATE(Sheet2!F2651,"/",Sheet2!E2651)</f>
        <v>1/Piston</v>
      </c>
      <c r="D2651" t="str">
        <f>CONCATENATE(Sheet2!B2651,", ",Sheet2!C2651)</f>
        <v>WÜST, Shark</v>
      </c>
    </row>
    <row r="2652" spans="1:4" x14ac:dyDescent="0.2">
      <c r="A2652" t="str">
        <f>Sheet2!A2652</f>
        <v>WW1</v>
      </c>
      <c r="B2652" t="str">
        <f ca="1">'Query Example'!D2652</f>
        <v>LandPlane</v>
      </c>
      <c r="C2652" s="11" t="str">
        <f>CONCATENATE(Sheet2!F2652,"/",Sheet2!E2652)</f>
        <v>1/Piston</v>
      </c>
      <c r="D2652" t="str">
        <f>CONCATENATE(Sheet2!B2652,", ",Sheet2!C2652)</f>
        <v>WHITE, WW-1 Der Jäger D-9</v>
      </c>
    </row>
    <row r="2653" spans="1:4" x14ac:dyDescent="0.2">
      <c r="A2653" t="str">
        <f>Sheet2!A2653</f>
        <v>WW23</v>
      </c>
      <c r="B2653" t="str">
        <f ca="1">'Query Example'!D2653</f>
        <v>LandPlane</v>
      </c>
      <c r="C2653" s="11" t="str">
        <f>CONCATENATE(Sheet2!F2653,"/",Sheet2!E2653)</f>
        <v>2/Jet</v>
      </c>
      <c r="D2653" t="str">
        <f>CONCATENATE(Sheet2!B2653,", ",Sheet2!C2653)</f>
        <v>IAI, 1123 Westwind</v>
      </c>
    </row>
    <row r="2654" spans="1:4" x14ac:dyDescent="0.2">
      <c r="A2654" t="str">
        <f>Sheet2!A2654</f>
        <v>WW24</v>
      </c>
      <c r="B2654" t="str">
        <f ca="1">'Query Example'!D2654</f>
        <v>LandPlane</v>
      </c>
      <c r="C2654" s="11" t="str">
        <f>CONCATENATE(Sheet2!F2654,"/",Sheet2!E2654)</f>
        <v>2/Jet</v>
      </c>
      <c r="D2654" t="str">
        <f>CONCATENATE(Sheet2!B2654,", ",Sheet2!C2654)</f>
        <v>IAI, 1124 Westwind 2</v>
      </c>
    </row>
    <row r="2655" spans="1:4" x14ac:dyDescent="0.2">
      <c r="A2655" t="str">
        <f>Sheet2!A2655</f>
        <v>WZ10</v>
      </c>
      <c r="B2655" t="str">
        <f ca="1">'Query Example'!D2655</f>
        <v>Helicopter</v>
      </c>
      <c r="C2655" s="11" t="str">
        <f>CONCATENATE(Sheet2!F2655,"/",Sheet2!E2655)</f>
        <v>2/Turboprop/Turboshaft</v>
      </c>
      <c r="D2655" t="str">
        <f>CONCATENATE(Sheet2!B2655,", ",Sheet2!C2655)</f>
        <v>CHANGHE, WZ-10</v>
      </c>
    </row>
    <row r="2656" spans="1:4" x14ac:dyDescent="0.2">
      <c r="A2656" t="str">
        <f>Sheet2!A2656</f>
        <v>WZER</v>
      </c>
      <c r="B2656" t="str">
        <f ca="1">'Query Example'!D2656</f>
        <v>LandPlane</v>
      </c>
      <c r="C2656" s="11" t="str">
        <f>CONCATENATE(Sheet2!F2656,"/",Sheet2!E2656)</f>
        <v>1/Piston</v>
      </c>
      <c r="D2656" t="str">
        <f>CONCATENATE(Sheet2!B2656,", ",Sheet2!C2656)</f>
        <v>WAR, Mitsubishi Zero</v>
      </c>
    </row>
    <row r="2657" spans="1:4" x14ac:dyDescent="0.2">
      <c r="A2657" t="str">
        <f>Sheet2!A2657</f>
        <v>X2</v>
      </c>
      <c r="B2657" t="str">
        <f ca="1">'Query Example'!D2657</f>
        <v>Helicopter</v>
      </c>
      <c r="C2657" s="11" t="str">
        <f>CONCATENATE(Sheet2!F2657,"/",Sheet2!E2657)</f>
        <v>1/Turboprop/Turboshaft</v>
      </c>
      <c r="D2657" t="str">
        <f>CONCATENATE(Sheet2!B2657,", ",Sheet2!C2657)</f>
        <v>SIKORSKY, X-2</v>
      </c>
    </row>
    <row r="2658" spans="1:4" x14ac:dyDescent="0.2">
      <c r="A2658" t="str">
        <f>Sheet2!A2658</f>
        <v>X3</v>
      </c>
      <c r="B2658" t="str">
        <f ca="1">'Query Example'!D2658</f>
        <v>Helicopter</v>
      </c>
      <c r="C2658" s="11" t="str">
        <f>CONCATENATE(Sheet2!F2658,"/",Sheet2!E2658)</f>
        <v>2/Turboprop/Turboshaft</v>
      </c>
      <c r="D2658" t="str">
        <f>CONCATENATE(Sheet2!B2658,", ",Sheet2!C2658)</f>
        <v>EUROCOPTER, X-3</v>
      </c>
    </row>
    <row r="2659" spans="1:4" x14ac:dyDescent="0.2">
      <c r="A2659" t="str">
        <f>Sheet2!A2659</f>
        <v>X4</v>
      </c>
      <c r="B2659" t="str">
        <f ca="1">'Query Example'!D2659</f>
        <v>LandPlane</v>
      </c>
      <c r="C2659" s="11" t="str">
        <f>CONCATENATE(Sheet2!F2659,"/",Sheet2!E2659)</f>
        <v>1/Piston</v>
      </c>
      <c r="D2659" t="str">
        <f>CONCATENATE(Sheet2!B2659,", ",Sheet2!C2659)</f>
        <v>ROBIN, X-4</v>
      </c>
    </row>
    <row r="2660" spans="1:4" x14ac:dyDescent="0.2">
      <c r="A2660" t="str">
        <f>Sheet2!A2660</f>
        <v>X47B</v>
      </c>
      <c r="B2660" t="str">
        <f ca="1">'Query Example'!D2660</f>
        <v>LandPlane</v>
      </c>
      <c r="C2660" s="11" t="str">
        <f>CONCATENATE(Sheet2!F2660,"/",Sheet2!E2660)</f>
        <v>1/Jet</v>
      </c>
      <c r="D2660" t="str">
        <f>CONCATENATE(Sheet2!B2660,", ",Sheet2!C2660)</f>
        <v>NORTHROP GRUMMAN, X-47B</v>
      </c>
    </row>
    <row r="2661" spans="1:4" x14ac:dyDescent="0.2">
      <c r="A2661" t="str">
        <f>Sheet2!A2661</f>
        <v>X49</v>
      </c>
      <c r="B2661" t="str">
        <f ca="1">'Query Example'!D2661</f>
        <v>Helicopter</v>
      </c>
      <c r="C2661" s="11" t="str">
        <f>CONCATENATE(Sheet2!F2661,"/",Sheet2!E2661)</f>
        <v>2/Turboprop/Turboshaft</v>
      </c>
      <c r="D2661" t="str">
        <f>CONCATENATE(Sheet2!B2661,", ",Sheet2!C2661)</f>
        <v>PIASECKI, X-49 SpeedHawk</v>
      </c>
    </row>
    <row r="2662" spans="1:4" x14ac:dyDescent="0.2">
      <c r="A2662" t="str">
        <f>Sheet2!A2662</f>
        <v>XA41</v>
      </c>
      <c r="B2662" t="str">
        <f ca="1">'Query Example'!D2662</f>
        <v>LandPlane</v>
      </c>
      <c r="C2662" s="11" t="str">
        <f>CONCATENATE(Sheet2!F2662,"/",Sheet2!E2662)</f>
        <v>1/Piston</v>
      </c>
      <c r="D2662" t="str">
        <f>CONCATENATE(Sheet2!B2662,", ",Sheet2!C2662)</f>
        <v>XTREMEAIR, XA-41</v>
      </c>
    </row>
    <row r="2663" spans="1:4" x14ac:dyDescent="0.2">
      <c r="A2663" t="str">
        <f>Sheet2!A2663</f>
        <v>XA42</v>
      </c>
      <c r="B2663" t="str">
        <f ca="1">'Query Example'!D2663</f>
        <v>LandPlane</v>
      </c>
      <c r="C2663" s="11" t="str">
        <f>CONCATENATE(Sheet2!F2663,"/",Sheet2!E2663)</f>
        <v>1/Piston</v>
      </c>
      <c r="D2663" t="str">
        <f>CONCATENATE(Sheet2!B2663,", ",Sheet2!C2663)</f>
        <v>XTREMEAIR, XA-42</v>
      </c>
    </row>
    <row r="2664" spans="1:4" x14ac:dyDescent="0.2">
      <c r="A2664" t="str">
        <f>Sheet2!A2664</f>
        <v>XA85</v>
      </c>
      <c r="B2664" t="str">
        <f ca="1">'Query Example'!D2664</f>
        <v>LandPlane</v>
      </c>
      <c r="C2664" s="11" t="str">
        <f>CONCATENATE(Sheet2!F2664,"/",Sheet2!E2664)</f>
        <v>1/Piston</v>
      </c>
      <c r="D2664" t="str">
        <f>CONCATENATE(Sheet2!B2664,", ",Sheet2!C2664)</f>
        <v>RAJ HAMSA, XA-85 X-Air LS</v>
      </c>
    </row>
    <row r="2665" spans="1:4" x14ac:dyDescent="0.2">
      <c r="A2665" t="str">
        <f>Sheet2!A2665</f>
        <v>XAIR</v>
      </c>
      <c r="B2665" t="str">
        <f ca="1">'Query Example'!D2665</f>
        <v>LandPlane</v>
      </c>
      <c r="C2665" s="11" t="str">
        <f>CONCATENATE(Sheet2!F2665,"/",Sheet2!E2665)</f>
        <v>1/Piston</v>
      </c>
      <c r="D2665" t="str">
        <f>CONCATENATE(Sheet2!B2665,", ",Sheet2!C2665)</f>
        <v>RAJ HAMSA, X-AIR Falcon</v>
      </c>
    </row>
    <row r="2666" spans="1:4" x14ac:dyDescent="0.2">
      <c r="A2666" t="str">
        <f>Sheet2!A2666</f>
        <v>XB1</v>
      </c>
      <c r="B2666" t="str">
        <f ca="1">'Query Example'!D2666</f>
        <v>LandPlane</v>
      </c>
      <c r="C2666" s="11" t="str">
        <f>CONCATENATE(Sheet2!F2666,"/",Sheet2!E2666)</f>
        <v>3/Jet</v>
      </c>
      <c r="D2666" t="str">
        <f>CONCATENATE(Sheet2!B2666,", ",Sheet2!C2666)</f>
        <v>BOOM, XB-1</v>
      </c>
    </row>
    <row r="2667" spans="1:4" x14ac:dyDescent="0.2">
      <c r="A2667" t="str">
        <f>Sheet2!A2667</f>
        <v>XL2</v>
      </c>
      <c r="B2667" t="str">
        <f ca="1">'Query Example'!D2667</f>
        <v>LandPlane</v>
      </c>
      <c r="C2667" s="11" t="str">
        <f>CONCATENATE(Sheet2!F2667,"/",Sheet2!E2667)</f>
        <v>1/Piston</v>
      </c>
      <c r="D2667" t="str">
        <f>CONCATENATE(Sheet2!B2667,", ",Sheet2!C2667)</f>
        <v>LIBERTY (2), XL-2</v>
      </c>
    </row>
    <row r="2668" spans="1:4" x14ac:dyDescent="0.2">
      <c r="A2668" t="str">
        <f>Sheet2!A2668</f>
        <v>XNON</v>
      </c>
      <c r="B2668" t="str">
        <f ca="1">'Query Example'!D2668</f>
        <v>Gyrocopter</v>
      </c>
      <c r="C2668" s="11" t="str">
        <f>CONCATENATE(Sheet2!F2668,"/",Sheet2!E2668)</f>
        <v>1/Piston</v>
      </c>
      <c r="D2668" t="str">
        <f>CONCATENATE(Sheet2!B2668,", ",Sheet2!C2668)</f>
        <v>ABS AEROLIGHT, Xenon</v>
      </c>
    </row>
    <row r="2669" spans="1:4" x14ac:dyDescent="0.2">
      <c r="A2669" t="str">
        <f>Sheet2!A2669</f>
        <v>XNOS</v>
      </c>
      <c r="B2669" t="str">
        <f ca="1">'Query Example'!D2669</f>
        <v>LandPlane</v>
      </c>
      <c r="C2669" s="11" t="str">
        <f>CONCATENATE(Sheet2!F2669,"/",Sheet2!E2669)</f>
        <v>1/Piston</v>
      </c>
      <c r="D2669" t="str">
        <f>CONCATENATE(Sheet2!B2669,", ",Sheet2!C2669)</f>
        <v>SONEX, Xenos</v>
      </c>
    </row>
    <row r="2670" spans="1:4" x14ac:dyDescent="0.2">
      <c r="A2670" t="str">
        <f>Sheet2!A2670</f>
        <v>XV15</v>
      </c>
      <c r="B2670" t="str">
        <f ca="1">'Query Example'!D2670</f>
        <v>Tiltrotor</v>
      </c>
      <c r="C2670" s="11" t="str">
        <f>CONCATENATE(Sheet2!F2670,"/",Sheet2!E2670)</f>
        <v>2/Turboprop/Turboshaft</v>
      </c>
      <c r="D2670" t="str">
        <f>CONCATENATE(Sheet2!B2670,", ",Sheet2!C2670)</f>
        <v>BELL, XV-15</v>
      </c>
    </row>
    <row r="2671" spans="1:4" x14ac:dyDescent="0.2">
      <c r="A2671" t="str">
        <f>Sheet2!A2671</f>
        <v>Y11</v>
      </c>
      <c r="B2671" t="str">
        <f ca="1">'Query Example'!D2671</f>
        <v>LandPlane</v>
      </c>
      <c r="C2671" s="11" t="str">
        <f>CONCATENATE(Sheet2!F2671,"/",Sheet2!E2671)</f>
        <v>2/Piston</v>
      </c>
      <c r="D2671" t="str">
        <f>CONCATENATE(Sheet2!B2671,", ",Sheet2!C2671)</f>
        <v>HARBIN, Y-11</v>
      </c>
    </row>
    <row r="2672" spans="1:4" x14ac:dyDescent="0.2">
      <c r="A2672" t="str">
        <f>Sheet2!A2672</f>
        <v>Y112</v>
      </c>
      <c r="B2672" t="str">
        <f ca="1">'Query Example'!D2672</f>
        <v>LandPlane</v>
      </c>
      <c r="C2672" s="11" t="str">
        <f>CONCATENATE(Sheet2!F2672,"/",Sheet2!E2672)</f>
        <v>1/Piston</v>
      </c>
      <c r="D2672" t="str">
        <f>CONCATENATE(Sheet2!B2672,", ",Sheet2!C2672)</f>
        <v>YAKOVLEV, Yak-112</v>
      </c>
    </row>
    <row r="2673" spans="1:4" x14ac:dyDescent="0.2">
      <c r="A2673" t="str">
        <f>Sheet2!A2673</f>
        <v>Y12</v>
      </c>
      <c r="B2673" t="str">
        <f ca="1">'Query Example'!D2673</f>
        <v>LandPlane</v>
      </c>
      <c r="C2673" s="11" t="str">
        <f>CONCATENATE(Sheet2!F2673,"/",Sheet2!E2673)</f>
        <v>2/Turboprop/Turboshaft</v>
      </c>
      <c r="D2673" t="str">
        <f>CONCATENATE(Sheet2!B2673,", ",Sheet2!C2673)</f>
        <v>HARBIN, Harbinger</v>
      </c>
    </row>
    <row r="2674" spans="1:4" x14ac:dyDescent="0.2">
      <c r="A2674" t="str">
        <f>Sheet2!A2674</f>
        <v>Y12</v>
      </c>
      <c r="B2674" t="str">
        <f ca="1">'Query Example'!D2674</f>
        <v>LandPlane</v>
      </c>
      <c r="C2674" s="11" t="str">
        <f>CONCATENATE(Sheet2!F2674,"/",Sheet2!E2674)</f>
        <v>2/Turboprop/Turboshaft</v>
      </c>
      <c r="D2674" t="str">
        <f>CONCATENATE(Sheet2!B2674,", ",Sheet2!C2674)</f>
        <v>HARBIN, Y-12E Harbinger</v>
      </c>
    </row>
    <row r="2675" spans="1:4" x14ac:dyDescent="0.2">
      <c r="A2675" t="str">
        <f>Sheet2!A2675</f>
        <v>Y12F</v>
      </c>
      <c r="B2675" t="str">
        <f ca="1">'Query Example'!D2675</f>
        <v>LandPlane</v>
      </c>
      <c r="C2675" s="11" t="str">
        <f>CONCATENATE(Sheet2!F2675,"/",Sheet2!E2675)</f>
        <v>2/Turboprop/Turboshaft</v>
      </c>
      <c r="D2675" t="str">
        <f>CONCATENATE(Sheet2!B2675,", ",Sheet2!C2675)</f>
        <v>HARBIN, Y-12F Aircar</v>
      </c>
    </row>
    <row r="2676" spans="1:4" x14ac:dyDescent="0.2">
      <c r="A2676" t="str">
        <f>Sheet2!A2676</f>
        <v>Y130</v>
      </c>
      <c r="B2676" t="str">
        <f ca="1">'Query Example'!D2676</f>
        <v>LandPlane</v>
      </c>
      <c r="C2676" s="11" t="str">
        <f>CONCATENATE(Sheet2!F2676,"/",Sheet2!E2676)</f>
        <v>2/Jet</v>
      </c>
      <c r="D2676" t="str">
        <f>CONCATENATE(Sheet2!B2676,", ",Sheet2!C2676)</f>
        <v>YAKOVLEV, Yak-130</v>
      </c>
    </row>
    <row r="2677" spans="1:4" x14ac:dyDescent="0.2">
      <c r="A2677" t="str">
        <f>Sheet2!A2677</f>
        <v>Y18T</v>
      </c>
      <c r="B2677" t="str">
        <f ca="1">'Query Example'!D2677</f>
        <v>LandPlane</v>
      </c>
      <c r="C2677" s="11" t="str">
        <f>CONCATENATE(Sheet2!F2677,"/",Sheet2!E2677)</f>
        <v>1/Piston</v>
      </c>
      <c r="D2677" t="str">
        <f>CONCATENATE(Sheet2!B2677,", ",Sheet2!C2677)</f>
        <v>YAKOVLEV, Yak-18T</v>
      </c>
    </row>
    <row r="2678" spans="1:4" x14ac:dyDescent="0.2">
      <c r="A2678" t="str">
        <f>Sheet2!A2678</f>
        <v>Y20</v>
      </c>
      <c r="B2678" t="str">
        <f ca="1">'Query Example'!D2678</f>
        <v>LandPlane</v>
      </c>
      <c r="C2678" s="11" t="str">
        <f>CONCATENATE(Sheet2!F2678,"/",Sheet2!E2678)</f>
        <v>4/Jet</v>
      </c>
      <c r="D2678" t="str">
        <f>CONCATENATE(Sheet2!B2678,", ",Sheet2!C2678)</f>
        <v>XIAN, Y-20 Kunpeng</v>
      </c>
    </row>
    <row r="2679" spans="1:4" x14ac:dyDescent="0.2">
      <c r="A2679" t="str">
        <f>Sheet2!A2679</f>
        <v>YA1</v>
      </c>
      <c r="B2679" t="str">
        <f ca="1">'Query Example'!D2679</f>
        <v>LandPlane</v>
      </c>
      <c r="C2679" s="11" t="str">
        <f>CONCATENATE(Sheet2!F2679,"/",Sheet2!E2679)</f>
        <v>1/Piston</v>
      </c>
      <c r="D2679" t="str">
        <f>CONCATENATE(Sheet2!B2679,", ",Sheet2!C2679)</f>
        <v>YEOMAN, YA-1 Cropmaster</v>
      </c>
    </row>
    <row r="2680" spans="1:4" x14ac:dyDescent="0.2">
      <c r="A2680" t="str">
        <f>Sheet2!A2680</f>
        <v>YAK3</v>
      </c>
      <c r="B2680" t="str">
        <f ca="1">'Query Example'!D2680</f>
        <v>LandPlane</v>
      </c>
      <c r="C2680" s="11" t="str">
        <f>CONCATENATE(Sheet2!F2680,"/",Sheet2!E2680)</f>
        <v>1/Piston</v>
      </c>
      <c r="D2680" t="str">
        <f>CONCATENATE(Sheet2!B2680,", ",Sheet2!C2680)</f>
        <v>YAKOVLEV, Yak-3</v>
      </c>
    </row>
    <row r="2681" spans="1:4" x14ac:dyDescent="0.2">
      <c r="A2681" t="str">
        <f>Sheet2!A2681</f>
        <v>YAK9</v>
      </c>
      <c r="B2681" t="str">
        <f ca="1">'Query Example'!D2681</f>
        <v>LandPlane</v>
      </c>
      <c r="C2681" s="11" t="str">
        <f>CONCATENATE(Sheet2!F2681,"/",Sheet2!E2681)</f>
        <v>1/Piston</v>
      </c>
      <c r="D2681" t="str">
        <f>CONCATENATE(Sheet2!B2681,", ",Sheet2!C2681)</f>
        <v>YAKOVLEV, Yak-9</v>
      </c>
    </row>
    <row r="2682" spans="1:4" x14ac:dyDescent="0.2">
      <c r="A2682" t="str">
        <f>Sheet2!A2682</f>
        <v>YALE</v>
      </c>
      <c r="B2682" t="str">
        <f ca="1">'Query Example'!D2682</f>
        <v>LandPlane</v>
      </c>
      <c r="C2682" s="11" t="str">
        <f>CONCATENATE(Sheet2!F2682,"/",Sheet2!E2682)</f>
        <v>1/Piston</v>
      </c>
      <c r="D2682" t="str">
        <f>CONCATENATE(Sheet2!B2682,", ",Sheet2!C2682)</f>
        <v>NORTH AMERICAN, BT-9 Yale</v>
      </c>
    </row>
    <row r="2683" spans="1:4" x14ac:dyDescent="0.2">
      <c r="A2683" t="str">
        <f>Sheet2!A2683</f>
        <v>YARR</v>
      </c>
      <c r="B2683" t="str">
        <f ca="1">'Query Example'!D2683</f>
        <v>LandPlane</v>
      </c>
      <c r="C2683" s="11" t="str">
        <f>CONCATENATE(Sheet2!F2683,"/",Sheet2!E2683)</f>
        <v>1/Piston</v>
      </c>
      <c r="D2683" t="str">
        <f>CONCATENATE(Sheet2!B2683,", ",Sheet2!C2683)</f>
        <v>ARROW (2), Yarrow Arrow</v>
      </c>
    </row>
    <row r="2684" spans="1:4" x14ac:dyDescent="0.2">
      <c r="A2684" t="str">
        <f>Sheet2!A2684</f>
        <v>YAST</v>
      </c>
      <c r="B2684" t="str">
        <f ca="1">'Query Example'!D2684</f>
        <v>LandPlane</v>
      </c>
      <c r="C2684" s="11" t="str">
        <f>CONCATENATE(Sheet2!F2684,"/",Sheet2!E2684)</f>
        <v>1/Piston</v>
      </c>
      <c r="D2684" t="str">
        <f>CONCATENATE(Sheet2!B2684,", ",Sheet2!C2684)</f>
        <v>SGAU, Yastreb</v>
      </c>
    </row>
    <row r="2685" spans="1:4" x14ac:dyDescent="0.2">
      <c r="A2685" t="str">
        <f>Sheet2!A2685</f>
        <v>YC12</v>
      </c>
      <c r="B2685" t="str">
        <f ca="1">'Query Example'!D2685</f>
        <v>LandPlane</v>
      </c>
      <c r="C2685" s="11" t="str">
        <f>CONCATENATE(Sheet2!F2685,"/",Sheet2!E2685)</f>
        <v>1/Piston</v>
      </c>
      <c r="D2685" t="str">
        <f>CONCATENATE(Sheet2!B2685,", ",Sheet2!C2685)</f>
        <v>CHASLE, YC-12 Tourbillon</v>
      </c>
    </row>
    <row r="2686" spans="1:4" x14ac:dyDescent="0.2">
      <c r="A2686" t="str">
        <f>Sheet2!A2686</f>
        <v>YK11</v>
      </c>
      <c r="B2686" t="str">
        <f ca="1">'Query Example'!D2686</f>
        <v>LandPlane</v>
      </c>
      <c r="C2686" s="11" t="str">
        <f>CONCATENATE(Sheet2!F2686,"/",Sheet2!E2686)</f>
        <v>1/Piston</v>
      </c>
      <c r="D2686" t="str">
        <f>CONCATENATE(Sheet2!B2686,", ",Sheet2!C2686)</f>
        <v>LET, C-11</v>
      </c>
    </row>
    <row r="2687" spans="1:4" x14ac:dyDescent="0.2">
      <c r="A2687" t="str">
        <f>Sheet2!A2687</f>
        <v>YK11</v>
      </c>
      <c r="B2687" t="str">
        <f ca="1">'Query Example'!D2687</f>
        <v>LandPlane</v>
      </c>
      <c r="C2687" s="11" t="str">
        <f>CONCATENATE(Sheet2!F2687,"/",Sheet2!E2687)</f>
        <v>1/Piston</v>
      </c>
      <c r="D2687" t="str">
        <f>CONCATENATE(Sheet2!B2687,", ",Sheet2!C2687)</f>
        <v>YAKOVLEV, Yak-11</v>
      </c>
    </row>
    <row r="2688" spans="1:4" x14ac:dyDescent="0.2">
      <c r="A2688" t="str">
        <f>Sheet2!A2688</f>
        <v>YK12</v>
      </c>
      <c r="B2688" t="str">
        <f ca="1">'Query Example'!D2688</f>
        <v>LandPlane</v>
      </c>
      <c r="C2688" s="11" t="str">
        <f>CONCATENATE(Sheet2!F2688,"/",Sheet2!E2688)</f>
        <v>1/Piston</v>
      </c>
      <c r="D2688" t="str">
        <f>CONCATENATE(Sheet2!B2688,", ",Sheet2!C2688)</f>
        <v>YAKOVLEV, Yak-12</v>
      </c>
    </row>
    <row r="2689" spans="1:4" x14ac:dyDescent="0.2">
      <c r="A2689" t="str">
        <f>Sheet2!A2689</f>
        <v>YK18</v>
      </c>
      <c r="B2689" t="str">
        <f ca="1">'Query Example'!D2689</f>
        <v>LandPlane</v>
      </c>
      <c r="C2689" s="11" t="str">
        <f>CONCATENATE(Sheet2!F2689,"/",Sheet2!E2689)</f>
        <v>1/Piston</v>
      </c>
      <c r="D2689" t="str">
        <f>CONCATENATE(Sheet2!B2689,", ",Sheet2!C2689)</f>
        <v>YAKOVLEV, Yak-18</v>
      </c>
    </row>
    <row r="2690" spans="1:4" x14ac:dyDescent="0.2">
      <c r="A2690" t="str">
        <f>Sheet2!A2690</f>
        <v>YK28</v>
      </c>
      <c r="B2690" t="str">
        <f ca="1">'Query Example'!D2690</f>
        <v>LandPlane</v>
      </c>
      <c r="C2690" s="11" t="str">
        <f>CONCATENATE(Sheet2!F2690,"/",Sheet2!E2690)</f>
        <v>2/Jet</v>
      </c>
      <c r="D2690" t="str">
        <f>CONCATENATE(Sheet2!B2690,", ",Sheet2!C2690)</f>
        <v>YAKOVLEV, Yak-28</v>
      </c>
    </row>
    <row r="2691" spans="1:4" x14ac:dyDescent="0.2">
      <c r="A2691" t="str">
        <f>Sheet2!A2691</f>
        <v>YK30</v>
      </c>
      <c r="B2691" t="str">
        <f ca="1">'Query Example'!D2691</f>
        <v>LandPlane</v>
      </c>
      <c r="C2691" s="11" t="str">
        <f>CONCATENATE(Sheet2!F2691,"/",Sheet2!E2691)</f>
        <v>1/Jet</v>
      </c>
      <c r="D2691" t="str">
        <f>CONCATENATE(Sheet2!B2691,", ",Sheet2!C2691)</f>
        <v>YAKOVLEV, Yak-30</v>
      </c>
    </row>
    <row r="2692" spans="1:4" x14ac:dyDescent="0.2">
      <c r="A2692" t="str">
        <f>Sheet2!A2692</f>
        <v>YK38</v>
      </c>
      <c r="B2692" t="str">
        <f ca="1">'Query Example'!D2692</f>
        <v>LandPlane</v>
      </c>
      <c r="C2692" s="11" t="str">
        <f>CONCATENATE(Sheet2!F2692,"/",Sheet2!E2692)</f>
        <v>3/Jet</v>
      </c>
      <c r="D2692" t="str">
        <f>CONCATENATE(Sheet2!B2692,", ",Sheet2!C2692)</f>
        <v>YAKOVLEV, Yak-38</v>
      </c>
    </row>
    <row r="2693" spans="1:4" x14ac:dyDescent="0.2">
      <c r="A2693" t="str">
        <f>Sheet2!A2693</f>
        <v>YK40</v>
      </c>
      <c r="B2693" t="str">
        <f ca="1">'Query Example'!D2693</f>
        <v>LandPlane</v>
      </c>
      <c r="C2693" s="11" t="str">
        <f>CONCATENATE(Sheet2!F2693,"/",Sheet2!E2693)</f>
        <v>3/Jet</v>
      </c>
      <c r="D2693" t="str">
        <f>CONCATENATE(Sheet2!B2693,", ",Sheet2!C2693)</f>
        <v>YAKOVLEV, Yak-40</v>
      </c>
    </row>
    <row r="2694" spans="1:4" x14ac:dyDescent="0.2">
      <c r="A2694" t="str">
        <f>Sheet2!A2694</f>
        <v>YK42</v>
      </c>
      <c r="B2694" t="str">
        <f ca="1">'Query Example'!D2694</f>
        <v>LandPlane</v>
      </c>
      <c r="C2694" s="11" t="str">
        <f>CONCATENATE(Sheet2!F2694,"/",Sheet2!E2694)</f>
        <v>3/Jet</v>
      </c>
      <c r="D2694" t="str">
        <f>CONCATENATE(Sheet2!B2694,", ",Sheet2!C2694)</f>
        <v>YAKOVLEV, Yak-42</v>
      </c>
    </row>
    <row r="2695" spans="1:4" x14ac:dyDescent="0.2">
      <c r="A2695" t="str">
        <f>Sheet2!A2695</f>
        <v>YK50</v>
      </c>
      <c r="B2695" t="str">
        <f ca="1">'Query Example'!D2695</f>
        <v>LandPlane</v>
      </c>
      <c r="C2695" s="11" t="str">
        <f>CONCATENATE(Sheet2!F2695,"/",Sheet2!E2695)</f>
        <v>1/Piston</v>
      </c>
      <c r="D2695" t="str">
        <f>CONCATENATE(Sheet2!B2695,", ",Sheet2!C2695)</f>
        <v>YAKOVLEV, Yak-50</v>
      </c>
    </row>
    <row r="2696" spans="1:4" x14ac:dyDescent="0.2">
      <c r="A2696" t="str">
        <f>Sheet2!A2696</f>
        <v>YK52</v>
      </c>
      <c r="B2696" t="str">
        <f ca="1">'Query Example'!D2696</f>
        <v>LandPlane</v>
      </c>
      <c r="C2696" s="11" t="str">
        <f>CONCATENATE(Sheet2!F2696,"/",Sheet2!E2696)</f>
        <v>1/Piston</v>
      </c>
      <c r="D2696" t="str">
        <f>CONCATENATE(Sheet2!B2696,", ",Sheet2!C2696)</f>
        <v>YAKOVLEV, Yak-52</v>
      </c>
    </row>
    <row r="2697" spans="1:4" x14ac:dyDescent="0.2">
      <c r="A2697" t="str">
        <f>Sheet2!A2697</f>
        <v>YK53</v>
      </c>
      <c r="B2697" t="str">
        <f ca="1">'Query Example'!D2697</f>
        <v>LandPlane</v>
      </c>
      <c r="C2697" s="11" t="str">
        <f>CONCATENATE(Sheet2!F2697,"/",Sheet2!E2697)</f>
        <v>1/Piston</v>
      </c>
      <c r="D2697" t="str">
        <f>CONCATENATE(Sheet2!B2697,", ",Sheet2!C2697)</f>
        <v>YAKOVLEV, Yak-53</v>
      </c>
    </row>
    <row r="2698" spans="1:4" x14ac:dyDescent="0.2">
      <c r="A2698" t="str">
        <f>Sheet2!A2698</f>
        <v>YK54</v>
      </c>
      <c r="B2698" t="str">
        <f ca="1">'Query Example'!D2698</f>
        <v>LandPlane</v>
      </c>
      <c r="C2698" s="11" t="str">
        <f>CONCATENATE(Sheet2!F2698,"/",Sheet2!E2698)</f>
        <v>1/Piston</v>
      </c>
      <c r="D2698" t="str">
        <f>CONCATENATE(Sheet2!B2698,", ",Sheet2!C2698)</f>
        <v>YAKOVLEV, Yak-54</v>
      </c>
    </row>
    <row r="2699" spans="1:4" x14ac:dyDescent="0.2">
      <c r="A2699" t="str">
        <f>Sheet2!A2699</f>
        <v>YK55</v>
      </c>
      <c r="B2699" t="str">
        <f ca="1">'Query Example'!D2699</f>
        <v>LandPlane</v>
      </c>
      <c r="C2699" s="11" t="str">
        <f>CONCATENATE(Sheet2!F2699,"/",Sheet2!E2699)</f>
        <v>1/Piston</v>
      </c>
      <c r="D2699" t="str">
        <f>CONCATENATE(Sheet2!B2699,", ",Sheet2!C2699)</f>
        <v>YAKOVLEV, Yak-55</v>
      </c>
    </row>
    <row r="2700" spans="1:4" x14ac:dyDescent="0.2">
      <c r="A2700" t="str">
        <f>Sheet2!A2700</f>
        <v>YK58</v>
      </c>
      <c r="B2700" t="str">
        <f ca="1">'Query Example'!D2700</f>
        <v>LandPlane</v>
      </c>
      <c r="C2700" s="11" t="str">
        <f>CONCATENATE(Sheet2!F2700,"/",Sheet2!E2700)</f>
        <v>1/Piston</v>
      </c>
      <c r="D2700" t="str">
        <f>CONCATENATE(Sheet2!B2700,", ",Sheet2!C2700)</f>
        <v>YAKOVLEV, Yak-58</v>
      </c>
    </row>
    <row r="2701" spans="1:4" x14ac:dyDescent="0.2">
      <c r="A2701" t="str">
        <f>Sheet2!A2701</f>
        <v>YL15</v>
      </c>
      <c r="B2701" t="str">
        <f ca="1">'Query Example'!D2701</f>
        <v>LandPlane</v>
      </c>
      <c r="C2701" s="11" t="str">
        <f>CONCATENATE(Sheet2!F2701,"/",Sheet2!E2701)</f>
        <v>1/Piston</v>
      </c>
      <c r="D2701" t="str">
        <f>CONCATENATE(Sheet2!B2701,", ",Sheet2!C2701)</f>
        <v>BOEING, YL-15 Scout</v>
      </c>
    </row>
    <row r="2702" spans="1:4" x14ac:dyDescent="0.2">
      <c r="A2702" t="str">
        <f>Sheet2!A2702</f>
        <v>YNHL</v>
      </c>
      <c r="B2702" t="str">
        <f ca="1">'Query Example'!D2702</f>
        <v>Helicopter</v>
      </c>
      <c r="C2702" s="11" t="str">
        <f>CONCATENATE(Sheet2!F2702,"/",Sheet2!E2702)</f>
        <v>2/Piston</v>
      </c>
      <c r="D2702" t="str">
        <f>CONCATENATE(Sheet2!B2702,", ",Sheet2!C2702)</f>
        <v>AVIAIMPEX, KT-112 Yanhol</v>
      </c>
    </row>
    <row r="2703" spans="1:4" x14ac:dyDescent="0.2">
      <c r="A2703" t="str">
        <f>Sheet2!A2703</f>
        <v>YS11</v>
      </c>
      <c r="B2703" t="str">
        <f ca="1">'Query Example'!D2703</f>
        <v>LandPlane</v>
      </c>
      <c r="C2703" s="11" t="str">
        <f>CONCATENATE(Sheet2!F2703,"/",Sheet2!E2703)</f>
        <v>2/Turboprop/Turboshaft</v>
      </c>
      <c r="D2703" t="str">
        <f>CONCATENATE(Sheet2!B2703,", ",Sheet2!C2703)</f>
        <v>NAMC, YS-11</v>
      </c>
    </row>
    <row r="2704" spans="1:4" x14ac:dyDescent="0.2">
      <c r="A2704" t="str">
        <f>Sheet2!A2704</f>
        <v>YUKN</v>
      </c>
      <c r="B2704" t="str">
        <f ca="1">'Query Example'!D2704</f>
        <v>LandPlane</v>
      </c>
      <c r="C2704" s="11" t="str">
        <f>CONCATENATE(Sheet2!F2704,"/",Sheet2!E2704)</f>
        <v>1/Piston</v>
      </c>
      <c r="D2704" t="str">
        <f>CONCATENATE(Sheet2!B2704,", ",Sheet2!C2704)</f>
        <v>MURPHY, Yukon</v>
      </c>
    </row>
    <row r="2705" spans="1:4" x14ac:dyDescent="0.2">
      <c r="A2705" t="str">
        <f>Sheet2!A2705</f>
        <v>YUNO</v>
      </c>
      <c r="B2705" t="str">
        <f ca="1">'Query Example'!D2705</f>
        <v>LandPlane</v>
      </c>
      <c r="C2705" s="11" t="str">
        <f>CONCATENATE(Sheet2!F2705,"/",Sheet2!E2705)</f>
        <v>1/Piston</v>
      </c>
      <c r="D2705" t="str">
        <f>CONCATENATE(Sheet2!B2705,", ",Sheet2!C2705)</f>
        <v>SHUYA, Yunona</v>
      </c>
    </row>
    <row r="2706" spans="1:4" x14ac:dyDescent="0.2">
      <c r="A2706" t="str">
        <f>Sheet2!A2706</f>
        <v>YURO</v>
      </c>
      <c r="B2706" t="str">
        <f ca="1">'Query Example'!D2706</f>
        <v>LandPlane</v>
      </c>
      <c r="C2706" s="11" t="str">
        <f>CONCATENATE(Sheet2!F2706,"/",Sheet2!E2706)</f>
        <v>2/Jet</v>
      </c>
      <c r="D2706" t="str">
        <f>CONCATENATE(Sheet2!B2706,", ",Sheet2!C2706)</f>
        <v>SOKO-CNIAR, J-22 Orao</v>
      </c>
    </row>
    <row r="2707" spans="1:4" x14ac:dyDescent="0.2">
      <c r="A2707" t="str">
        <f>Sheet2!A2707</f>
        <v>Z22</v>
      </c>
      <c r="B2707" t="str">
        <f ca="1">'Query Example'!D2707</f>
        <v>LandPlane</v>
      </c>
      <c r="C2707" s="11" t="str">
        <f>CONCATENATE(Sheet2!F2707,"/",Sheet2!E2707)</f>
        <v>1/Piston</v>
      </c>
      <c r="D2707" t="str">
        <f>CONCATENATE(Sheet2!B2707,", ",Sheet2!C2707)</f>
        <v>ZLIN, Z-22 Junak</v>
      </c>
    </row>
    <row r="2708" spans="1:4" x14ac:dyDescent="0.2">
      <c r="A2708" t="str">
        <f>Sheet2!A2708</f>
        <v>Z26</v>
      </c>
      <c r="B2708" t="str">
        <f ca="1">'Query Example'!D2708</f>
        <v>LandPlane</v>
      </c>
      <c r="C2708" s="11" t="str">
        <f>CONCATENATE(Sheet2!F2708,"/",Sheet2!E2708)</f>
        <v>1/Piston</v>
      </c>
      <c r="D2708" t="str">
        <f>CONCATENATE(Sheet2!B2708,", ",Sheet2!C2708)</f>
        <v>ZLIN, Z-26 Trener</v>
      </c>
    </row>
    <row r="2709" spans="1:4" x14ac:dyDescent="0.2">
      <c r="A2709" t="str">
        <f>Sheet2!A2709</f>
        <v>Z37P</v>
      </c>
      <c r="B2709" t="str">
        <f ca="1">'Query Example'!D2709</f>
        <v>LandPlane</v>
      </c>
      <c r="C2709" s="11" t="str">
        <f>CONCATENATE(Sheet2!F2709,"/",Sheet2!E2709)</f>
        <v>1/Piston</v>
      </c>
      <c r="D2709" t="str">
        <f>CONCATENATE(Sheet2!B2709,", ",Sheet2!C2709)</f>
        <v>LET, Z-37 Cmelák</v>
      </c>
    </row>
    <row r="2710" spans="1:4" x14ac:dyDescent="0.2">
      <c r="A2710" t="str">
        <f>Sheet2!A2710</f>
        <v>Z37T</v>
      </c>
      <c r="B2710" t="str">
        <f ca="1">'Query Example'!D2710</f>
        <v>LandPlane</v>
      </c>
      <c r="C2710" s="11" t="str">
        <f>CONCATENATE(Sheet2!F2710,"/",Sheet2!E2710)</f>
        <v>1/Turboprop/Turboshaft</v>
      </c>
      <c r="D2710" t="str">
        <f>CONCATENATE(Sheet2!B2710,", ",Sheet2!C2710)</f>
        <v>MORAVAN, Z-37T Agro Turbo</v>
      </c>
    </row>
    <row r="2711" spans="1:4" x14ac:dyDescent="0.2">
      <c r="A2711" t="str">
        <f>Sheet2!A2711</f>
        <v>Z42</v>
      </c>
      <c r="B2711" t="str">
        <f ca="1">'Query Example'!D2711</f>
        <v>LandPlane</v>
      </c>
      <c r="C2711" s="11" t="str">
        <f>CONCATENATE(Sheet2!F2711,"/",Sheet2!E2711)</f>
        <v>1/Piston</v>
      </c>
      <c r="D2711" t="str">
        <f>CONCATENATE(Sheet2!B2711,", ",Sheet2!C2711)</f>
        <v>ZLIN, Z-42</v>
      </c>
    </row>
    <row r="2712" spans="1:4" x14ac:dyDescent="0.2">
      <c r="A2712" t="str">
        <f>Sheet2!A2712</f>
        <v>Z43</v>
      </c>
      <c r="B2712" t="str">
        <f ca="1">'Query Example'!D2712</f>
        <v>LandPlane</v>
      </c>
      <c r="C2712" s="11" t="str">
        <f>CONCATENATE(Sheet2!F2712,"/",Sheet2!E2712)</f>
        <v>1/Piston</v>
      </c>
      <c r="D2712" t="str">
        <f>CONCATENATE(Sheet2!B2712,", ",Sheet2!C2712)</f>
        <v>ZLIN, Z-43</v>
      </c>
    </row>
    <row r="2713" spans="1:4" x14ac:dyDescent="0.2">
      <c r="A2713" t="str">
        <f>Sheet2!A2713</f>
        <v>Z43</v>
      </c>
      <c r="B2713" t="str">
        <f ca="1">'Query Example'!D2713</f>
        <v>LandPlane</v>
      </c>
      <c r="C2713" s="11" t="str">
        <f>CONCATENATE(Sheet2!F2713,"/",Sheet2!E2713)</f>
        <v>1/Piston</v>
      </c>
      <c r="D2713" t="str">
        <f>CONCATENATE(Sheet2!B2713,", ",Sheet2!C2713)</f>
        <v>ZLIN, Z-143</v>
      </c>
    </row>
    <row r="2714" spans="1:4" x14ac:dyDescent="0.2">
      <c r="A2714" t="str">
        <f>Sheet2!A2714</f>
        <v>Z50</v>
      </c>
      <c r="B2714" t="str">
        <f ca="1">'Query Example'!D2714</f>
        <v>LandPlane</v>
      </c>
      <c r="C2714" s="11" t="str">
        <f>CONCATENATE(Sheet2!F2714,"/",Sheet2!E2714)</f>
        <v>1/Piston</v>
      </c>
      <c r="D2714" t="str">
        <f>CONCATENATE(Sheet2!B2714,", ",Sheet2!C2714)</f>
        <v>ZLIN, Z-50</v>
      </c>
    </row>
    <row r="2715" spans="1:4" x14ac:dyDescent="0.2">
      <c r="A2715" t="str">
        <f>Sheet2!A2715</f>
        <v>ZA6</v>
      </c>
      <c r="B2715" t="str">
        <f ca="1">'Query Example'!D2715</f>
        <v>Helicopter</v>
      </c>
      <c r="C2715" s="11" t="str">
        <f>CONCATENATE(Sheet2!F2715,"/",Sheet2!E2715)</f>
        <v>1/Piston</v>
      </c>
      <c r="D2715" t="str">
        <f>CONCATENATE(Sheet2!B2715,", ",Sheet2!C2715)</f>
        <v>AEROKOPTER, ZA-6 Sanka</v>
      </c>
    </row>
    <row r="2716" spans="1:4" x14ac:dyDescent="0.2">
      <c r="A2716" t="str">
        <f>Sheet2!A2716</f>
        <v>ZEP2</v>
      </c>
      <c r="B2716" t="str">
        <f ca="1">'Query Example'!D2716</f>
        <v>LandPlane</v>
      </c>
      <c r="C2716" s="11" t="str">
        <f>CONCATENATE(Sheet2!F2716,"/",Sheet2!E2716)</f>
        <v>1/Piston</v>
      </c>
      <c r="D2716" t="str">
        <f>CONCATENATE(Sheet2!B2716,", ",Sheet2!C2716)</f>
        <v>ARNET PEREYRA, Zephyr 2</v>
      </c>
    </row>
    <row r="2717" spans="1:4" x14ac:dyDescent="0.2">
      <c r="A2717" t="str">
        <f>Sheet2!A2717</f>
        <v>ZEPH</v>
      </c>
      <c r="B2717" t="str">
        <f ca="1">'Query Example'!D2717</f>
        <v>LandPlane</v>
      </c>
      <c r="C2717" s="11" t="str">
        <f>CONCATENATE(Sheet2!F2717,"/",Sheet2!E2717)</f>
        <v>1/Piston</v>
      </c>
      <c r="D2717" t="str">
        <f>CONCATENATE(Sheet2!B2717,", ",Sheet2!C2717)</f>
        <v>ATEC, 122 Zephyr</v>
      </c>
    </row>
    <row r="2718" spans="1:4" x14ac:dyDescent="0.2">
      <c r="A2718" t="str">
        <f>Sheet2!A2718</f>
        <v>ZERO</v>
      </c>
      <c r="B2718" t="str">
        <f ca="1">'Query Example'!D2718</f>
        <v>LandPlane</v>
      </c>
      <c r="C2718" s="11" t="str">
        <f>CONCATENATE(Sheet2!F2718,"/",Sheet2!E2718)</f>
        <v>1/Piston</v>
      </c>
      <c r="D2718" t="str">
        <f>CONCATENATE(Sheet2!B2718,", ",Sheet2!C2718)</f>
        <v>MITSUBISHI, A6M Zero</v>
      </c>
    </row>
    <row r="2719" spans="1:4" x14ac:dyDescent="0.2">
      <c r="A2719" t="str">
        <f>Sheet2!A2719</f>
        <v>ZIA</v>
      </c>
      <c r="B2719" t="str">
        <f ca="1">'Query Example'!D2719</f>
        <v>LandPlane</v>
      </c>
      <c r="C2719" s="11" t="str">
        <f>CONCATENATE(Sheet2!F2719,"/",Sheet2!E2719)</f>
        <v>1/Piston</v>
      </c>
      <c r="D2719" t="str">
        <f>CONCATENATE(Sheet2!B2719,", ",Sheet2!C2719)</f>
        <v>APPLEBAY, Zia</v>
      </c>
    </row>
    <row r="2720" spans="1:4" x14ac:dyDescent="0.2">
      <c r="A2720" t="str">
        <f>Sheet2!A2720</f>
        <v>ZIU</v>
      </c>
      <c r="B2720" t="str">
        <f ca="1">'Query Example'!D2720</f>
        <v>LandPlane</v>
      </c>
      <c r="C2720" s="11" t="str">
        <f>CONCATENATE(Sheet2!F2720,"/",Sheet2!E2720)</f>
        <v>1/Piston</v>
      </c>
      <c r="D2720" t="str">
        <f>CONCATENATE(Sheet2!B2720,", ",Sheet2!C2720)</f>
        <v>TAI, ZIU</v>
      </c>
    </row>
    <row r="2721" spans="1:4" x14ac:dyDescent="0.2">
      <c r="A2721" t="str">
        <f>Sheet2!A2721</f>
        <v>ZULU</v>
      </c>
      <c r="B2721" t="str">
        <f ca="1">'Query Example'!D2721</f>
        <v>LandPlane</v>
      </c>
      <c r="C2721" s="11" t="str">
        <f>CONCATENATE(Sheet2!F2721,"/",Sheet2!E2721)</f>
        <v>1/Piston</v>
      </c>
      <c r="D2721" t="str">
        <f>CONCATENATE(Sheet2!B2721,", ",Sheet2!C2721)</f>
        <v>BUL, Zùlù</v>
      </c>
    </row>
    <row r="2722" spans="1:4" x14ac:dyDescent="0.2">
      <c r="A2722" t="str">
        <f>Sheet2!A2722</f>
        <v>BALL</v>
      </c>
      <c r="B2722" t="str">
        <f ca="1">'Query Example'!D2722</f>
        <v>​Description</v>
      </c>
      <c r="C2722" s="11" t="str">
        <f>CONCATENATE(Sheet2!F2722,"/",Sheet2!E2722)</f>
        <v>/</v>
      </c>
      <c r="D2722" t="str">
        <f>CONCATENATE(Sheet2!B2722,", ",Sheet2!C2722)</f>
        <v>(any manufacturer), Balloon</v>
      </c>
    </row>
    <row r="2723" spans="1:4" x14ac:dyDescent="0.2">
      <c r="A2723" t="str">
        <f>Sheet2!A2723</f>
        <v>DRON</v>
      </c>
      <c r="B2723">
        <f>'Query Example'!D2723</f>
        <v>0</v>
      </c>
      <c r="C2723" s="11" t="str">
        <f>CONCATENATE(Sheet2!F2723,"/",Sheet2!E2723)</f>
        <v>/</v>
      </c>
      <c r="D2723" t="str">
        <f>CONCATENATE(Sheet2!B2723,", ",Sheet2!C2723)</f>
        <v>(any manufacturer), Drone</v>
      </c>
    </row>
    <row r="2724" spans="1:4" x14ac:dyDescent="0.2">
      <c r="A2724" t="str">
        <f>Sheet2!A2724</f>
        <v>GLID</v>
      </c>
      <c r="B2724">
        <f>'Query Example'!D2724</f>
        <v>0</v>
      </c>
      <c r="C2724" s="11" t="str">
        <f>CONCATENATE(Sheet2!F2724,"/",Sheet2!E2724)</f>
        <v>/</v>
      </c>
      <c r="D2724" t="str">
        <f>CONCATENATE(Sheet2!B2724,", ",Sheet2!C2724)</f>
        <v>(any manufacturer), Glider</v>
      </c>
    </row>
    <row r="2725" spans="1:4" x14ac:dyDescent="0.2">
      <c r="A2725" t="str">
        <f>Sheet2!A2725</f>
        <v>GYRO</v>
      </c>
      <c r="B2725">
        <f>'Query Example'!D2725</f>
        <v>0</v>
      </c>
      <c r="C2725" s="11" t="str">
        <f>CONCATENATE(Sheet2!F2725,"/",Sheet2!E2725)</f>
        <v>/</v>
      </c>
      <c r="D2725" t="str">
        <f>CONCATENATE(Sheet2!B2725,", ",Sheet2!C2725)</f>
        <v>(any manufacturer), Gyrocopter</v>
      </c>
    </row>
    <row r="2726" spans="1:4" x14ac:dyDescent="0.2">
      <c r="A2726" t="str">
        <f>Sheet2!A2726</f>
        <v>PARA</v>
      </c>
      <c r="B2726">
        <f>'Query Example'!D2726</f>
        <v>0</v>
      </c>
      <c r="C2726" s="11" t="str">
        <f>CONCATENATE(Sheet2!F2726,"/",Sheet2!E2726)</f>
        <v>/</v>
      </c>
      <c r="D2726" t="str">
        <f>CONCATENATE(Sheet2!B2726,", ",Sheet2!C2726)</f>
        <v>(any manufacturer), Paraglider</v>
      </c>
    </row>
    <row r="2727" spans="1:4" x14ac:dyDescent="0.2">
      <c r="A2727" t="str">
        <f>Sheet2!A2727</f>
        <v>SHIP</v>
      </c>
      <c r="B2727">
        <f>'Query Example'!D2727</f>
        <v>0</v>
      </c>
      <c r="C2727" s="11" t="str">
        <f>CONCATENATE(Sheet2!F2727,"/",Sheet2!E2727)</f>
        <v>/</v>
      </c>
      <c r="D2727" t="str">
        <f>CONCATENATE(Sheet2!B2727,", ",Sheet2!C2727)</f>
        <v>(any manufacturer), Airship</v>
      </c>
    </row>
    <row r="2728" spans="1:4" x14ac:dyDescent="0.2">
      <c r="A2728" t="str">
        <f>Sheet2!A2728</f>
        <v>UAV</v>
      </c>
      <c r="B2728">
        <f>'Query Example'!D2728</f>
        <v>0</v>
      </c>
      <c r="C2728" s="11" t="str">
        <f>CONCATENATE(Sheet2!F2728,"/",Sheet2!E2728)</f>
        <v>/</v>
      </c>
      <c r="D2728" t="str">
        <f>CONCATENATE(Sheet2!B2728,", ",Sheet2!C2728)</f>
        <v>(any manufacturer), Un-manned aerial vehicle</v>
      </c>
    </row>
    <row r="2729" spans="1:4" x14ac:dyDescent="0.2">
      <c r="A2729" t="str">
        <f>Sheet2!A2729</f>
        <v>UHEL</v>
      </c>
      <c r="B2729">
        <f>'Query Example'!D2729</f>
        <v>0</v>
      </c>
      <c r="C2729" s="11" t="str">
        <f>CONCATENATE(Sheet2!F2729,"/",Sheet2!E2729)</f>
        <v>/</v>
      </c>
      <c r="D2729" t="str">
        <f>CONCATENATE(Sheet2!B2729,", ",Sheet2!C2729)</f>
        <v>(any manufacturer), Ultralight helicopter</v>
      </c>
    </row>
    <row r="2730" spans="1:4" x14ac:dyDescent="0.2">
      <c r="A2730" t="str">
        <f>Sheet2!A2730</f>
        <v>ULAC</v>
      </c>
      <c r="B2730">
        <f>'Query Example'!D2730</f>
        <v>0</v>
      </c>
      <c r="C2730" s="11" t="str">
        <f>CONCATENATE(Sheet2!F2730,"/",Sheet2!E2730)</f>
        <v>/</v>
      </c>
      <c r="D2730" t="str">
        <f>CONCATENATE(Sheet2!B2730,", ",Sheet2!C2730)</f>
        <v>(any manufacturer), Ultralight aircraft</v>
      </c>
    </row>
    <row r="2731" spans="1:4" x14ac:dyDescent="0.2">
      <c r="A2731" t="str">
        <f>Sheet2!A2731</f>
        <v>ZZZZ</v>
      </c>
      <c r="B2731">
        <f>'Query Example'!D2731</f>
        <v>0</v>
      </c>
      <c r="C2731" s="11" t="str">
        <f>CONCATENATE(Sheet2!F2731,"/",Sheet2!E2731)</f>
        <v>/</v>
      </c>
      <c r="D2731" t="str">
        <f>CONCATENATE(Sheet2!B2731,", ",Sheet2!C2731)</f>
        <v>(any manufacturer), Aircraft type not (yet) assigned a designator</v>
      </c>
    </row>
    <row r="2732" spans="1:4" x14ac:dyDescent="0.2">
      <c r="A2732">
        <f>Sheet2!A2732</f>
        <v>0</v>
      </c>
      <c r="B2732">
        <f>'Query Example'!D2732</f>
        <v>0</v>
      </c>
      <c r="C2732" s="11" t="str">
        <f>CONCATENATE(Sheet2!F2732,"/",Sheet2!E2732)</f>
        <v>/</v>
      </c>
      <c r="D2732" t="str">
        <f>CONCATENATE(Sheet2!B2732,", ",Sheet2!C2732)</f>
        <v xml:space="preserve">, </v>
      </c>
    </row>
    <row r="2733" spans="1:4" x14ac:dyDescent="0.2">
      <c r="A2733">
        <f>Sheet2!A2733</f>
        <v>0</v>
      </c>
      <c r="B2733">
        <f>'Query Example'!D2733</f>
        <v>0</v>
      </c>
      <c r="C2733" s="11" t="str">
        <f>CONCATENATE(Sheet2!F2733,"/",Sheet2!E2733)</f>
        <v>/</v>
      </c>
      <c r="D2733" t="str">
        <f>CONCATENATE(Sheet2!B2733,", ",Sheet2!C2733)</f>
        <v xml:space="preserve">, </v>
      </c>
    </row>
    <row r="2734" spans="1:4" x14ac:dyDescent="0.2">
      <c r="A2734">
        <f>Sheet2!A2734</f>
        <v>0</v>
      </c>
      <c r="B2734">
        <f>'Query Example'!D2734</f>
        <v>0</v>
      </c>
      <c r="C2734" s="11" t="str">
        <f>CONCATENATE(Sheet2!F2734,"/",Sheet2!E2734)</f>
        <v>/</v>
      </c>
      <c r="D2734" t="str">
        <f>CONCATENATE(Sheet2!B2734,", ",Sheet2!C2734)</f>
        <v xml:space="preserve">, </v>
      </c>
    </row>
    <row r="2735" spans="1:4" x14ac:dyDescent="0.2">
      <c r="A2735">
        <f>Sheet2!A2735</f>
        <v>0</v>
      </c>
      <c r="B2735">
        <f>'Query Example'!D2735</f>
        <v>0</v>
      </c>
      <c r="C2735" s="11" t="str">
        <f>CONCATENATE(Sheet2!F2735,"/",Sheet2!E2735)</f>
        <v>/</v>
      </c>
      <c r="D2735" t="str">
        <f>CONCATENATE(Sheet2!B2735,", ",Sheet2!C2735)</f>
        <v xml:space="preserve">, </v>
      </c>
    </row>
    <row r="2736" spans="1:4" x14ac:dyDescent="0.2">
      <c r="A2736">
        <f>Sheet2!A2736</f>
        <v>0</v>
      </c>
      <c r="B2736">
        <f>'Query Example'!D2736</f>
        <v>0</v>
      </c>
      <c r="C2736" s="11" t="str">
        <f>CONCATENATE(Sheet2!F2736,"/",Sheet2!E2736)</f>
        <v>/</v>
      </c>
      <c r="D2736" t="str">
        <f>CONCATENATE(Sheet2!B2736,", ",Sheet2!C2736)</f>
        <v xml:space="preserve">, </v>
      </c>
    </row>
    <row r="2737" spans="1:4" x14ac:dyDescent="0.2">
      <c r="A2737">
        <f>Sheet2!A2738</f>
        <v>0</v>
      </c>
      <c r="B2737">
        <f>'Query Example'!D2737</f>
        <v>0</v>
      </c>
      <c r="C2737" s="11" t="str">
        <f>CONCATENATE(Sheet2!F2738,"/",Sheet2!E2738)</f>
        <v>/</v>
      </c>
      <c r="D2737" t="str">
        <f>CONCATENATE(Sheet2!B2738,", ",Sheet2!C2738)</f>
        <v xml:space="preserve">, </v>
      </c>
    </row>
    <row r="2738" spans="1:4" x14ac:dyDescent="0.2">
      <c r="A2738">
        <f>Sheet2!A2739</f>
        <v>0</v>
      </c>
      <c r="B2738">
        <f>'Query Example'!D2738</f>
        <v>0</v>
      </c>
      <c r="C2738" s="11" t="str">
        <f>CONCATENATE(Sheet2!F2739,"/",Sheet2!E2739)</f>
        <v>/</v>
      </c>
      <c r="D2738" t="str">
        <f>CONCATENATE(Sheet2!B2739,", ",Sheet2!C2739)</f>
        <v xml:space="preserve">, </v>
      </c>
    </row>
    <row r="2739" spans="1:4" x14ac:dyDescent="0.2">
      <c r="A2739">
        <f>Sheet2!A2740</f>
        <v>0</v>
      </c>
      <c r="B2739">
        <f>'Query Example'!D2739</f>
        <v>0</v>
      </c>
      <c r="C2739" s="11" t="str">
        <f>CONCATENATE(Sheet2!F2740,"/",Sheet2!E2740)</f>
        <v>/</v>
      </c>
      <c r="D2739" t="str">
        <f>CONCATENATE(Sheet2!B2740,", ",Sheet2!C2740)</f>
        <v xml:space="preserve">, </v>
      </c>
    </row>
    <row r="2740" spans="1:4" x14ac:dyDescent="0.2">
      <c r="A2740">
        <f>Sheet2!A2741</f>
        <v>0</v>
      </c>
      <c r="B2740">
        <f>'Query Example'!D2740</f>
        <v>0</v>
      </c>
      <c r="C2740" s="11" t="str">
        <f>CONCATENATE(Sheet2!F2741,"/",Sheet2!E2741)</f>
        <v>/</v>
      </c>
      <c r="D2740" t="str">
        <f>CONCATENATE(Sheet2!B2741,", ",Sheet2!C2741)</f>
        <v xml:space="preserve">, </v>
      </c>
    </row>
    <row r="2741" spans="1:4" x14ac:dyDescent="0.2">
      <c r="A2741">
        <f>Sheet2!A2742</f>
        <v>0</v>
      </c>
      <c r="B2741">
        <f>'Query Example'!D2741</f>
        <v>0</v>
      </c>
      <c r="C2741" s="11" t="str">
        <f>CONCATENATE(Sheet2!F2742,"/",Sheet2!E2742)</f>
        <v>/</v>
      </c>
      <c r="D2741" t="str">
        <f>CONCATENATE(Sheet2!B2742,", ",Sheet2!C2742)</f>
        <v xml:space="preserve">, </v>
      </c>
    </row>
    <row r="2742" spans="1:4" x14ac:dyDescent="0.2">
      <c r="A2742">
        <f>Sheet2!A2743</f>
        <v>0</v>
      </c>
      <c r="B2742">
        <f>'Query Example'!D2742</f>
        <v>0</v>
      </c>
      <c r="C2742" s="11" t="str">
        <f>CONCATENATE(Sheet2!F2743,"/",Sheet2!E2743)</f>
        <v>/</v>
      </c>
      <c r="D2742" t="str">
        <f>CONCATENATE(Sheet2!B2743,", ",Sheet2!C2743)</f>
        <v xml:space="preserve">, </v>
      </c>
    </row>
    <row r="2743" spans="1:4" x14ac:dyDescent="0.2">
      <c r="A2743">
        <f>Sheet2!A2744</f>
        <v>0</v>
      </c>
      <c r="B2743">
        <f>'Query Example'!D2743</f>
        <v>0</v>
      </c>
      <c r="C2743" s="11" t="str">
        <f>CONCATENATE(Sheet2!F2744,"/",Sheet2!E2744)</f>
        <v>/</v>
      </c>
      <c r="D2743" t="str">
        <f>CONCATENATE(Sheet2!B2744,", ",Sheet2!C2744)</f>
        <v xml:space="preserve">, </v>
      </c>
    </row>
    <row r="2744" spans="1:4" x14ac:dyDescent="0.2">
      <c r="A2744">
        <f>Sheet2!A2745</f>
        <v>0</v>
      </c>
      <c r="B2744">
        <f>'Query Example'!D2744</f>
        <v>0</v>
      </c>
      <c r="C2744" s="11" t="str">
        <f>CONCATENATE(Sheet2!F2745,"/",Sheet2!E2745)</f>
        <v>/</v>
      </c>
      <c r="D2744" t="str">
        <f>CONCATENATE(Sheet2!B2745,", ",Sheet2!C2745)</f>
        <v xml:space="preserve">, </v>
      </c>
    </row>
    <row r="2745" spans="1:4" x14ac:dyDescent="0.2">
      <c r="A2745">
        <f>Sheet2!A2746</f>
        <v>0</v>
      </c>
      <c r="B2745">
        <f>'Query Example'!D2745</f>
        <v>0</v>
      </c>
      <c r="C2745" s="11" t="str">
        <f>CONCATENATE(Sheet2!F2746,"/",Sheet2!E2746)</f>
        <v>/</v>
      </c>
      <c r="D2745" t="str">
        <f>CONCATENATE(Sheet2!B2746,", ",Sheet2!C2746)</f>
        <v xml:space="preserve">, </v>
      </c>
    </row>
    <row r="2746" spans="1:4" x14ac:dyDescent="0.2">
      <c r="A2746">
        <f>Sheet2!A2747</f>
        <v>0</v>
      </c>
      <c r="B2746">
        <f>'Query Example'!D2746</f>
        <v>0</v>
      </c>
      <c r="C2746" s="11" t="str">
        <f>CONCATENATE(Sheet2!F2747,"/",Sheet2!E2747)</f>
        <v>/</v>
      </c>
      <c r="D2746" t="str">
        <f>CONCATENATE(Sheet2!B2747,", ",Sheet2!C2747)</f>
        <v xml:space="preserve">, </v>
      </c>
    </row>
    <row r="2747" spans="1:4" x14ac:dyDescent="0.2">
      <c r="A2747">
        <f>Sheet2!A2748</f>
        <v>0</v>
      </c>
      <c r="B2747">
        <f>'Query Example'!D2747</f>
        <v>0</v>
      </c>
      <c r="C2747" s="11" t="str">
        <f>CONCATENATE(Sheet2!F2748,"/",Sheet2!E2748)</f>
        <v>/</v>
      </c>
      <c r="D2747" t="str">
        <f>CONCATENATE(Sheet2!B2748,", ",Sheet2!C2748)</f>
        <v xml:space="preserve">, </v>
      </c>
    </row>
    <row r="2748" spans="1:4" x14ac:dyDescent="0.2">
      <c r="A2748">
        <f>Sheet2!A2749</f>
        <v>0</v>
      </c>
      <c r="B2748">
        <f>'Query Example'!D2748</f>
        <v>0</v>
      </c>
      <c r="C2748" s="11" t="str">
        <f>CONCATENATE(Sheet2!F2749,"/",Sheet2!E2749)</f>
        <v>/</v>
      </c>
      <c r="D2748" t="str">
        <f>CONCATENATE(Sheet2!B2749,", ",Sheet2!C2749)</f>
        <v xml:space="preserve">, </v>
      </c>
    </row>
    <row r="2749" spans="1:4" x14ac:dyDescent="0.2">
      <c r="A2749">
        <f>Sheet2!A2750</f>
        <v>0</v>
      </c>
      <c r="B2749">
        <f>'Query Example'!D2749</f>
        <v>0</v>
      </c>
      <c r="C2749" s="11" t="str">
        <f>CONCATENATE(Sheet2!F2750,"/",Sheet2!E2750)</f>
        <v>/</v>
      </c>
      <c r="D2749" t="str">
        <f>CONCATENATE(Sheet2!B2750,", ",Sheet2!C2750)</f>
        <v xml:space="preserve">, </v>
      </c>
    </row>
    <row r="2750" spans="1:4" x14ac:dyDescent="0.2">
      <c r="A2750">
        <f>Sheet2!A2751</f>
        <v>0</v>
      </c>
      <c r="B2750">
        <f>'Query Example'!D2750</f>
        <v>0</v>
      </c>
      <c r="C2750" s="11" t="str">
        <f>CONCATENATE(Sheet2!F2751,"/",Sheet2!E2751)</f>
        <v>/</v>
      </c>
      <c r="D2750" t="str">
        <f>CONCATENATE(Sheet2!B2751,", ",Sheet2!C2751)</f>
        <v xml:space="preserve">, </v>
      </c>
    </row>
    <row r="2751" spans="1:4" x14ac:dyDescent="0.2">
      <c r="A2751">
        <f>Sheet2!A2752</f>
        <v>0</v>
      </c>
      <c r="B2751">
        <f>'Query Example'!D2751</f>
        <v>0</v>
      </c>
      <c r="C2751" s="11" t="str">
        <f>CONCATENATE(Sheet2!F2752,"/",Sheet2!E2752)</f>
        <v>/</v>
      </c>
      <c r="D2751" t="str">
        <f>CONCATENATE(Sheet2!B2752,", ",Sheet2!C2752)</f>
        <v xml:space="preserve">, </v>
      </c>
    </row>
    <row r="2752" spans="1:4" x14ac:dyDescent="0.2">
      <c r="A2752">
        <f>Sheet2!A2753</f>
        <v>0</v>
      </c>
      <c r="B2752">
        <f>'Query Example'!D2752</f>
        <v>0</v>
      </c>
      <c r="C2752" s="11" t="str">
        <f>CONCATENATE(Sheet2!F2753,"/",Sheet2!E2753)</f>
        <v>/</v>
      </c>
      <c r="D2752" t="str">
        <f>CONCATENATE(Sheet2!B2753,", ",Sheet2!C2753)</f>
        <v xml:space="preserve">, </v>
      </c>
    </row>
    <row r="2753" spans="1:4" x14ac:dyDescent="0.2">
      <c r="A2753">
        <f>Sheet2!A2754</f>
        <v>0</v>
      </c>
      <c r="B2753">
        <f>'Query Example'!D2753</f>
        <v>0</v>
      </c>
      <c r="C2753" s="11" t="str">
        <f>CONCATENATE(Sheet2!F2754,"/",Sheet2!E2754)</f>
        <v>/</v>
      </c>
      <c r="D2753" t="str">
        <f>CONCATENATE(Sheet2!B2754,", ",Sheet2!C2754)</f>
        <v xml:space="preserve">, </v>
      </c>
    </row>
    <row r="2754" spans="1:4" x14ac:dyDescent="0.2">
      <c r="A2754">
        <f>Sheet2!A2755</f>
        <v>0</v>
      </c>
      <c r="B2754">
        <f>'Query Example'!D2754</f>
        <v>0</v>
      </c>
      <c r="C2754" s="11" t="str">
        <f>CONCATENATE(Sheet2!F2755,"/",Sheet2!E2755)</f>
        <v>/</v>
      </c>
      <c r="D2754" t="str">
        <f>CONCATENATE(Sheet2!B2755,", ",Sheet2!C2755)</f>
        <v xml:space="preserve">, </v>
      </c>
    </row>
    <row r="2755" spans="1:4" x14ac:dyDescent="0.2">
      <c r="A2755">
        <f>Sheet2!A2756</f>
        <v>0</v>
      </c>
      <c r="B2755">
        <f>'Query Example'!D2755</f>
        <v>0</v>
      </c>
      <c r="C2755" s="11" t="str">
        <f>CONCATENATE(Sheet2!F2756,"/",Sheet2!E2756)</f>
        <v>/</v>
      </c>
      <c r="D2755" t="str">
        <f>CONCATENATE(Sheet2!B2756,", ",Sheet2!C2756)</f>
        <v xml:space="preserve">, </v>
      </c>
    </row>
    <row r="2756" spans="1:4" x14ac:dyDescent="0.2">
      <c r="A2756">
        <f>Sheet2!A2757</f>
        <v>0</v>
      </c>
      <c r="B2756">
        <f>'Query Example'!D2756</f>
        <v>0</v>
      </c>
      <c r="C2756" s="11" t="str">
        <f>CONCATENATE(Sheet2!F2757,"/",Sheet2!E2757)</f>
        <v>/</v>
      </c>
      <c r="D2756" t="str">
        <f>CONCATENATE(Sheet2!B2757,", ",Sheet2!C2757)</f>
        <v xml:space="preserve">, </v>
      </c>
    </row>
    <row r="2757" spans="1:4" x14ac:dyDescent="0.2">
      <c r="A2757">
        <f>Sheet2!A2758</f>
        <v>0</v>
      </c>
      <c r="B2757">
        <f>'Query Example'!D2757</f>
        <v>0</v>
      </c>
      <c r="C2757" s="11" t="str">
        <f>CONCATENATE(Sheet2!F2758,"/",Sheet2!E2758)</f>
        <v>/</v>
      </c>
      <c r="D2757" t="str">
        <f>CONCATENATE(Sheet2!B2758,", ",Sheet2!C2758)</f>
        <v xml:space="preserve">, </v>
      </c>
    </row>
    <row r="2758" spans="1:4" x14ac:dyDescent="0.2">
      <c r="A2758">
        <f>Sheet2!A2759</f>
        <v>0</v>
      </c>
      <c r="B2758">
        <f>'Query Example'!D2758</f>
        <v>0</v>
      </c>
      <c r="C2758" s="11" t="str">
        <f>CONCATENATE(Sheet2!F2759,"/",Sheet2!E2759)</f>
        <v>/</v>
      </c>
      <c r="D2758" t="str">
        <f>CONCATENATE(Sheet2!B2759,", ",Sheet2!C2759)</f>
        <v xml:space="preserve">, </v>
      </c>
    </row>
    <row r="2759" spans="1:4" x14ac:dyDescent="0.2">
      <c r="A2759">
        <f>Sheet2!A2760</f>
        <v>0</v>
      </c>
      <c r="B2759">
        <f>'Query Example'!D2759</f>
        <v>0</v>
      </c>
      <c r="C2759" s="11" t="str">
        <f>CONCATENATE(Sheet2!F2760,"/",Sheet2!E2760)</f>
        <v>/</v>
      </c>
      <c r="D2759" t="str">
        <f>CONCATENATE(Sheet2!B2760,", ",Sheet2!C2760)</f>
        <v xml:space="preserve">, </v>
      </c>
    </row>
    <row r="2760" spans="1:4" x14ac:dyDescent="0.2">
      <c r="A2760">
        <f>Sheet2!A2761</f>
        <v>0</v>
      </c>
      <c r="B2760">
        <f>'Query Example'!D2760</f>
        <v>0</v>
      </c>
      <c r="C2760" s="11" t="str">
        <f>CONCATENATE(Sheet2!F2761,"/",Sheet2!E2761)</f>
        <v>/</v>
      </c>
      <c r="D2760" t="str">
        <f>CONCATENATE(Sheet2!B2761,", ",Sheet2!C2761)</f>
        <v xml:space="preserve">, </v>
      </c>
    </row>
    <row r="2761" spans="1:4" x14ac:dyDescent="0.2">
      <c r="A2761">
        <f>Sheet2!A2762</f>
        <v>0</v>
      </c>
      <c r="B2761">
        <f>'Query Example'!D2761</f>
        <v>0</v>
      </c>
      <c r="C2761" s="11" t="str">
        <f>CONCATENATE(Sheet2!F2762,"/",Sheet2!E2762)</f>
        <v>/</v>
      </c>
      <c r="D2761" t="str">
        <f>CONCATENATE(Sheet2!B2762,", ",Sheet2!C2762)</f>
        <v xml:space="preserve">, </v>
      </c>
    </row>
    <row r="2762" spans="1:4" x14ac:dyDescent="0.2">
      <c r="A2762">
        <f>Sheet2!A2763</f>
        <v>0</v>
      </c>
      <c r="B2762">
        <f>'Query Example'!D2762</f>
        <v>0</v>
      </c>
      <c r="C2762" s="11" t="str">
        <f>CONCATENATE(Sheet2!F2763,"/",Sheet2!E2763)</f>
        <v>/</v>
      </c>
      <c r="D2762" t="str">
        <f>CONCATENATE(Sheet2!B2763,", ",Sheet2!C2763)</f>
        <v xml:space="preserve">, </v>
      </c>
    </row>
    <row r="2763" spans="1:4" x14ac:dyDescent="0.2">
      <c r="A2763">
        <f>Sheet2!A2764</f>
        <v>0</v>
      </c>
      <c r="B2763">
        <f>'Query Example'!D2763</f>
        <v>0</v>
      </c>
      <c r="C2763" s="11" t="str">
        <f>CONCATENATE(Sheet2!F2764,"/",Sheet2!E2764)</f>
        <v>/</v>
      </c>
      <c r="D2763" t="str">
        <f>CONCATENATE(Sheet2!B2764,", ",Sheet2!C2764)</f>
        <v xml:space="preserve">, </v>
      </c>
    </row>
    <row r="2764" spans="1:4" x14ac:dyDescent="0.2">
      <c r="A2764">
        <f>Sheet2!A2765</f>
        <v>0</v>
      </c>
      <c r="B2764">
        <f>'Query Example'!D2764</f>
        <v>0</v>
      </c>
      <c r="C2764" s="11" t="str">
        <f>CONCATENATE(Sheet2!F2765,"/",Sheet2!E2765)</f>
        <v>/</v>
      </c>
      <c r="D2764" t="str">
        <f>CONCATENATE(Sheet2!B2765,", ",Sheet2!C2765)</f>
        <v xml:space="preserve">, </v>
      </c>
    </row>
    <row r="2765" spans="1:4" x14ac:dyDescent="0.2">
      <c r="A2765">
        <f>Sheet2!A2766</f>
        <v>0</v>
      </c>
      <c r="B2765">
        <f>'Query Example'!D2765</f>
        <v>0</v>
      </c>
      <c r="C2765" s="11" t="str">
        <f>CONCATENATE(Sheet2!F2766,"/",Sheet2!E2766)</f>
        <v>/</v>
      </c>
      <c r="D2765" t="str">
        <f>CONCATENATE(Sheet2!B2766,", ",Sheet2!C2766)</f>
        <v xml:space="preserve">, </v>
      </c>
    </row>
    <row r="2766" spans="1:4" x14ac:dyDescent="0.2">
      <c r="A2766">
        <f>Sheet2!A2767</f>
        <v>0</v>
      </c>
      <c r="B2766">
        <f>'Query Example'!D2766</f>
        <v>0</v>
      </c>
      <c r="C2766" s="11" t="str">
        <f>CONCATENATE(Sheet2!F2767,"/",Sheet2!E2767)</f>
        <v>/</v>
      </c>
      <c r="D2766" t="str">
        <f>CONCATENATE(Sheet2!B2767,", ",Sheet2!C2767)</f>
        <v xml:space="preserve">, </v>
      </c>
    </row>
    <row r="2767" spans="1:4" x14ac:dyDescent="0.2">
      <c r="A2767">
        <f>Sheet2!A2768</f>
        <v>0</v>
      </c>
      <c r="B2767">
        <f>'Query Example'!D2767</f>
        <v>0</v>
      </c>
      <c r="C2767" s="11" t="str">
        <f>CONCATENATE(Sheet2!F2768,"/",Sheet2!E2768)</f>
        <v>/</v>
      </c>
      <c r="D2767" t="str">
        <f>CONCATENATE(Sheet2!B2768,", ",Sheet2!C2768)</f>
        <v xml:space="preserve">, </v>
      </c>
    </row>
    <row r="2768" spans="1:4" x14ac:dyDescent="0.2">
      <c r="A2768">
        <f>Sheet2!A2769</f>
        <v>0</v>
      </c>
      <c r="B2768">
        <f>'Query Example'!D2768</f>
        <v>0</v>
      </c>
      <c r="C2768" s="11" t="str">
        <f>CONCATENATE(Sheet2!F2769,"/",Sheet2!E2769)</f>
        <v>/</v>
      </c>
      <c r="D2768" t="str">
        <f>CONCATENATE(Sheet2!B2769,", ",Sheet2!C2769)</f>
        <v xml:space="preserve">, </v>
      </c>
    </row>
    <row r="2769" spans="1:4" x14ac:dyDescent="0.2">
      <c r="A2769">
        <f>Sheet2!A2770</f>
        <v>0</v>
      </c>
      <c r="B2769">
        <f>'Query Example'!D2769</f>
        <v>0</v>
      </c>
      <c r="C2769" s="11" t="str">
        <f>CONCATENATE(Sheet2!F2770,"/",Sheet2!E2770)</f>
        <v>/</v>
      </c>
      <c r="D2769" t="str">
        <f>CONCATENATE(Sheet2!B2770,", ",Sheet2!C2770)</f>
        <v xml:space="preserve">, </v>
      </c>
    </row>
    <row r="2770" spans="1:4" x14ac:dyDescent="0.2">
      <c r="A2770">
        <f>Sheet2!A2771</f>
        <v>0</v>
      </c>
      <c r="B2770">
        <f>'Query Example'!D2770</f>
        <v>0</v>
      </c>
      <c r="C2770" s="11" t="str">
        <f>CONCATENATE(Sheet2!F2771,"/",Sheet2!E2771)</f>
        <v>/</v>
      </c>
      <c r="D2770" t="str">
        <f>CONCATENATE(Sheet2!B2771,", ",Sheet2!C2771)</f>
        <v xml:space="preserve">, </v>
      </c>
    </row>
    <row r="2771" spans="1:4" x14ac:dyDescent="0.2">
      <c r="A2771">
        <f>Sheet2!A2772</f>
        <v>0</v>
      </c>
      <c r="B2771">
        <f>'Query Example'!D2771</f>
        <v>0</v>
      </c>
      <c r="C2771" s="11" t="str">
        <f>CONCATENATE(Sheet2!F2772,"/",Sheet2!E2772)</f>
        <v>/</v>
      </c>
      <c r="D2771" t="str">
        <f>CONCATENATE(Sheet2!B2772,", ",Sheet2!C2772)</f>
        <v xml:space="preserve">, </v>
      </c>
    </row>
    <row r="2772" spans="1:4" x14ac:dyDescent="0.2">
      <c r="A2772">
        <f>Sheet2!A2773</f>
        <v>0</v>
      </c>
      <c r="B2772">
        <f>'Query Example'!D2772</f>
        <v>0</v>
      </c>
      <c r="C2772" s="11" t="str">
        <f>CONCATENATE(Sheet2!F2773,"/",Sheet2!E2773)</f>
        <v>/</v>
      </c>
      <c r="D2772" t="str">
        <f>CONCATENATE(Sheet2!B2773,", ",Sheet2!C2773)</f>
        <v xml:space="preserve">, </v>
      </c>
    </row>
    <row r="2773" spans="1:4" x14ac:dyDescent="0.2">
      <c r="A2773">
        <f>Sheet2!A2774</f>
        <v>0</v>
      </c>
      <c r="B2773">
        <f>'Query Example'!D2773</f>
        <v>0</v>
      </c>
      <c r="C2773" s="11" t="str">
        <f>CONCATENATE(Sheet2!F2774,"/",Sheet2!E2774)</f>
        <v>/</v>
      </c>
      <c r="D2773" t="str">
        <f>CONCATENATE(Sheet2!B2774,", ",Sheet2!C2774)</f>
        <v xml:space="preserve">, </v>
      </c>
    </row>
    <row r="2774" spans="1:4" x14ac:dyDescent="0.2">
      <c r="A2774">
        <f>Sheet2!A2775</f>
        <v>0</v>
      </c>
      <c r="B2774">
        <f>'Query Example'!D2774</f>
        <v>0</v>
      </c>
      <c r="C2774" s="11" t="str">
        <f>CONCATENATE(Sheet2!F2775,"/",Sheet2!E2775)</f>
        <v>/</v>
      </c>
      <c r="D2774" t="str">
        <f>CONCATENATE(Sheet2!B2775,", ",Sheet2!C2775)</f>
        <v xml:space="preserve">, </v>
      </c>
    </row>
    <row r="2775" spans="1:4" x14ac:dyDescent="0.2">
      <c r="A2775">
        <f>Sheet2!A2776</f>
        <v>0</v>
      </c>
      <c r="B2775">
        <f>'Query Example'!D2775</f>
        <v>0</v>
      </c>
      <c r="C2775" s="11" t="str">
        <f>CONCATENATE(Sheet2!F2776,"/",Sheet2!E2776)</f>
        <v>/</v>
      </c>
      <c r="D2775" t="str">
        <f>CONCATENATE(Sheet2!B2776,", ",Sheet2!C2776)</f>
        <v xml:space="preserve">, </v>
      </c>
    </row>
    <row r="2776" spans="1:4" x14ac:dyDescent="0.2">
      <c r="A2776">
        <f>Sheet2!A2777</f>
        <v>0</v>
      </c>
      <c r="B2776">
        <f>'Query Example'!D2776</f>
        <v>0</v>
      </c>
      <c r="C2776" s="11" t="str">
        <f>CONCATENATE(Sheet2!F2777,"/",Sheet2!E2777)</f>
        <v>/</v>
      </c>
      <c r="D2776" t="str">
        <f>CONCATENATE(Sheet2!B2777,", ",Sheet2!C2777)</f>
        <v xml:space="preserve">, </v>
      </c>
    </row>
    <row r="2777" spans="1:4" x14ac:dyDescent="0.2">
      <c r="A2777">
        <f>Sheet2!A2778</f>
        <v>0</v>
      </c>
      <c r="B2777">
        <f>'Query Example'!D2777</f>
        <v>0</v>
      </c>
      <c r="C2777" s="11" t="str">
        <f>CONCATENATE(Sheet2!F2778,"/",Sheet2!E2778)</f>
        <v>/</v>
      </c>
      <c r="D2777" t="str">
        <f>CONCATENATE(Sheet2!B2778,", ",Sheet2!C2778)</f>
        <v xml:space="preserve">, </v>
      </c>
    </row>
    <row r="2778" spans="1:4" x14ac:dyDescent="0.2">
      <c r="A2778">
        <f>Sheet2!A2779</f>
        <v>0</v>
      </c>
      <c r="B2778">
        <f>'Query Example'!D2778</f>
        <v>0</v>
      </c>
      <c r="C2778" s="11" t="str">
        <f>CONCATENATE(Sheet2!F2779,"/",Sheet2!E2779)</f>
        <v>/</v>
      </c>
      <c r="D2778" t="str">
        <f>CONCATENATE(Sheet2!B2779,", ",Sheet2!C2779)</f>
        <v xml:space="preserve">, </v>
      </c>
    </row>
    <row r="2779" spans="1:4" x14ac:dyDescent="0.2">
      <c r="A2779">
        <f>Sheet2!A2780</f>
        <v>0</v>
      </c>
      <c r="B2779">
        <f>'Query Example'!D2779</f>
        <v>0</v>
      </c>
      <c r="C2779" s="11" t="str">
        <f>CONCATENATE(Sheet2!F2780,"/",Sheet2!E2780)</f>
        <v>/</v>
      </c>
      <c r="D2779" t="str">
        <f>CONCATENATE(Sheet2!B2780,", ",Sheet2!C2780)</f>
        <v xml:space="preserve">, </v>
      </c>
    </row>
    <row r="2780" spans="1:4" x14ac:dyDescent="0.2">
      <c r="A2780">
        <f>Sheet2!A2781</f>
        <v>0</v>
      </c>
      <c r="B2780">
        <f>'Query Example'!D2780</f>
        <v>0</v>
      </c>
      <c r="C2780" s="11" t="str">
        <f>CONCATENATE(Sheet2!F2781,"/",Sheet2!E2781)</f>
        <v>/</v>
      </c>
      <c r="D2780" t="str">
        <f>CONCATENATE(Sheet2!B2781,", ",Sheet2!C2781)</f>
        <v xml:space="preserve">, </v>
      </c>
    </row>
    <row r="2781" spans="1:4" x14ac:dyDescent="0.2">
      <c r="A2781">
        <f>Sheet2!A2782</f>
        <v>0</v>
      </c>
      <c r="B2781">
        <f>'Query Example'!D2781</f>
        <v>0</v>
      </c>
      <c r="C2781" s="11" t="str">
        <f>CONCATENATE(Sheet2!F2782,"/",Sheet2!E2782)</f>
        <v>/</v>
      </c>
      <c r="D2781" t="str">
        <f>CONCATENATE(Sheet2!B2782,", ",Sheet2!C2782)</f>
        <v xml:space="preserve">, </v>
      </c>
    </row>
    <row r="2782" spans="1:4" x14ac:dyDescent="0.2">
      <c r="A2782">
        <f>Sheet2!A2783</f>
        <v>0</v>
      </c>
      <c r="B2782">
        <f>'Query Example'!D2782</f>
        <v>0</v>
      </c>
      <c r="C2782" s="11" t="str">
        <f>CONCATENATE(Sheet2!F2783,"/",Sheet2!E2783)</f>
        <v>/</v>
      </c>
      <c r="D2782" t="str">
        <f>CONCATENATE(Sheet2!B2783,", ",Sheet2!C2783)</f>
        <v xml:space="preserve">, </v>
      </c>
    </row>
    <row r="2783" spans="1:4" x14ac:dyDescent="0.2">
      <c r="A2783">
        <f>Sheet2!A2784</f>
        <v>0</v>
      </c>
      <c r="B2783">
        <f>'Query Example'!D2783</f>
        <v>0</v>
      </c>
      <c r="C2783" s="11" t="str">
        <f>CONCATENATE(Sheet2!F2784,"/",Sheet2!E2784)</f>
        <v>/</v>
      </c>
      <c r="D2783" t="str">
        <f>CONCATENATE(Sheet2!B2784,", ",Sheet2!C2784)</f>
        <v xml:space="preserve">, </v>
      </c>
    </row>
    <row r="2784" spans="1:4" x14ac:dyDescent="0.2">
      <c r="A2784">
        <f>Sheet2!A2785</f>
        <v>0</v>
      </c>
      <c r="B2784">
        <f>'Query Example'!D2784</f>
        <v>0</v>
      </c>
      <c r="C2784" s="11" t="str">
        <f>CONCATENATE(Sheet2!F2785,"/",Sheet2!E2785)</f>
        <v>/</v>
      </c>
      <c r="D2784" t="str">
        <f>CONCATENATE(Sheet2!B2785,", ",Sheet2!C2785)</f>
        <v xml:space="preserve">, </v>
      </c>
    </row>
    <row r="2785" spans="1:4" x14ac:dyDescent="0.2">
      <c r="A2785">
        <f>Sheet2!A2786</f>
        <v>0</v>
      </c>
      <c r="B2785">
        <f>'Query Example'!D2785</f>
        <v>0</v>
      </c>
      <c r="C2785" s="11" t="str">
        <f>CONCATENATE(Sheet2!F2786,"/",Sheet2!E2786)</f>
        <v>/</v>
      </c>
      <c r="D2785" t="str">
        <f>CONCATENATE(Sheet2!B2786,", ",Sheet2!C2786)</f>
        <v xml:space="preserve">, </v>
      </c>
    </row>
    <row r="2786" spans="1:4" x14ac:dyDescent="0.2">
      <c r="A2786">
        <f>Sheet2!A2787</f>
        <v>0</v>
      </c>
      <c r="B2786">
        <f>'Query Example'!D2786</f>
        <v>0</v>
      </c>
      <c r="C2786" s="11" t="str">
        <f>CONCATENATE(Sheet2!F2787,"/",Sheet2!E2787)</f>
        <v>/</v>
      </c>
      <c r="D2786" t="str">
        <f>CONCATENATE(Sheet2!B2787,", ",Sheet2!C2787)</f>
        <v xml:space="preserve">, </v>
      </c>
    </row>
    <row r="2787" spans="1:4" x14ac:dyDescent="0.2">
      <c r="A2787">
        <f>Sheet2!A2788</f>
        <v>0</v>
      </c>
      <c r="B2787">
        <f>'Query Example'!D2787</f>
        <v>0</v>
      </c>
      <c r="C2787" s="11" t="str">
        <f>CONCATENATE(Sheet2!F2788,"/",Sheet2!E2788)</f>
        <v>/</v>
      </c>
      <c r="D2787" t="str">
        <f>CONCATENATE(Sheet2!B2788,", ",Sheet2!C2788)</f>
        <v xml:space="preserve">, </v>
      </c>
    </row>
    <row r="2788" spans="1:4" x14ac:dyDescent="0.2">
      <c r="A2788">
        <f>Sheet2!A2789</f>
        <v>0</v>
      </c>
      <c r="B2788">
        <f>'Query Example'!D2788</f>
        <v>0</v>
      </c>
      <c r="C2788" s="11" t="str">
        <f>CONCATENATE(Sheet2!F2789,"/",Sheet2!E2789)</f>
        <v>/</v>
      </c>
      <c r="D2788" t="str">
        <f>CONCATENATE(Sheet2!B2789,", ",Sheet2!C2789)</f>
        <v xml:space="preserve">, </v>
      </c>
    </row>
    <row r="2789" spans="1:4" x14ac:dyDescent="0.2">
      <c r="A2789">
        <f>Sheet2!A2790</f>
        <v>0</v>
      </c>
      <c r="B2789">
        <f>'Query Example'!D2789</f>
        <v>0</v>
      </c>
      <c r="C2789" s="11" t="str">
        <f>CONCATENATE(Sheet2!F2790,"/",Sheet2!E2790)</f>
        <v>/</v>
      </c>
      <c r="D2789" t="str">
        <f>CONCATENATE(Sheet2!B2790,", ",Sheet2!C2790)</f>
        <v xml:space="preserve">, </v>
      </c>
    </row>
    <row r="2790" spans="1:4" x14ac:dyDescent="0.2">
      <c r="A2790">
        <f>Sheet2!A2791</f>
        <v>0</v>
      </c>
      <c r="B2790">
        <f>'Query Example'!D2790</f>
        <v>0</v>
      </c>
      <c r="C2790" s="11" t="str">
        <f>CONCATENATE(Sheet2!F2791,"/",Sheet2!E2791)</f>
        <v>/</v>
      </c>
      <c r="D2790" t="str">
        <f>CONCATENATE(Sheet2!B2791,", ",Sheet2!C2791)</f>
        <v xml:space="preserve">, </v>
      </c>
    </row>
    <row r="2791" spans="1:4" x14ac:dyDescent="0.2">
      <c r="A2791">
        <f>Sheet2!A2792</f>
        <v>0</v>
      </c>
      <c r="B2791">
        <f>'Query Example'!D2791</f>
        <v>0</v>
      </c>
      <c r="C2791" s="11" t="str">
        <f>CONCATENATE(Sheet2!F2792,"/",Sheet2!E2792)</f>
        <v>/</v>
      </c>
      <c r="D2791" t="str">
        <f>CONCATENATE(Sheet2!B2792,", ",Sheet2!C2792)</f>
        <v xml:space="preserve">, </v>
      </c>
    </row>
    <row r="2792" spans="1:4" x14ac:dyDescent="0.2">
      <c r="A2792">
        <f>Sheet2!A2793</f>
        <v>0</v>
      </c>
      <c r="B2792">
        <f>'Query Example'!D2792</f>
        <v>0</v>
      </c>
      <c r="C2792" s="11" t="str">
        <f>CONCATENATE(Sheet2!F2793,"/",Sheet2!E2793)</f>
        <v>/</v>
      </c>
      <c r="D2792" t="str">
        <f>CONCATENATE(Sheet2!B2793,", ",Sheet2!C2793)</f>
        <v xml:space="preserve">, </v>
      </c>
    </row>
    <row r="2793" spans="1:4" x14ac:dyDescent="0.2">
      <c r="A2793">
        <f>Sheet2!A2794</f>
        <v>0</v>
      </c>
      <c r="B2793">
        <f>'Query Example'!D2793</f>
        <v>0</v>
      </c>
      <c r="C2793" s="11" t="str">
        <f>CONCATENATE(Sheet2!F2794,"/",Sheet2!E2794)</f>
        <v>/</v>
      </c>
      <c r="D2793" t="str">
        <f>CONCATENATE(Sheet2!B2794,", ",Sheet2!C2794)</f>
        <v xml:space="preserve">, </v>
      </c>
    </row>
    <row r="2794" spans="1:4" x14ac:dyDescent="0.2">
      <c r="A2794">
        <f>Sheet2!A2795</f>
        <v>0</v>
      </c>
      <c r="B2794">
        <f>'Query Example'!D2794</f>
        <v>0</v>
      </c>
      <c r="C2794" s="11" t="str">
        <f>CONCATENATE(Sheet2!F2795,"/",Sheet2!E2795)</f>
        <v>/</v>
      </c>
      <c r="D2794" t="str">
        <f>CONCATENATE(Sheet2!B2795,", ",Sheet2!C2795)</f>
        <v xml:space="preserve">, </v>
      </c>
    </row>
    <row r="2795" spans="1:4" x14ac:dyDescent="0.2">
      <c r="A2795">
        <f>Sheet2!A2796</f>
        <v>0</v>
      </c>
      <c r="B2795">
        <f>'Query Example'!D2795</f>
        <v>0</v>
      </c>
      <c r="C2795" s="11" t="str">
        <f>CONCATENATE(Sheet2!F2796,"/",Sheet2!E2796)</f>
        <v>/</v>
      </c>
      <c r="D2795" t="str">
        <f>CONCATENATE(Sheet2!B2796,", ",Sheet2!C2796)</f>
        <v xml:space="preserve">, </v>
      </c>
    </row>
    <row r="2796" spans="1:4" x14ac:dyDescent="0.2">
      <c r="A2796">
        <f>Sheet2!A2797</f>
        <v>0</v>
      </c>
      <c r="B2796">
        <f>'Query Example'!D2796</f>
        <v>0</v>
      </c>
      <c r="C2796" s="11" t="str">
        <f>CONCATENATE(Sheet2!F2797,"/",Sheet2!E2797)</f>
        <v>/</v>
      </c>
      <c r="D2796" t="str">
        <f>CONCATENATE(Sheet2!B2797,", ",Sheet2!C2797)</f>
        <v xml:space="preserve">, </v>
      </c>
    </row>
    <row r="2797" spans="1:4" x14ac:dyDescent="0.2">
      <c r="A2797">
        <f>Sheet2!A2798</f>
        <v>0</v>
      </c>
      <c r="B2797">
        <f>'Query Example'!D2797</f>
        <v>0</v>
      </c>
      <c r="C2797" s="11" t="str">
        <f>CONCATENATE(Sheet2!F2798,"/",Sheet2!E2798)</f>
        <v>/</v>
      </c>
      <c r="D2797" t="str">
        <f>CONCATENATE(Sheet2!B2798,", ",Sheet2!C2798)</f>
        <v xml:space="preserve">, </v>
      </c>
    </row>
    <row r="2798" spans="1:4" x14ac:dyDescent="0.2">
      <c r="A2798">
        <f>Sheet2!A2799</f>
        <v>0</v>
      </c>
      <c r="B2798">
        <f>'Query Example'!D2798</f>
        <v>0</v>
      </c>
      <c r="C2798" s="11" t="str">
        <f>CONCATENATE(Sheet2!F2799,"/",Sheet2!E2799)</f>
        <v>/</v>
      </c>
      <c r="D2798" t="str">
        <f>CONCATENATE(Sheet2!B2799,", ",Sheet2!C2799)</f>
        <v xml:space="preserve">, </v>
      </c>
    </row>
    <row r="2799" spans="1:4" x14ac:dyDescent="0.2">
      <c r="A2799">
        <f>Sheet2!A2800</f>
        <v>0</v>
      </c>
      <c r="B2799">
        <f>'Query Example'!D2799</f>
        <v>0</v>
      </c>
      <c r="C2799" s="11" t="str">
        <f>CONCATENATE(Sheet2!F2800,"/",Sheet2!E2800)</f>
        <v>/</v>
      </c>
      <c r="D2799" t="str">
        <f>CONCATENATE(Sheet2!B2800,", ",Sheet2!C2800)</f>
        <v xml:space="preserve">, </v>
      </c>
    </row>
    <row r="2800" spans="1:4" x14ac:dyDescent="0.2">
      <c r="A2800">
        <f>Sheet2!A2801</f>
        <v>0</v>
      </c>
      <c r="B2800">
        <f>'Query Example'!D2800</f>
        <v>0</v>
      </c>
      <c r="C2800" s="11" t="str">
        <f>CONCATENATE(Sheet2!F2801,"/",Sheet2!E2801)</f>
        <v>/</v>
      </c>
      <c r="D2800" t="str">
        <f>CONCATENATE(Sheet2!B2801,", ",Sheet2!C2801)</f>
        <v xml:space="preserve">, </v>
      </c>
    </row>
    <row r="2801" spans="1:4" x14ac:dyDescent="0.2">
      <c r="A2801">
        <f>Sheet2!A2802</f>
        <v>0</v>
      </c>
      <c r="B2801">
        <f>'Query Example'!D2801</f>
        <v>0</v>
      </c>
      <c r="C2801" s="11" t="str">
        <f>CONCATENATE(Sheet2!F2802,"/",Sheet2!E2802)</f>
        <v>/</v>
      </c>
      <c r="D2801" t="str">
        <f>CONCATENATE(Sheet2!B2802,", ",Sheet2!C2802)</f>
        <v xml:space="preserve">, </v>
      </c>
    </row>
    <row r="2802" spans="1:4" x14ac:dyDescent="0.2">
      <c r="A2802">
        <f>Sheet2!A2803</f>
        <v>0</v>
      </c>
      <c r="B2802">
        <f>'Query Example'!D2802</f>
        <v>0</v>
      </c>
      <c r="C2802" s="11" t="str">
        <f>CONCATENATE(Sheet2!F2803,"/",Sheet2!E2803)</f>
        <v>/</v>
      </c>
      <c r="D2802" t="str">
        <f>CONCATENATE(Sheet2!B2803,", ",Sheet2!C2803)</f>
        <v xml:space="preserve">, </v>
      </c>
    </row>
    <row r="2803" spans="1:4" x14ac:dyDescent="0.2">
      <c r="A2803">
        <f>Sheet2!A2804</f>
        <v>0</v>
      </c>
      <c r="B2803">
        <f>'Query Example'!D2803</f>
        <v>0</v>
      </c>
      <c r="C2803" s="11" t="str">
        <f>CONCATENATE(Sheet2!F2804,"/",Sheet2!E2804)</f>
        <v>/</v>
      </c>
      <c r="D2803" t="str">
        <f>CONCATENATE(Sheet2!B2804,", ",Sheet2!C2804)</f>
        <v xml:space="preserve">, </v>
      </c>
    </row>
    <row r="2804" spans="1:4" x14ac:dyDescent="0.2">
      <c r="A2804">
        <f>Sheet2!A2805</f>
        <v>0</v>
      </c>
      <c r="B2804">
        <f>'Query Example'!D2804</f>
        <v>0</v>
      </c>
      <c r="C2804" s="11" t="str">
        <f>CONCATENATE(Sheet2!F2805,"/",Sheet2!E2805)</f>
        <v>/</v>
      </c>
      <c r="D2804" t="str">
        <f>CONCATENATE(Sheet2!B2805,", ",Sheet2!C2805)</f>
        <v xml:space="preserve">, </v>
      </c>
    </row>
    <row r="2805" spans="1:4" x14ac:dyDescent="0.2">
      <c r="A2805">
        <f>Sheet2!A2806</f>
        <v>0</v>
      </c>
      <c r="B2805">
        <f>'Query Example'!D2805</f>
        <v>0</v>
      </c>
      <c r="C2805" s="11" t="str">
        <f>CONCATENATE(Sheet2!F2806,"/",Sheet2!E2806)</f>
        <v>/</v>
      </c>
      <c r="D2805" t="str">
        <f>CONCATENATE(Sheet2!B2806,", ",Sheet2!C2806)</f>
        <v xml:space="preserve">, </v>
      </c>
    </row>
    <row r="2806" spans="1:4" x14ac:dyDescent="0.2">
      <c r="A2806">
        <f>Sheet2!A2807</f>
        <v>0</v>
      </c>
      <c r="B2806">
        <f>'Query Example'!D2806</f>
        <v>0</v>
      </c>
      <c r="C2806" s="11" t="str">
        <f>CONCATENATE(Sheet2!F2807,"/",Sheet2!E2807)</f>
        <v>/</v>
      </c>
      <c r="D2806" t="str">
        <f>CONCATENATE(Sheet2!B2807,", ",Sheet2!C2807)</f>
        <v xml:space="preserve">, </v>
      </c>
    </row>
    <row r="2807" spans="1:4" x14ac:dyDescent="0.2">
      <c r="A2807">
        <f>Sheet2!A2808</f>
        <v>0</v>
      </c>
      <c r="B2807">
        <f>'Query Example'!D2807</f>
        <v>0</v>
      </c>
      <c r="C2807" s="11" t="str">
        <f>CONCATENATE(Sheet2!F2808,"/",Sheet2!E2808)</f>
        <v>/</v>
      </c>
      <c r="D2807" t="str">
        <f>CONCATENATE(Sheet2!B2808,", ",Sheet2!C2808)</f>
        <v xml:space="preserve">, </v>
      </c>
    </row>
    <row r="2808" spans="1:4" x14ac:dyDescent="0.2">
      <c r="A2808">
        <f>Sheet2!A2809</f>
        <v>0</v>
      </c>
      <c r="B2808">
        <f>'Query Example'!D2808</f>
        <v>0</v>
      </c>
      <c r="C2808" s="11" t="str">
        <f>CONCATENATE(Sheet2!F2809,"/",Sheet2!E2809)</f>
        <v>/</v>
      </c>
      <c r="D2808" t="str">
        <f>CONCATENATE(Sheet2!B2809,", ",Sheet2!C2809)</f>
        <v xml:space="preserve">, </v>
      </c>
    </row>
    <row r="2809" spans="1:4" x14ac:dyDescent="0.2">
      <c r="A2809">
        <f>Sheet2!A2810</f>
        <v>0</v>
      </c>
      <c r="B2809">
        <f>'Query Example'!D2809</f>
        <v>0</v>
      </c>
      <c r="C2809" s="11" t="str">
        <f>CONCATENATE(Sheet2!F2810,"/",Sheet2!E2810)</f>
        <v>/</v>
      </c>
      <c r="D2809" t="str">
        <f>CONCATENATE(Sheet2!B2810,", ",Sheet2!C2810)</f>
        <v xml:space="preserve">, </v>
      </c>
    </row>
    <row r="2810" spans="1:4" x14ac:dyDescent="0.2">
      <c r="A2810">
        <f>Sheet2!A2811</f>
        <v>0</v>
      </c>
      <c r="B2810">
        <f>'Query Example'!D2810</f>
        <v>0</v>
      </c>
      <c r="C2810" s="11" t="str">
        <f>CONCATENATE(Sheet2!F2811,"/",Sheet2!E2811)</f>
        <v>/</v>
      </c>
      <c r="D2810" t="str">
        <f>CONCATENATE(Sheet2!B2811,", ",Sheet2!C2811)</f>
        <v xml:space="preserve">, </v>
      </c>
    </row>
    <row r="2811" spans="1:4" x14ac:dyDescent="0.2">
      <c r="A2811">
        <f>Sheet2!A2812</f>
        <v>0</v>
      </c>
      <c r="B2811">
        <f>'Query Example'!D2811</f>
        <v>0</v>
      </c>
      <c r="C2811" s="11" t="str">
        <f>CONCATENATE(Sheet2!F2812,"/",Sheet2!E2812)</f>
        <v>/</v>
      </c>
      <c r="D2811" t="str">
        <f>CONCATENATE(Sheet2!B2812,", ",Sheet2!C2812)</f>
        <v xml:space="preserve">, </v>
      </c>
    </row>
    <row r="2812" spans="1:4" x14ac:dyDescent="0.2">
      <c r="A2812">
        <f>Sheet2!A2813</f>
        <v>0</v>
      </c>
      <c r="B2812">
        <f>'Query Example'!D2812</f>
        <v>0</v>
      </c>
      <c r="C2812" s="11" t="str">
        <f>CONCATENATE(Sheet2!F2813,"/",Sheet2!E2813)</f>
        <v>/</v>
      </c>
      <c r="D2812" t="str">
        <f>CONCATENATE(Sheet2!B2813,", ",Sheet2!C2813)</f>
        <v xml:space="preserve">, </v>
      </c>
    </row>
    <row r="2813" spans="1:4" x14ac:dyDescent="0.2">
      <c r="A2813">
        <f>Sheet2!A2814</f>
        <v>0</v>
      </c>
      <c r="B2813">
        <f>'Query Example'!D2813</f>
        <v>0</v>
      </c>
      <c r="C2813" s="11" t="str">
        <f>CONCATENATE(Sheet2!F2814,"/",Sheet2!E2814)</f>
        <v>/</v>
      </c>
      <c r="D2813" t="str">
        <f>CONCATENATE(Sheet2!B2814,", ",Sheet2!C2814)</f>
        <v xml:space="preserve">, </v>
      </c>
    </row>
    <row r="2814" spans="1:4" x14ac:dyDescent="0.2">
      <c r="A2814">
        <f>Sheet2!A2815</f>
        <v>0</v>
      </c>
      <c r="B2814">
        <f>'Query Example'!D2814</f>
        <v>0</v>
      </c>
      <c r="C2814" s="11" t="str">
        <f>CONCATENATE(Sheet2!F2815,"/",Sheet2!E2815)</f>
        <v>/</v>
      </c>
      <c r="D2814" t="str">
        <f>CONCATENATE(Sheet2!B2815,", ",Sheet2!C2815)</f>
        <v xml:space="preserve">, </v>
      </c>
    </row>
    <row r="2815" spans="1:4" x14ac:dyDescent="0.2">
      <c r="A2815">
        <f>Sheet2!A2816</f>
        <v>0</v>
      </c>
      <c r="B2815">
        <f>'Query Example'!D2815</f>
        <v>0</v>
      </c>
      <c r="C2815" s="11" t="str">
        <f>CONCATENATE(Sheet2!F2816,"/",Sheet2!E2816)</f>
        <v>/</v>
      </c>
      <c r="D2815" t="str">
        <f>CONCATENATE(Sheet2!B2816,", ",Sheet2!C2816)</f>
        <v xml:space="preserve">, </v>
      </c>
    </row>
    <row r="2816" spans="1:4" x14ac:dyDescent="0.2">
      <c r="A2816">
        <f>Sheet2!A2817</f>
        <v>0</v>
      </c>
      <c r="B2816">
        <f>'Query Example'!D2816</f>
        <v>0</v>
      </c>
      <c r="C2816" s="11" t="str">
        <f>CONCATENATE(Sheet2!F2817,"/",Sheet2!E2817)</f>
        <v>/</v>
      </c>
      <c r="D2816" t="str">
        <f>CONCATENATE(Sheet2!B2817,", ",Sheet2!C2817)</f>
        <v xml:space="preserve">, </v>
      </c>
    </row>
    <row r="2817" spans="1:4" x14ac:dyDescent="0.2">
      <c r="A2817">
        <f>Sheet2!A2818</f>
        <v>0</v>
      </c>
      <c r="B2817">
        <f>'Query Example'!D2817</f>
        <v>0</v>
      </c>
      <c r="C2817" s="11" t="str">
        <f>CONCATENATE(Sheet2!F2818,"/",Sheet2!E2818)</f>
        <v>/</v>
      </c>
      <c r="D2817" t="str">
        <f>CONCATENATE(Sheet2!B2818,", ",Sheet2!C2818)</f>
        <v xml:space="preserve">, </v>
      </c>
    </row>
    <row r="2818" spans="1:4" x14ac:dyDescent="0.2">
      <c r="A2818">
        <f>Sheet2!A2819</f>
        <v>0</v>
      </c>
      <c r="B2818">
        <f>'Query Example'!D2818</f>
        <v>0</v>
      </c>
      <c r="C2818" s="11" t="str">
        <f>CONCATENATE(Sheet2!F2819,"/",Sheet2!E2819)</f>
        <v>/</v>
      </c>
      <c r="D2818" t="str">
        <f>CONCATENATE(Sheet2!B2819,", ",Sheet2!C2819)</f>
        <v xml:space="preserve">, </v>
      </c>
    </row>
    <row r="2819" spans="1:4" x14ac:dyDescent="0.2">
      <c r="A2819">
        <f>Sheet2!A2820</f>
        <v>0</v>
      </c>
      <c r="B2819">
        <f>'Query Example'!D2819</f>
        <v>0</v>
      </c>
      <c r="C2819" s="11" t="str">
        <f>CONCATENATE(Sheet2!F2820,"/",Sheet2!E2820)</f>
        <v>/</v>
      </c>
      <c r="D2819" t="str">
        <f>CONCATENATE(Sheet2!B2820,", ",Sheet2!C2820)</f>
        <v xml:space="preserve">, </v>
      </c>
    </row>
    <row r="2820" spans="1:4" x14ac:dyDescent="0.2">
      <c r="A2820">
        <f>Sheet2!A2821</f>
        <v>0</v>
      </c>
      <c r="B2820">
        <f>'Query Example'!D2820</f>
        <v>0</v>
      </c>
      <c r="C2820" s="11" t="str">
        <f>CONCATENATE(Sheet2!F2821,"/",Sheet2!E2821)</f>
        <v>/</v>
      </c>
      <c r="D2820" t="str">
        <f>CONCATENATE(Sheet2!B2821,", ",Sheet2!C2821)</f>
        <v xml:space="preserve">, </v>
      </c>
    </row>
    <row r="2821" spans="1:4" x14ac:dyDescent="0.2">
      <c r="A2821">
        <f>Sheet2!A2822</f>
        <v>0</v>
      </c>
      <c r="B2821">
        <f>'Query Example'!D2821</f>
        <v>0</v>
      </c>
      <c r="C2821" s="11" t="str">
        <f>CONCATENATE(Sheet2!F2822,"/",Sheet2!E2822)</f>
        <v>/</v>
      </c>
      <c r="D2821" t="str">
        <f>CONCATENATE(Sheet2!B2822,", ",Sheet2!C2822)</f>
        <v xml:space="preserve">, </v>
      </c>
    </row>
    <row r="2822" spans="1:4" x14ac:dyDescent="0.2">
      <c r="A2822">
        <f>Sheet2!A2823</f>
        <v>0</v>
      </c>
      <c r="B2822">
        <f>'Query Example'!D2822</f>
        <v>0</v>
      </c>
      <c r="C2822" s="11" t="str">
        <f>CONCATENATE(Sheet2!F2823,"/",Sheet2!E2823)</f>
        <v>/</v>
      </c>
      <c r="D2822" t="str">
        <f>CONCATENATE(Sheet2!B2823,", ",Sheet2!C2823)</f>
        <v xml:space="preserve">, </v>
      </c>
    </row>
    <row r="2823" spans="1:4" x14ac:dyDescent="0.2">
      <c r="A2823">
        <f>Sheet2!A2824</f>
        <v>0</v>
      </c>
      <c r="B2823">
        <f>'Query Example'!D2823</f>
        <v>0</v>
      </c>
      <c r="C2823" s="11" t="str">
        <f>CONCATENATE(Sheet2!F2824,"/",Sheet2!E2824)</f>
        <v>/</v>
      </c>
      <c r="D2823" t="str">
        <f>CONCATENATE(Sheet2!B2824,", ",Sheet2!C2824)</f>
        <v xml:space="preserve">, </v>
      </c>
    </row>
    <row r="2824" spans="1:4" x14ac:dyDescent="0.2">
      <c r="A2824">
        <f>Sheet2!A2825</f>
        <v>0</v>
      </c>
      <c r="B2824">
        <f>'Query Example'!D2824</f>
        <v>0</v>
      </c>
      <c r="C2824" s="11" t="str">
        <f>CONCATENATE(Sheet2!F2825,"/",Sheet2!E2825)</f>
        <v>/</v>
      </c>
      <c r="D2824" t="str">
        <f>CONCATENATE(Sheet2!B2825,", ",Sheet2!C2825)</f>
        <v xml:space="preserve">, </v>
      </c>
    </row>
    <row r="2825" spans="1:4" x14ac:dyDescent="0.2">
      <c r="A2825">
        <f>Sheet2!A2826</f>
        <v>0</v>
      </c>
      <c r="B2825">
        <f>'Query Example'!D2825</f>
        <v>0</v>
      </c>
      <c r="C2825" s="11" t="str">
        <f>CONCATENATE(Sheet2!F2826,"/",Sheet2!E2826)</f>
        <v>/</v>
      </c>
      <c r="D2825" t="str">
        <f>CONCATENATE(Sheet2!B2826,", ",Sheet2!C2826)</f>
        <v xml:space="preserve">, </v>
      </c>
    </row>
    <row r="2826" spans="1:4" x14ac:dyDescent="0.2">
      <c r="A2826">
        <f>Sheet2!A2827</f>
        <v>0</v>
      </c>
      <c r="B2826">
        <f>'Query Example'!D2826</f>
        <v>0</v>
      </c>
      <c r="C2826" s="11" t="str">
        <f>CONCATENATE(Sheet2!F2827,"/",Sheet2!E2827)</f>
        <v>/</v>
      </c>
      <c r="D2826" t="str">
        <f>CONCATENATE(Sheet2!B2827,", ",Sheet2!C2827)</f>
        <v xml:space="preserve">, </v>
      </c>
    </row>
    <row r="2827" spans="1:4" x14ac:dyDescent="0.2">
      <c r="A2827">
        <f>Sheet2!A2828</f>
        <v>0</v>
      </c>
      <c r="B2827">
        <f>'Query Example'!D2827</f>
        <v>0</v>
      </c>
      <c r="C2827" s="11" t="str">
        <f>CONCATENATE(Sheet2!F2828,"/",Sheet2!E2828)</f>
        <v>/</v>
      </c>
      <c r="D2827" t="str">
        <f>CONCATENATE(Sheet2!B2828,", ",Sheet2!C2828)</f>
        <v xml:space="preserve">, </v>
      </c>
    </row>
    <row r="2828" spans="1:4" x14ac:dyDescent="0.2">
      <c r="A2828">
        <f>Sheet2!A2829</f>
        <v>0</v>
      </c>
      <c r="B2828">
        <f>'Query Example'!D2828</f>
        <v>0</v>
      </c>
      <c r="C2828" s="11" t="str">
        <f>CONCATENATE(Sheet2!F2829,"/",Sheet2!E2829)</f>
        <v>/</v>
      </c>
      <c r="D2828" t="str">
        <f>CONCATENATE(Sheet2!B2829,", ",Sheet2!C2829)</f>
        <v xml:space="preserve">, </v>
      </c>
    </row>
    <row r="2829" spans="1:4" x14ac:dyDescent="0.2">
      <c r="A2829">
        <f>Sheet2!A2830</f>
        <v>0</v>
      </c>
      <c r="B2829">
        <f>'Query Example'!D2829</f>
        <v>0</v>
      </c>
      <c r="C2829" s="11" t="str">
        <f>CONCATENATE(Sheet2!F2830,"/",Sheet2!E2830)</f>
        <v>/</v>
      </c>
      <c r="D2829" t="str">
        <f>CONCATENATE(Sheet2!B2830,", ",Sheet2!C2830)</f>
        <v xml:space="preserve">, </v>
      </c>
    </row>
    <row r="2830" spans="1:4" x14ac:dyDescent="0.2">
      <c r="A2830">
        <f>Sheet2!A2831</f>
        <v>0</v>
      </c>
      <c r="B2830">
        <f>'Query Example'!D2830</f>
        <v>0</v>
      </c>
      <c r="C2830" s="11" t="str">
        <f>CONCATENATE(Sheet2!F2831,"/",Sheet2!E2831)</f>
        <v>/</v>
      </c>
      <c r="D2830" t="str">
        <f>CONCATENATE(Sheet2!B2831,", ",Sheet2!C2831)</f>
        <v xml:space="preserve">, </v>
      </c>
    </row>
    <row r="2831" spans="1:4" x14ac:dyDescent="0.2">
      <c r="A2831">
        <f>Sheet2!A2832</f>
        <v>0</v>
      </c>
      <c r="B2831">
        <f>'Query Example'!D2831</f>
        <v>0</v>
      </c>
      <c r="C2831" s="11" t="str">
        <f>CONCATENATE(Sheet2!F2832,"/",Sheet2!E2832)</f>
        <v>/</v>
      </c>
      <c r="D2831" t="str">
        <f>CONCATENATE(Sheet2!B2832,", ",Sheet2!C2832)</f>
        <v xml:space="preserve">, </v>
      </c>
    </row>
    <row r="2832" spans="1:4" x14ac:dyDescent="0.2">
      <c r="A2832">
        <f>Sheet2!A2833</f>
        <v>0</v>
      </c>
      <c r="B2832">
        <f>'Query Example'!D2832</f>
        <v>0</v>
      </c>
      <c r="C2832" s="11" t="str">
        <f>CONCATENATE(Sheet2!F2833,"/",Sheet2!E2833)</f>
        <v>/</v>
      </c>
      <c r="D2832" t="str">
        <f>CONCATENATE(Sheet2!B2833,", ",Sheet2!C2833)</f>
        <v xml:space="preserve">, </v>
      </c>
    </row>
    <row r="2833" spans="1:4" x14ac:dyDescent="0.2">
      <c r="A2833">
        <f>Sheet2!A2834</f>
        <v>0</v>
      </c>
      <c r="B2833">
        <f>'Query Example'!D2833</f>
        <v>0</v>
      </c>
      <c r="C2833" s="11" t="str">
        <f>CONCATENATE(Sheet2!F2834,"/",Sheet2!E2834)</f>
        <v>/</v>
      </c>
      <c r="D2833" t="str">
        <f>CONCATENATE(Sheet2!B2834,", ",Sheet2!C2834)</f>
        <v xml:space="preserve">, </v>
      </c>
    </row>
    <row r="2834" spans="1:4" x14ac:dyDescent="0.2">
      <c r="A2834">
        <f>Sheet2!A2835</f>
        <v>0</v>
      </c>
      <c r="B2834">
        <f>'Query Example'!D2834</f>
        <v>0</v>
      </c>
      <c r="C2834" s="11" t="str">
        <f>CONCATENATE(Sheet2!F2835,"/",Sheet2!E2835)</f>
        <v>/</v>
      </c>
      <c r="D2834" t="str">
        <f>CONCATENATE(Sheet2!B2835,", ",Sheet2!C2835)</f>
        <v xml:space="preserve">, </v>
      </c>
    </row>
    <row r="2835" spans="1:4" x14ac:dyDescent="0.2">
      <c r="A2835">
        <f>Sheet2!A2836</f>
        <v>0</v>
      </c>
      <c r="B2835">
        <f>'Query Example'!D2835</f>
        <v>0</v>
      </c>
      <c r="C2835" s="11" t="str">
        <f>CONCATENATE(Sheet2!F2836,"/",Sheet2!E2836)</f>
        <v>/</v>
      </c>
      <c r="D2835" t="str">
        <f>CONCATENATE(Sheet2!B2836,", ",Sheet2!C2836)</f>
        <v xml:space="preserve">, </v>
      </c>
    </row>
    <row r="2836" spans="1:4" x14ac:dyDescent="0.2">
      <c r="A2836">
        <f>Sheet2!A2837</f>
        <v>0</v>
      </c>
      <c r="B2836">
        <f>'Query Example'!D2836</f>
        <v>0</v>
      </c>
      <c r="C2836" s="11" t="str">
        <f>CONCATENATE(Sheet2!F2837,"/",Sheet2!E2837)</f>
        <v>/</v>
      </c>
      <c r="D2836" t="str">
        <f>CONCATENATE(Sheet2!B2837,", ",Sheet2!C2837)</f>
        <v xml:space="preserve">, </v>
      </c>
    </row>
    <row r="2837" spans="1:4" x14ac:dyDescent="0.2">
      <c r="A2837">
        <f>Sheet2!A2838</f>
        <v>0</v>
      </c>
      <c r="B2837">
        <f>'Query Example'!D2837</f>
        <v>0</v>
      </c>
      <c r="C2837" s="11" t="str">
        <f>CONCATENATE(Sheet2!F2838,"/",Sheet2!E2838)</f>
        <v>/</v>
      </c>
      <c r="D2837" t="str">
        <f>CONCATENATE(Sheet2!B2838,", ",Sheet2!C2838)</f>
        <v xml:space="preserve">, </v>
      </c>
    </row>
    <row r="2838" spans="1:4" x14ac:dyDescent="0.2">
      <c r="A2838">
        <f>Sheet2!A2839</f>
        <v>0</v>
      </c>
      <c r="B2838">
        <f>'Query Example'!D2838</f>
        <v>0</v>
      </c>
      <c r="C2838" s="11" t="str">
        <f>CONCATENATE(Sheet2!F2839,"/",Sheet2!E2839)</f>
        <v>/</v>
      </c>
      <c r="D2838" t="str">
        <f>CONCATENATE(Sheet2!B2839,", ",Sheet2!C2839)</f>
        <v xml:space="preserve">, </v>
      </c>
    </row>
    <row r="2839" spans="1:4" x14ac:dyDescent="0.2">
      <c r="A2839">
        <f>Sheet2!A2840</f>
        <v>0</v>
      </c>
      <c r="B2839">
        <f>'Query Example'!D2839</f>
        <v>0</v>
      </c>
      <c r="C2839" s="11" t="str">
        <f>CONCATENATE(Sheet2!F2840,"/",Sheet2!E2840)</f>
        <v>/</v>
      </c>
      <c r="D2839" t="str">
        <f>CONCATENATE(Sheet2!B2840,", ",Sheet2!C2840)</f>
        <v xml:space="preserve">, </v>
      </c>
    </row>
    <row r="2840" spans="1:4" x14ac:dyDescent="0.2">
      <c r="A2840">
        <f>Sheet2!A2841</f>
        <v>0</v>
      </c>
      <c r="B2840">
        <f>'Query Example'!D2840</f>
        <v>0</v>
      </c>
      <c r="C2840" s="11" t="str">
        <f>CONCATENATE(Sheet2!F2841,"/",Sheet2!E2841)</f>
        <v>/</v>
      </c>
      <c r="D2840" t="str">
        <f>CONCATENATE(Sheet2!B2841,", ",Sheet2!C2841)</f>
        <v xml:space="preserve">, </v>
      </c>
    </row>
    <row r="2841" spans="1:4" x14ac:dyDescent="0.2">
      <c r="A2841">
        <f>Sheet2!A2842</f>
        <v>0</v>
      </c>
      <c r="B2841">
        <f>'Query Example'!D2841</f>
        <v>0</v>
      </c>
      <c r="C2841" s="11" t="str">
        <f>CONCATENATE(Sheet2!F2842,"/",Sheet2!E2842)</f>
        <v>/</v>
      </c>
      <c r="D2841" t="str">
        <f>CONCATENATE(Sheet2!B2842,", ",Sheet2!C2842)</f>
        <v xml:space="preserve">, </v>
      </c>
    </row>
    <row r="2842" spans="1:4" x14ac:dyDescent="0.2">
      <c r="A2842">
        <f>Sheet2!A2843</f>
        <v>0</v>
      </c>
      <c r="B2842">
        <f>'Query Example'!D2842</f>
        <v>0</v>
      </c>
      <c r="C2842" s="11" t="str">
        <f>CONCATENATE(Sheet2!F2843,"/",Sheet2!E2843)</f>
        <v>/</v>
      </c>
      <c r="D2842" t="str">
        <f>CONCATENATE(Sheet2!B2843,", ",Sheet2!C2843)</f>
        <v xml:space="preserve">, </v>
      </c>
    </row>
    <row r="2843" spans="1:4" x14ac:dyDescent="0.2">
      <c r="A2843">
        <f>Sheet2!A2844</f>
        <v>0</v>
      </c>
      <c r="B2843">
        <f>'Query Example'!D2843</f>
        <v>0</v>
      </c>
      <c r="C2843" s="11" t="str">
        <f>CONCATENATE(Sheet2!F2844,"/",Sheet2!E2844)</f>
        <v>/</v>
      </c>
      <c r="D2843" t="str">
        <f>CONCATENATE(Sheet2!B2844,", ",Sheet2!C2844)</f>
        <v xml:space="preserve">, </v>
      </c>
    </row>
    <row r="2844" spans="1:4" x14ac:dyDescent="0.2">
      <c r="A2844">
        <f>Sheet2!A2845</f>
        <v>0</v>
      </c>
      <c r="B2844">
        <f>'Query Example'!D2844</f>
        <v>0</v>
      </c>
      <c r="C2844" s="11" t="str">
        <f>CONCATENATE(Sheet2!F2845,"/",Sheet2!E2845)</f>
        <v>/</v>
      </c>
      <c r="D2844" t="str">
        <f>CONCATENATE(Sheet2!B2845,", ",Sheet2!C2845)</f>
        <v xml:space="preserve">, </v>
      </c>
    </row>
    <row r="2845" spans="1:4" x14ac:dyDescent="0.2">
      <c r="A2845">
        <f>Sheet2!A2846</f>
        <v>0</v>
      </c>
      <c r="B2845">
        <f>'Query Example'!D2845</f>
        <v>0</v>
      </c>
      <c r="C2845" s="11" t="str">
        <f>CONCATENATE(Sheet2!F2846,"/",Sheet2!E2846)</f>
        <v>/</v>
      </c>
      <c r="D2845" t="str">
        <f>CONCATENATE(Sheet2!B2846,", ",Sheet2!C2846)</f>
        <v xml:space="preserve">, </v>
      </c>
    </row>
    <row r="2846" spans="1:4" x14ac:dyDescent="0.2">
      <c r="A2846">
        <f>Sheet2!A2847</f>
        <v>0</v>
      </c>
      <c r="B2846">
        <f>'Query Example'!D2846</f>
        <v>0</v>
      </c>
      <c r="C2846" s="11" t="str">
        <f>CONCATENATE(Sheet2!F2847,"/",Sheet2!E2847)</f>
        <v>/</v>
      </c>
      <c r="D2846" t="str">
        <f>CONCATENATE(Sheet2!B2847,", ",Sheet2!C2847)</f>
        <v xml:space="preserve">, </v>
      </c>
    </row>
    <row r="2847" spans="1:4" x14ac:dyDescent="0.2">
      <c r="A2847">
        <f>Sheet2!A2848</f>
        <v>0</v>
      </c>
      <c r="B2847">
        <f>'Query Example'!D2847</f>
        <v>0</v>
      </c>
      <c r="C2847" s="11" t="str">
        <f>CONCATENATE(Sheet2!F2848,"/",Sheet2!E2848)</f>
        <v>/</v>
      </c>
      <c r="D2847" t="str">
        <f>CONCATENATE(Sheet2!B2848,", ",Sheet2!C2848)</f>
        <v xml:space="preserve">, </v>
      </c>
    </row>
    <row r="2848" spans="1:4" x14ac:dyDescent="0.2">
      <c r="A2848">
        <f>Sheet2!A2849</f>
        <v>0</v>
      </c>
      <c r="B2848">
        <f>'Query Example'!D2848</f>
        <v>0</v>
      </c>
      <c r="C2848" s="11" t="str">
        <f>CONCATENATE(Sheet2!F2849,"/",Sheet2!E2849)</f>
        <v>/</v>
      </c>
      <c r="D2848" t="str">
        <f>CONCATENATE(Sheet2!B2849,", ",Sheet2!C2849)</f>
        <v xml:space="preserve">, </v>
      </c>
    </row>
    <row r="2849" spans="1:4" x14ac:dyDescent="0.2">
      <c r="A2849">
        <f>Sheet2!A2850</f>
        <v>0</v>
      </c>
      <c r="B2849">
        <f>'Query Example'!D2849</f>
        <v>0</v>
      </c>
      <c r="C2849" s="11" t="str">
        <f>CONCATENATE(Sheet2!F2850,"/",Sheet2!E2850)</f>
        <v>/</v>
      </c>
      <c r="D2849" t="str">
        <f>CONCATENATE(Sheet2!B2850,", ",Sheet2!C2850)</f>
        <v xml:space="preserve">, </v>
      </c>
    </row>
    <row r="2850" spans="1:4" x14ac:dyDescent="0.2">
      <c r="A2850">
        <f>Sheet2!A2851</f>
        <v>0</v>
      </c>
      <c r="B2850">
        <f>'Query Example'!D2850</f>
        <v>0</v>
      </c>
      <c r="C2850" s="11" t="str">
        <f>CONCATENATE(Sheet2!F2851,"/",Sheet2!E2851)</f>
        <v>/</v>
      </c>
      <c r="D2850" t="str">
        <f>CONCATENATE(Sheet2!B2851,", ",Sheet2!C2851)</f>
        <v xml:space="preserve">, </v>
      </c>
    </row>
    <row r="2851" spans="1:4" x14ac:dyDescent="0.2">
      <c r="A2851">
        <f>Sheet2!A2852</f>
        <v>0</v>
      </c>
      <c r="B2851">
        <f>'Query Example'!D2851</f>
        <v>0</v>
      </c>
      <c r="C2851" s="11" t="str">
        <f>CONCATENATE(Sheet2!F2852,"/",Sheet2!E2852)</f>
        <v>/</v>
      </c>
      <c r="D2851" t="str">
        <f>CONCATENATE(Sheet2!B2852,", ",Sheet2!C2852)</f>
        <v xml:space="preserve">, </v>
      </c>
    </row>
    <row r="2852" spans="1:4" x14ac:dyDescent="0.2">
      <c r="A2852">
        <f>Sheet2!A2853</f>
        <v>0</v>
      </c>
      <c r="B2852">
        <f>'Query Example'!D2852</f>
        <v>0</v>
      </c>
      <c r="C2852" s="11" t="str">
        <f>CONCATENATE(Sheet2!F2853,"/",Sheet2!E2853)</f>
        <v>/</v>
      </c>
      <c r="D2852" t="str">
        <f>CONCATENATE(Sheet2!B2853,", ",Sheet2!C2853)</f>
        <v xml:space="preserve">, </v>
      </c>
    </row>
    <row r="2853" spans="1:4" x14ac:dyDescent="0.2">
      <c r="A2853">
        <f>Sheet2!A2854</f>
        <v>0</v>
      </c>
      <c r="B2853">
        <f>'Query Example'!D2853</f>
        <v>0</v>
      </c>
      <c r="C2853" s="11" t="str">
        <f>CONCATENATE(Sheet2!F2854,"/",Sheet2!E2854)</f>
        <v>/</v>
      </c>
      <c r="D2853" t="str">
        <f>CONCATENATE(Sheet2!B2854,", ",Sheet2!C2854)</f>
        <v xml:space="preserve">, </v>
      </c>
    </row>
    <row r="2854" spans="1:4" x14ac:dyDescent="0.2">
      <c r="A2854">
        <f>Sheet2!A2855</f>
        <v>0</v>
      </c>
      <c r="B2854">
        <f>'Query Example'!D2854</f>
        <v>0</v>
      </c>
      <c r="C2854" s="11" t="str">
        <f>CONCATENATE(Sheet2!F2855,"/",Sheet2!E2855)</f>
        <v>/</v>
      </c>
      <c r="D2854" t="str">
        <f>CONCATENATE(Sheet2!B2855,", ",Sheet2!C2855)</f>
        <v xml:space="preserve">, </v>
      </c>
    </row>
    <row r="2855" spans="1:4" x14ac:dyDescent="0.2">
      <c r="A2855">
        <f>Sheet2!A2856</f>
        <v>0</v>
      </c>
      <c r="B2855">
        <f>'Query Example'!D2855</f>
        <v>0</v>
      </c>
      <c r="C2855" s="11" t="str">
        <f>CONCATENATE(Sheet2!F2856,"/",Sheet2!E2856)</f>
        <v>/</v>
      </c>
      <c r="D2855" t="str">
        <f>CONCATENATE(Sheet2!B2856,", ",Sheet2!C2856)</f>
        <v xml:space="preserve">, </v>
      </c>
    </row>
    <row r="2856" spans="1:4" x14ac:dyDescent="0.2">
      <c r="A2856">
        <f>Sheet2!A2857</f>
        <v>0</v>
      </c>
      <c r="B2856">
        <f>'Query Example'!D2856</f>
        <v>0</v>
      </c>
      <c r="C2856" s="11" t="str">
        <f>CONCATENATE(Sheet2!F2857,"/",Sheet2!E2857)</f>
        <v>/</v>
      </c>
      <c r="D2856" t="str">
        <f>CONCATENATE(Sheet2!B2857,", ",Sheet2!C2857)</f>
        <v xml:space="preserve">, </v>
      </c>
    </row>
    <row r="2857" spans="1:4" x14ac:dyDescent="0.2">
      <c r="A2857">
        <f>Sheet2!A2858</f>
        <v>0</v>
      </c>
      <c r="B2857">
        <f>'Query Example'!D2857</f>
        <v>0</v>
      </c>
      <c r="C2857" s="11" t="str">
        <f>CONCATENATE(Sheet2!F2858,"/",Sheet2!E2858)</f>
        <v>/</v>
      </c>
      <c r="D2857" t="str">
        <f>CONCATENATE(Sheet2!B2858,", ",Sheet2!C2858)</f>
        <v xml:space="preserve">, </v>
      </c>
    </row>
    <row r="2858" spans="1:4" x14ac:dyDescent="0.2">
      <c r="A2858">
        <f>Sheet2!A2859</f>
        <v>0</v>
      </c>
      <c r="B2858">
        <f>'Query Example'!D2858</f>
        <v>0</v>
      </c>
      <c r="C2858" s="11" t="str">
        <f>CONCATENATE(Sheet2!F2859,"/",Sheet2!E2859)</f>
        <v>/</v>
      </c>
      <c r="D2858" t="str">
        <f>CONCATENATE(Sheet2!B2859,", ",Sheet2!C2859)</f>
        <v xml:space="preserve">, </v>
      </c>
    </row>
    <row r="2859" spans="1:4" x14ac:dyDescent="0.2">
      <c r="A2859">
        <f>Sheet2!A2860</f>
        <v>0</v>
      </c>
      <c r="B2859">
        <f>'Query Example'!D2859</f>
        <v>0</v>
      </c>
      <c r="C2859" s="11" t="str">
        <f>CONCATENATE(Sheet2!F2860,"/",Sheet2!E2860)</f>
        <v>/</v>
      </c>
      <c r="D2859" t="str">
        <f>CONCATENATE(Sheet2!B2860,", ",Sheet2!C2860)</f>
        <v xml:space="preserve">, </v>
      </c>
    </row>
    <row r="2860" spans="1:4" x14ac:dyDescent="0.2">
      <c r="A2860">
        <f>Sheet2!A2861</f>
        <v>0</v>
      </c>
      <c r="B2860">
        <f>'Query Example'!D2860</f>
        <v>0</v>
      </c>
      <c r="C2860" s="11" t="str">
        <f>CONCATENATE(Sheet2!F2861,"/",Sheet2!E2861)</f>
        <v>/</v>
      </c>
      <c r="D2860" t="str">
        <f>CONCATENATE(Sheet2!B2861,", ",Sheet2!C2861)</f>
        <v xml:space="preserve">, </v>
      </c>
    </row>
    <row r="2861" spans="1:4" x14ac:dyDescent="0.2">
      <c r="A2861">
        <f>Sheet2!A2862</f>
        <v>0</v>
      </c>
      <c r="B2861">
        <f>'Query Example'!D2861</f>
        <v>0</v>
      </c>
      <c r="C2861" s="11" t="str">
        <f>CONCATENATE(Sheet2!F2862,"/",Sheet2!E2862)</f>
        <v>/</v>
      </c>
      <c r="D2861" t="str">
        <f>CONCATENATE(Sheet2!B2862,", ",Sheet2!C2862)</f>
        <v xml:space="preserve">, </v>
      </c>
    </row>
    <row r="2862" spans="1:4" x14ac:dyDescent="0.2">
      <c r="A2862">
        <f>Sheet2!A2863</f>
        <v>0</v>
      </c>
      <c r="B2862">
        <f>'Query Example'!D2862</f>
        <v>0</v>
      </c>
      <c r="C2862" s="11" t="str">
        <f>CONCATENATE(Sheet2!F2863,"/",Sheet2!E2863)</f>
        <v>/</v>
      </c>
      <c r="D2862" t="str">
        <f>CONCATENATE(Sheet2!B2863,", ",Sheet2!C2863)</f>
        <v xml:space="preserve">, </v>
      </c>
    </row>
    <row r="2863" spans="1:4" x14ac:dyDescent="0.2">
      <c r="A2863">
        <f>Sheet2!A2864</f>
        <v>0</v>
      </c>
      <c r="B2863">
        <f>'Query Example'!D2863</f>
        <v>0</v>
      </c>
      <c r="C2863" s="11" t="str">
        <f>CONCATENATE(Sheet2!F2864,"/",Sheet2!E2864)</f>
        <v>/</v>
      </c>
      <c r="D2863" t="str">
        <f>CONCATENATE(Sheet2!B2864,", ",Sheet2!C2864)</f>
        <v xml:space="preserve">, </v>
      </c>
    </row>
    <row r="2864" spans="1:4" x14ac:dyDescent="0.2">
      <c r="A2864">
        <f>Sheet2!A2865</f>
        <v>0</v>
      </c>
      <c r="B2864">
        <f>'Query Example'!D2864</f>
        <v>0</v>
      </c>
      <c r="C2864" s="11" t="str">
        <f>CONCATENATE(Sheet2!F2865,"/",Sheet2!E2865)</f>
        <v>/</v>
      </c>
      <c r="D2864" t="str">
        <f>CONCATENATE(Sheet2!B2865,", ",Sheet2!C2865)</f>
        <v xml:space="preserve">, </v>
      </c>
    </row>
    <row r="2865" spans="1:4" x14ac:dyDescent="0.2">
      <c r="A2865">
        <f>Sheet2!A2866</f>
        <v>0</v>
      </c>
      <c r="B2865">
        <f>'Query Example'!D2865</f>
        <v>0</v>
      </c>
      <c r="C2865" s="11" t="str">
        <f>CONCATENATE(Sheet2!F2866,"/",Sheet2!E2866)</f>
        <v>/</v>
      </c>
      <c r="D2865" t="str">
        <f>CONCATENATE(Sheet2!B2866,", ",Sheet2!C2866)</f>
        <v xml:space="preserve">, </v>
      </c>
    </row>
    <row r="2866" spans="1:4" x14ac:dyDescent="0.2">
      <c r="A2866">
        <f>Sheet2!A2867</f>
        <v>0</v>
      </c>
      <c r="B2866">
        <f>'Query Example'!D2866</f>
        <v>0</v>
      </c>
      <c r="C2866" s="11" t="str">
        <f>CONCATENATE(Sheet2!F2867,"/",Sheet2!E2867)</f>
        <v>/</v>
      </c>
      <c r="D2866" t="str">
        <f>CONCATENATE(Sheet2!B2867,", ",Sheet2!C2867)</f>
        <v xml:space="preserve">, </v>
      </c>
    </row>
    <row r="2867" spans="1:4" x14ac:dyDescent="0.2">
      <c r="A2867">
        <f>Sheet2!A2868</f>
        <v>0</v>
      </c>
      <c r="B2867">
        <f>'Query Example'!D2867</f>
        <v>0</v>
      </c>
      <c r="C2867" s="11" t="str">
        <f>CONCATENATE(Sheet2!F2868,"/",Sheet2!E2868)</f>
        <v>/</v>
      </c>
      <c r="D2867" t="str">
        <f>CONCATENATE(Sheet2!B2868,", ",Sheet2!C2868)</f>
        <v xml:space="preserve">, </v>
      </c>
    </row>
    <row r="2868" spans="1:4" x14ac:dyDescent="0.2">
      <c r="A2868">
        <f>Sheet2!A2869</f>
        <v>0</v>
      </c>
      <c r="B2868">
        <f>'Query Example'!D2868</f>
        <v>0</v>
      </c>
      <c r="C2868" s="11" t="str">
        <f>CONCATENATE(Sheet2!F2869,"/",Sheet2!E2869)</f>
        <v>/</v>
      </c>
      <c r="D2868" t="str">
        <f>CONCATENATE(Sheet2!B2869,", ",Sheet2!C2869)</f>
        <v xml:space="preserve">, </v>
      </c>
    </row>
    <row r="2869" spans="1:4" x14ac:dyDescent="0.2">
      <c r="A2869">
        <f>Sheet2!A2870</f>
        <v>0</v>
      </c>
      <c r="B2869">
        <f>'Query Example'!D2869</f>
        <v>0</v>
      </c>
      <c r="C2869" s="11" t="str">
        <f>CONCATENATE(Sheet2!F2870,"/",Sheet2!E2870)</f>
        <v>/</v>
      </c>
      <c r="D2869" t="str">
        <f>CONCATENATE(Sheet2!B2870,", ",Sheet2!C2870)</f>
        <v xml:space="preserve">, </v>
      </c>
    </row>
    <row r="2870" spans="1:4" x14ac:dyDescent="0.2">
      <c r="A2870">
        <f>Sheet2!A2871</f>
        <v>0</v>
      </c>
      <c r="B2870">
        <f>'Query Example'!D2870</f>
        <v>0</v>
      </c>
      <c r="C2870" s="11" t="str">
        <f>CONCATENATE(Sheet2!F2871,"/",Sheet2!E2871)</f>
        <v>/</v>
      </c>
      <c r="D2870" t="str">
        <f>CONCATENATE(Sheet2!B2871,", ",Sheet2!C2871)</f>
        <v xml:space="preserve">, </v>
      </c>
    </row>
    <row r="2871" spans="1:4" x14ac:dyDescent="0.2">
      <c r="A2871">
        <f>Sheet2!A2872</f>
        <v>0</v>
      </c>
      <c r="B2871">
        <f>'Query Example'!D2871</f>
        <v>0</v>
      </c>
      <c r="C2871" s="11" t="str">
        <f>CONCATENATE(Sheet2!F2872,"/",Sheet2!E2872)</f>
        <v>/</v>
      </c>
      <c r="D2871" t="str">
        <f>CONCATENATE(Sheet2!B2872,", ",Sheet2!C2872)</f>
        <v xml:space="preserve">, </v>
      </c>
    </row>
    <row r="2872" spans="1:4" x14ac:dyDescent="0.2">
      <c r="A2872">
        <f>Sheet2!A2873</f>
        <v>0</v>
      </c>
      <c r="B2872">
        <f>'Query Example'!D2872</f>
        <v>0</v>
      </c>
      <c r="C2872" s="11" t="str">
        <f>CONCATENATE(Sheet2!F2873,"/",Sheet2!E2873)</f>
        <v>/</v>
      </c>
      <c r="D2872" t="str">
        <f>CONCATENATE(Sheet2!B2873,", ",Sheet2!C2873)</f>
        <v xml:space="preserve">, </v>
      </c>
    </row>
    <row r="2873" spans="1:4" x14ac:dyDescent="0.2">
      <c r="A2873">
        <f>Sheet2!A2874</f>
        <v>0</v>
      </c>
      <c r="B2873">
        <f>'Query Example'!D2873</f>
        <v>0</v>
      </c>
      <c r="C2873" s="11" t="str">
        <f>CONCATENATE(Sheet2!F2874,"/",Sheet2!E2874)</f>
        <v>/</v>
      </c>
      <c r="D2873" t="str">
        <f>CONCATENATE(Sheet2!B2874,", ",Sheet2!C2874)</f>
        <v xml:space="preserve">, </v>
      </c>
    </row>
    <row r="2874" spans="1:4" x14ac:dyDescent="0.2">
      <c r="A2874">
        <f>Sheet2!A2875</f>
        <v>0</v>
      </c>
      <c r="B2874">
        <f>'Query Example'!D2874</f>
        <v>0</v>
      </c>
      <c r="C2874" s="11" t="str">
        <f>CONCATENATE(Sheet2!F2875,"/",Sheet2!E2875)</f>
        <v>/</v>
      </c>
      <c r="D2874" t="str">
        <f>CONCATENATE(Sheet2!B2875,", ",Sheet2!C2875)</f>
        <v xml:space="preserve">, </v>
      </c>
    </row>
    <row r="2875" spans="1:4" x14ac:dyDescent="0.2">
      <c r="A2875">
        <f>Sheet2!A2876</f>
        <v>0</v>
      </c>
      <c r="B2875">
        <f>'Query Example'!D2875</f>
        <v>0</v>
      </c>
      <c r="C2875" s="11" t="str">
        <f>CONCATENATE(Sheet2!F2876,"/",Sheet2!E2876)</f>
        <v>/</v>
      </c>
      <c r="D2875" t="str">
        <f>CONCATENATE(Sheet2!B2876,", ",Sheet2!C2876)</f>
        <v xml:space="preserve">, </v>
      </c>
    </row>
    <row r="2876" spans="1:4" x14ac:dyDescent="0.2">
      <c r="A2876">
        <f>Sheet2!A2877</f>
        <v>0</v>
      </c>
      <c r="B2876">
        <f>'Query Example'!D2876</f>
        <v>0</v>
      </c>
      <c r="C2876" s="11" t="str">
        <f>CONCATENATE(Sheet2!F2877,"/",Sheet2!E2877)</f>
        <v>/</v>
      </c>
      <c r="D2876" t="str">
        <f>CONCATENATE(Sheet2!B2877,", ",Sheet2!C2877)</f>
        <v xml:space="preserve">, </v>
      </c>
    </row>
    <row r="2877" spans="1:4" x14ac:dyDescent="0.2">
      <c r="A2877">
        <f>Sheet2!A2878</f>
        <v>0</v>
      </c>
      <c r="B2877">
        <f>'Query Example'!D2877</f>
        <v>0</v>
      </c>
      <c r="C2877" s="11" t="str">
        <f>CONCATENATE(Sheet2!F2878,"/",Sheet2!E2878)</f>
        <v>/</v>
      </c>
      <c r="D2877" t="str">
        <f>CONCATENATE(Sheet2!B2878,", ",Sheet2!C2878)</f>
        <v xml:space="preserve">, </v>
      </c>
    </row>
    <row r="2878" spans="1:4" x14ac:dyDescent="0.2">
      <c r="A2878">
        <f>Sheet2!A2879</f>
        <v>0</v>
      </c>
      <c r="B2878">
        <f>'Query Example'!D2878</f>
        <v>0</v>
      </c>
      <c r="C2878" s="11" t="str">
        <f>CONCATENATE(Sheet2!F2879,"/",Sheet2!E2879)</f>
        <v>/</v>
      </c>
      <c r="D2878" t="str">
        <f>CONCATENATE(Sheet2!B2879,", ",Sheet2!C2879)</f>
        <v xml:space="preserve">, </v>
      </c>
    </row>
    <row r="2879" spans="1:4" x14ac:dyDescent="0.2">
      <c r="A2879">
        <f>Sheet2!A2880</f>
        <v>0</v>
      </c>
      <c r="B2879">
        <f>'Query Example'!D2879</f>
        <v>0</v>
      </c>
      <c r="C2879" s="11" t="str">
        <f>CONCATENATE(Sheet2!F2880,"/",Sheet2!E2880)</f>
        <v>/</v>
      </c>
      <c r="D2879" t="str">
        <f>CONCATENATE(Sheet2!B2880,", ",Sheet2!C2880)</f>
        <v xml:space="preserve">, </v>
      </c>
    </row>
    <row r="2880" spans="1:4" x14ac:dyDescent="0.2">
      <c r="A2880">
        <f>Sheet2!A2881</f>
        <v>0</v>
      </c>
      <c r="B2880">
        <f>'Query Example'!D2880</f>
        <v>0</v>
      </c>
      <c r="C2880" s="11" t="str">
        <f>CONCATENATE(Sheet2!F2881,"/",Sheet2!E2881)</f>
        <v>/</v>
      </c>
      <c r="D2880" t="str">
        <f>CONCATENATE(Sheet2!B2881,", ",Sheet2!C2881)</f>
        <v xml:space="preserve">, </v>
      </c>
    </row>
    <row r="2881" spans="1:4" x14ac:dyDescent="0.2">
      <c r="A2881">
        <f>Sheet2!A2882</f>
        <v>0</v>
      </c>
      <c r="B2881">
        <f>'Query Example'!D2881</f>
        <v>0</v>
      </c>
      <c r="C2881" s="11" t="str">
        <f>CONCATENATE(Sheet2!F2882,"/",Sheet2!E2882)</f>
        <v>/</v>
      </c>
      <c r="D2881" t="str">
        <f>CONCATENATE(Sheet2!B2882,", ",Sheet2!C2882)</f>
        <v xml:space="preserve">, </v>
      </c>
    </row>
    <row r="2882" spans="1:4" x14ac:dyDescent="0.2">
      <c r="A2882">
        <f>Sheet2!A2883</f>
        <v>0</v>
      </c>
      <c r="B2882">
        <f>'Query Example'!D2882</f>
        <v>0</v>
      </c>
      <c r="C2882" s="11" t="str">
        <f>CONCATENATE(Sheet2!F2883,"/",Sheet2!E2883)</f>
        <v>/</v>
      </c>
      <c r="D2882" t="str">
        <f>CONCATENATE(Sheet2!B2883,", ",Sheet2!C2883)</f>
        <v xml:space="preserve">, </v>
      </c>
    </row>
    <row r="2883" spans="1:4" x14ac:dyDescent="0.2">
      <c r="A2883">
        <f>Sheet2!A2884</f>
        <v>0</v>
      </c>
      <c r="B2883">
        <f>'Query Example'!D2883</f>
        <v>0</v>
      </c>
      <c r="C2883" s="11" t="str">
        <f>CONCATENATE(Sheet2!F2884,"/",Sheet2!E2884)</f>
        <v>/</v>
      </c>
      <c r="D2883" t="str">
        <f>CONCATENATE(Sheet2!B2884,", ",Sheet2!C2884)</f>
        <v xml:space="preserve">, </v>
      </c>
    </row>
    <row r="2884" spans="1:4" x14ac:dyDescent="0.2">
      <c r="A2884">
        <f>Sheet2!A2885</f>
        <v>0</v>
      </c>
      <c r="B2884">
        <f>'Query Example'!D2884</f>
        <v>0</v>
      </c>
      <c r="C2884" s="11" t="str">
        <f>CONCATENATE(Sheet2!F2885,"/",Sheet2!E2885)</f>
        <v>/</v>
      </c>
      <c r="D2884" t="str">
        <f>CONCATENATE(Sheet2!B2885,", ",Sheet2!C2885)</f>
        <v xml:space="preserve">, </v>
      </c>
    </row>
    <row r="2885" spans="1:4" x14ac:dyDescent="0.2">
      <c r="A2885">
        <f>Sheet2!A2886</f>
        <v>0</v>
      </c>
      <c r="B2885">
        <f>'Query Example'!D2885</f>
        <v>0</v>
      </c>
      <c r="C2885" s="11" t="str">
        <f>CONCATENATE(Sheet2!F2886,"/",Sheet2!E2886)</f>
        <v>/</v>
      </c>
      <c r="D2885" t="str">
        <f>CONCATENATE(Sheet2!B2886,", ",Sheet2!C2886)</f>
        <v xml:space="preserve">, </v>
      </c>
    </row>
    <row r="2886" spans="1:4" x14ac:dyDescent="0.2">
      <c r="A2886">
        <f>Sheet2!A2887</f>
        <v>0</v>
      </c>
      <c r="B2886">
        <f>'Query Example'!D2886</f>
        <v>0</v>
      </c>
      <c r="C2886" s="11" t="str">
        <f>CONCATENATE(Sheet2!F2887,"/",Sheet2!E2887)</f>
        <v>/</v>
      </c>
      <c r="D2886" t="str">
        <f>CONCATENATE(Sheet2!B2887,", ",Sheet2!C2887)</f>
        <v xml:space="preserve">, </v>
      </c>
    </row>
    <row r="2887" spans="1:4" x14ac:dyDescent="0.2">
      <c r="A2887">
        <f>Sheet2!A2888</f>
        <v>0</v>
      </c>
      <c r="B2887">
        <f>'Query Example'!D2887</f>
        <v>0</v>
      </c>
      <c r="C2887" s="11" t="str">
        <f>CONCATENATE(Sheet2!F2888,"/",Sheet2!E2888)</f>
        <v>/</v>
      </c>
      <c r="D2887" t="str">
        <f>CONCATENATE(Sheet2!B2888,", ",Sheet2!C2888)</f>
        <v xml:space="preserve">, </v>
      </c>
    </row>
    <row r="2888" spans="1:4" x14ac:dyDescent="0.2">
      <c r="A2888">
        <f>Sheet2!A2889</f>
        <v>0</v>
      </c>
      <c r="B2888">
        <f>'Query Example'!D2888</f>
        <v>0</v>
      </c>
      <c r="C2888" s="11" t="str">
        <f>CONCATENATE(Sheet2!F2889,"/",Sheet2!E2889)</f>
        <v>/</v>
      </c>
      <c r="D2888" t="str">
        <f>CONCATENATE(Sheet2!B2889,", ",Sheet2!C2889)</f>
        <v xml:space="preserve">, </v>
      </c>
    </row>
    <row r="2889" spans="1:4" x14ac:dyDescent="0.2">
      <c r="A2889">
        <f>Sheet2!A2890</f>
        <v>0</v>
      </c>
      <c r="B2889">
        <f>'Query Example'!D2889</f>
        <v>0</v>
      </c>
      <c r="C2889" s="11" t="str">
        <f>CONCATENATE(Sheet2!F2890,"/",Sheet2!E2890)</f>
        <v>/</v>
      </c>
      <c r="D2889" t="str">
        <f>CONCATENATE(Sheet2!B2890,", ",Sheet2!C2890)</f>
        <v xml:space="preserve">, </v>
      </c>
    </row>
    <row r="2890" spans="1:4" x14ac:dyDescent="0.2">
      <c r="A2890">
        <f>Sheet2!A2891</f>
        <v>0</v>
      </c>
      <c r="B2890">
        <f>'Query Example'!D2890</f>
        <v>0</v>
      </c>
      <c r="C2890" s="11" t="str">
        <f>CONCATENATE(Sheet2!F2891,"/",Sheet2!E2891)</f>
        <v>/</v>
      </c>
      <c r="D2890" t="str">
        <f>CONCATENATE(Sheet2!B2891,", ",Sheet2!C2891)</f>
        <v xml:space="preserve">, </v>
      </c>
    </row>
    <row r="2891" spans="1:4" x14ac:dyDescent="0.2">
      <c r="A2891">
        <f>Sheet2!A2892</f>
        <v>0</v>
      </c>
      <c r="B2891">
        <f>'Query Example'!D2891</f>
        <v>0</v>
      </c>
      <c r="C2891" s="11" t="str">
        <f>CONCATENATE(Sheet2!F2892,"/",Sheet2!E2892)</f>
        <v>/</v>
      </c>
      <c r="D2891" t="str">
        <f>CONCATENATE(Sheet2!B2892,", ",Sheet2!C2892)</f>
        <v xml:space="preserve">, </v>
      </c>
    </row>
    <row r="2892" spans="1:4" x14ac:dyDescent="0.2">
      <c r="A2892">
        <f>Sheet2!A2893</f>
        <v>0</v>
      </c>
      <c r="B2892">
        <f>'Query Example'!D2892</f>
        <v>0</v>
      </c>
      <c r="C2892" s="11" t="str">
        <f>CONCATENATE(Sheet2!F2893,"/",Sheet2!E2893)</f>
        <v>/</v>
      </c>
      <c r="D2892" t="str">
        <f>CONCATENATE(Sheet2!B2893,", ",Sheet2!C2893)</f>
        <v xml:space="preserve">, </v>
      </c>
    </row>
    <row r="2893" spans="1:4" x14ac:dyDescent="0.2">
      <c r="A2893">
        <f>Sheet2!A2894</f>
        <v>0</v>
      </c>
      <c r="B2893">
        <f>'Query Example'!D2893</f>
        <v>0</v>
      </c>
      <c r="C2893" s="11" t="str">
        <f>CONCATENATE(Sheet2!F2894,"/",Sheet2!E2894)</f>
        <v>/</v>
      </c>
      <c r="D2893" t="str">
        <f>CONCATENATE(Sheet2!B2894,", ",Sheet2!C2894)</f>
        <v xml:space="preserve">, </v>
      </c>
    </row>
    <row r="2894" spans="1:4" x14ac:dyDescent="0.2">
      <c r="A2894">
        <f>Sheet2!A2895</f>
        <v>0</v>
      </c>
      <c r="B2894">
        <f>'Query Example'!D2894</f>
        <v>0</v>
      </c>
      <c r="C2894" s="11" t="str">
        <f>CONCATENATE(Sheet2!F2895,"/",Sheet2!E2895)</f>
        <v>/</v>
      </c>
      <c r="D2894" t="str">
        <f>CONCATENATE(Sheet2!B2895,", ",Sheet2!C2895)</f>
        <v xml:space="preserve">, </v>
      </c>
    </row>
    <row r="2895" spans="1:4" x14ac:dyDescent="0.2">
      <c r="A2895">
        <f>Sheet2!A2896</f>
        <v>0</v>
      </c>
      <c r="B2895">
        <f>'Query Example'!D2895</f>
        <v>0</v>
      </c>
      <c r="C2895" s="11" t="str">
        <f>CONCATENATE(Sheet2!F2896,"/",Sheet2!E2896)</f>
        <v>/</v>
      </c>
      <c r="D2895" t="str">
        <f>CONCATENATE(Sheet2!B2896,", ",Sheet2!C2896)</f>
        <v xml:space="preserve">, </v>
      </c>
    </row>
    <row r="2896" spans="1:4" x14ac:dyDescent="0.2">
      <c r="A2896">
        <f>Sheet2!A2897</f>
        <v>0</v>
      </c>
      <c r="B2896">
        <f>'Query Example'!D2896</f>
        <v>0</v>
      </c>
      <c r="C2896" s="11" t="str">
        <f>CONCATENATE(Sheet2!F2897,"/",Sheet2!E2897)</f>
        <v>/</v>
      </c>
      <c r="D2896" t="str">
        <f>CONCATENATE(Sheet2!B2897,", ",Sheet2!C2897)</f>
        <v xml:space="preserve">, </v>
      </c>
    </row>
    <row r="2897" spans="1:4" x14ac:dyDescent="0.2">
      <c r="A2897">
        <f>Sheet2!A2898</f>
        <v>0</v>
      </c>
      <c r="B2897">
        <f>'Query Example'!D2897</f>
        <v>0</v>
      </c>
      <c r="C2897" s="11" t="str">
        <f>CONCATENATE(Sheet2!F2898,"/",Sheet2!E2898)</f>
        <v>/</v>
      </c>
      <c r="D2897" t="str">
        <f>CONCATENATE(Sheet2!B2898,", ",Sheet2!C2898)</f>
        <v xml:space="preserve">, </v>
      </c>
    </row>
    <row r="2898" spans="1:4" x14ac:dyDescent="0.2">
      <c r="A2898">
        <f>Sheet2!A2899</f>
        <v>0</v>
      </c>
      <c r="B2898">
        <f>'Query Example'!D2898</f>
        <v>0</v>
      </c>
      <c r="C2898" s="11" t="str">
        <f>CONCATENATE(Sheet2!F2899,"/",Sheet2!E2899)</f>
        <v>/</v>
      </c>
      <c r="D2898" t="str">
        <f>CONCATENATE(Sheet2!B2899,", ",Sheet2!C2899)</f>
        <v xml:space="preserve">, </v>
      </c>
    </row>
    <row r="2899" spans="1:4" x14ac:dyDescent="0.2">
      <c r="A2899">
        <f>Sheet2!A2900</f>
        <v>0</v>
      </c>
      <c r="B2899">
        <f>'Query Example'!D2899</f>
        <v>0</v>
      </c>
      <c r="C2899" s="11" t="str">
        <f>CONCATENATE(Sheet2!F2900,"/",Sheet2!E2900)</f>
        <v>/</v>
      </c>
      <c r="D2899" t="str">
        <f>CONCATENATE(Sheet2!B2900,", ",Sheet2!C2900)</f>
        <v xml:space="preserve">, </v>
      </c>
    </row>
    <row r="2900" spans="1:4" x14ac:dyDescent="0.2">
      <c r="A2900">
        <f>Sheet2!A2901</f>
        <v>0</v>
      </c>
      <c r="B2900">
        <f>'Query Example'!D2900</f>
        <v>0</v>
      </c>
      <c r="C2900" s="11" t="str">
        <f>CONCATENATE(Sheet2!F2901,"/",Sheet2!E2901)</f>
        <v>/</v>
      </c>
      <c r="D2900" t="str">
        <f>CONCATENATE(Sheet2!B2901,", ",Sheet2!C2901)</f>
        <v xml:space="preserve">, </v>
      </c>
    </row>
    <row r="2901" spans="1:4" x14ac:dyDescent="0.2">
      <c r="A2901">
        <f>Sheet2!A2902</f>
        <v>0</v>
      </c>
      <c r="B2901">
        <f>'Query Example'!D2901</f>
        <v>0</v>
      </c>
      <c r="C2901" s="11" t="str">
        <f>CONCATENATE(Sheet2!F2902,"/",Sheet2!E2902)</f>
        <v>/</v>
      </c>
      <c r="D2901" t="str">
        <f>CONCATENATE(Sheet2!B2902,", ",Sheet2!C2902)</f>
        <v xml:space="preserve">, </v>
      </c>
    </row>
    <row r="2902" spans="1:4" x14ac:dyDescent="0.2">
      <c r="A2902">
        <f>Sheet2!A2903</f>
        <v>0</v>
      </c>
      <c r="B2902">
        <f>'Query Example'!D2902</f>
        <v>0</v>
      </c>
      <c r="C2902" s="11" t="str">
        <f>CONCATENATE(Sheet2!F2903,"/",Sheet2!E2903)</f>
        <v>/</v>
      </c>
      <c r="D2902" t="str">
        <f>CONCATENATE(Sheet2!B2903,", ",Sheet2!C2903)</f>
        <v xml:space="preserve">, </v>
      </c>
    </row>
    <row r="2903" spans="1:4" x14ac:dyDescent="0.2">
      <c r="A2903">
        <f>Sheet2!A2904</f>
        <v>0</v>
      </c>
      <c r="B2903">
        <f>'Query Example'!D2903</f>
        <v>0</v>
      </c>
      <c r="C2903" s="11" t="str">
        <f>CONCATENATE(Sheet2!F2904,"/",Sheet2!E2904)</f>
        <v>/</v>
      </c>
      <c r="D2903" t="str">
        <f>CONCATENATE(Sheet2!B2904,", ",Sheet2!C2904)</f>
        <v xml:space="preserve">, </v>
      </c>
    </row>
    <row r="2904" spans="1:4" x14ac:dyDescent="0.2">
      <c r="A2904">
        <f>Sheet2!A2905</f>
        <v>0</v>
      </c>
      <c r="B2904">
        <f>'Query Example'!D2904</f>
        <v>0</v>
      </c>
      <c r="C2904" s="11" t="str">
        <f>CONCATENATE(Sheet2!F2905,"/",Sheet2!E2905)</f>
        <v>/</v>
      </c>
      <c r="D2904" t="str">
        <f>CONCATENATE(Sheet2!B2905,", ",Sheet2!C2905)</f>
        <v xml:space="preserve">, </v>
      </c>
    </row>
    <row r="2905" spans="1:4" x14ac:dyDescent="0.2">
      <c r="A2905">
        <f>Sheet2!A2906</f>
        <v>0</v>
      </c>
      <c r="B2905">
        <f>'Query Example'!D2905</f>
        <v>0</v>
      </c>
      <c r="C2905" s="11" t="str">
        <f>CONCATENATE(Sheet2!F2906,"/",Sheet2!E2906)</f>
        <v>/</v>
      </c>
      <c r="D2905" t="str">
        <f>CONCATENATE(Sheet2!B2906,", ",Sheet2!C2906)</f>
        <v xml:space="preserve">, </v>
      </c>
    </row>
    <row r="2906" spans="1:4" x14ac:dyDescent="0.2">
      <c r="A2906">
        <f>Sheet2!A2907</f>
        <v>0</v>
      </c>
      <c r="B2906">
        <f>'Query Example'!D2906</f>
        <v>0</v>
      </c>
      <c r="C2906" s="11" t="str">
        <f>CONCATENATE(Sheet2!F2907,"/",Sheet2!E2907)</f>
        <v>/</v>
      </c>
      <c r="D2906" t="str">
        <f>CONCATENATE(Sheet2!B2907,", ",Sheet2!C2907)</f>
        <v xml:space="preserve">, </v>
      </c>
    </row>
    <row r="2907" spans="1:4" x14ac:dyDescent="0.2">
      <c r="A2907">
        <f>Sheet2!A2908</f>
        <v>0</v>
      </c>
      <c r="B2907">
        <f>'Query Example'!D2907</f>
        <v>0</v>
      </c>
      <c r="C2907" s="11" t="str">
        <f>CONCATENATE(Sheet2!F2908,"/",Sheet2!E2908)</f>
        <v>/</v>
      </c>
      <c r="D2907" t="str">
        <f>CONCATENATE(Sheet2!B2908,", ",Sheet2!C2908)</f>
        <v xml:space="preserve">, </v>
      </c>
    </row>
    <row r="2908" spans="1:4" x14ac:dyDescent="0.2">
      <c r="A2908">
        <f>Sheet2!A2909</f>
        <v>0</v>
      </c>
      <c r="B2908">
        <f>'Query Example'!D2908</f>
        <v>0</v>
      </c>
      <c r="C2908" s="11" t="str">
        <f>CONCATENATE(Sheet2!F2909,"/",Sheet2!E2909)</f>
        <v>/</v>
      </c>
      <c r="D2908" t="str">
        <f>CONCATENATE(Sheet2!B2909,", ",Sheet2!C2909)</f>
        <v xml:space="preserve">, </v>
      </c>
    </row>
    <row r="2909" spans="1:4" x14ac:dyDescent="0.2">
      <c r="A2909">
        <f>Sheet2!A2910</f>
        <v>0</v>
      </c>
      <c r="B2909">
        <f>'Query Example'!D2909</f>
        <v>0</v>
      </c>
      <c r="C2909" s="11" t="str">
        <f>CONCATENATE(Sheet2!F2910,"/",Sheet2!E2910)</f>
        <v>/</v>
      </c>
      <c r="D2909" t="str">
        <f>CONCATENATE(Sheet2!B2910,", ",Sheet2!C2910)</f>
        <v xml:space="preserve">, </v>
      </c>
    </row>
    <row r="2910" spans="1:4" x14ac:dyDescent="0.2">
      <c r="A2910">
        <f>Sheet2!A2911</f>
        <v>0</v>
      </c>
      <c r="B2910">
        <f>'Query Example'!D2910</f>
        <v>0</v>
      </c>
      <c r="C2910" s="11" t="str">
        <f>CONCATENATE(Sheet2!F2911,"/",Sheet2!E2911)</f>
        <v>/</v>
      </c>
      <c r="D2910" t="str">
        <f>CONCATENATE(Sheet2!B2911,", ",Sheet2!C2911)</f>
        <v xml:space="preserve">, </v>
      </c>
    </row>
    <row r="2911" spans="1:4" x14ac:dyDescent="0.2">
      <c r="A2911">
        <f>Sheet2!A2912</f>
        <v>0</v>
      </c>
      <c r="B2911">
        <f>'Query Example'!D2911</f>
        <v>0</v>
      </c>
      <c r="C2911" s="11" t="str">
        <f>CONCATENATE(Sheet2!F2912,"/",Sheet2!E2912)</f>
        <v>/</v>
      </c>
      <c r="D2911" t="str">
        <f>CONCATENATE(Sheet2!B2912,", ",Sheet2!C2912)</f>
        <v xml:space="preserve">, </v>
      </c>
    </row>
    <row r="2912" spans="1:4" x14ac:dyDescent="0.2">
      <c r="A2912">
        <f>Sheet2!A2913</f>
        <v>0</v>
      </c>
      <c r="B2912">
        <f>'Query Example'!D2912</f>
        <v>0</v>
      </c>
      <c r="C2912" s="11" t="str">
        <f>CONCATENATE(Sheet2!F2913,"/",Sheet2!E2913)</f>
        <v>/</v>
      </c>
      <c r="D2912" t="str">
        <f>CONCATENATE(Sheet2!B2913,", ",Sheet2!C2913)</f>
        <v xml:space="preserve">, </v>
      </c>
    </row>
    <row r="2913" spans="1:4" x14ac:dyDescent="0.2">
      <c r="A2913">
        <f>Sheet2!A2914</f>
        <v>0</v>
      </c>
      <c r="B2913">
        <f>'Query Example'!D2913</f>
        <v>0</v>
      </c>
      <c r="C2913" s="11" t="str">
        <f>CONCATENATE(Sheet2!F2914,"/",Sheet2!E2914)</f>
        <v>/</v>
      </c>
      <c r="D2913" t="str">
        <f>CONCATENATE(Sheet2!B2914,", ",Sheet2!C2914)</f>
        <v xml:space="preserve">, </v>
      </c>
    </row>
    <row r="2914" spans="1:4" x14ac:dyDescent="0.2">
      <c r="A2914">
        <f>Sheet2!A2915</f>
        <v>0</v>
      </c>
      <c r="B2914">
        <f>'Query Example'!D2914</f>
        <v>0</v>
      </c>
      <c r="C2914" s="11" t="str">
        <f>CONCATENATE(Sheet2!F2915,"/",Sheet2!E2915)</f>
        <v>/</v>
      </c>
      <c r="D2914" t="str">
        <f>CONCATENATE(Sheet2!B2915,", ",Sheet2!C2915)</f>
        <v xml:space="preserve">, </v>
      </c>
    </row>
    <row r="2915" spans="1:4" x14ac:dyDescent="0.2">
      <c r="A2915">
        <f>Sheet2!A2916</f>
        <v>0</v>
      </c>
      <c r="B2915">
        <f>'Query Example'!D2915</f>
        <v>0</v>
      </c>
      <c r="C2915" s="11" t="str">
        <f>CONCATENATE(Sheet2!F2916,"/",Sheet2!E2916)</f>
        <v>/</v>
      </c>
      <c r="D2915" t="str">
        <f>CONCATENATE(Sheet2!B2916,", ",Sheet2!C2916)</f>
        <v xml:space="preserve">, </v>
      </c>
    </row>
    <row r="2916" spans="1:4" x14ac:dyDescent="0.2">
      <c r="A2916">
        <f>Sheet2!A2917</f>
        <v>0</v>
      </c>
      <c r="B2916">
        <f>'Query Example'!D2916</f>
        <v>0</v>
      </c>
      <c r="C2916" s="11" t="str">
        <f>CONCATENATE(Sheet2!F2917,"/",Sheet2!E2917)</f>
        <v>/</v>
      </c>
      <c r="D2916" t="str">
        <f>CONCATENATE(Sheet2!B2917,", ",Sheet2!C2917)</f>
        <v xml:space="preserve">, </v>
      </c>
    </row>
    <row r="2917" spans="1:4" x14ac:dyDescent="0.2">
      <c r="A2917">
        <f>Sheet2!A2918</f>
        <v>0</v>
      </c>
      <c r="B2917">
        <f>'Query Example'!D2917</f>
        <v>0</v>
      </c>
      <c r="C2917" s="11" t="str">
        <f>CONCATENATE(Sheet2!F2918,"/",Sheet2!E2918)</f>
        <v>/</v>
      </c>
      <c r="D2917" t="str">
        <f>CONCATENATE(Sheet2!B2918,", ",Sheet2!C2918)</f>
        <v xml:space="preserve">, </v>
      </c>
    </row>
    <row r="2918" spans="1:4" x14ac:dyDescent="0.2">
      <c r="A2918">
        <f>Sheet2!A2919</f>
        <v>0</v>
      </c>
      <c r="B2918">
        <f>'Query Example'!D2918</f>
        <v>0</v>
      </c>
      <c r="C2918" s="11" t="str">
        <f>CONCATENATE(Sheet2!F2919,"/",Sheet2!E2919)</f>
        <v>/</v>
      </c>
      <c r="D2918" t="str">
        <f>CONCATENATE(Sheet2!B2919,", ",Sheet2!C2919)</f>
        <v xml:space="preserve">, </v>
      </c>
    </row>
    <row r="2919" spans="1:4" x14ac:dyDescent="0.2">
      <c r="A2919">
        <f>Sheet2!A2920</f>
        <v>0</v>
      </c>
      <c r="B2919">
        <f>'Query Example'!D2919</f>
        <v>0</v>
      </c>
      <c r="C2919" s="11" t="str">
        <f>CONCATENATE(Sheet2!F2920,"/",Sheet2!E2920)</f>
        <v>/</v>
      </c>
      <c r="D2919" t="str">
        <f>CONCATENATE(Sheet2!B2920,", ",Sheet2!C2920)</f>
        <v xml:space="preserve">, </v>
      </c>
    </row>
    <row r="2920" spans="1:4" x14ac:dyDescent="0.2">
      <c r="A2920">
        <f>Sheet2!A2921</f>
        <v>0</v>
      </c>
      <c r="B2920">
        <f>'Query Example'!D2920</f>
        <v>0</v>
      </c>
      <c r="C2920" s="11" t="str">
        <f>CONCATENATE(Sheet2!F2921,"/",Sheet2!E2921)</f>
        <v>/</v>
      </c>
      <c r="D2920" t="str">
        <f>CONCATENATE(Sheet2!B2921,", ",Sheet2!C2921)</f>
        <v xml:space="preserve">, </v>
      </c>
    </row>
    <row r="2921" spans="1:4" x14ac:dyDescent="0.2">
      <c r="A2921">
        <f>Sheet2!A2922</f>
        <v>0</v>
      </c>
      <c r="B2921">
        <f>'Query Example'!D2921</f>
        <v>0</v>
      </c>
      <c r="C2921" s="11" t="str">
        <f>CONCATENATE(Sheet2!F2922,"/",Sheet2!E2922)</f>
        <v>/</v>
      </c>
      <c r="D2921" t="str">
        <f>CONCATENATE(Sheet2!B2922,", ",Sheet2!C2922)</f>
        <v xml:space="preserve">, </v>
      </c>
    </row>
    <row r="2922" spans="1:4" x14ac:dyDescent="0.2">
      <c r="A2922">
        <f>Sheet2!A2923</f>
        <v>0</v>
      </c>
      <c r="B2922">
        <f>'Query Example'!D2922</f>
        <v>0</v>
      </c>
      <c r="C2922" s="11" t="str">
        <f>CONCATENATE(Sheet2!F2923,"/",Sheet2!E2923)</f>
        <v>/</v>
      </c>
      <c r="D2922" t="str">
        <f>CONCATENATE(Sheet2!B2923,", ",Sheet2!C2923)</f>
        <v xml:space="preserve">, </v>
      </c>
    </row>
    <row r="2923" spans="1:4" x14ac:dyDescent="0.2">
      <c r="A2923">
        <f>Sheet2!A2924</f>
        <v>0</v>
      </c>
      <c r="B2923">
        <f>'Query Example'!D2923</f>
        <v>0</v>
      </c>
      <c r="C2923" s="11" t="str">
        <f>CONCATENATE(Sheet2!F2924,"/",Sheet2!E2924)</f>
        <v>/</v>
      </c>
      <c r="D2923" t="str">
        <f>CONCATENATE(Sheet2!B2924,", ",Sheet2!C2924)</f>
        <v xml:space="preserve">, </v>
      </c>
    </row>
    <row r="2924" spans="1:4" x14ac:dyDescent="0.2">
      <c r="A2924">
        <f>Sheet2!A2925</f>
        <v>0</v>
      </c>
      <c r="B2924">
        <f>'Query Example'!D2924</f>
        <v>0</v>
      </c>
      <c r="C2924" s="11" t="str">
        <f>CONCATENATE(Sheet2!F2925,"/",Sheet2!E2925)</f>
        <v>/</v>
      </c>
      <c r="D2924" t="str">
        <f>CONCATENATE(Sheet2!B2925,", ",Sheet2!C2925)</f>
        <v xml:space="preserve">, </v>
      </c>
    </row>
    <row r="2925" spans="1:4" x14ac:dyDescent="0.2">
      <c r="A2925">
        <f>Sheet2!A2926</f>
        <v>0</v>
      </c>
      <c r="B2925">
        <f>'Query Example'!D2925</f>
        <v>0</v>
      </c>
      <c r="C2925" s="11" t="str">
        <f>CONCATENATE(Sheet2!F2926,"/",Sheet2!E2926)</f>
        <v>/</v>
      </c>
      <c r="D2925" t="str">
        <f>CONCATENATE(Sheet2!B2926,", ",Sheet2!C2926)</f>
        <v xml:space="preserve">, </v>
      </c>
    </row>
    <row r="2926" spans="1:4" x14ac:dyDescent="0.2">
      <c r="A2926">
        <f>Sheet2!A2927</f>
        <v>0</v>
      </c>
      <c r="B2926">
        <f>'Query Example'!D2926</f>
        <v>0</v>
      </c>
      <c r="C2926" s="11" t="str">
        <f>CONCATENATE(Sheet2!F2927,"/",Sheet2!E2927)</f>
        <v>/</v>
      </c>
      <c r="D2926" t="str">
        <f>CONCATENATE(Sheet2!B2927,", ",Sheet2!C2927)</f>
        <v xml:space="preserve">, </v>
      </c>
    </row>
    <row r="2927" spans="1:4" x14ac:dyDescent="0.2">
      <c r="A2927">
        <f>Sheet2!A2928</f>
        <v>0</v>
      </c>
      <c r="B2927">
        <f>'Query Example'!D2927</f>
        <v>0</v>
      </c>
      <c r="C2927" s="11" t="str">
        <f>CONCATENATE(Sheet2!F2928,"/",Sheet2!E2928)</f>
        <v>/</v>
      </c>
      <c r="D2927" t="str">
        <f>CONCATENATE(Sheet2!B2928,", ",Sheet2!C2928)</f>
        <v xml:space="preserve">, </v>
      </c>
    </row>
    <row r="2928" spans="1:4" x14ac:dyDescent="0.2">
      <c r="A2928">
        <f>Sheet2!A2929</f>
        <v>0</v>
      </c>
      <c r="B2928">
        <f>'Query Example'!D2928</f>
        <v>0</v>
      </c>
      <c r="C2928" s="11" t="str">
        <f>CONCATENATE(Sheet2!F2929,"/",Sheet2!E2929)</f>
        <v>/</v>
      </c>
      <c r="D2928" t="str">
        <f>CONCATENATE(Sheet2!B2929,", ",Sheet2!C2929)</f>
        <v xml:space="preserve">, </v>
      </c>
    </row>
    <row r="2929" spans="1:4" x14ac:dyDescent="0.2">
      <c r="A2929">
        <f>Sheet2!A2930</f>
        <v>0</v>
      </c>
      <c r="B2929">
        <f>'Query Example'!D2929</f>
        <v>0</v>
      </c>
      <c r="C2929" s="11" t="str">
        <f>CONCATENATE(Sheet2!F2930,"/",Sheet2!E2930)</f>
        <v>/</v>
      </c>
      <c r="D2929" t="str">
        <f>CONCATENATE(Sheet2!B2930,", ",Sheet2!C2930)</f>
        <v xml:space="preserve">, </v>
      </c>
    </row>
    <row r="2930" spans="1:4" x14ac:dyDescent="0.2">
      <c r="A2930">
        <f>Sheet2!A2931</f>
        <v>0</v>
      </c>
      <c r="B2930">
        <f>'Query Example'!D2930</f>
        <v>0</v>
      </c>
      <c r="C2930" s="11" t="str">
        <f>CONCATENATE(Sheet2!F2931,"/",Sheet2!E2931)</f>
        <v>/</v>
      </c>
      <c r="D2930" t="str">
        <f>CONCATENATE(Sheet2!B2931,", ",Sheet2!C2931)</f>
        <v xml:space="preserve">, </v>
      </c>
    </row>
    <row r="2931" spans="1:4" x14ac:dyDescent="0.2">
      <c r="A2931">
        <f>Sheet2!A2932</f>
        <v>0</v>
      </c>
      <c r="B2931">
        <f>'Query Example'!D2931</f>
        <v>0</v>
      </c>
      <c r="C2931" s="11" t="str">
        <f>CONCATENATE(Sheet2!F2932,"/",Sheet2!E2932)</f>
        <v>/</v>
      </c>
      <c r="D2931" t="str">
        <f>CONCATENATE(Sheet2!B2932,", ",Sheet2!C2932)</f>
        <v xml:space="preserve">, </v>
      </c>
    </row>
    <row r="2932" spans="1:4" x14ac:dyDescent="0.2">
      <c r="A2932">
        <f>Sheet2!A2933</f>
        <v>0</v>
      </c>
      <c r="B2932">
        <f>'Query Example'!D2932</f>
        <v>0</v>
      </c>
      <c r="C2932" s="11" t="str">
        <f>CONCATENATE(Sheet2!F2933,"/",Sheet2!E2933)</f>
        <v>/</v>
      </c>
      <c r="D2932" t="str">
        <f>CONCATENATE(Sheet2!B2933,", ",Sheet2!C2933)</f>
        <v xml:space="preserve">, </v>
      </c>
    </row>
    <row r="2933" spans="1:4" x14ac:dyDescent="0.2">
      <c r="A2933">
        <f>Sheet2!A2934</f>
        <v>0</v>
      </c>
      <c r="B2933">
        <f>'Query Example'!D2933</f>
        <v>0</v>
      </c>
      <c r="C2933" s="11" t="str">
        <f>CONCATENATE(Sheet2!F2934,"/",Sheet2!E2934)</f>
        <v>/</v>
      </c>
      <c r="D2933" t="str">
        <f>CONCATENATE(Sheet2!B2934,", ",Sheet2!C2934)</f>
        <v xml:space="preserve">, </v>
      </c>
    </row>
    <row r="2934" spans="1:4" x14ac:dyDescent="0.2">
      <c r="A2934">
        <f>Sheet2!A2935</f>
        <v>0</v>
      </c>
      <c r="B2934">
        <f>'Query Example'!D2934</f>
        <v>0</v>
      </c>
      <c r="C2934" s="11" t="str">
        <f>CONCATENATE(Sheet2!F2935,"/",Sheet2!E2935)</f>
        <v>/</v>
      </c>
      <c r="D2934" t="str">
        <f>CONCATENATE(Sheet2!B2935,", ",Sheet2!C2935)</f>
        <v xml:space="preserve">, </v>
      </c>
    </row>
    <row r="2935" spans="1:4" x14ac:dyDescent="0.2">
      <c r="A2935">
        <f>Sheet2!A2936</f>
        <v>0</v>
      </c>
      <c r="B2935">
        <f>'Query Example'!D2935</f>
        <v>0</v>
      </c>
      <c r="C2935" s="11" t="str">
        <f>CONCATENATE(Sheet2!F2936,"/",Sheet2!E2936)</f>
        <v>/</v>
      </c>
      <c r="D2935" t="str">
        <f>CONCATENATE(Sheet2!B2936,", ",Sheet2!C2936)</f>
        <v xml:space="preserve">, </v>
      </c>
    </row>
    <row r="2936" spans="1:4" x14ac:dyDescent="0.2">
      <c r="A2936">
        <f>Sheet2!A2937</f>
        <v>0</v>
      </c>
      <c r="B2936">
        <f>'Query Example'!D2936</f>
        <v>0</v>
      </c>
      <c r="C2936" s="11" t="str">
        <f>CONCATENATE(Sheet2!F2937,"/",Sheet2!E2937)</f>
        <v>/</v>
      </c>
      <c r="D2936" t="str">
        <f>CONCATENATE(Sheet2!B2937,", ",Sheet2!C2937)</f>
        <v xml:space="preserve">, </v>
      </c>
    </row>
    <row r="2937" spans="1:4" x14ac:dyDescent="0.2">
      <c r="A2937">
        <f>Sheet2!A2938</f>
        <v>0</v>
      </c>
      <c r="B2937">
        <f>'Query Example'!D2937</f>
        <v>0</v>
      </c>
      <c r="C2937" s="11" t="str">
        <f>CONCATENATE(Sheet2!F2938,"/",Sheet2!E2938)</f>
        <v>/</v>
      </c>
      <c r="D2937" t="str">
        <f>CONCATENATE(Sheet2!B2938,", ",Sheet2!C2938)</f>
        <v xml:space="preserve">, </v>
      </c>
    </row>
    <row r="2938" spans="1:4" x14ac:dyDescent="0.2">
      <c r="A2938">
        <f>Sheet2!A2939</f>
        <v>0</v>
      </c>
      <c r="B2938">
        <f>'Query Example'!D2938</f>
        <v>0</v>
      </c>
      <c r="C2938" s="11" t="str">
        <f>CONCATENATE(Sheet2!F2939,"/",Sheet2!E2939)</f>
        <v>/</v>
      </c>
      <c r="D2938" t="str">
        <f>CONCATENATE(Sheet2!B2939,", ",Sheet2!C2939)</f>
        <v xml:space="preserve">, </v>
      </c>
    </row>
    <row r="2939" spans="1:4" x14ac:dyDescent="0.2">
      <c r="A2939">
        <f>Sheet2!A2940</f>
        <v>0</v>
      </c>
      <c r="B2939">
        <f>'Query Example'!D2939</f>
        <v>0</v>
      </c>
      <c r="C2939" s="11" t="str">
        <f>CONCATENATE(Sheet2!F2940,"/",Sheet2!E2940)</f>
        <v>/</v>
      </c>
      <c r="D2939" t="str">
        <f>CONCATENATE(Sheet2!B2940,", ",Sheet2!C2940)</f>
        <v xml:space="preserve">, </v>
      </c>
    </row>
    <row r="2940" spans="1:4" x14ac:dyDescent="0.2">
      <c r="A2940">
        <f>Sheet2!A2941</f>
        <v>0</v>
      </c>
      <c r="B2940">
        <f>'Query Example'!D2940</f>
        <v>0</v>
      </c>
      <c r="C2940" s="11" t="str">
        <f>CONCATENATE(Sheet2!F2941,"/",Sheet2!E2941)</f>
        <v>/</v>
      </c>
      <c r="D2940" t="str">
        <f>CONCATENATE(Sheet2!B2941,", ",Sheet2!C2941)</f>
        <v xml:space="preserve">, </v>
      </c>
    </row>
    <row r="2941" spans="1:4" x14ac:dyDescent="0.2">
      <c r="A2941">
        <f>Sheet2!A2942</f>
        <v>0</v>
      </c>
      <c r="B2941">
        <f>'Query Example'!D2941</f>
        <v>0</v>
      </c>
      <c r="C2941" s="11" t="str">
        <f>CONCATENATE(Sheet2!F2942,"/",Sheet2!E2942)</f>
        <v>/</v>
      </c>
      <c r="D2941" t="str">
        <f>CONCATENATE(Sheet2!B2942,", ",Sheet2!C2942)</f>
        <v xml:space="preserve">, </v>
      </c>
    </row>
    <row r="2942" spans="1:4" x14ac:dyDescent="0.2">
      <c r="A2942">
        <f>Sheet2!A2943</f>
        <v>0</v>
      </c>
      <c r="B2942">
        <f>'Query Example'!D2942</f>
        <v>0</v>
      </c>
      <c r="C2942" s="11" t="str">
        <f>CONCATENATE(Sheet2!F2943,"/",Sheet2!E2943)</f>
        <v>/</v>
      </c>
      <c r="D2942" t="str">
        <f>CONCATENATE(Sheet2!B2943,", ",Sheet2!C2943)</f>
        <v xml:space="preserve">, </v>
      </c>
    </row>
    <row r="2943" spans="1:4" x14ac:dyDescent="0.2">
      <c r="A2943">
        <f>Sheet2!A2944</f>
        <v>0</v>
      </c>
      <c r="B2943">
        <f>'Query Example'!D2943</f>
        <v>0</v>
      </c>
      <c r="C2943" s="11" t="str">
        <f>CONCATENATE(Sheet2!F2944,"/",Sheet2!E2944)</f>
        <v>/</v>
      </c>
      <c r="D2943" t="str">
        <f>CONCATENATE(Sheet2!B2944,", ",Sheet2!C2944)</f>
        <v xml:space="preserve">, </v>
      </c>
    </row>
    <row r="2944" spans="1:4" x14ac:dyDescent="0.2">
      <c r="A2944">
        <f>Sheet2!A2945</f>
        <v>0</v>
      </c>
      <c r="B2944">
        <f>'Query Example'!D2944</f>
        <v>0</v>
      </c>
      <c r="C2944" s="11" t="str">
        <f>CONCATENATE(Sheet2!F2945,"/",Sheet2!E2945)</f>
        <v>/</v>
      </c>
      <c r="D2944" t="str">
        <f>CONCATENATE(Sheet2!B2945,", ",Sheet2!C2945)</f>
        <v xml:space="preserve">, </v>
      </c>
    </row>
    <row r="2945" spans="1:4" x14ac:dyDescent="0.2">
      <c r="A2945">
        <f>Sheet2!A2946</f>
        <v>0</v>
      </c>
      <c r="B2945">
        <f>'Query Example'!D2945</f>
        <v>0</v>
      </c>
      <c r="C2945" s="11" t="str">
        <f>CONCATENATE(Sheet2!F2946,"/",Sheet2!E2946)</f>
        <v>/</v>
      </c>
      <c r="D2945" t="str">
        <f>CONCATENATE(Sheet2!B2946,", ",Sheet2!C2946)</f>
        <v xml:space="preserve">, </v>
      </c>
    </row>
    <row r="2946" spans="1:4" x14ac:dyDescent="0.2">
      <c r="A2946">
        <f>Sheet2!A2947</f>
        <v>0</v>
      </c>
      <c r="B2946">
        <f>'Query Example'!D2946</f>
        <v>0</v>
      </c>
      <c r="C2946" s="11" t="str">
        <f>CONCATENATE(Sheet2!F2947,"/",Sheet2!E2947)</f>
        <v>/</v>
      </c>
      <c r="D2946" t="str">
        <f>CONCATENATE(Sheet2!B2947,", ",Sheet2!C2947)</f>
        <v xml:space="preserve">, </v>
      </c>
    </row>
    <row r="2947" spans="1:4" x14ac:dyDescent="0.2">
      <c r="A2947">
        <f>Sheet2!A2948</f>
        <v>0</v>
      </c>
      <c r="B2947">
        <f>'Query Example'!D2947</f>
        <v>0</v>
      </c>
      <c r="C2947" s="11" t="str">
        <f>CONCATENATE(Sheet2!F2948,"/",Sheet2!E2948)</f>
        <v>/</v>
      </c>
      <c r="D2947" t="str">
        <f>CONCATENATE(Sheet2!B2948,", ",Sheet2!C2948)</f>
        <v xml:space="preserve">, </v>
      </c>
    </row>
    <row r="2948" spans="1:4" x14ac:dyDescent="0.2">
      <c r="A2948">
        <f>Sheet2!A2949</f>
        <v>0</v>
      </c>
      <c r="B2948">
        <f>'Query Example'!D2948</f>
        <v>0</v>
      </c>
      <c r="C2948" s="11" t="str">
        <f>CONCATENATE(Sheet2!F2949,"/",Sheet2!E2949)</f>
        <v>/</v>
      </c>
      <c r="D2948" t="str">
        <f>CONCATENATE(Sheet2!B2949,", ",Sheet2!C2949)</f>
        <v xml:space="preserve">, </v>
      </c>
    </row>
    <row r="2949" spans="1:4" x14ac:dyDescent="0.2">
      <c r="A2949">
        <f>Sheet2!A2950</f>
        <v>0</v>
      </c>
      <c r="B2949">
        <f>'Query Example'!D2949</f>
        <v>0</v>
      </c>
      <c r="C2949" s="11" t="str">
        <f>CONCATENATE(Sheet2!F2950,"/",Sheet2!E2950)</f>
        <v>/</v>
      </c>
      <c r="D2949" t="str">
        <f>CONCATENATE(Sheet2!B2950,", ",Sheet2!C2950)</f>
        <v xml:space="preserve">, </v>
      </c>
    </row>
    <row r="2950" spans="1:4" x14ac:dyDescent="0.2">
      <c r="A2950">
        <f>Sheet2!A2951</f>
        <v>0</v>
      </c>
      <c r="B2950">
        <f>'Query Example'!D2950</f>
        <v>0</v>
      </c>
      <c r="C2950" s="11" t="str">
        <f>CONCATENATE(Sheet2!F2951,"/",Sheet2!E2951)</f>
        <v>/</v>
      </c>
      <c r="D2950" t="str">
        <f>CONCATENATE(Sheet2!B2951,", ",Sheet2!C2951)</f>
        <v xml:space="preserve">, </v>
      </c>
    </row>
    <row r="2951" spans="1:4" x14ac:dyDescent="0.2">
      <c r="A2951">
        <f>Sheet2!A2952</f>
        <v>0</v>
      </c>
      <c r="B2951">
        <f>'Query Example'!D2951</f>
        <v>0</v>
      </c>
      <c r="C2951" s="11" t="str">
        <f>CONCATENATE(Sheet2!F2952,"/",Sheet2!E2952)</f>
        <v>/</v>
      </c>
      <c r="D2951" t="str">
        <f>CONCATENATE(Sheet2!B2952,", ",Sheet2!C2952)</f>
        <v xml:space="preserve">, </v>
      </c>
    </row>
    <row r="2952" spans="1:4" x14ac:dyDescent="0.2">
      <c r="A2952">
        <f>Sheet2!A2953</f>
        <v>0</v>
      </c>
      <c r="B2952">
        <f>'Query Example'!D2952</f>
        <v>0</v>
      </c>
      <c r="C2952" s="11" t="str">
        <f>CONCATENATE(Sheet2!F2953,"/",Sheet2!E2953)</f>
        <v>/</v>
      </c>
      <c r="D2952" t="str">
        <f>CONCATENATE(Sheet2!B2953,", ",Sheet2!C2953)</f>
        <v xml:space="preserve">, </v>
      </c>
    </row>
    <row r="2953" spans="1:4" x14ac:dyDescent="0.2">
      <c r="A2953">
        <f>Sheet2!A2954</f>
        <v>0</v>
      </c>
      <c r="B2953">
        <f>'Query Example'!D2953</f>
        <v>0</v>
      </c>
      <c r="C2953" s="11" t="str">
        <f>CONCATENATE(Sheet2!F2954,"/",Sheet2!E2954)</f>
        <v>/</v>
      </c>
      <c r="D2953" t="str">
        <f>CONCATENATE(Sheet2!B2954,", ",Sheet2!C2954)</f>
        <v xml:space="preserve">, </v>
      </c>
    </row>
    <row r="2954" spans="1:4" x14ac:dyDescent="0.2">
      <c r="A2954">
        <f>Sheet2!A2955</f>
        <v>0</v>
      </c>
      <c r="B2954">
        <f>'Query Example'!D2954</f>
        <v>0</v>
      </c>
      <c r="C2954" s="11" t="str">
        <f>CONCATENATE(Sheet2!F2955,"/",Sheet2!E2955)</f>
        <v>/</v>
      </c>
      <c r="D2954" t="str">
        <f>CONCATENATE(Sheet2!B2955,", ",Sheet2!C2955)</f>
        <v xml:space="preserve">, </v>
      </c>
    </row>
    <row r="2955" spans="1:4" x14ac:dyDescent="0.2">
      <c r="A2955">
        <f>Sheet2!A2956</f>
        <v>0</v>
      </c>
      <c r="B2955">
        <f>'Query Example'!D2955</f>
        <v>0</v>
      </c>
      <c r="C2955" s="11" t="str">
        <f>CONCATENATE(Sheet2!F2956,"/",Sheet2!E2956)</f>
        <v>/</v>
      </c>
      <c r="D2955" t="str">
        <f>CONCATENATE(Sheet2!B2956,", ",Sheet2!C2956)</f>
        <v xml:space="preserve">, </v>
      </c>
    </row>
    <row r="2956" spans="1:4" x14ac:dyDescent="0.2">
      <c r="A2956">
        <f>Sheet2!A2957</f>
        <v>0</v>
      </c>
      <c r="B2956">
        <f>'Query Example'!D2956</f>
        <v>0</v>
      </c>
      <c r="C2956" s="11" t="str">
        <f>CONCATENATE(Sheet2!F2957,"/",Sheet2!E2957)</f>
        <v>/</v>
      </c>
      <c r="D2956" t="str">
        <f>CONCATENATE(Sheet2!B2957,", ",Sheet2!C2957)</f>
        <v xml:space="preserve">, </v>
      </c>
    </row>
    <row r="2957" spans="1:4" x14ac:dyDescent="0.2">
      <c r="A2957">
        <f>Sheet2!A2958</f>
        <v>0</v>
      </c>
      <c r="B2957">
        <f>'Query Example'!D2957</f>
        <v>0</v>
      </c>
      <c r="C2957" s="11" t="str">
        <f>CONCATENATE(Sheet2!F2958,"/",Sheet2!E2958)</f>
        <v>/</v>
      </c>
      <c r="D2957" t="str">
        <f>CONCATENATE(Sheet2!B2958,", ",Sheet2!C2958)</f>
        <v xml:space="preserve">, </v>
      </c>
    </row>
    <row r="2958" spans="1:4" x14ac:dyDescent="0.2">
      <c r="A2958">
        <f>Sheet2!A2959</f>
        <v>0</v>
      </c>
      <c r="B2958">
        <f>'Query Example'!D2958</f>
        <v>0</v>
      </c>
      <c r="C2958" s="11" t="str">
        <f>CONCATENATE(Sheet2!F2959,"/",Sheet2!E2959)</f>
        <v>/</v>
      </c>
      <c r="D2958" t="str">
        <f>CONCATENATE(Sheet2!B2959,", ",Sheet2!C2959)</f>
        <v xml:space="preserve">, </v>
      </c>
    </row>
    <row r="2959" spans="1:4" x14ac:dyDescent="0.2">
      <c r="A2959">
        <f>Sheet2!A2960</f>
        <v>0</v>
      </c>
      <c r="B2959">
        <f>'Query Example'!D2959</f>
        <v>0</v>
      </c>
      <c r="C2959" s="11" t="str">
        <f>CONCATENATE(Sheet2!F2960,"/",Sheet2!E2960)</f>
        <v>/</v>
      </c>
      <c r="D2959" t="str">
        <f>CONCATENATE(Sheet2!B2960,", ",Sheet2!C2960)</f>
        <v xml:space="preserve">, </v>
      </c>
    </row>
    <row r="2960" spans="1:4" x14ac:dyDescent="0.2">
      <c r="A2960">
        <f>Sheet2!A2961</f>
        <v>0</v>
      </c>
      <c r="B2960">
        <f>'Query Example'!D2960</f>
        <v>0</v>
      </c>
      <c r="C2960" s="11" t="str">
        <f>CONCATENATE(Sheet2!F2961,"/",Sheet2!E2961)</f>
        <v>/</v>
      </c>
      <c r="D2960" t="str">
        <f>CONCATENATE(Sheet2!B2961,", ",Sheet2!C2961)</f>
        <v xml:space="preserve">, </v>
      </c>
    </row>
    <row r="2961" spans="1:4" x14ac:dyDescent="0.2">
      <c r="A2961">
        <f>Sheet2!A2962</f>
        <v>0</v>
      </c>
      <c r="B2961">
        <f>'Query Example'!D2961</f>
        <v>0</v>
      </c>
      <c r="C2961" s="11" t="str">
        <f>CONCATENATE(Sheet2!F2962,"/",Sheet2!E2962)</f>
        <v>/</v>
      </c>
      <c r="D2961" t="str">
        <f>CONCATENATE(Sheet2!B2962,", ",Sheet2!C2962)</f>
        <v xml:space="preserve">, </v>
      </c>
    </row>
    <row r="2962" spans="1:4" x14ac:dyDescent="0.2">
      <c r="A2962">
        <f>Sheet2!A2963</f>
        <v>0</v>
      </c>
      <c r="B2962">
        <f>'Query Example'!D2962</f>
        <v>0</v>
      </c>
      <c r="C2962" s="11" t="str">
        <f>CONCATENATE(Sheet2!F2963,"/",Sheet2!E2963)</f>
        <v>/</v>
      </c>
      <c r="D2962" t="str">
        <f>CONCATENATE(Sheet2!B2963,", ",Sheet2!C2963)</f>
        <v xml:space="preserve">, </v>
      </c>
    </row>
    <row r="2963" spans="1:4" x14ac:dyDescent="0.2">
      <c r="A2963">
        <f>Sheet2!A2964</f>
        <v>0</v>
      </c>
      <c r="B2963">
        <f>'Query Example'!D2963</f>
        <v>0</v>
      </c>
      <c r="C2963" s="11" t="str">
        <f>CONCATENATE(Sheet2!F2964,"/",Sheet2!E2964)</f>
        <v>/</v>
      </c>
      <c r="D2963" t="str">
        <f>CONCATENATE(Sheet2!B2964,", ",Sheet2!C2964)</f>
        <v xml:space="preserve">, </v>
      </c>
    </row>
    <row r="2964" spans="1:4" x14ac:dyDescent="0.2">
      <c r="A2964">
        <f>Sheet2!A2965</f>
        <v>0</v>
      </c>
      <c r="B2964">
        <f>'Query Example'!D2964</f>
        <v>0</v>
      </c>
      <c r="C2964" s="11" t="str">
        <f>CONCATENATE(Sheet2!F2965,"/",Sheet2!E2965)</f>
        <v>/</v>
      </c>
      <c r="D2964" t="str">
        <f>CONCATENATE(Sheet2!B2965,", ",Sheet2!C2965)</f>
        <v xml:space="preserve">, </v>
      </c>
    </row>
    <row r="2965" spans="1:4" x14ac:dyDescent="0.2">
      <c r="A2965">
        <f>Sheet2!A2966</f>
        <v>0</v>
      </c>
      <c r="B2965">
        <f>'Query Example'!D2965</f>
        <v>0</v>
      </c>
      <c r="C2965" s="11" t="str">
        <f>CONCATENATE(Sheet2!F2966,"/",Sheet2!E2966)</f>
        <v>/</v>
      </c>
      <c r="D2965" t="str">
        <f>CONCATENATE(Sheet2!B2966,", ",Sheet2!C2966)</f>
        <v xml:space="preserve">, </v>
      </c>
    </row>
    <row r="2966" spans="1:4" x14ac:dyDescent="0.2">
      <c r="A2966">
        <f>Sheet2!A2967</f>
        <v>0</v>
      </c>
      <c r="B2966">
        <f>'Query Example'!D2966</f>
        <v>0</v>
      </c>
      <c r="C2966" s="11" t="str">
        <f>CONCATENATE(Sheet2!F2967,"/",Sheet2!E2967)</f>
        <v>/</v>
      </c>
      <c r="D2966" t="str">
        <f>CONCATENATE(Sheet2!B2967,", ",Sheet2!C2967)</f>
        <v xml:space="preserve">, </v>
      </c>
    </row>
    <row r="2967" spans="1:4" x14ac:dyDescent="0.2">
      <c r="A2967">
        <f>Sheet2!A2968</f>
        <v>0</v>
      </c>
      <c r="B2967">
        <f>'Query Example'!D2967</f>
        <v>0</v>
      </c>
      <c r="C2967" s="11" t="str">
        <f>CONCATENATE(Sheet2!F2968,"/",Sheet2!E2968)</f>
        <v>/</v>
      </c>
      <c r="D2967" t="str">
        <f>CONCATENATE(Sheet2!B2968,", ",Sheet2!C2968)</f>
        <v xml:space="preserve">, </v>
      </c>
    </row>
    <row r="2968" spans="1:4" x14ac:dyDescent="0.2">
      <c r="A2968">
        <f>Sheet2!A2969</f>
        <v>0</v>
      </c>
      <c r="B2968">
        <f>'Query Example'!D2968</f>
        <v>0</v>
      </c>
      <c r="C2968" s="11" t="str">
        <f>CONCATENATE(Sheet2!F2969,"/",Sheet2!E2969)</f>
        <v>/</v>
      </c>
      <c r="D2968" t="str">
        <f>CONCATENATE(Sheet2!B2969,", ",Sheet2!C2969)</f>
        <v xml:space="preserve">, </v>
      </c>
    </row>
    <row r="2969" spans="1:4" x14ac:dyDescent="0.2">
      <c r="A2969">
        <f>Sheet2!A2970</f>
        <v>0</v>
      </c>
      <c r="B2969">
        <f>'Query Example'!D2969</f>
        <v>0</v>
      </c>
      <c r="C2969" s="11" t="str">
        <f>CONCATENATE(Sheet2!F2970,"/",Sheet2!E2970)</f>
        <v>/</v>
      </c>
      <c r="D2969" t="str">
        <f>CONCATENATE(Sheet2!B2970,", ",Sheet2!C2970)</f>
        <v xml:space="preserve">, </v>
      </c>
    </row>
    <row r="2970" spans="1:4" x14ac:dyDescent="0.2">
      <c r="A2970">
        <f>Sheet2!A2971</f>
        <v>0</v>
      </c>
      <c r="B2970">
        <f>'Query Example'!D2970</f>
        <v>0</v>
      </c>
      <c r="C2970" s="11" t="str">
        <f>CONCATENATE(Sheet2!F2971,"/",Sheet2!E2971)</f>
        <v>/</v>
      </c>
      <c r="D2970" t="str">
        <f>CONCATENATE(Sheet2!B2971,", ",Sheet2!C2971)</f>
        <v xml:space="preserve">, </v>
      </c>
    </row>
    <row r="2971" spans="1:4" x14ac:dyDescent="0.2">
      <c r="A2971">
        <f>Sheet2!A2972</f>
        <v>0</v>
      </c>
      <c r="B2971">
        <f>'Query Example'!D2971</f>
        <v>0</v>
      </c>
      <c r="C2971" s="11" t="str">
        <f>CONCATENATE(Sheet2!F2972,"/",Sheet2!E2972)</f>
        <v>/</v>
      </c>
      <c r="D2971" t="str">
        <f>CONCATENATE(Sheet2!B2972,", ",Sheet2!C2972)</f>
        <v xml:space="preserve">, </v>
      </c>
    </row>
    <row r="2972" spans="1:4" x14ac:dyDescent="0.2">
      <c r="A2972">
        <f>Sheet2!A2973</f>
        <v>0</v>
      </c>
      <c r="B2972">
        <f>'Query Example'!D2972</f>
        <v>0</v>
      </c>
      <c r="C2972" s="11" t="str">
        <f>CONCATENATE(Sheet2!F2973,"/",Sheet2!E2973)</f>
        <v>/</v>
      </c>
      <c r="D2972" t="str">
        <f>CONCATENATE(Sheet2!B2973,", ",Sheet2!C2973)</f>
        <v xml:space="preserve">, </v>
      </c>
    </row>
    <row r="2973" spans="1:4" x14ac:dyDescent="0.2">
      <c r="A2973">
        <f>Sheet2!A2974</f>
        <v>0</v>
      </c>
      <c r="B2973">
        <f>'Query Example'!D2973</f>
        <v>0</v>
      </c>
      <c r="C2973" s="11" t="str">
        <f>CONCATENATE(Sheet2!F2974,"/",Sheet2!E2974)</f>
        <v>/</v>
      </c>
      <c r="D2973" t="str">
        <f>CONCATENATE(Sheet2!B2974,", ",Sheet2!C2974)</f>
        <v xml:space="preserve">, </v>
      </c>
    </row>
    <row r="2974" spans="1:4" x14ac:dyDescent="0.2">
      <c r="A2974">
        <f>Sheet2!A2975</f>
        <v>0</v>
      </c>
      <c r="B2974">
        <f>'Query Example'!D2974</f>
        <v>0</v>
      </c>
      <c r="C2974" s="11" t="str">
        <f>CONCATENATE(Sheet2!F2975,"/",Sheet2!E2975)</f>
        <v>/</v>
      </c>
      <c r="D2974" t="str">
        <f>CONCATENATE(Sheet2!B2975,", ",Sheet2!C2975)</f>
        <v xml:space="preserve">, </v>
      </c>
    </row>
    <row r="2975" spans="1:4" x14ac:dyDescent="0.2">
      <c r="A2975">
        <f>Sheet2!A2976</f>
        <v>0</v>
      </c>
      <c r="B2975">
        <f>'Query Example'!D2975</f>
        <v>0</v>
      </c>
      <c r="C2975" s="11" t="str">
        <f>CONCATENATE(Sheet2!F2976,"/",Sheet2!E2976)</f>
        <v>/</v>
      </c>
      <c r="D2975" t="str">
        <f>CONCATENATE(Sheet2!B2976,", ",Sheet2!C2976)</f>
        <v xml:space="preserve">, </v>
      </c>
    </row>
    <row r="2976" spans="1:4" x14ac:dyDescent="0.2">
      <c r="A2976">
        <f>Sheet2!A2977</f>
        <v>0</v>
      </c>
      <c r="B2976">
        <f>'Query Example'!D2976</f>
        <v>0</v>
      </c>
      <c r="C2976" s="11" t="str">
        <f>CONCATENATE(Sheet2!F2977,"/",Sheet2!E2977)</f>
        <v>/</v>
      </c>
      <c r="D2976" t="str">
        <f>CONCATENATE(Sheet2!B2977,", ",Sheet2!C2977)</f>
        <v xml:space="preserve">, </v>
      </c>
    </row>
    <row r="2977" spans="1:4" x14ac:dyDescent="0.2">
      <c r="A2977">
        <f>Sheet2!A2978</f>
        <v>0</v>
      </c>
      <c r="B2977">
        <f>'Query Example'!D2977</f>
        <v>0</v>
      </c>
      <c r="C2977" s="11" t="str">
        <f>CONCATENATE(Sheet2!F2978,"/",Sheet2!E2978)</f>
        <v>/</v>
      </c>
      <c r="D2977" t="str">
        <f>CONCATENATE(Sheet2!B2978,", ",Sheet2!C2978)</f>
        <v xml:space="preserve">, </v>
      </c>
    </row>
    <row r="2978" spans="1:4" x14ac:dyDescent="0.2">
      <c r="A2978">
        <f>Sheet2!A2979</f>
        <v>0</v>
      </c>
      <c r="B2978">
        <f>'Query Example'!D2978</f>
        <v>0</v>
      </c>
      <c r="C2978" s="11" t="str">
        <f>CONCATENATE(Sheet2!F2979,"/",Sheet2!E2979)</f>
        <v>/</v>
      </c>
      <c r="D2978" t="str">
        <f>CONCATENATE(Sheet2!B2979,", ",Sheet2!C2979)</f>
        <v xml:space="preserve">, </v>
      </c>
    </row>
    <row r="2979" spans="1:4" x14ac:dyDescent="0.2">
      <c r="A2979">
        <f>Sheet2!A2980</f>
        <v>0</v>
      </c>
      <c r="B2979">
        <f>'Query Example'!D2979</f>
        <v>0</v>
      </c>
      <c r="C2979" s="11" t="str">
        <f>CONCATENATE(Sheet2!F2980,"/",Sheet2!E2980)</f>
        <v>/</v>
      </c>
      <c r="D2979" t="str">
        <f>CONCATENATE(Sheet2!B2980,", ",Sheet2!C2980)</f>
        <v xml:space="preserve">, </v>
      </c>
    </row>
    <row r="2980" spans="1:4" x14ac:dyDescent="0.2">
      <c r="A2980">
        <f>Sheet2!A2981</f>
        <v>0</v>
      </c>
      <c r="B2980">
        <f>'Query Example'!D2980</f>
        <v>0</v>
      </c>
      <c r="C2980" s="11" t="str">
        <f>CONCATENATE(Sheet2!F2981,"/",Sheet2!E2981)</f>
        <v>/</v>
      </c>
      <c r="D2980" t="str">
        <f>CONCATENATE(Sheet2!B2981,", ",Sheet2!C2981)</f>
        <v xml:space="preserve">, </v>
      </c>
    </row>
    <row r="2981" spans="1:4" x14ac:dyDescent="0.2">
      <c r="A2981">
        <f>Sheet2!A2982</f>
        <v>0</v>
      </c>
      <c r="B2981">
        <f>'Query Example'!D2981</f>
        <v>0</v>
      </c>
      <c r="C2981" s="11" t="str">
        <f>CONCATENATE(Sheet2!F2982,"/",Sheet2!E2982)</f>
        <v>/</v>
      </c>
      <c r="D2981" t="str">
        <f>CONCATENATE(Sheet2!B2982,", ",Sheet2!C2982)</f>
        <v xml:space="preserve">, </v>
      </c>
    </row>
    <row r="2982" spans="1:4" x14ac:dyDescent="0.2">
      <c r="A2982">
        <f>Sheet2!A2983</f>
        <v>0</v>
      </c>
      <c r="B2982">
        <f>'Query Example'!D2982</f>
        <v>0</v>
      </c>
      <c r="C2982" s="11" t="str">
        <f>CONCATENATE(Sheet2!F2983,"/",Sheet2!E2983)</f>
        <v>/</v>
      </c>
      <c r="D2982" t="str">
        <f>CONCATENATE(Sheet2!B2983,", ",Sheet2!C2983)</f>
        <v xml:space="preserve">, </v>
      </c>
    </row>
    <row r="2983" spans="1:4" x14ac:dyDescent="0.2">
      <c r="A2983">
        <f>Sheet2!A2984</f>
        <v>0</v>
      </c>
      <c r="B2983">
        <f>'Query Example'!D2983</f>
        <v>0</v>
      </c>
      <c r="C2983" s="11" t="str">
        <f>CONCATENATE(Sheet2!F2984,"/",Sheet2!E2984)</f>
        <v>/</v>
      </c>
      <c r="D2983" t="str">
        <f>CONCATENATE(Sheet2!B2984,", ",Sheet2!C2984)</f>
        <v xml:space="preserve">, </v>
      </c>
    </row>
    <row r="2984" spans="1:4" x14ac:dyDescent="0.2">
      <c r="A2984">
        <f>'Query Example'!A2984</f>
        <v>0</v>
      </c>
      <c r="B2984">
        <f>'Query Example'!D2984</f>
        <v>0</v>
      </c>
      <c r="C2984" s="11" t="str">
        <f>CONCATENATE(Sheet2!F2985,"/",Sheet2!E2985)</f>
        <v>/</v>
      </c>
      <c r="D2984" t="str">
        <f>CONCATENATE(Sheet2!B2985,", ",Sheet2!C2985)</f>
        <v xml:space="preserve">, </v>
      </c>
    </row>
    <row r="2985" spans="1:4" x14ac:dyDescent="0.2">
      <c r="A2985">
        <f>'Query Example'!A2985</f>
        <v>0</v>
      </c>
      <c r="B2985">
        <f>'Query Example'!D2985</f>
        <v>0</v>
      </c>
      <c r="C2985" s="11" t="str">
        <f>CONCATENATE(Sheet2!F2986,"/",Sheet2!E2986)</f>
        <v>/</v>
      </c>
      <c r="D2985" t="str">
        <f>CONCATENATE(Sheet2!B2986,", ",Sheet2!C2986)</f>
        <v xml:space="preserve">, </v>
      </c>
    </row>
    <row r="2986" spans="1:4" x14ac:dyDescent="0.2">
      <c r="A2986">
        <f>'Query Example'!A2986</f>
        <v>0</v>
      </c>
      <c r="B2986">
        <f>'Query Example'!D2986</f>
        <v>0</v>
      </c>
      <c r="C2986" s="11" t="str">
        <f>CONCATENATE(Sheet2!F2987,"/",Sheet2!E2987)</f>
        <v>/</v>
      </c>
      <c r="D2986" t="str">
        <f>CONCATENATE(Sheet2!B2987,", ",Sheet2!C2987)</f>
        <v xml:space="preserve">, </v>
      </c>
    </row>
    <row r="2987" spans="1:4" x14ac:dyDescent="0.2">
      <c r="A2987">
        <f>'Query Example'!A2987</f>
        <v>0</v>
      </c>
      <c r="B2987">
        <f>'Query Example'!D2987</f>
        <v>0</v>
      </c>
      <c r="C2987" s="11" t="str">
        <f>CONCATENATE(Sheet2!F2988,"/",Sheet2!E2988)</f>
        <v>/</v>
      </c>
      <c r="D2987" t="str">
        <f>CONCATENATE(Sheet2!B2988,", ",Sheet2!C2988)</f>
        <v xml:space="preserve">, </v>
      </c>
    </row>
    <row r="2988" spans="1:4" x14ac:dyDescent="0.2">
      <c r="A2988">
        <f>'Query Example'!A2988</f>
        <v>0</v>
      </c>
      <c r="B2988">
        <f>'Query Example'!D2988</f>
        <v>0</v>
      </c>
      <c r="C2988" s="11" t="str">
        <f>CONCATENATE(Sheet2!F2989,"/",Sheet2!E2989)</f>
        <v>/</v>
      </c>
      <c r="D2988" t="str">
        <f>CONCATENATE(Sheet2!B2989,", ",Sheet2!C2989)</f>
        <v xml:space="preserve">, </v>
      </c>
    </row>
    <row r="2989" spans="1:4" x14ac:dyDescent="0.2">
      <c r="A2989">
        <f>'Query Example'!A2989</f>
        <v>0</v>
      </c>
      <c r="B2989">
        <f>'Query Example'!D2989</f>
        <v>0</v>
      </c>
      <c r="C2989" s="11" t="str">
        <f>CONCATENATE(Sheet2!F2990,"/",Sheet2!E2990)</f>
        <v>/</v>
      </c>
      <c r="D2989" t="str">
        <f>CONCATENATE(Sheet2!B2990,", ",Sheet2!C2990)</f>
        <v xml:space="preserve">, </v>
      </c>
    </row>
    <row r="2990" spans="1:4" x14ac:dyDescent="0.2">
      <c r="A2990">
        <f>'Query Example'!A2990</f>
        <v>0</v>
      </c>
      <c r="B2990">
        <f>'Query Example'!D2990</f>
        <v>0</v>
      </c>
      <c r="C2990" s="11" t="str">
        <f>CONCATENATE(Sheet2!F2991,"/",Sheet2!E2991)</f>
        <v>/</v>
      </c>
      <c r="D2990" t="str">
        <f>CONCATENATE(Sheet2!B2991,", ",Sheet2!C2991)</f>
        <v xml:space="preserve">, </v>
      </c>
    </row>
    <row r="2991" spans="1:4" x14ac:dyDescent="0.2">
      <c r="A2991">
        <f>'Query Example'!A2991</f>
        <v>0</v>
      </c>
      <c r="B2991">
        <f>'Query Example'!D2991</f>
        <v>0</v>
      </c>
      <c r="C2991" s="11" t="str">
        <f>CONCATENATE(Sheet2!F2992,"/",Sheet2!E2992)</f>
        <v>/</v>
      </c>
      <c r="D2991" t="str">
        <f>CONCATENATE(Sheet2!B2992,", ",Sheet2!C2992)</f>
        <v xml:space="preserve">, </v>
      </c>
    </row>
    <row r="2992" spans="1:4" x14ac:dyDescent="0.2">
      <c r="A2992">
        <f>'Query Example'!A2992</f>
        <v>0</v>
      </c>
      <c r="B2992">
        <f>'Query Example'!D2992</f>
        <v>0</v>
      </c>
      <c r="C2992" s="11" t="str">
        <f>CONCATENATE(Sheet2!F2993,"/",Sheet2!E2993)</f>
        <v>/</v>
      </c>
      <c r="D2992" t="str">
        <f>CONCATENATE(Sheet2!B2993,", ",Sheet2!C2993)</f>
        <v xml:space="preserve">, </v>
      </c>
    </row>
    <row r="2993" spans="1:4" x14ac:dyDescent="0.2">
      <c r="A2993">
        <f>'Query Example'!A2993</f>
        <v>0</v>
      </c>
      <c r="B2993">
        <f>'Query Example'!D2993</f>
        <v>0</v>
      </c>
      <c r="C2993" s="11" t="str">
        <f>CONCATENATE(Sheet2!F2994,"/",Sheet2!E2994)</f>
        <v>/</v>
      </c>
      <c r="D2993" t="str">
        <f>CONCATENATE(Sheet2!B2994,", ",Sheet2!C2994)</f>
        <v xml:space="preserve">, </v>
      </c>
    </row>
    <row r="2994" spans="1:4" x14ac:dyDescent="0.2">
      <c r="A2994">
        <f>'Query Example'!A2994</f>
        <v>0</v>
      </c>
      <c r="B2994">
        <f>'Query Example'!D2994</f>
        <v>0</v>
      </c>
      <c r="C2994" s="11" t="str">
        <f>CONCATENATE(Sheet2!F2995,"/",Sheet2!E2995)</f>
        <v>/</v>
      </c>
      <c r="D2994" t="str">
        <f>CONCATENATE(Sheet2!B2995,", ",Sheet2!C2995)</f>
        <v xml:space="preserve">, </v>
      </c>
    </row>
    <row r="2995" spans="1:4" x14ac:dyDescent="0.2">
      <c r="A2995">
        <f>'Query Example'!A2995</f>
        <v>0</v>
      </c>
      <c r="B2995">
        <f>'Query Example'!D2995</f>
        <v>0</v>
      </c>
      <c r="C2995" s="11" t="str">
        <f>CONCATENATE(Sheet2!F2996,"/",Sheet2!E2996)</f>
        <v>/</v>
      </c>
      <c r="D2995" t="str">
        <f>CONCATENATE(Sheet2!B2996,", ",Sheet2!C2996)</f>
        <v xml:space="preserve">, </v>
      </c>
    </row>
    <row r="2996" spans="1:4" x14ac:dyDescent="0.2">
      <c r="A2996">
        <f>'Query Example'!A2996</f>
        <v>0</v>
      </c>
      <c r="B2996">
        <f>'Query Example'!D2996</f>
        <v>0</v>
      </c>
      <c r="C2996" s="11" t="str">
        <f>CONCATENATE(Sheet2!F2997,"/",Sheet2!E2997)</f>
        <v>/</v>
      </c>
      <c r="D2996" t="str">
        <f>CONCATENATE(Sheet2!B2997,", ",Sheet2!C2997)</f>
        <v xml:space="preserve">, </v>
      </c>
    </row>
    <row r="2997" spans="1:4" x14ac:dyDescent="0.2">
      <c r="A2997">
        <f>'Query Example'!A2997</f>
        <v>0</v>
      </c>
      <c r="B2997">
        <f>'Query Example'!D2997</f>
        <v>0</v>
      </c>
      <c r="C2997" s="11" t="str">
        <f>CONCATENATE(Sheet2!F2998,"/",Sheet2!E2998)</f>
        <v>/</v>
      </c>
      <c r="D2997" t="str">
        <f>CONCATENATE(Sheet2!B2998,", ",Sheet2!C2998)</f>
        <v xml:space="preserve">, </v>
      </c>
    </row>
    <row r="2998" spans="1:4" x14ac:dyDescent="0.2">
      <c r="A2998">
        <f>'Query Example'!A2998</f>
        <v>0</v>
      </c>
      <c r="B2998">
        <f>'Query Example'!D2998</f>
        <v>0</v>
      </c>
      <c r="C2998" s="11" t="str">
        <f>CONCATENATE(Sheet2!F2999,"/",Sheet2!E2999)</f>
        <v>/</v>
      </c>
      <c r="D2998" t="str">
        <f>CONCATENATE(Sheet2!B2999,", ",Sheet2!C2999)</f>
        <v xml:space="preserve">, </v>
      </c>
    </row>
    <row r="2999" spans="1:4" x14ac:dyDescent="0.2">
      <c r="A2999">
        <f>'Query Example'!A2999</f>
        <v>0</v>
      </c>
      <c r="B2999">
        <f>'Query Example'!D2999</f>
        <v>0</v>
      </c>
      <c r="C2999" s="11" t="str">
        <f>CONCATENATE(Sheet2!F3000,"/",Sheet2!E3000)</f>
        <v>/</v>
      </c>
      <c r="D2999" t="str">
        <f>CONCATENATE(Sheet2!B3000,", ",Sheet2!C3000)</f>
        <v xml:space="preserve">, </v>
      </c>
    </row>
    <row r="3000" spans="1:4" x14ac:dyDescent="0.2">
      <c r="A3000">
        <f>'Query Example'!A3000</f>
        <v>0</v>
      </c>
      <c r="B3000">
        <f>'Query Example'!D3000</f>
        <v>0</v>
      </c>
      <c r="C3000" s="11" t="str">
        <f>CONCATENATE(Sheet2!F3001,"/",Sheet2!E3001)</f>
        <v>/</v>
      </c>
      <c r="D3000" t="str">
        <f>CONCATENATE(Sheet2!B3001,", ",Sheet2!C3001)</f>
        <v xml:space="preserve">, </v>
      </c>
    </row>
    <row r="3001" spans="1:4" x14ac:dyDescent="0.2">
      <c r="A3001">
        <f>'Query Example'!A3001</f>
        <v>0</v>
      </c>
      <c r="B3001">
        <f>'Query Example'!D3001</f>
        <v>0</v>
      </c>
      <c r="C3001" s="11" t="str">
        <f>CONCATENATE(Sheet2!F3002,"/",Sheet2!E3002)</f>
        <v>/</v>
      </c>
      <c r="D3001" t="str">
        <f>CONCATENATE(Sheet2!B3002,", ",Sheet2!C3002)</f>
        <v xml:space="preserve">, </v>
      </c>
    </row>
    <row r="3002" spans="1:4" x14ac:dyDescent="0.2">
      <c r="A3002">
        <f>'Query Example'!A3002</f>
        <v>0</v>
      </c>
      <c r="B3002">
        <f>'Query Example'!D3002</f>
        <v>0</v>
      </c>
      <c r="C3002" s="11" t="str">
        <f>CONCATENATE(Sheet2!F3003,"/",Sheet2!E3003)</f>
        <v>/</v>
      </c>
      <c r="D3002" t="str">
        <f>CONCATENATE(Sheet2!B3003,", ",Sheet2!C3003)</f>
        <v xml:space="preserve">, </v>
      </c>
    </row>
    <row r="3003" spans="1:4" x14ac:dyDescent="0.2">
      <c r="A3003">
        <f>'Query Example'!A3003</f>
        <v>0</v>
      </c>
      <c r="B3003">
        <f>'Query Example'!D3003</f>
        <v>0</v>
      </c>
      <c r="C3003" s="11" t="str">
        <f>CONCATENATE(Sheet2!F3004,"/",Sheet2!E3004)</f>
        <v>/</v>
      </c>
      <c r="D3003" t="str">
        <f>CONCATENATE(Sheet2!B3004,", ",Sheet2!C3004)</f>
        <v xml:space="preserve">, </v>
      </c>
    </row>
    <row r="3004" spans="1:4" x14ac:dyDescent="0.2">
      <c r="A3004">
        <f>'Query Example'!A3004</f>
        <v>0</v>
      </c>
      <c r="B3004">
        <f>'Query Example'!D3004</f>
        <v>0</v>
      </c>
      <c r="C3004" s="11" t="str">
        <f>CONCATENATE(Sheet2!F3005,"/",Sheet2!E3005)</f>
        <v>/</v>
      </c>
      <c r="D3004" t="str">
        <f>CONCATENATE(Sheet2!B3005,", ",Sheet2!C3005)</f>
        <v xml:space="preserve">, </v>
      </c>
    </row>
    <row r="3005" spans="1:4" x14ac:dyDescent="0.2">
      <c r="A3005">
        <f>'Query Example'!A3005</f>
        <v>0</v>
      </c>
      <c r="B3005">
        <f>'Query Example'!D3005</f>
        <v>0</v>
      </c>
      <c r="C3005" s="11" t="str">
        <f>CONCATENATE(Sheet2!F3006,"/",Sheet2!E3006)</f>
        <v>/</v>
      </c>
      <c r="D3005" t="str">
        <f>CONCATENATE(Sheet2!B3006,", ",Sheet2!C3006)</f>
        <v xml:space="preserve">, </v>
      </c>
    </row>
    <row r="3006" spans="1:4" x14ac:dyDescent="0.2">
      <c r="A3006">
        <f>'Query Example'!A3006</f>
        <v>0</v>
      </c>
      <c r="B3006">
        <f>'Query Example'!D3006</f>
        <v>0</v>
      </c>
      <c r="C3006" s="11" t="str">
        <f>CONCATENATE(Sheet2!F3007,"/",Sheet2!E3007)</f>
        <v>/</v>
      </c>
      <c r="D3006" t="str">
        <f>CONCATENATE(Sheet2!B3007,", ",Sheet2!C3007)</f>
        <v xml:space="preserve">, </v>
      </c>
    </row>
    <row r="3007" spans="1:4" x14ac:dyDescent="0.2">
      <c r="A3007">
        <f>'Query Example'!A3007</f>
        <v>0</v>
      </c>
      <c r="B3007">
        <f>'Query Example'!D3007</f>
        <v>0</v>
      </c>
      <c r="C3007" s="11" t="str">
        <f>CONCATENATE(Sheet2!F3008,"/",Sheet2!E3008)</f>
        <v>/</v>
      </c>
      <c r="D3007" t="str">
        <f>CONCATENATE(Sheet2!B3008,", ",Sheet2!C3008)</f>
        <v xml:space="preserve">, </v>
      </c>
    </row>
    <row r="3008" spans="1:4" x14ac:dyDescent="0.2">
      <c r="A3008">
        <f>'Query Example'!A3008</f>
        <v>0</v>
      </c>
      <c r="B3008">
        <f>'Query Example'!D3008</f>
        <v>0</v>
      </c>
      <c r="C3008" s="11" t="str">
        <f>CONCATENATE(Sheet2!F3009,"/",Sheet2!E3009)</f>
        <v>/</v>
      </c>
      <c r="D3008" t="str">
        <f>CONCATENATE(Sheet2!B3009,", ",Sheet2!C3009)</f>
        <v xml:space="preserve">, </v>
      </c>
    </row>
    <row r="3009" spans="1:4" x14ac:dyDescent="0.2">
      <c r="A3009">
        <f>'Query Example'!A3009</f>
        <v>0</v>
      </c>
      <c r="B3009">
        <f>'Query Example'!D3009</f>
        <v>0</v>
      </c>
      <c r="C3009" s="11" t="str">
        <f>CONCATENATE(Sheet2!F3010,"/",Sheet2!E3010)</f>
        <v>/</v>
      </c>
      <c r="D3009" t="str">
        <f>CONCATENATE(Sheet2!B3010,", ",Sheet2!C3010)</f>
        <v xml:space="preserve">, </v>
      </c>
    </row>
    <row r="3010" spans="1:4" x14ac:dyDescent="0.2">
      <c r="A3010">
        <f>'Query Example'!A3010</f>
        <v>0</v>
      </c>
      <c r="B3010">
        <f>'Query Example'!D3010</f>
        <v>0</v>
      </c>
      <c r="C3010" s="11" t="str">
        <f>CONCATENATE(Sheet2!F3011,"/",Sheet2!E3011)</f>
        <v>/</v>
      </c>
      <c r="D3010" t="str">
        <f>CONCATENATE(Sheet2!B3011,", ",Sheet2!C3011)</f>
        <v xml:space="preserve">, </v>
      </c>
    </row>
    <row r="3011" spans="1:4" x14ac:dyDescent="0.2">
      <c r="A3011">
        <f>'Query Example'!A3011</f>
        <v>0</v>
      </c>
      <c r="B3011">
        <f>'Query Example'!D3011</f>
        <v>0</v>
      </c>
      <c r="C3011" s="11" t="str">
        <f>CONCATENATE(Sheet2!F3012,"/",Sheet2!E3012)</f>
        <v>/</v>
      </c>
      <c r="D3011" t="str">
        <f>CONCATENATE(Sheet2!B3012,", ",Sheet2!C3012)</f>
        <v xml:space="preserve">, </v>
      </c>
    </row>
    <row r="3012" spans="1:4" x14ac:dyDescent="0.2">
      <c r="A3012">
        <f>'Query Example'!A3012</f>
        <v>0</v>
      </c>
      <c r="B3012">
        <f>'Query Example'!D3012</f>
        <v>0</v>
      </c>
      <c r="C3012" s="11" t="str">
        <f>CONCATENATE(Sheet2!F3013,"/",Sheet2!E3013)</f>
        <v>/</v>
      </c>
      <c r="D3012" t="str">
        <f>CONCATENATE(Sheet2!B3013,", ",Sheet2!C3013)</f>
        <v xml:space="preserve">, </v>
      </c>
    </row>
    <row r="3013" spans="1:4" x14ac:dyDescent="0.2">
      <c r="A3013">
        <f>'Query Example'!A3013</f>
        <v>0</v>
      </c>
      <c r="B3013">
        <f>'Query Example'!D3013</f>
        <v>0</v>
      </c>
      <c r="C3013" s="11" t="str">
        <f>CONCATENATE(Sheet2!F3014,"/",Sheet2!E3014)</f>
        <v>/</v>
      </c>
      <c r="D3013" t="str">
        <f>CONCATENATE(Sheet2!B3014,", ",Sheet2!C3014)</f>
        <v xml:space="preserve">, </v>
      </c>
    </row>
    <row r="3014" spans="1:4" x14ac:dyDescent="0.2">
      <c r="A3014">
        <f>'Query Example'!A3014</f>
        <v>0</v>
      </c>
      <c r="B3014">
        <f>'Query Example'!D3014</f>
        <v>0</v>
      </c>
      <c r="C3014" s="11" t="str">
        <f>CONCATENATE(Sheet2!F3015,"/",Sheet2!E3015)</f>
        <v>/</v>
      </c>
      <c r="D3014" t="str">
        <f>CONCATENATE(Sheet2!B3015,", ",Sheet2!C3015)</f>
        <v xml:space="preserve">, </v>
      </c>
    </row>
    <row r="3015" spans="1:4" x14ac:dyDescent="0.2">
      <c r="A3015">
        <f>'Query Example'!A3015</f>
        <v>0</v>
      </c>
      <c r="B3015">
        <f>'Query Example'!D3015</f>
        <v>0</v>
      </c>
      <c r="C3015" s="11" t="str">
        <f>CONCATENATE(Sheet2!F3016,"/",Sheet2!E3016)</f>
        <v>/</v>
      </c>
      <c r="D3015" t="str">
        <f>CONCATENATE(Sheet2!B3016,", ",Sheet2!C3016)</f>
        <v xml:space="preserve">, </v>
      </c>
    </row>
    <row r="3016" spans="1:4" x14ac:dyDescent="0.2">
      <c r="A3016">
        <f>'Query Example'!A3016</f>
        <v>0</v>
      </c>
      <c r="B3016">
        <f>'Query Example'!D3016</f>
        <v>0</v>
      </c>
      <c r="C3016" s="11" t="str">
        <f>CONCATENATE(Sheet2!F3017,"/",Sheet2!E3017)</f>
        <v>/</v>
      </c>
      <c r="D3016" t="str">
        <f>CONCATENATE(Sheet2!B3017,", ",Sheet2!C3017)</f>
        <v xml:space="preserve">, </v>
      </c>
    </row>
    <row r="3017" spans="1:4" x14ac:dyDescent="0.2">
      <c r="A3017">
        <f>'Query Example'!A3017</f>
        <v>0</v>
      </c>
      <c r="B3017">
        <f>'Query Example'!D3017</f>
        <v>0</v>
      </c>
      <c r="C3017" s="11" t="str">
        <f>CONCATENATE(Sheet2!F3018,"/",Sheet2!E3018)</f>
        <v>/</v>
      </c>
      <c r="D3017" t="str">
        <f>CONCATENATE(Sheet2!B3018,", ",Sheet2!C3018)</f>
        <v xml:space="preserve">, </v>
      </c>
    </row>
    <row r="3018" spans="1:4" x14ac:dyDescent="0.2">
      <c r="A3018">
        <f>'Query Example'!A3018</f>
        <v>0</v>
      </c>
      <c r="B3018">
        <f>'Query Example'!D3018</f>
        <v>0</v>
      </c>
      <c r="C3018" s="11" t="str">
        <f>CONCATENATE(Sheet2!F3019,"/",Sheet2!E3019)</f>
        <v>/</v>
      </c>
      <c r="D3018" t="str">
        <f>CONCATENATE(Sheet2!B3019,", ",Sheet2!C3019)</f>
        <v xml:space="preserve">, </v>
      </c>
    </row>
    <row r="3019" spans="1:4" x14ac:dyDescent="0.2">
      <c r="A3019">
        <f>'Query Example'!A3019</f>
        <v>0</v>
      </c>
      <c r="B3019">
        <f>'Query Example'!D3019</f>
        <v>0</v>
      </c>
      <c r="C3019" s="11" t="str">
        <f>CONCATENATE(Sheet2!F3020,"/",Sheet2!E3020)</f>
        <v>/</v>
      </c>
      <c r="D3019" t="str">
        <f>CONCATENATE(Sheet2!B3020,", ",Sheet2!C3020)</f>
        <v xml:space="preserve">, </v>
      </c>
    </row>
    <row r="3020" spans="1:4" x14ac:dyDescent="0.2">
      <c r="A3020">
        <f>'Query Example'!A3020</f>
        <v>0</v>
      </c>
      <c r="B3020">
        <f>'Query Example'!D3020</f>
        <v>0</v>
      </c>
      <c r="C3020" s="11" t="str">
        <f>CONCATENATE(Sheet2!F3021,"/",Sheet2!E3021)</f>
        <v>/</v>
      </c>
      <c r="D3020" t="str">
        <f>CONCATENATE(Sheet2!B3021,", ",Sheet2!C3021)</f>
        <v xml:space="preserve">, </v>
      </c>
    </row>
    <row r="3021" spans="1:4" x14ac:dyDescent="0.2">
      <c r="A3021">
        <f>'Query Example'!A3021</f>
        <v>0</v>
      </c>
      <c r="B3021">
        <f>'Query Example'!D3021</f>
        <v>0</v>
      </c>
      <c r="C3021" s="11" t="str">
        <f>CONCATENATE(Sheet2!F3022,"/",Sheet2!E3022)</f>
        <v>/</v>
      </c>
      <c r="D3021" t="str">
        <f>CONCATENATE(Sheet2!B3022,", ",Sheet2!C3022)</f>
        <v xml:space="preserve">, </v>
      </c>
    </row>
    <row r="3022" spans="1:4" x14ac:dyDescent="0.2">
      <c r="A3022">
        <f>'Query Example'!A3022</f>
        <v>0</v>
      </c>
      <c r="B3022">
        <f>'Query Example'!D3022</f>
        <v>0</v>
      </c>
      <c r="C3022" s="11" t="str">
        <f>CONCATENATE(Sheet2!F3023,"/",Sheet2!E3023)</f>
        <v>/</v>
      </c>
      <c r="D3022" t="str">
        <f>CONCATENATE(Sheet2!B3023,", ",Sheet2!C3023)</f>
        <v xml:space="preserve">, </v>
      </c>
    </row>
    <row r="3023" spans="1:4" x14ac:dyDescent="0.2">
      <c r="A3023">
        <f>'Query Example'!A3023</f>
        <v>0</v>
      </c>
      <c r="B3023">
        <f>'Query Example'!D3023</f>
        <v>0</v>
      </c>
      <c r="C3023" s="11" t="str">
        <f>CONCATENATE(Sheet2!F3024,"/",Sheet2!E3024)</f>
        <v>/</v>
      </c>
      <c r="D3023" t="str">
        <f>CONCATENATE(Sheet2!B3024,", ",Sheet2!C3024)</f>
        <v xml:space="preserve">, </v>
      </c>
    </row>
    <row r="3024" spans="1:4" x14ac:dyDescent="0.2">
      <c r="A3024">
        <f>'Query Example'!A3024</f>
        <v>0</v>
      </c>
      <c r="B3024">
        <f>'Query Example'!D3024</f>
        <v>0</v>
      </c>
      <c r="C3024" s="11" t="str">
        <f>CONCATENATE(Sheet2!F3025,"/",Sheet2!E3025)</f>
        <v>/</v>
      </c>
      <c r="D3024" t="str">
        <f>CONCATENATE(Sheet2!B3025,", ",Sheet2!C3025)</f>
        <v xml:space="preserve">, </v>
      </c>
    </row>
    <row r="3025" spans="1:4" x14ac:dyDescent="0.2">
      <c r="A3025">
        <f>'Query Example'!A3025</f>
        <v>0</v>
      </c>
      <c r="B3025">
        <f>'Query Example'!D3025</f>
        <v>0</v>
      </c>
      <c r="C3025" s="11" t="str">
        <f>CONCATENATE(Sheet2!F3026,"/",Sheet2!E3026)</f>
        <v>/</v>
      </c>
      <c r="D3025" t="str">
        <f>CONCATENATE(Sheet2!B3026,", ",Sheet2!C3026)</f>
        <v xml:space="preserve">, </v>
      </c>
    </row>
    <row r="3026" spans="1:4" x14ac:dyDescent="0.2">
      <c r="A3026">
        <f>'Query Example'!A3026</f>
        <v>0</v>
      </c>
      <c r="B3026">
        <f>'Query Example'!D3026</f>
        <v>0</v>
      </c>
      <c r="C3026" s="11" t="str">
        <f>CONCATENATE(Sheet2!F3027,"/",Sheet2!E3027)</f>
        <v>/</v>
      </c>
      <c r="D3026" t="str">
        <f>CONCATENATE(Sheet2!B3027,", ",Sheet2!C3027)</f>
        <v xml:space="preserve">, </v>
      </c>
    </row>
    <row r="3027" spans="1:4" x14ac:dyDescent="0.2">
      <c r="A3027">
        <f>'Query Example'!A3027</f>
        <v>0</v>
      </c>
      <c r="B3027">
        <f>'Query Example'!D3027</f>
        <v>0</v>
      </c>
      <c r="C3027" s="11" t="str">
        <f>CONCATENATE(Sheet2!F3028,"/",Sheet2!E3028)</f>
        <v>/</v>
      </c>
      <c r="D3027" t="str">
        <f>CONCATENATE(Sheet2!B3028,", ",Sheet2!C3028)</f>
        <v xml:space="preserve">, </v>
      </c>
    </row>
    <row r="3028" spans="1:4" x14ac:dyDescent="0.2">
      <c r="A3028">
        <f>'Query Example'!A3028</f>
        <v>0</v>
      </c>
      <c r="B3028">
        <f>'Query Example'!D3028</f>
        <v>0</v>
      </c>
      <c r="C3028" s="11" t="str">
        <f>CONCATENATE(Sheet2!F3029,"/",Sheet2!E3029)</f>
        <v>/</v>
      </c>
      <c r="D3028" t="str">
        <f>CONCATENATE(Sheet2!B3029,", ",Sheet2!C3029)</f>
        <v xml:space="preserve">, </v>
      </c>
    </row>
    <row r="3029" spans="1:4" x14ac:dyDescent="0.2">
      <c r="A3029">
        <f>'Query Example'!A3029</f>
        <v>0</v>
      </c>
      <c r="B3029">
        <f>'Query Example'!D3029</f>
        <v>0</v>
      </c>
      <c r="C3029" s="11" t="str">
        <f>CONCATENATE(Sheet2!F3030,"/",Sheet2!E3030)</f>
        <v>/</v>
      </c>
      <c r="D3029" t="str">
        <f>CONCATENATE(Sheet2!B3030,", ",Sheet2!C3030)</f>
        <v xml:space="preserve">, </v>
      </c>
    </row>
    <row r="3030" spans="1:4" x14ac:dyDescent="0.2">
      <c r="A3030">
        <f>'Query Example'!A3030</f>
        <v>0</v>
      </c>
      <c r="B3030">
        <f>'Query Example'!D3030</f>
        <v>0</v>
      </c>
      <c r="C3030" s="11" t="str">
        <f>CONCATENATE(Sheet2!F3031,"/",Sheet2!E3031)</f>
        <v>/</v>
      </c>
      <c r="D3030" t="str">
        <f>CONCATENATE(Sheet2!B3031,", ",Sheet2!C3031)</f>
        <v xml:space="preserve">, </v>
      </c>
    </row>
    <row r="3031" spans="1:4" x14ac:dyDescent="0.2">
      <c r="A3031">
        <f>'Query Example'!A3031</f>
        <v>0</v>
      </c>
      <c r="B3031">
        <f>'Query Example'!D3031</f>
        <v>0</v>
      </c>
      <c r="C3031" s="11" t="str">
        <f>CONCATENATE(Sheet2!F3032,"/",Sheet2!E3032)</f>
        <v>/</v>
      </c>
      <c r="D3031" t="str">
        <f>CONCATENATE(Sheet2!B3032,", ",Sheet2!C3032)</f>
        <v xml:space="preserve">, </v>
      </c>
    </row>
    <row r="3032" spans="1:4" x14ac:dyDescent="0.2">
      <c r="A3032">
        <f>'Query Example'!A3032</f>
        <v>0</v>
      </c>
      <c r="B3032">
        <f>'Query Example'!D3032</f>
        <v>0</v>
      </c>
      <c r="C3032" s="11" t="str">
        <f>CONCATENATE(Sheet2!F3033,"/",Sheet2!E3033)</f>
        <v>/</v>
      </c>
      <c r="D3032" t="str">
        <f>CONCATENATE(Sheet2!B3033,", ",Sheet2!C3033)</f>
        <v xml:space="preserve">, </v>
      </c>
    </row>
    <row r="3033" spans="1:4" x14ac:dyDescent="0.2">
      <c r="A3033">
        <f>'Query Example'!A3033</f>
        <v>0</v>
      </c>
      <c r="B3033">
        <f>'Query Example'!D3033</f>
        <v>0</v>
      </c>
      <c r="C3033" s="11" t="str">
        <f>CONCATENATE(Sheet2!F3034,"/",Sheet2!E3034)</f>
        <v>/</v>
      </c>
      <c r="D3033" t="str">
        <f>CONCATENATE(Sheet2!B3034,", ",Sheet2!C3034)</f>
        <v xml:space="preserve">, </v>
      </c>
    </row>
    <row r="3034" spans="1:4" x14ac:dyDescent="0.2">
      <c r="A3034">
        <f>'Query Example'!A3034</f>
        <v>0</v>
      </c>
      <c r="B3034">
        <f>'Query Example'!D3034</f>
        <v>0</v>
      </c>
      <c r="C3034" s="11" t="str">
        <f>CONCATENATE(Sheet2!F3035,"/",Sheet2!E3035)</f>
        <v>/</v>
      </c>
      <c r="D3034" t="str">
        <f>CONCATENATE(Sheet2!B3035,", ",Sheet2!C3035)</f>
        <v xml:space="preserve">, </v>
      </c>
    </row>
    <row r="3035" spans="1:4" x14ac:dyDescent="0.2">
      <c r="A3035">
        <f>'Query Example'!A3035</f>
        <v>0</v>
      </c>
      <c r="B3035">
        <f>'Query Example'!D3035</f>
        <v>0</v>
      </c>
      <c r="C3035" s="11" t="str">
        <f>CONCATENATE(Sheet2!F3036,"/",Sheet2!E3036)</f>
        <v>/</v>
      </c>
      <c r="D3035" t="str">
        <f>CONCATENATE(Sheet2!B3036,", ",Sheet2!C3036)</f>
        <v xml:space="preserve">, </v>
      </c>
    </row>
    <row r="3036" spans="1:4" x14ac:dyDescent="0.2">
      <c r="A3036">
        <f>'Query Example'!A3036</f>
        <v>0</v>
      </c>
      <c r="B3036">
        <f>'Query Example'!D3036</f>
        <v>0</v>
      </c>
      <c r="C3036" s="11" t="str">
        <f>CONCATENATE(Sheet2!F3037,"/",Sheet2!E3037)</f>
        <v>/</v>
      </c>
      <c r="D3036" t="str">
        <f>CONCATENATE(Sheet2!B3037,", ",Sheet2!C3037)</f>
        <v xml:space="preserve">, </v>
      </c>
    </row>
    <row r="3037" spans="1:4" x14ac:dyDescent="0.2">
      <c r="A3037">
        <f>'Query Example'!A3037</f>
        <v>0</v>
      </c>
      <c r="B3037">
        <f>'Query Example'!D3037</f>
        <v>0</v>
      </c>
      <c r="C3037" s="11" t="str">
        <f>CONCATENATE(Sheet2!F3038,"/",Sheet2!E3038)</f>
        <v>/</v>
      </c>
      <c r="D3037" t="str">
        <f>CONCATENATE(Sheet2!B3038,", ",Sheet2!C3038)</f>
        <v xml:space="preserve">, </v>
      </c>
    </row>
    <row r="3038" spans="1:4" x14ac:dyDescent="0.2">
      <c r="A3038">
        <f>'Query Example'!A3038</f>
        <v>0</v>
      </c>
      <c r="B3038">
        <f>'Query Example'!D3038</f>
        <v>0</v>
      </c>
      <c r="C3038" s="11" t="str">
        <f>CONCATENATE(Sheet2!F3039,"/",Sheet2!E3039)</f>
        <v>/</v>
      </c>
      <c r="D3038" t="str">
        <f>CONCATENATE(Sheet2!B3039,", ",Sheet2!C3039)</f>
        <v xml:space="preserve">, </v>
      </c>
    </row>
    <row r="3039" spans="1:4" x14ac:dyDescent="0.2">
      <c r="A3039">
        <f>'Query Example'!A3039</f>
        <v>0</v>
      </c>
      <c r="B3039">
        <f>'Query Example'!D3039</f>
        <v>0</v>
      </c>
      <c r="C3039" s="11" t="str">
        <f>CONCATENATE(Sheet2!F3040,"/",Sheet2!E3040)</f>
        <v>/</v>
      </c>
      <c r="D3039" t="str">
        <f>CONCATENATE(Sheet2!B3040,", ",Sheet2!C3040)</f>
        <v xml:space="preserve">, </v>
      </c>
    </row>
    <row r="3040" spans="1:4" x14ac:dyDescent="0.2">
      <c r="A3040">
        <f>'Query Example'!A3040</f>
        <v>0</v>
      </c>
      <c r="B3040">
        <f>'Query Example'!D3040</f>
        <v>0</v>
      </c>
      <c r="C3040" s="11" t="str">
        <f>CONCATENATE(Sheet2!F3041,"/",Sheet2!E3041)</f>
        <v>/</v>
      </c>
      <c r="D3040" t="str">
        <f>CONCATENATE(Sheet2!B3041,", ",Sheet2!C3041)</f>
        <v xml:space="preserve">, </v>
      </c>
    </row>
    <row r="3041" spans="1:4" x14ac:dyDescent="0.2">
      <c r="A3041">
        <f>'Query Example'!A3041</f>
        <v>0</v>
      </c>
      <c r="B3041">
        <f>'Query Example'!D3041</f>
        <v>0</v>
      </c>
      <c r="C3041" s="11" t="str">
        <f>CONCATENATE(Sheet2!F3042,"/",Sheet2!E3042)</f>
        <v>/</v>
      </c>
      <c r="D3041" t="str">
        <f>CONCATENATE(Sheet2!B3042,", ",Sheet2!C3042)</f>
        <v xml:space="preserve">, </v>
      </c>
    </row>
    <row r="3042" spans="1:4" x14ac:dyDescent="0.2">
      <c r="A3042">
        <f>'Query Example'!A3042</f>
        <v>0</v>
      </c>
      <c r="B3042">
        <f>'Query Example'!D3042</f>
        <v>0</v>
      </c>
      <c r="C3042" s="11" t="str">
        <f>CONCATENATE(Sheet2!F3043,"/",Sheet2!E3043)</f>
        <v>/</v>
      </c>
      <c r="D3042" t="str">
        <f>CONCATENATE(Sheet2!B3043,", ",Sheet2!C3043)</f>
        <v xml:space="preserve">, </v>
      </c>
    </row>
    <row r="3043" spans="1:4" x14ac:dyDescent="0.2">
      <c r="A3043">
        <f>'Query Example'!A3043</f>
        <v>0</v>
      </c>
      <c r="B3043">
        <f>'Query Example'!D3043</f>
        <v>0</v>
      </c>
      <c r="C3043" s="11" t="str">
        <f>CONCATENATE(Sheet2!F3044,"/",Sheet2!E3044)</f>
        <v>/</v>
      </c>
      <c r="D3043" t="str">
        <f>CONCATENATE(Sheet2!B3044,", ",Sheet2!C3044)</f>
        <v xml:space="preserve">, </v>
      </c>
    </row>
    <row r="3044" spans="1:4" x14ac:dyDescent="0.2">
      <c r="A3044">
        <f>'Query Example'!A3044</f>
        <v>0</v>
      </c>
      <c r="B3044">
        <f>'Query Example'!D3044</f>
        <v>0</v>
      </c>
      <c r="C3044" s="11" t="str">
        <f>CONCATENATE(Sheet2!F3045,"/",Sheet2!E3045)</f>
        <v>/</v>
      </c>
      <c r="D3044" t="str">
        <f>CONCATENATE(Sheet2!B3045,", ",Sheet2!C3045)</f>
        <v xml:space="preserve">, </v>
      </c>
    </row>
    <row r="3045" spans="1:4" x14ac:dyDescent="0.2">
      <c r="A3045">
        <f>'Query Example'!A3045</f>
        <v>0</v>
      </c>
      <c r="B3045">
        <f>'Query Example'!D3045</f>
        <v>0</v>
      </c>
      <c r="C3045" s="11" t="str">
        <f>CONCATENATE(Sheet2!F3046,"/",Sheet2!E3046)</f>
        <v>/</v>
      </c>
      <c r="D3045" t="str">
        <f>CONCATENATE(Sheet2!B3046,", ",Sheet2!C3046)</f>
        <v xml:space="preserve">, </v>
      </c>
    </row>
    <row r="3046" spans="1:4" x14ac:dyDescent="0.2">
      <c r="A3046">
        <f>'Query Example'!A3046</f>
        <v>0</v>
      </c>
      <c r="B3046">
        <f>'Query Example'!D3046</f>
        <v>0</v>
      </c>
      <c r="C3046" s="11" t="str">
        <f>CONCATENATE(Sheet2!F3047,"/",Sheet2!E3047)</f>
        <v>/</v>
      </c>
      <c r="D3046" t="str">
        <f>CONCATENATE(Sheet2!B3047,", ",Sheet2!C3047)</f>
        <v xml:space="preserve">, </v>
      </c>
    </row>
    <row r="3047" spans="1:4" x14ac:dyDescent="0.2">
      <c r="A3047">
        <f>'Query Example'!A3047</f>
        <v>0</v>
      </c>
      <c r="B3047">
        <f>'Query Example'!D3047</f>
        <v>0</v>
      </c>
      <c r="C3047" s="11" t="str">
        <f>CONCATENATE(Sheet2!F3048,"/",Sheet2!E3048)</f>
        <v>/</v>
      </c>
      <c r="D3047" t="str">
        <f>CONCATENATE(Sheet2!B3048,", ",Sheet2!C3048)</f>
        <v xml:space="preserve">, </v>
      </c>
    </row>
    <row r="3048" spans="1:4" x14ac:dyDescent="0.2">
      <c r="A3048">
        <f>'Query Example'!A3048</f>
        <v>0</v>
      </c>
      <c r="B3048">
        <f>'Query Example'!D3048</f>
        <v>0</v>
      </c>
      <c r="C3048" s="11" t="str">
        <f>CONCATENATE(Sheet2!F3049,"/",Sheet2!E3049)</f>
        <v>/</v>
      </c>
      <c r="D3048" t="str">
        <f>CONCATENATE(Sheet2!B3049,", ",Sheet2!C3049)</f>
        <v xml:space="preserve">, </v>
      </c>
    </row>
    <row r="3049" spans="1:4" x14ac:dyDescent="0.2">
      <c r="A3049">
        <f>'Query Example'!A3049</f>
        <v>0</v>
      </c>
      <c r="B3049">
        <f>'Query Example'!D3049</f>
        <v>0</v>
      </c>
      <c r="C3049" s="11" t="str">
        <f>CONCATENATE(Sheet2!F3050,"/",Sheet2!E3050)</f>
        <v>/</v>
      </c>
      <c r="D3049" t="str">
        <f>CONCATENATE(Sheet2!B3050,", ",Sheet2!C3050)</f>
        <v xml:space="preserve">, </v>
      </c>
    </row>
    <row r="3050" spans="1:4" x14ac:dyDescent="0.2">
      <c r="A3050">
        <f>'Query Example'!A3050</f>
        <v>0</v>
      </c>
      <c r="B3050">
        <f>'Query Example'!D3050</f>
        <v>0</v>
      </c>
      <c r="C3050" s="11" t="str">
        <f>CONCATENATE(Sheet2!F3051,"/",Sheet2!E3051)</f>
        <v>/</v>
      </c>
      <c r="D3050" t="str">
        <f>CONCATENATE(Sheet2!B3051,", ",Sheet2!C3051)</f>
        <v xml:space="preserve">, </v>
      </c>
    </row>
    <row r="3051" spans="1:4" x14ac:dyDescent="0.2">
      <c r="A3051">
        <f>'Query Example'!A3051</f>
        <v>0</v>
      </c>
      <c r="B3051">
        <f>'Query Example'!D3051</f>
        <v>0</v>
      </c>
      <c r="C3051" s="11" t="str">
        <f>CONCATENATE(Sheet2!F3052,"/",Sheet2!E3052)</f>
        <v>/</v>
      </c>
      <c r="D3051" t="str">
        <f>CONCATENATE(Sheet2!B3052,", ",Sheet2!C3052)</f>
        <v xml:space="preserve">, </v>
      </c>
    </row>
    <row r="3052" spans="1:4" x14ac:dyDescent="0.2">
      <c r="A3052">
        <f>'Query Example'!A3052</f>
        <v>0</v>
      </c>
      <c r="B3052">
        <f>'Query Example'!D3052</f>
        <v>0</v>
      </c>
      <c r="C3052" s="11" t="str">
        <f>CONCATENATE(Sheet2!F3053,"/",Sheet2!E3053)</f>
        <v>/</v>
      </c>
      <c r="D3052" t="str">
        <f>CONCATENATE(Sheet2!B3053,", ",Sheet2!C3053)</f>
        <v xml:space="preserve">, </v>
      </c>
    </row>
    <row r="3053" spans="1:4" x14ac:dyDescent="0.2">
      <c r="A3053">
        <f>'Query Example'!A3053</f>
        <v>0</v>
      </c>
      <c r="B3053">
        <f>'Query Example'!D3053</f>
        <v>0</v>
      </c>
      <c r="C3053" s="11" t="str">
        <f>CONCATENATE(Sheet2!F3054,"/",Sheet2!E3054)</f>
        <v>/</v>
      </c>
      <c r="D3053" t="str">
        <f>CONCATENATE(Sheet2!B3054,", ",Sheet2!C3054)</f>
        <v xml:space="preserve">, </v>
      </c>
    </row>
    <row r="3054" spans="1:4" x14ac:dyDescent="0.2">
      <c r="A3054">
        <f>'Query Example'!A3054</f>
        <v>0</v>
      </c>
      <c r="B3054">
        <f>'Query Example'!D3054</f>
        <v>0</v>
      </c>
      <c r="C3054" s="11" t="str">
        <f>CONCATENATE(Sheet2!F3055,"/",Sheet2!E3055)</f>
        <v>/</v>
      </c>
      <c r="D3054" t="str">
        <f>CONCATENATE(Sheet2!B3055,", ",Sheet2!C3055)</f>
        <v xml:space="preserve">, </v>
      </c>
    </row>
    <row r="3055" spans="1:4" x14ac:dyDescent="0.2">
      <c r="A3055">
        <f>'Query Example'!A3055</f>
        <v>0</v>
      </c>
      <c r="B3055">
        <f>'Query Example'!D3055</f>
        <v>0</v>
      </c>
      <c r="C3055" s="11" t="str">
        <f>CONCATENATE(Sheet2!F3056,"/",Sheet2!E3056)</f>
        <v>/</v>
      </c>
      <c r="D3055" t="str">
        <f>CONCATENATE(Sheet2!B3056,", ",Sheet2!C3056)</f>
        <v xml:space="preserve">, </v>
      </c>
    </row>
    <row r="3056" spans="1:4" x14ac:dyDescent="0.2">
      <c r="A3056">
        <f>'Query Example'!A3056</f>
        <v>0</v>
      </c>
      <c r="B3056">
        <f>'Query Example'!D3056</f>
        <v>0</v>
      </c>
      <c r="C3056" s="11" t="str">
        <f>CONCATENATE(Sheet2!F3057,"/",Sheet2!E3057)</f>
        <v>/</v>
      </c>
      <c r="D3056" t="str">
        <f>CONCATENATE(Sheet2!B3057,", ",Sheet2!C3057)</f>
        <v xml:space="preserve">, </v>
      </c>
    </row>
    <row r="3057" spans="1:4" x14ac:dyDescent="0.2">
      <c r="A3057">
        <f>'Query Example'!A3057</f>
        <v>0</v>
      </c>
      <c r="B3057">
        <f>'Query Example'!D3057</f>
        <v>0</v>
      </c>
      <c r="C3057" s="11" t="str">
        <f>CONCATENATE(Sheet2!F3058,"/",Sheet2!E3058)</f>
        <v>/</v>
      </c>
      <c r="D3057" t="str">
        <f>CONCATENATE(Sheet2!B3058,", ",Sheet2!C3058)</f>
        <v xml:space="preserve">, </v>
      </c>
    </row>
    <row r="3058" spans="1:4" x14ac:dyDescent="0.2">
      <c r="A3058">
        <f>'Query Example'!A3058</f>
        <v>0</v>
      </c>
      <c r="B3058">
        <f>'Query Example'!D3058</f>
        <v>0</v>
      </c>
      <c r="C3058" s="11" t="str">
        <f>CONCATENATE(Sheet2!F3059,"/",Sheet2!E3059)</f>
        <v>/</v>
      </c>
      <c r="D3058" t="str">
        <f>CONCATENATE(Sheet2!B3059,", ",Sheet2!C3059)</f>
        <v xml:space="preserve">, </v>
      </c>
    </row>
    <row r="3059" spans="1:4" x14ac:dyDescent="0.2">
      <c r="A3059">
        <f>'Query Example'!A3059</f>
        <v>0</v>
      </c>
      <c r="B3059">
        <f>'Query Example'!D3059</f>
        <v>0</v>
      </c>
      <c r="C3059" s="11" t="str">
        <f>CONCATENATE(Sheet2!F3060,"/",Sheet2!E3060)</f>
        <v>/</v>
      </c>
      <c r="D3059" t="str">
        <f>CONCATENATE(Sheet2!B3060,", ",Sheet2!C3060)</f>
        <v xml:space="preserve">, </v>
      </c>
    </row>
    <row r="3060" spans="1:4" x14ac:dyDescent="0.2">
      <c r="A3060">
        <f>'Query Example'!A3060</f>
        <v>0</v>
      </c>
      <c r="B3060">
        <f>'Query Example'!D3060</f>
        <v>0</v>
      </c>
      <c r="C3060" s="11" t="str">
        <f>CONCATENATE(Sheet2!F3061,"/",Sheet2!E3061)</f>
        <v>/</v>
      </c>
      <c r="D3060" t="str">
        <f>CONCATENATE(Sheet2!B3061,", ",Sheet2!C3061)</f>
        <v xml:space="preserve">, </v>
      </c>
    </row>
    <row r="3061" spans="1:4" x14ac:dyDescent="0.2">
      <c r="A3061">
        <f>'Query Example'!A3061</f>
        <v>0</v>
      </c>
      <c r="B3061">
        <f>'Query Example'!D3061</f>
        <v>0</v>
      </c>
      <c r="C3061" s="11" t="str">
        <f>CONCATENATE(Sheet2!F3062,"/",Sheet2!E3062)</f>
        <v>/</v>
      </c>
      <c r="D3061" t="str">
        <f>CONCATENATE(Sheet2!B3062,", ",Sheet2!C3062)</f>
        <v xml:space="preserve">, </v>
      </c>
    </row>
    <row r="3062" spans="1:4" x14ac:dyDescent="0.2">
      <c r="A3062">
        <f>'Query Example'!A3062</f>
        <v>0</v>
      </c>
      <c r="B3062">
        <f>'Query Example'!D3062</f>
        <v>0</v>
      </c>
      <c r="C3062" s="11" t="str">
        <f>CONCATENATE(Sheet2!F3063,"/",Sheet2!E3063)</f>
        <v>/</v>
      </c>
      <c r="D3062" t="str">
        <f>CONCATENATE(Sheet2!B3063,", ",Sheet2!C3063)</f>
        <v xml:space="preserve">, </v>
      </c>
    </row>
    <row r="3063" spans="1:4" x14ac:dyDescent="0.2">
      <c r="A3063">
        <f>'Query Example'!A3063</f>
        <v>0</v>
      </c>
      <c r="B3063">
        <f>'Query Example'!D3063</f>
        <v>0</v>
      </c>
      <c r="C3063" s="11" t="str">
        <f>CONCATENATE(Sheet2!F3064,"/",Sheet2!E3064)</f>
        <v>/</v>
      </c>
      <c r="D3063" t="str">
        <f>CONCATENATE(Sheet2!B3064,", ",Sheet2!C3064)</f>
        <v xml:space="preserve">, </v>
      </c>
    </row>
    <row r="3064" spans="1:4" x14ac:dyDescent="0.2">
      <c r="A3064">
        <f>'Query Example'!A3064</f>
        <v>0</v>
      </c>
      <c r="B3064">
        <f>'Query Example'!D3064</f>
        <v>0</v>
      </c>
      <c r="C3064" s="11" t="str">
        <f>CONCATENATE(Sheet2!F3065,"/",Sheet2!E3065)</f>
        <v>/</v>
      </c>
      <c r="D3064" t="str">
        <f>CONCATENATE(Sheet2!B3065,", ",Sheet2!C3065)</f>
        <v xml:space="preserve">, </v>
      </c>
    </row>
    <row r="3065" spans="1:4" x14ac:dyDescent="0.2">
      <c r="A3065">
        <f>'Query Example'!A3065</f>
        <v>0</v>
      </c>
      <c r="B3065">
        <f>'Query Example'!D3065</f>
        <v>0</v>
      </c>
      <c r="C3065" s="11" t="str">
        <f>CONCATENATE(Sheet2!F3066,"/",Sheet2!E3066)</f>
        <v>/</v>
      </c>
      <c r="D3065" t="str">
        <f>CONCATENATE(Sheet2!B3066,", ",Sheet2!C3066)</f>
        <v xml:space="preserve">, </v>
      </c>
    </row>
    <row r="3066" spans="1:4" x14ac:dyDescent="0.2">
      <c r="A3066">
        <f>'Query Example'!A3066</f>
        <v>0</v>
      </c>
      <c r="B3066">
        <f>'Query Example'!D3066</f>
        <v>0</v>
      </c>
      <c r="C3066" s="11" t="str">
        <f>CONCATENATE(Sheet2!F3067,"/",Sheet2!E3067)</f>
        <v>/</v>
      </c>
      <c r="D3066" t="str">
        <f>CONCATENATE(Sheet2!B3067,", ",Sheet2!C3067)</f>
        <v xml:space="preserve">, </v>
      </c>
    </row>
    <row r="3067" spans="1:4" x14ac:dyDescent="0.2">
      <c r="A3067">
        <f>'Query Example'!A3067</f>
        <v>0</v>
      </c>
      <c r="B3067">
        <f>'Query Example'!D3067</f>
        <v>0</v>
      </c>
      <c r="C3067" s="11" t="str">
        <f>CONCATENATE(Sheet2!F3068,"/",Sheet2!E3068)</f>
        <v>/</v>
      </c>
      <c r="D3067" t="str">
        <f>CONCATENATE(Sheet2!B3068,", ",Sheet2!C3068)</f>
        <v xml:space="preserve">, </v>
      </c>
    </row>
    <row r="3068" spans="1:4" x14ac:dyDescent="0.2">
      <c r="A3068">
        <f>'Query Example'!A3068</f>
        <v>0</v>
      </c>
      <c r="B3068">
        <f>'Query Example'!D3068</f>
        <v>0</v>
      </c>
      <c r="C3068" s="11" t="str">
        <f>CONCATENATE(Sheet2!F3069,"/",Sheet2!E3069)</f>
        <v>/</v>
      </c>
      <c r="D3068" t="str">
        <f>CONCATENATE(Sheet2!B3069,", ",Sheet2!C3069)</f>
        <v xml:space="preserve">, </v>
      </c>
    </row>
    <row r="3069" spans="1:4" x14ac:dyDescent="0.2">
      <c r="A3069">
        <f>'Query Example'!A3069</f>
        <v>0</v>
      </c>
      <c r="B3069">
        <f>'Query Example'!D3069</f>
        <v>0</v>
      </c>
      <c r="C3069" s="11" t="str">
        <f>CONCATENATE(Sheet2!F3070,"/",Sheet2!E3070)</f>
        <v>/</v>
      </c>
      <c r="D3069" t="str">
        <f>CONCATENATE(Sheet2!B3070,", ",Sheet2!C3070)</f>
        <v xml:space="preserve">, 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Type List</vt:lpstr>
      <vt:lpstr>Query Example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Gale</dc:creator>
  <cp:lastModifiedBy>Richard Gale</cp:lastModifiedBy>
  <dcterms:created xsi:type="dcterms:W3CDTF">2022-02-18T19:54:50Z</dcterms:created>
  <dcterms:modified xsi:type="dcterms:W3CDTF">2022-02-21T12:48:26Z</dcterms:modified>
</cp:coreProperties>
</file>